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X:\Spolecne\ZAKAZKY\2021\2021023629_Sosnova\20220724 PROJEKT VYBERKO\"/>
    </mc:Choice>
  </mc:AlternateContent>
  <xr:revisionPtr revIDLastSave="0" documentId="8_{6C62AB59-731A-4A56-8322-6BB9107B6457}" xr6:coauthVersionLast="47" xr6:coauthVersionMax="47" xr10:uidLastSave="{00000000-0000-0000-0000-000000000000}"/>
  <bookViews>
    <workbookView xWindow="-120" yWindow="-120" windowWidth="29040" windowHeight="15840" tabRatio="982" firstSheet="2" activeTab="10" xr2:uid="{4A0B7A1C-E18C-4088-B12D-BA18BC5D28E7}"/>
  </bookViews>
  <sheets>
    <sheet name="01 STAVBA Stavební rozpočet" sheetId="5" r:id="rId1"/>
    <sheet name="01 STAVBA Krycí list rozpočtu" sheetId="6" r:id="rId2"/>
    <sheet name="01 STAVBA VORN" sheetId="7" r:id="rId3"/>
    <sheet name="02 ELEKTRO" sheetId="8" r:id="rId4"/>
    <sheet name="03 TZB D14a - ZTI" sheetId="16" r:id="rId5"/>
    <sheet name="03 TZB D14c - Vzduchotechnika" sheetId="17" r:id="rId6"/>
    <sheet name="03 TZB D14d - Vyt. a chlazení" sheetId="18" r:id="rId7"/>
    <sheet name="03 TZB D14b - Plyn" sheetId="14" r:id="rId8"/>
    <sheet name="03 TZBRekapitulace stavby" sheetId="15" r:id="rId9"/>
    <sheet name="04 INTERIER Stavební rozpočet" sheetId="2" r:id="rId10"/>
    <sheet name="04 INTERIER Krycí list rozpočtu" sheetId="3" r:id="rId11"/>
    <sheet name="04 INTERIER VORN" sheetId="4" r:id="rId12"/>
    <sheet name="Přehled" sheetId="1" r:id="rId13"/>
  </sheets>
  <definedNames>
    <definedName name="_xlnm._FilterDatabase" localSheetId="4" hidden="1">'03 TZB D14a - ZTI'!$C$91:$K$387</definedName>
    <definedName name="_xlnm._FilterDatabase" localSheetId="7" hidden="1">'03 TZB D14b - Plyn'!$C$88:$K$149</definedName>
    <definedName name="_xlnm._FilterDatabase" localSheetId="5" hidden="1">'03 TZB D14c - Vzduchotechnika'!$C$85:$K$157</definedName>
    <definedName name="_xlnm._FilterDatabase" localSheetId="6" hidden="1">'03 TZB D14d - Vyt. a chlazení'!$C$90:$K$261</definedName>
    <definedName name="_xlnm.Print_Titles" localSheetId="4">'03 TZB D14a - ZTI'!$91:$91</definedName>
    <definedName name="_xlnm.Print_Titles" localSheetId="7">'03 TZB D14b - Plyn'!$88:$88</definedName>
    <definedName name="_xlnm.Print_Titles" localSheetId="5">'03 TZB D14c - Vzduchotechnika'!$85:$85</definedName>
    <definedName name="_xlnm.Print_Titles" localSheetId="6">'03 TZB D14d - Vyt. a chlazení'!$90:$90</definedName>
    <definedName name="_xlnm.Print_Titles" localSheetId="8">'03 TZBRekapitulace stavby'!$52:$52</definedName>
    <definedName name="_xlnm.Print_Area" localSheetId="3">'02 ELEKTRO'!$A$1:$I$166</definedName>
    <definedName name="_xlnm.Print_Area" localSheetId="4">'03 TZB D14a - ZTI'!$C$4:$J$39,'03 TZB D14a - ZTI'!$C$45:$J$73,'03 TZB D14a - ZTI'!$C$79:$K$387</definedName>
    <definedName name="_xlnm.Print_Area" localSheetId="7">'03 TZB D14b - Plyn'!$C$4:$J$39,'03 TZB D14b - Plyn'!$C$45:$J$70,'03 TZB D14b - Plyn'!$C$76:$K$149</definedName>
    <definedName name="_xlnm.Print_Area" localSheetId="5">'03 TZB D14c - Vzduchotechnika'!$C$4:$J$39,'03 TZB D14c - Vzduchotechnika'!$C$45:$J$67,'03 TZB D14c - Vzduchotechnika'!$C$73:$K$157</definedName>
    <definedName name="_xlnm.Print_Area" localSheetId="6">'03 TZB D14d - Vyt. a chlazení'!$C$4:$J$39,'03 TZB D14d - Vyt. a chlazení'!$C$45:$J$72,'03 TZB D14d - Vyt. a chlazení'!$C$78:$K$261</definedName>
    <definedName name="_xlnm.Print_Area" localSheetId="8">'03 TZBRekapitulace stavby'!$D$4:$AO$36,'03 TZBRekapitulace stavby'!$C$42:$AQ$59</definedName>
    <definedName name="vorn_sum">'04 INTERIER VORN'!$I$41:$I$41</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8" i="1" l="1" a="1"/>
  <c r="J8" i="1" s="1"/>
  <c r="G8" i="1" a="1"/>
  <c r="G8" i="1" s="1"/>
  <c r="BK260" i="18"/>
  <c r="BI260" i="18"/>
  <c r="BH260" i="18"/>
  <c r="BG260" i="18"/>
  <c r="BF260" i="18"/>
  <c r="BE260" i="18"/>
  <c r="T260" i="18"/>
  <c r="R260" i="18"/>
  <c r="P260" i="18"/>
  <c r="J260" i="18"/>
  <c r="BK258" i="18"/>
  <c r="BI258" i="18"/>
  <c r="BH258" i="18"/>
  <c r="BG258" i="18"/>
  <c r="BF258" i="18"/>
  <c r="T258" i="18"/>
  <c r="R258" i="18"/>
  <c r="P258" i="18"/>
  <c r="J258" i="18"/>
  <c r="BE258" i="18" s="1"/>
  <c r="BK256" i="18"/>
  <c r="BI256" i="18"/>
  <c r="BH256" i="18"/>
  <c r="BG256" i="18"/>
  <c r="BF256" i="18"/>
  <c r="T256" i="18"/>
  <c r="R256" i="18"/>
  <c r="P256" i="18"/>
  <c r="J256" i="18"/>
  <c r="BE256" i="18" s="1"/>
  <c r="BK255" i="18"/>
  <c r="BI255" i="18"/>
  <c r="BH255" i="18"/>
  <c r="BG255" i="18"/>
  <c r="BF255" i="18"/>
  <c r="BE255" i="18"/>
  <c r="T255" i="18"/>
  <c r="R255" i="18"/>
  <c r="P255" i="18"/>
  <c r="J255" i="18"/>
  <c r="BK253" i="18"/>
  <c r="BI253" i="18"/>
  <c r="BH253" i="18"/>
  <c r="BG253" i="18"/>
  <c r="BF253" i="18"/>
  <c r="BE253" i="18"/>
  <c r="T253" i="18"/>
  <c r="R253" i="18"/>
  <c r="P253" i="18"/>
  <c r="J253" i="18"/>
  <c r="BK251" i="18"/>
  <c r="BI251" i="18"/>
  <c r="BH251" i="18"/>
  <c r="BG251" i="18"/>
  <c r="BF251" i="18"/>
  <c r="T251" i="18"/>
  <c r="R251" i="18"/>
  <c r="P251" i="18"/>
  <c r="J251" i="18"/>
  <c r="BE251" i="18" s="1"/>
  <c r="BK249" i="18"/>
  <c r="BI249" i="18"/>
  <c r="BH249" i="18"/>
  <c r="BG249" i="18"/>
  <c r="BF249" i="18"/>
  <c r="T249" i="18"/>
  <c r="R249" i="18"/>
  <c r="P249" i="18"/>
  <c r="J249" i="18"/>
  <c r="BE249" i="18" s="1"/>
  <c r="BK247" i="18"/>
  <c r="BI247" i="18"/>
  <c r="BH247" i="18"/>
  <c r="BG247" i="18"/>
  <c r="BF247" i="18"/>
  <c r="BE247" i="18"/>
  <c r="T247" i="18"/>
  <c r="R247" i="18"/>
  <c r="P247" i="18"/>
  <c r="J247" i="18"/>
  <c r="BK245" i="18"/>
  <c r="BI245" i="18"/>
  <c r="BH245" i="18"/>
  <c r="BG245" i="18"/>
  <c r="BF245" i="18"/>
  <c r="BE245" i="18"/>
  <c r="T245" i="18"/>
  <c r="R245" i="18"/>
  <c r="P245" i="18"/>
  <c r="J245" i="18"/>
  <c r="BK243" i="18"/>
  <c r="BK238" i="18" s="1"/>
  <c r="J238" i="18" s="1"/>
  <c r="J71" i="18" s="1"/>
  <c r="BI243" i="18"/>
  <c r="BH243" i="18"/>
  <c r="BG243" i="18"/>
  <c r="BF243" i="18"/>
  <c r="T243" i="18"/>
  <c r="R243" i="18"/>
  <c r="P243" i="18"/>
  <c r="P238" i="18" s="1"/>
  <c r="J243" i="18"/>
  <c r="BE243" i="18" s="1"/>
  <c r="BK241" i="18"/>
  <c r="BI241" i="18"/>
  <c r="BH241" i="18"/>
  <c r="BG241" i="18"/>
  <c r="BF241" i="18"/>
  <c r="T241" i="18"/>
  <c r="T238" i="18" s="1"/>
  <c r="R241" i="18"/>
  <c r="P241" i="18"/>
  <c r="J241" i="18"/>
  <c r="BE241" i="18" s="1"/>
  <c r="BK239" i="18"/>
  <c r="BI239" i="18"/>
  <c r="BH239" i="18"/>
  <c r="BG239" i="18"/>
  <c r="BF239" i="18"/>
  <c r="BE239" i="18"/>
  <c r="T239" i="18"/>
  <c r="R239" i="18"/>
  <c r="R238" i="18" s="1"/>
  <c r="P239" i="18"/>
  <c r="J239" i="18"/>
  <c r="BK236" i="18"/>
  <c r="BI236" i="18"/>
  <c r="BH236" i="18"/>
  <c r="BG236" i="18"/>
  <c r="BF236" i="18"/>
  <c r="BE236" i="18"/>
  <c r="T236" i="18"/>
  <c r="R236" i="18"/>
  <c r="P236" i="18"/>
  <c r="J236" i="18"/>
  <c r="BK234" i="18"/>
  <c r="BI234" i="18"/>
  <c r="BH234" i="18"/>
  <c r="BG234" i="18"/>
  <c r="BF234" i="18"/>
  <c r="T234" i="18"/>
  <c r="R234" i="18"/>
  <c r="P234" i="18"/>
  <c r="J234" i="18"/>
  <c r="BE234" i="18" s="1"/>
  <c r="BK232" i="18"/>
  <c r="BI232" i="18"/>
  <c r="BH232" i="18"/>
  <c r="BG232" i="18"/>
  <c r="BF232" i="18"/>
  <c r="T232" i="18"/>
  <c r="R232" i="18"/>
  <c r="P232" i="18"/>
  <c r="J232" i="18"/>
  <c r="BE232" i="18" s="1"/>
  <c r="BK230" i="18"/>
  <c r="BI230" i="18"/>
  <c r="BH230" i="18"/>
  <c r="BG230" i="18"/>
  <c r="BF230" i="18"/>
  <c r="T230" i="18"/>
  <c r="R230" i="18"/>
  <c r="P230" i="18"/>
  <c r="J230" i="18"/>
  <c r="BE230" i="18" s="1"/>
  <c r="BK229" i="18"/>
  <c r="BI229" i="18"/>
  <c r="BH229" i="18"/>
  <c r="BG229" i="18"/>
  <c r="BF229" i="18"/>
  <c r="BE229" i="18"/>
  <c r="T229" i="18"/>
  <c r="R229" i="18"/>
  <c r="P229" i="18"/>
  <c r="J229" i="18"/>
  <c r="BK227" i="18"/>
  <c r="BI227" i="18"/>
  <c r="BH227" i="18"/>
  <c r="BG227" i="18"/>
  <c r="BF227" i="18"/>
  <c r="T227" i="18"/>
  <c r="R227" i="18"/>
  <c r="P227" i="18"/>
  <c r="J227" i="18"/>
  <c r="BE227" i="18" s="1"/>
  <c r="BK225" i="18"/>
  <c r="BI225" i="18"/>
  <c r="BH225" i="18"/>
  <c r="BG225" i="18"/>
  <c r="BF225" i="18"/>
  <c r="T225" i="18"/>
  <c r="R225" i="18"/>
  <c r="P225" i="18"/>
  <c r="J225" i="18"/>
  <c r="BE225" i="18" s="1"/>
  <c r="BK223" i="18"/>
  <c r="BI223" i="18"/>
  <c r="BH223" i="18"/>
  <c r="BG223" i="18"/>
  <c r="BF223" i="18"/>
  <c r="T223" i="18"/>
  <c r="R223" i="18"/>
  <c r="P223" i="18"/>
  <c r="J223" i="18"/>
  <c r="BE223" i="18" s="1"/>
  <c r="BK221" i="18"/>
  <c r="BI221" i="18"/>
  <c r="BH221" i="18"/>
  <c r="BG221" i="18"/>
  <c r="BF221" i="18"/>
  <c r="BE221" i="18"/>
  <c r="T221" i="18"/>
  <c r="R221" i="18"/>
  <c r="P221" i="18"/>
  <c r="J221" i="18"/>
  <c r="BK219" i="18"/>
  <c r="BI219" i="18"/>
  <c r="BH219" i="18"/>
  <c r="BG219" i="18"/>
  <c r="BF219" i="18"/>
  <c r="T219" i="18"/>
  <c r="R219" i="18"/>
  <c r="P219" i="18"/>
  <c r="J219" i="18"/>
  <c r="BE219" i="18" s="1"/>
  <c r="BK217" i="18"/>
  <c r="BI217" i="18"/>
  <c r="BH217" i="18"/>
  <c r="BG217" i="18"/>
  <c r="BF217" i="18"/>
  <c r="T217" i="18"/>
  <c r="R217" i="18"/>
  <c r="P217" i="18"/>
  <c r="J217" i="18"/>
  <c r="BE217" i="18" s="1"/>
  <c r="BK215" i="18"/>
  <c r="BI215" i="18"/>
  <c r="BH215" i="18"/>
  <c r="BG215" i="18"/>
  <c r="BF215" i="18"/>
  <c r="T215" i="18"/>
  <c r="R215" i="18"/>
  <c r="P215" i="18"/>
  <c r="J215" i="18"/>
  <c r="BE215" i="18" s="1"/>
  <c r="BK214" i="18"/>
  <c r="BI214" i="18"/>
  <c r="BH214" i="18"/>
  <c r="BG214" i="18"/>
  <c r="BF214" i="18"/>
  <c r="BE214" i="18"/>
  <c r="T214" i="18"/>
  <c r="R214" i="18"/>
  <c r="P214" i="18"/>
  <c r="J214" i="18"/>
  <c r="BK212" i="18"/>
  <c r="BI212" i="18"/>
  <c r="BH212" i="18"/>
  <c r="BG212" i="18"/>
  <c r="BF212" i="18"/>
  <c r="T212" i="18"/>
  <c r="R212" i="18"/>
  <c r="P212" i="18"/>
  <c r="J212" i="18"/>
  <c r="BE212" i="18" s="1"/>
  <c r="BK210" i="18"/>
  <c r="BI210" i="18"/>
  <c r="BH210" i="18"/>
  <c r="BG210" i="18"/>
  <c r="BF210" i="18"/>
  <c r="T210" i="18"/>
  <c r="R210" i="18"/>
  <c r="P210" i="18"/>
  <c r="J210" i="18"/>
  <c r="BE210" i="18" s="1"/>
  <c r="BK208" i="18"/>
  <c r="BI208" i="18"/>
  <c r="BH208" i="18"/>
  <c r="BG208" i="18"/>
  <c r="BF208" i="18"/>
  <c r="T208" i="18"/>
  <c r="R208" i="18"/>
  <c r="R203" i="18" s="1"/>
  <c r="P208" i="18"/>
  <c r="J208" i="18"/>
  <c r="BE208" i="18" s="1"/>
  <c r="BK206" i="18"/>
  <c r="BK203" i="18" s="1"/>
  <c r="J203" i="18" s="1"/>
  <c r="J70" i="18" s="1"/>
  <c r="BI206" i="18"/>
  <c r="BH206" i="18"/>
  <c r="BG206" i="18"/>
  <c r="BF206" i="18"/>
  <c r="BE206" i="18"/>
  <c r="T206" i="18"/>
  <c r="R206" i="18"/>
  <c r="P206" i="18"/>
  <c r="P203" i="18" s="1"/>
  <c r="J206" i="18"/>
  <c r="BK204" i="18"/>
  <c r="BI204" i="18"/>
  <c r="BH204" i="18"/>
  <c r="BG204" i="18"/>
  <c r="BF204" i="18"/>
  <c r="T204" i="18"/>
  <c r="R204" i="18"/>
  <c r="P204" i="18"/>
  <c r="J204" i="18"/>
  <c r="BE204" i="18" s="1"/>
  <c r="T203" i="18"/>
  <c r="BK201" i="18"/>
  <c r="BI201" i="18"/>
  <c r="BH201" i="18"/>
  <c r="BG201" i="18"/>
  <c r="BF201" i="18"/>
  <c r="BE201" i="18"/>
  <c r="T201" i="18"/>
  <c r="R201" i="18"/>
  <c r="P201" i="18"/>
  <c r="J201" i="18"/>
  <c r="BK199" i="18"/>
  <c r="BI199" i="18"/>
  <c r="BH199" i="18"/>
  <c r="BG199" i="18"/>
  <c r="BF199" i="18"/>
  <c r="BE199" i="18"/>
  <c r="T199" i="18"/>
  <c r="R199" i="18"/>
  <c r="P199" i="18"/>
  <c r="J199" i="18"/>
  <c r="BK197" i="18"/>
  <c r="BI197" i="18"/>
  <c r="BH197" i="18"/>
  <c r="BG197" i="18"/>
  <c r="BF197" i="18"/>
  <c r="T197" i="18"/>
  <c r="R197" i="18"/>
  <c r="P197" i="18"/>
  <c r="J197" i="18"/>
  <c r="BE197" i="18" s="1"/>
  <c r="BK195" i="18"/>
  <c r="BI195" i="18"/>
  <c r="BH195" i="18"/>
  <c r="BG195" i="18"/>
  <c r="BF195" i="18"/>
  <c r="T195" i="18"/>
  <c r="R195" i="18"/>
  <c r="P195" i="18"/>
  <c r="J195" i="18"/>
  <c r="BE195" i="18" s="1"/>
  <c r="BK193" i="18"/>
  <c r="BI193" i="18"/>
  <c r="BH193" i="18"/>
  <c r="BG193" i="18"/>
  <c r="BF193" i="18"/>
  <c r="BE193" i="18"/>
  <c r="T193" i="18"/>
  <c r="R193" i="18"/>
  <c r="P193" i="18"/>
  <c r="J193" i="18"/>
  <c r="BK191" i="18"/>
  <c r="BI191" i="18"/>
  <c r="BH191" i="18"/>
  <c r="BG191" i="18"/>
  <c r="BF191" i="18"/>
  <c r="BE191" i="18"/>
  <c r="T191" i="18"/>
  <c r="R191" i="18"/>
  <c r="P191" i="18"/>
  <c r="J191" i="18"/>
  <c r="BK189" i="18"/>
  <c r="BI189" i="18"/>
  <c r="BH189" i="18"/>
  <c r="BG189" i="18"/>
  <c r="BF189" i="18"/>
  <c r="T189" i="18"/>
  <c r="R189" i="18"/>
  <c r="P189" i="18"/>
  <c r="J189" i="18"/>
  <c r="BE189" i="18" s="1"/>
  <c r="BK187" i="18"/>
  <c r="BI187" i="18"/>
  <c r="BH187" i="18"/>
  <c r="BG187" i="18"/>
  <c r="BF187" i="18"/>
  <c r="T187" i="18"/>
  <c r="R187" i="18"/>
  <c r="P187" i="18"/>
  <c r="J187" i="18"/>
  <c r="BE187" i="18" s="1"/>
  <c r="BK185" i="18"/>
  <c r="BI185" i="18"/>
  <c r="BH185" i="18"/>
  <c r="BG185" i="18"/>
  <c r="BF185" i="18"/>
  <c r="BE185" i="18"/>
  <c r="T185" i="18"/>
  <c r="R185" i="18"/>
  <c r="P185" i="18"/>
  <c r="J185" i="18"/>
  <c r="BK184" i="18"/>
  <c r="BI184" i="18"/>
  <c r="BH184" i="18"/>
  <c r="BG184" i="18"/>
  <c r="BF184" i="18"/>
  <c r="BE184" i="18"/>
  <c r="T184" i="18"/>
  <c r="R184" i="18"/>
  <c r="P184" i="18"/>
  <c r="J184" i="18"/>
  <c r="BK183" i="18"/>
  <c r="BI183" i="18"/>
  <c r="BH183" i="18"/>
  <c r="BG183" i="18"/>
  <c r="BF183" i="18"/>
  <c r="T183" i="18"/>
  <c r="R183" i="18"/>
  <c r="P183" i="18"/>
  <c r="J183" i="18"/>
  <c r="BE183" i="18" s="1"/>
  <c r="BK182" i="18"/>
  <c r="BI182" i="18"/>
  <c r="BH182" i="18"/>
  <c r="BG182" i="18"/>
  <c r="BF182" i="18"/>
  <c r="T182" i="18"/>
  <c r="R182" i="18"/>
  <c r="P182" i="18"/>
  <c r="J182" i="18"/>
  <c r="BE182" i="18" s="1"/>
  <c r="BK180" i="18"/>
  <c r="BI180" i="18"/>
  <c r="BH180" i="18"/>
  <c r="BG180" i="18"/>
  <c r="BF180" i="18"/>
  <c r="BE180" i="18"/>
  <c r="T180" i="18"/>
  <c r="R180" i="18"/>
  <c r="P180" i="18"/>
  <c r="J180" i="18"/>
  <c r="BK179" i="18"/>
  <c r="BI179" i="18"/>
  <c r="BH179" i="18"/>
  <c r="BG179" i="18"/>
  <c r="BF179" i="18"/>
  <c r="BE179" i="18"/>
  <c r="T179" i="18"/>
  <c r="R179" i="18"/>
  <c r="P179" i="18"/>
  <c r="J179" i="18"/>
  <c r="BK177" i="18"/>
  <c r="BI177" i="18"/>
  <c r="BH177" i="18"/>
  <c r="BG177" i="18"/>
  <c r="BF177" i="18"/>
  <c r="T177" i="18"/>
  <c r="R177" i="18"/>
  <c r="P177" i="18"/>
  <c r="J177" i="18"/>
  <c r="BE177" i="18" s="1"/>
  <c r="BK176" i="18"/>
  <c r="BI176" i="18"/>
  <c r="BH176" i="18"/>
  <c r="BG176" i="18"/>
  <c r="BF176" i="18"/>
  <c r="T176" i="18"/>
  <c r="R176" i="18"/>
  <c r="P176" i="18"/>
  <c r="J176" i="18"/>
  <c r="BE176" i="18" s="1"/>
  <c r="BK174" i="18"/>
  <c r="BI174" i="18"/>
  <c r="BH174" i="18"/>
  <c r="BG174" i="18"/>
  <c r="BF174" i="18"/>
  <c r="BE174" i="18"/>
  <c r="T174" i="18"/>
  <c r="R174" i="18"/>
  <c r="P174" i="18"/>
  <c r="J174" i="18"/>
  <c r="BK172" i="18"/>
  <c r="BI172" i="18"/>
  <c r="BH172" i="18"/>
  <c r="BG172" i="18"/>
  <c r="BF172" i="18"/>
  <c r="BE172" i="18"/>
  <c r="T172" i="18"/>
  <c r="R172" i="18"/>
  <c r="P172" i="18"/>
  <c r="J172" i="18"/>
  <c r="BK170" i="18"/>
  <c r="BK166" i="18" s="1"/>
  <c r="J166" i="18" s="1"/>
  <c r="J69" i="18" s="1"/>
  <c r="BI170" i="18"/>
  <c r="BH170" i="18"/>
  <c r="BG170" i="18"/>
  <c r="BF170" i="18"/>
  <c r="T170" i="18"/>
  <c r="R170" i="18"/>
  <c r="P170" i="18"/>
  <c r="P166" i="18" s="1"/>
  <c r="J170" i="18"/>
  <c r="BE170" i="18" s="1"/>
  <c r="BK169" i="18"/>
  <c r="BI169" i="18"/>
  <c r="BH169" i="18"/>
  <c r="BG169" i="18"/>
  <c r="BF169" i="18"/>
  <c r="T169" i="18"/>
  <c r="T166" i="18" s="1"/>
  <c r="R169" i="18"/>
  <c r="P169" i="18"/>
  <c r="J169" i="18"/>
  <c r="BE169" i="18" s="1"/>
  <c r="BK167" i="18"/>
  <c r="BI167" i="18"/>
  <c r="BH167" i="18"/>
  <c r="BG167" i="18"/>
  <c r="BF167" i="18"/>
  <c r="BE167" i="18"/>
  <c r="T167" i="18"/>
  <c r="R167" i="18"/>
  <c r="P167" i="18"/>
  <c r="J167" i="18"/>
  <c r="R166" i="18"/>
  <c r="BK164" i="18"/>
  <c r="BI164" i="18"/>
  <c r="BH164" i="18"/>
  <c r="BG164" i="18"/>
  <c r="BF164" i="18"/>
  <c r="BE164" i="18"/>
  <c r="T164" i="18"/>
  <c r="R164" i="18"/>
  <c r="P164" i="18"/>
  <c r="J164" i="18"/>
  <c r="BK162" i="18"/>
  <c r="BI162" i="18"/>
  <c r="BH162" i="18"/>
  <c r="BG162" i="18"/>
  <c r="BF162" i="18"/>
  <c r="T162" i="18"/>
  <c r="R162" i="18"/>
  <c r="P162" i="18"/>
  <c r="J162" i="18"/>
  <c r="BE162" i="18" s="1"/>
  <c r="BK160" i="18"/>
  <c r="BI160" i="18"/>
  <c r="BH160" i="18"/>
  <c r="BG160" i="18"/>
  <c r="BF160" i="18"/>
  <c r="T160" i="18"/>
  <c r="R160" i="18"/>
  <c r="P160" i="18"/>
  <c r="J160" i="18"/>
  <c r="BE160" i="18" s="1"/>
  <c r="BK158" i="18"/>
  <c r="BI158" i="18"/>
  <c r="BH158" i="18"/>
  <c r="BG158" i="18"/>
  <c r="BF158" i="18"/>
  <c r="T158" i="18"/>
  <c r="R158" i="18"/>
  <c r="P158" i="18"/>
  <c r="J158" i="18"/>
  <c r="BE158" i="18" s="1"/>
  <c r="BK156" i="18"/>
  <c r="BI156" i="18"/>
  <c r="BH156" i="18"/>
  <c r="BG156" i="18"/>
  <c r="BF156" i="18"/>
  <c r="BE156" i="18"/>
  <c r="T156" i="18"/>
  <c r="R156" i="18"/>
  <c r="P156" i="18"/>
  <c r="J156" i="18"/>
  <c r="BK155" i="18"/>
  <c r="BI155" i="18"/>
  <c r="BH155" i="18"/>
  <c r="BG155" i="18"/>
  <c r="BF155" i="18"/>
  <c r="T155" i="18"/>
  <c r="R155" i="18"/>
  <c r="P155" i="18"/>
  <c r="J155" i="18"/>
  <c r="BE155" i="18" s="1"/>
  <c r="BK153" i="18"/>
  <c r="BI153" i="18"/>
  <c r="BH153" i="18"/>
  <c r="BG153" i="18"/>
  <c r="BF153" i="18"/>
  <c r="T153" i="18"/>
  <c r="R153" i="18"/>
  <c r="P153" i="18"/>
  <c r="J153" i="18"/>
  <c r="BE153" i="18" s="1"/>
  <c r="BK151" i="18"/>
  <c r="BI151" i="18"/>
  <c r="BH151" i="18"/>
  <c r="BG151" i="18"/>
  <c r="BF151" i="18"/>
  <c r="T151" i="18"/>
  <c r="R151" i="18"/>
  <c r="P151" i="18"/>
  <c r="J151" i="18"/>
  <c r="BE151" i="18" s="1"/>
  <c r="BK150" i="18"/>
  <c r="BI150" i="18"/>
  <c r="BH150" i="18"/>
  <c r="BG150" i="18"/>
  <c r="BF150" i="18"/>
  <c r="BE150" i="18"/>
  <c r="T150" i="18"/>
  <c r="R150" i="18"/>
  <c r="P150" i="18"/>
  <c r="J150" i="18"/>
  <c r="BK149" i="18"/>
  <c r="BI149" i="18"/>
  <c r="BH149" i="18"/>
  <c r="BG149" i="18"/>
  <c r="BF149" i="18"/>
  <c r="T149" i="18"/>
  <c r="T142" i="18" s="1"/>
  <c r="R149" i="18"/>
  <c r="P149" i="18"/>
  <c r="J149" i="18"/>
  <c r="BE149" i="18" s="1"/>
  <c r="BK147" i="18"/>
  <c r="BI147" i="18"/>
  <c r="BH147" i="18"/>
  <c r="BG147" i="18"/>
  <c r="BF147" i="18"/>
  <c r="T147" i="18"/>
  <c r="R147" i="18"/>
  <c r="P147" i="18"/>
  <c r="J147" i="18"/>
  <c r="BE147" i="18" s="1"/>
  <c r="BK145" i="18"/>
  <c r="BI145" i="18"/>
  <c r="BH145" i="18"/>
  <c r="BG145" i="18"/>
  <c r="BF145" i="18"/>
  <c r="T145" i="18"/>
  <c r="R145" i="18"/>
  <c r="R142" i="18" s="1"/>
  <c r="P145" i="18"/>
  <c r="J145" i="18"/>
  <c r="BE145" i="18" s="1"/>
  <c r="BK143" i="18"/>
  <c r="BK142" i="18" s="1"/>
  <c r="J142" i="18" s="1"/>
  <c r="J68" i="18" s="1"/>
  <c r="BI143" i="18"/>
  <c r="BH143" i="18"/>
  <c r="BG143" i="18"/>
  <c r="BF143" i="18"/>
  <c r="BE143" i="18"/>
  <c r="T143" i="18"/>
  <c r="R143" i="18"/>
  <c r="P143" i="18"/>
  <c r="J143" i="18"/>
  <c r="P142" i="18"/>
  <c r="BK140" i="18"/>
  <c r="BI140" i="18"/>
  <c r="BH140" i="18"/>
  <c r="BG140" i="18"/>
  <c r="BF140" i="18"/>
  <c r="T140" i="18"/>
  <c r="R140" i="18"/>
  <c r="P140" i="18"/>
  <c r="J140" i="18"/>
  <c r="BE140" i="18" s="1"/>
  <c r="BK138" i="18"/>
  <c r="BI138" i="18"/>
  <c r="BH138" i="18"/>
  <c r="BG138" i="18"/>
  <c r="BF138" i="18"/>
  <c r="BE138" i="18"/>
  <c r="T138" i="18"/>
  <c r="R138" i="18"/>
  <c r="P138" i="18"/>
  <c r="J138" i="18"/>
  <c r="BK136" i="18"/>
  <c r="BI136" i="18"/>
  <c r="BH136" i="18"/>
  <c r="BG136" i="18"/>
  <c r="BF136" i="18"/>
  <c r="BE136" i="18"/>
  <c r="T136" i="18"/>
  <c r="R136" i="18"/>
  <c r="P136" i="18"/>
  <c r="J136" i="18"/>
  <c r="BK134" i="18"/>
  <c r="BI134" i="18"/>
  <c r="BH134" i="18"/>
  <c r="BG134" i="18"/>
  <c r="BF134" i="18"/>
  <c r="T134" i="18"/>
  <c r="R134" i="18"/>
  <c r="P134" i="18"/>
  <c r="J134" i="18"/>
  <c r="BE134" i="18" s="1"/>
  <c r="BK132" i="18"/>
  <c r="BI132" i="18"/>
  <c r="BH132" i="18"/>
  <c r="BG132" i="18"/>
  <c r="BF132" i="18"/>
  <c r="T132" i="18"/>
  <c r="R132" i="18"/>
  <c r="P132" i="18"/>
  <c r="J132" i="18"/>
  <c r="BE132" i="18" s="1"/>
  <c r="BK130" i="18"/>
  <c r="BI130" i="18"/>
  <c r="BH130" i="18"/>
  <c r="BG130" i="18"/>
  <c r="BF130" i="18"/>
  <c r="BE130" i="18"/>
  <c r="T130" i="18"/>
  <c r="R130" i="18"/>
  <c r="P130" i="18"/>
  <c r="J130" i="18"/>
  <c r="BK129" i="18"/>
  <c r="BI129" i="18"/>
  <c r="BH129" i="18"/>
  <c r="BG129" i="18"/>
  <c r="BF129" i="18"/>
  <c r="BE129" i="18"/>
  <c r="T129" i="18"/>
  <c r="R129" i="18"/>
  <c r="P129" i="18"/>
  <c r="J129" i="18"/>
  <c r="BK127" i="18"/>
  <c r="BK124" i="18" s="1"/>
  <c r="BI127" i="18"/>
  <c r="BH127" i="18"/>
  <c r="BG127" i="18"/>
  <c r="BF127" i="18"/>
  <c r="T127" i="18"/>
  <c r="R127" i="18"/>
  <c r="P127" i="18"/>
  <c r="P124" i="18" s="1"/>
  <c r="J127" i="18"/>
  <c r="BE127" i="18" s="1"/>
  <c r="BK125" i="18"/>
  <c r="BI125" i="18"/>
  <c r="BH125" i="18"/>
  <c r="BG125" i="18"/>
  <c r="BF125" i="18"/>
  <c r="T125" i="18"/>
  <c r="T124" i="18" s="1"/>
  <c r="T123" i="18" s="1"/>
  <c r="R125" i="18"/>
  <c r="R124" i="18" s="1"/>
  <c r="R123" i="18" s="1"/>
  <c r="P125" i="18"/>
  <c r="J125" i="18"/>
  <c r="BE125" i="18" s="1"/>
  <c r="BK121" i="18"/>
  <c r="BI121" i="18"/>
  <c r="BH121" i="18"/>
  <c r="BG121" i="18"/>
  <c r="BF121" i="18"/>
  <c r="BE121" i="18"/>
  <c r="T121" i="18"/>
  <c r="R121" i="18"/>
  <c r="P121" i="18"/>
  <c r="J121" i="18"/>
  <c r="BK120" i="18"/>
  <c r="J120" i="18" s="1"/>
  <c r="J65" i="18" s="1"/>
  <c r="T120" i="18"/>
  <c r="R120" i="18"/>
  <c r="P120" i="18"/>
  <c r="BK118" i="18"/>
  <c r="BI118" i="18"/>
  <c r="BH118" i="18"/>
  <c r="BG118" i="18"/>
  <c r="BF118" i="18"/>
  <c r="T118" i="18"/>
  <c r="R118" i="18"/>
  <c r="P118" i="18"/>
  <c r="J118" i="18"/>
  <c r="BE118" i="18" s="1"/>
  <c r="BK116" i="18"/>
  <c r="BI116" i="18"/>
  <c r="BH116" i="18"/>
  <c r="BG116" i="18"/>
  <c r="BF116" i="18"/>
  <c r="T116" i="18"/>
  <c r="R116" i="18"/>
  <c r="P116" i="18"/>
  <c r="J116" i="18"/>
  <c r="BE116" i="18" s="1"/>
  <c r="BK113" i="18"/>
  <c r="BI113" i="18"/>
  <c r="BH113" i="18"/>
  <c r="BG113" i="18"/>
  <c r="BF113" i="18"/>
  <c r="T113" i="18"/>
  <c r="R113" i="18"/>
  <c r="R108" i="18" s="1"/>
  <c r="P113" i="18"/>
  <c r="J113" i="18"/>
  <c r="BE113" i="18" s="1"/>
  <c r="BK111" i="18"/>
  <c r="BK108" i="18" s="1"/>
  <c r="J108" i="18" s="1"/>
  <c r="J64" i="18" s="1"/>
  <c r="BI111" i="18"/>
  <c r="BH111" i="18"/>
  <c r="BG111" i="18"/>
  <c r="BF111" i="18"/>
  <c r="BE111" i="18"/>
  <c r="T111" i="18"/>
  <c r="R111" i="18"/>
  <c r="P111" i="18"/>
  <c r="P108" i="18" s="1"/>
  <c r="J111" i="18"/>
  <c r="BK109" i="18"/>
  <c r="BI109" i="18"/>
  <c r="BH109" i="18"/>
  <c r="BG109" i="18"/>
  <c r="BF109" i="18"/>
  <c r="T109" i="18"/>
  <c r="R109" i="18"/>
  <c r="P109" i="18"/>
  <c r="J109" i="18"/>
  <c r="BE109" i="18" s="1"/>
  <c r="T108" i="18"/>
  <c r="BK106" i="18"/>
  <c r="BI106" i="18"/>
  <c r="BH106" i="18"/>
  <c r="BG106" i="18"/>
  <c r="BF106" i="18"/>
  <c r="BE106" i="18"/>
  <c r="T106" i="18"/>
  <c r="R106" i="18"/>
  <c r="P106" i="18"/>
  <c r="J106" i="18"/>
  <c r="BK104" i="18"/>
  <c r="BI104" i="18"/>
  <c r="BH104" i="18"/>
  <c r="BG104" i="18"/>
  <c r="BF104" i="18"/>
  <c r="BE104" i="18"/>
  <c r="T104" i="18"/>
  <c r="R104" i="18"/>
  <c r="P104" i="18"/>
  <c r="J104" i="18"/>
  <c r="BK102" i="18"/>
  <c r="BK101" i="18" s="1"/>
  <c r="J101" i="18" s="1"/>
  <c r="J63" i="18" s="1"/>
  <c r="BI102" i="18"/>
  <c r="BH102" i="18"/>
  <c r="BG102" i="18"/>
  <c r="BF102" i="18"/>
  <c r="T102" i="18"/>
  <c r="R102" i="18"/>
  <c r="R101" i="18" s="1"/>
  <c r="P102" i="18"/>
  <c r="P101" i="18" s="1"/>
  <c r="J102" i="18"/>
  <c r="BE102" i="18" s="1"/>
  <c r="T101" i="18"/>
  <c r="BK99" i="18"/>
  <c r="BI99" i="18"/>
  <c r="BH99" i="18"/>
  <c r="BG99" i="18"/>
  <c r="BF99" i="18"/>
  <c r="F34" i="18" s="1"/>
  <c r="BA58" i="15" s="1"/>
  <c r="T99" i="18"/>
  <c r="R99" i="18"/>
  <c r="P99" i="18"/>
  <c r="J99" i="18"/>
  <c r="BE99" i="18" s="1"/>
  <c r="BK97" i="18"/>
  <c r="BI97" i="18"/>
  <c r="BH97" i="18"/>
  <c r="F36" i="18" s="1"/>
  <c r="BC58" i="15" s="1"/>
  <c r="BG97" i="18"/>
  <c r="BF97" i="18"/>
  <c r="T97" i="18"/>
  <c r="R97" i="18"/>
  <c r="R96" i="18" s="1"/>
  <c r="P97" i="18"/>
  <c r="P96" i="18" s="1"/>
  <c r="J97" i="18"/>
  <c r="BE97" i="18" s="1"/>
  <c r="BK96" i="18"/>
  <c r="J96" i="18" s="1"/>
  <c r="J62" i="18" s="1"/>
  <c r="T96" i="18"/>
  <c r="BK94" i="18"/>
  <c r="BK93" i="18" s="1"/>
  <c r="BI94" i="18"/>
  <c r="BH94" i="18"/>
  <c r="BG94" i="18"/>
  <c r="F35" i="18" s="1"/>
  <c r="BB58" i="15" s="1"/>
  <c r="BF94" i="18"/>
  <c r="T94" i="18"/>
  <c r="R94" i="18"/>
  <c r="P94" i="18"/>
  <c r="P93" i="18" s="1"/>
  <c r="J94" i="18"/>
  <c r="BE94" i="18" s="1"/>
  <c r="T93" i="18"/>
  <c r="R93" i="18"/>
  <c r="T92" i="18"/>
  <c r="J87" i="18"/>
  <c r="F85" i="18"/>
  <c r="E83" i="18"/>
  <c r="E81" i="18"/>
  <c r="J54" i="18"/>
  <c r="F52" i="18"/>
  <c r="E50" i="18"/>
  <c r="J37" i="18"/>
  <c r="F37" i="18"/>
  <c r="J36" i="18"/>
  <c r="J35" i="18"/>
  <c r="J24" i="18"/>
  <c r="E24" i="18"/>
  <c r="J55" i="18" s="1"/>
  <c r="J23" i="18"/>
  <c r="J21" i="18"/>
  <c r="E21" i="18"/>
  <c r="J20" i="18"/>
  <c r="J18" i="18"/>
  <c r="E18" i="18"/>
  <c r="F55" i="18" s="1"/>
  <c r="J17" i="18"/>
  <c r="J15" i="18"/>
  <c r="E15" i="18"/>
  <c r="F54" i="18" s="1"/>
  <c r="J14" i="18"/>
  <c r="J12" i="18"/>
  <c r="J52" i="18" s="1"/>
  <c r="E7" i="18"/>
  <c r="E48" i="18" s="1"/>
  <c r="BK156" i="17"/>
  <c r="BI156" i="17"/>
  <c r="BH156" i="17"/>
  <c r="BG156" i="17"/>
  <c r="BF156" i="17"/>
  <c r="BE156" i="17"/>
  <c r="T156" i="17"/>
  <c r="R156" i="17"/>
  <c r="P156" i="17"/>
  <c r="J156" i="17"/>
  <c r="BK154" i="17"/>
  <c r="BI154" i="17"/>
  <c r="BH154" i="17"/>
  <c r="BG154" i="17"/>
  <c r="BF154" i="17"/>
  <c r="T154" i="17"/>
  <c r="R154" i="17"/>
  <c r="P154" i="17"/>
  <c r="J154" i="17"/>
  <c r="BE154" i="17" s="1"/>
  <c r="BK152" i="17"/>
  <c r="BI152" i="17"/>
  <c r="BH152" i="17"/>
  <c r="BG152" i="17"/>
  <c r="BF152" i="17"/>
  <c r="T152" i="17"/>
  <c r="R152" i="17"/>
  <c r="P152" i="17"/>
  <c r="J152" i="17"/>
  <c r="BE152" i="17" s="1"/>
  <c r="BK150" i="17"/>
  <c r="BI150" i="17"/>
  <c r="BH150" i="17"/>
  <c r="BG150" i="17"/>
  <c r="BF150" i="17"/>
  <c r="BE150" i="17"/>
  <c r="T150" i="17"/>
  <c r="R150" i="17"/>
  <c r="P150" i="17"/>
  <c r="J150" i="17"/>
  <c r="BK148" i="17"/>
  <c r="BI148" i="17"/>
  <c r="BH148" i="17"/>
  <c r="BG148" i="17"/>
  <c r="BF148" i="17"/>
  <c r="BE148" i="17"/>
  <c r="T148" i="17"/>
  <c r="R148" i="17"/>
  <c r="P148" i="17"/>
  <c r="J148" i="17"/>
  <c r="BK146" i="17"/>
  <c r="BI146" i="17"/>
  <c r="BH146" i="17"/>
  <c r="BG146" i="17"/>
  <c r="BF146" i="17"/>
  <c r="T146" i="17"/>
  <c r="R146" i="17"/>
  <c r="P146" i="17"/>
  <c r="J146" i="17"/>
  <c r="BE146" i="17" s="1"/>
  <c r="BK144" i="17"/>
  <c r="BI144" i="17"/>
  <c r="BH144" i="17"/>
  <c r="BG144" i="17"/>
  <c r="BF144" i="17"/>
  <c r="T144" i="17"/>
  <c r="R144" i="17"/>
  <c r="P144" i="17"/>
  <c r="J144" i="17"/>
  <c r="BE144" i="17" s="1"/>
  <c r="BK143" i="17"/>
  <c r="BI143" i="17"/>
  <c r="BH143" i="17"/>
  <c r="BG143" i="17"/>
  <c r="BF143" i="17"/>
  <c r="BE143" i="17"/>
  <c r="T143" i="17"/>
  <c r="R143" i="17"/>
  <c r="P143" i="17"/>
  <c r="J143" i="17"/>
  <c r="BK141" i="17"/>
  <c r="BI141" i="17"/>
  <c r="BH141" i="17"/>
  <c r="BG141" i="17"/>
  <c r="BF141" i="17"/>
  <c r="T141" i="17"/>
  <c r="R141" i="17"/>
  <c r="P141" i="17"/>
  <c r="J141" i="17"/>
  <c r="BE141" i="17" s="1"/>
  <c r="BK140" i="17"/>
  <c r="BI140" i="17"/>
  <c r="BH140" i="17"/>
  <c r="BG140" i="17"/>
  <c r="BF140" i="17"/>
  <c r="T140" i="17"/>
  <c r="R140" i="17"/>
  <c r="P140" i="17"/>
  <c r="J140" i="17"/>
  <c r="BE140" i="17" s="1"/>
  <c r="BK139" i="17"/>
  <c r="BI139" i="17"/>
  <c r="BH139" i="17"/>
  <c r="BG139" i="17"/>
  <c r="BF139" i="17"/>
  <c r="T139" i="17"/>
  <c r="R139" i="17"/>
  <c r="P139" i="17"/>
  <c r="J139" i="17"/>
  <c r="BE139" i="17" s="1"/>
  <c r="BK137" i="17"/>
  <c r="BI137" i="17"/>
  <c r="BH137" i="17"/>
  <c r="BG137" i="17"/>
  <c r="BF137" i="17"/>
  <c r="BE137" i="17"/>
  <c r="T137" i="17"/>
  <c r="R137" i="17"/>
  <c r="P137" i="17"/>
  <c r="J137" i="17"/>
  <c r="BK136" i="17"/>
  <c r="BI136" i="17"/>
  <c r="BH136" i="17"/>
  <c r="BG136" i="17"/>
  <c r="BF136" i="17"/>
  <c r="T136" i="17"/>
  <c r="R136" i="17"/>
  <c r="P136" i="17"/>
  <c r="J136" i="17"/>
  <c r="BE136" i="17" s="1"/>
  <c r="BK135" i="17"/>
  <c r="BI135" i="17"/>
  <c r="BH135" i="17"/>
  <c r="BG135" i="17"/>
  <c r="BF135" i="17"/>
  <c r="T135" i="17"/>
  <c r="R135" i="17"/>
  <c r="P135" i="17"/>
  <c r="J135" i="17"/>
  <c r="BE135" i="17" s="1"/>
  <c r="BK133" i="17"/>
  <c r="BI133" i="17"/>
  <c r="BH133" i="17"/>
  <c r="BG133" i="17"/>
  <c r="BF133" i="17"/>
  <c r="BE133" i="17"/>
  <c r="T133" i="17"/>
  <c r="R133" i="17"/>
  <c r="P133" i="17"/>
  <c r="J133" i="17"/>
  <c r="BK132" i="17"/>
  <c r="BI132" i="17"/>
  <c r="BH132" i="17"/>
  <c r="BG132" i="17"/>
  <c r="BF132" i="17"/>
  <c r="BE132" i="17"/>
  <c r="T132" i="17"/>
  <c r="R132" i="17"/>
  <c r="P132" i="17"/>
  <c r="J132" i="17"/>
  <c r="BK131" i="17"/>
  <c r="BI131" i="17"/>
  <c r="BH131" i="17"/>
  <c r="BG131" i="17"/>
  <c r="BF131" i="17"/>
  <c r="T131" i="17"/>
  <c r="R131" i="17"/>
  <c r="P131" i="17"/>
  <c r="J131" i="17"/>
  <c r="BE131" i="17" s="1"/>
  <c r="BK129" i="17"/>
  <c r="BI129" i="17"/>
  <c r="BH129" i="17"/>
  <c r="BG129" i="17"/>
  <c r="BF129" i="17"/>
  <c r="T129" i="17"/>
  <c r="R129" i="17"/>
  <c r="P129" i="17"/>
  <c r="J129" i="17"/>
  <c r="BE129" i="17" s="1"/>
  <c r="BK127" i="17"/>
  <c r="BI127" i="17"/>
  <c r="BH127" i="17"/>
  <c r="BG127" i="17"/>
  <c r="BF127" i="17"/>
  <c r="BE127" i="17"/>
  <c r="T127" i="17"/>
  <c r="R127" i="17"/>
  <c r="R123" i="17" s="1"/>
  <c r="R122" i="17" s="1"/>
  <c r="P127" i="17"/>
  <c r="J127" i="17"/>
  <c r="BK126" i="17"/>
  <c r="BI126" i="17"/>
  <c r="BH126" i="17"/>
  <c r="BG126" i="17"/>
  <c r="BF126" i="17"/>
  <c r="BE126" i="17"/>
  <c r="T126" i="17"/>
  <c r="R126" i="17"/>
  <c r="P126" i="17"/>
  <c r="J126" i="17"/>
  <c r="BK124" i="17"/>
  <c r="BK123" i="17" s="1"/>
  <c r="BI124" i="17"/>
  <c r="BH124" i="17"/>
  <c r="BG124" i="17"/>
  <c r="BF124" i="17"/>
  <c r="T124" i="17"/>
  <c r="R124" i="17"/>
  <c r="P124" i="17"/>
  <c r="P123" i="17" s="1"/>
  <c r="P122" i="17" s="1"/>
  <c r="J124" i="17"/>
  <c r="BE124" i="17" s="1"/>
  <c r="T123" i="17"/>
  <c r="T122" i="17" s="1"/>
  <c r="BK120" i="17"/>
  <c r="BK119" i="17" s="1"/>
  <c r="J119" i="17" s="1"/>
  <c r="J64" i="17" s="1"/>
  <c r="BI120" i="17"/>
  <c r="BH120" i="17"/>
  <c r="BG120" i="17"/>
  <c r="BF120" i="17"/>
  <c r="BE120" i="17"/>
  <c r="T120" i="17"/>
  <c r="R120" i="17"/>
  <c r="R119" i="17" s="1"/>
  <c r="P120" i="17"/>
  <c r="J120" i="17"/>
  <c r="T119" i="17"/>
  <c r="P119" i="17"/>
  <c r="BK117" i="17"/>
  <c r="BI117" i="17"/>
  <c r="BH117" i="17"/>
  <c r="BG117" i="17"/>
  <c r="BF117" i="17"/>
  <c r="BE117" i="17"/>
  <c r="T117" i="17"/>
  <c r="R117" i="17"/>
  <c r="P117" i="17"/>
  <c r="J117" i="17"/>
  <c r="BK115" i="17"/>
  <c r="BI115" i="17"/>
  <c r="BH115" i="17"/>
  <c r="BG115" i="17"/>
  <c r="BF115" i="17"/>
  <c r="T115" i="17"/>
  <c r="T107" i="17" s="1"/>
  <c r="R115" i="17"/>
  <c r="P115" i="17"/>
  <c r="J115" i="17"/>
  <c r="BE115" i="17" s="1"/>
  <c r="BK112" i="17"/>
  <c r="BI112" i="17"/>
  <c r="BH112" i="17"/>
  <c r="BG112" i="17"/>
  <c r="BF112" i="17"/>
  <c r="T112" i="17"/>
  <c r="R112" i="17"/>
  <c r="P112" i="17"/>
  <c r="J112" i="17"/>
  <c r="BE112" i="17" s="1"/>
  <c r="BK110" i="17"/>
  <c r="BI110" i="17"/>
  <c r="BH110" i="17"/>
  <c r="BG110" i="17"/>
  <c r="BF110" i="17"/>
  <c r="T110" i="17"/>
  <c r="R110" i="17"/>
  <c r="R107" i="17" s="1"/>
  <c r="P110" i="17"/>
  <c r="J110" i="17"/>
  <c r="BE110" i="17" s="1"/>
  <c r="BK108" i="17"/>
  <c r="BK107" i="17" s="1"/>
  <c r="J107" i="17" s="1"/>
  <c r="J63" i="17" s="1"/>
  <c r="BI108" i="17"/>
  <c r="BH108" i="17"/>
  <c r="BG108" i="17"/>
  <c r="BF108" i="17"/>
  <c r="BE108" i="17"/>
  <c r="T108" i="17"/>
  <c r="R108" i="17"/>
  <c r="P108" i="17"/>
  <c r="P107" i="17" s="1"/>
  <c r="J108" i="17"/>
  <c r="BK105" i="17"/>
  <c r="BI105" i="17"/>
  <c r="BH105" i="17"/>
  <c r="BG105" i="17"/>
  <c r="BF105" i="17"/>
  <c r="T105" i="17"/>
  <c r="R105" i="17"/>
  <c r="P105" i="17"/>
  <c r="J105" i="17"/>
  <c r="BE105" i="17" s="1"/>
  <c r="BK104" i="17"/>
  <c r="BI104" i="17"/>
  <c r="BH104" i="17"/>
  <c r="BG104" i="17"/>
  <c r="BF104" i="17"/>
  <c r="T104" i="17"/>
  <c r="R104" i="17"/>
  <c r="P104" i="17"/>
  <c r="J104" i="17"/>
  <c r="BE104" i="17" s="1"/>
  <c r="BK102" i="17"/>
  <c r="BI102" i="17"/>
  <c r="BH102" i="17"/>
  <c r="BG102" i="17"/>
  <c r="BF102" i="17"/>
  <c r="BE102" i="17"/>
  <c r="T102" i="17"/>
  <c r="R102" i="17"/>
  <c r="P102" i="17"/>
  <c r="J102" i="17"/>
  <c r="BK100" i="17"/>
  <c r="BI100" i="17"/>
  <c r="BH100" i="17"/>
  <c r="BG100" i="17"/>
  <c r="BF100" i="17"/>
  <c r="T100" i="17"/>
  <c r="R100" i="17"/>
  <c r="P100" i="17"/>
  <c r="P97" i="17" s="1"/>
  <c r="J100" i="17"/>
  <c r="BE100" i="17" s="1"/>
  <c r="BK98" i="17"/>
  <c r="BK97" i="17" s="1"/>
  <c r="J97" i="17" s="1"/>
  <c r="J62" i="17" s="1"/>
  <c r="BI98" i="17"/>
  <c r="BH98" i="17"/>
  <c r="BG98" i="17"/>
  <c r="BF98" i="17"/>
  <c r="T98" i="17"/>
  <c r="T97" i="17" s="1"/>
  <c r="R98" i="17"/>
  <c r="R97" i="17" s="1"/>
  <c r="P98" i="17"/>
  <c r="J98" i="17"/>
  <c r="BE98" i="17" s="1"/>
  <c r="BK95" i="17"/>
  <c r="BI95" i="17"/>
  <c r="BH95" i="17"/>
  <c r="F36" i="17" s="1"/>
  <c r="BC57" i="15" s="1"/>
  <c r="BG95" i="17"/>
  <c r="BF95" i="17"/>
  <c r="T95" i="17"/>
  <c r="R95" i="17"/>
  <c r="P95" i="17"/>
  <c r="J95" i="17"/>
  <c r="BE95" i="17" s="1"/>
  <c r="BK93" i="17"/>
  <c r="BK88" i="17" s="1"/>
  <c r="BI93" i="17"/>
  <c r="BH93" i="17"/>
  <c r="BG93" i="17"/>
  <c r="BF93" i="17"/>
  <c r="BE93" i="17"/>
  <c r="T93" i="17"/>
  <c r="R93" i="17"/>
  <c r="P93" i="17"/>
  <c r="P88" i="17" s="1"/>
  <c r="J93" i="17"/>
  <c r="BK91" i="17"/>
  <c r="BI91" i="17"/>
  <c r="BH91" i="17"/>
  <c r="BG91" i="17"/>
  <c r="F35" i="17" s="1"/>
  <c r="BB57" i="15" s="1"/>
  <c r="BF91" i="17"/>
  <c r="T91" i="17"/>
  <c r="T88" i="17" s="1"/>
  <c r="T87" i="17" s="1"/>
  <c r="T86" i="17" s="1"/>
  <c r="R91" i="17"/>
  <c r="P91" i="17"/>
  <c r="J91" i="17"/>
  <c r="BE91" i="17" s="1"/>
  <c r="BK89" i="17"/>
  <c r="BI89" i="17"/>
  <c r="F37" i="17" s="1"/>
  <c r="BD57" i="15" s="1"/>
  <c r="BH89" i="17"/>
  <c r="BG89" i="17"/>
  <c r="BF89" i="17"/>
  <c r="J34" i="17" s="1"/>
  <c r="AW57" i="15" s="1"/>
  <c r="T89" i="17"/>
  <c r="R89" i="17"/>
  <c r="P89" i="17"/>
  <c r="J89" i="17"/>
  <c r="BE89" i="17" s="1"/>
  <c r="R88" i="17"/>
  <c r="R87" i="17" s="1"/>
  <c r="R86" i="17" s="1"/>
  <c r="J83" i="17"/>
  <c r="F82" i="17"/>
  <c r="F80" i="17"/>
  <c r="E78" i="17"/>
  <c r="J55" i="17"/>
  <c r="F54" i="17"/>
  <c r="F52" i="17"/>
  <c r="E50" i="17"/>
  <c r="J37" i="17"/>
  <c r="J36" i="17"/>
  <c r="J35" i="17"/>
  <c r="F34" i="17"/>
  <c r="J24" i="17"/>
  <c r="E24" i="17"/>
  <c r="J23" i="17"/>
  <c r="J21" i="17"/>
  <c r="E21" i="17"/>
  <c r="J82" i="17" s="1"/>
  <c r="J20" i="17"/>
  <c r="J18" i="17"/>
  <c r="E18" i="17"/>
  <c r="F83" i="17" s="1"/>
  <c r="J17" i="17"/>
  <c r="J15" i="17"/>
  <c r="E15" i="17"/>
  <c r="J14" i="17"/>
  <c r="J12" i="17"/>
  <c r="J80" i="17" s="1"/>
  <c r="E7" i="17"/>
  <c r="E76" i="17" s="1"/>
  <c r="BK386" i="16"/>
  <c r="BI386" i="16"/>
  <c r="BH386" i="16"/>
  <c r="BG386" i="16"/>
  <c r="BF386" i="16"/>
  <c r="T386" i="16"/>
  <c r="R386" i="16"/>
  <c r="P386" i="16"/>
  <c r="J386" i="16"/>
  <c r="BE386" i="16" s="1"/>
  <c r="BK384" i="16"/>
  <c r="BI384" i="16"/>
  <c r="BH384" i="16"/>
  <c r="BG384" i="16"/>
  <c r="BF384" i="16"/>
  <c r="BE384" i="16"/>
  <c r="T384" i="16"/>
  <c r="R384" i="16"/>
  <c r="P384" i="16"/>
  <c r="J384" i="16"/>
  <c r="BK382" i="16"/>
  <c r="BI382" i="16"/>
  <c r="BH382" i="16"/>
  <c r="BG382" i="16"/>
  <c r="BF382" i="16"/>
  <c r="BE382" i="16"/>
  <c r="T382" i="16"/>
  <c r="R382" i="16"/>
  <c r="P382" i="16"/>
  <c r="J382" i="16"/>
  <c r="BK380" i="16"/>
  <c r="BI380" i="16"/>
  <c r="BH380" i="16"/>
  <c r="BG380" i="16"/>
  <c r="BF380" i="16"/>
  <c r="T380" i="16"/>
  <c r="R380" i="16"/>
  <c r="P380" i="16"/>
  <c r="J380" i="16"/>
  <c r="BE380" i="16" s="1"/>
  <c r="BK378" i="16"/>
  <c r="BI378" i="16"/>
  <c r="BH378" i="16"/>
  <c r="BG378" i="16"/>
  <c r="BF378" i="16"/>
  <c r="T378" i="16"/>
  <c r="R378" i="16"/>
  <c r="P378" i="16"/>
  <c r="J378" i="16"/>
  <c r="BE378" i="16" s="1"/>
  <c r="BK376" i="16"/>
  <c r="BI376" i="16"/>
  <c r="BH376" i="16"/>
  <c r="BG376" i="16"/>
  <c r="BF376" i="16"/>
  <c r="BE376" i="16"/>
  <c r="T376" i="16"/>
  <c r="R376" i="16"/>
  <c r="P376" i="16"/>
  <c r="J376" i="16"/>
  <c r="BK374" i="16"/>
  <c r="BI374" i="16"/>
  <c r="BH374" i="16"/>
  <c r="BG374" i="16"/>
  <c r="BF374" i="16"/>
  <c r="BE374" i="16"/>
  <c r="T374" i="16"/>
  <c r="R374" i="16"/>
  <c r="P374" i="16"/>
  <c r="J374" i="16"/>
  <c r="BK372" i="16"/>
  <c r="BI372" i="16"/>
  <c r="BH372" i="16"/>
  <c r="BG372" i="16"/>
  <c r="BF372" i="16"/>
  <c r="T372" i="16"/>
  <c r="R372" i="16"/>
  <c r="P372" i="16"/>
  <c r="J372" i="16"/>
  <c r="BE372" i="16" s="1"/>
  <c r="BK370" i="16"/>
  <c r="BI370" i="16"/>
  <c r="BH370" i="16"/>
  <c r="BG370" i="16"/>
  <c r="BF370" i="16"/>
  <c r="T370" i="16"/>
  <c r="R370" i="16"/>
  <c r="P370" i="16"/>
  <c r="J370" i="16"/>
  <c r="BE370" i="16" s="1"/>
  <c r="BK368" i="16"/>
  <c r="BI368" i="16"/>
  <c r="BH368" i="16"/>
  <c r="BG368" i="16"/>
  <c r="BF368" i="16"/>
  <c r="BE368" i="16"/>
  <c r="T368" i="16"/>
  <c r="R368" i="16"/>
  <c r="P368" i="16"/>
  <c r="J368" i="16"/>
  <c r="BK366" i="16"/>
  <c r="BI366" i="16"/>
  <c r="BH366" i="16"/>
  <c r="BG366" i="16"/>
  <c r="BF366" i="16"/>
  <c r="BE366" i="16"/>
  <c r="T366" i="16"/>
  <c r="R366" i="16"/>
  <c r="P366" i="16"/>
  <c r="J366" i="16"/>
  <c r="BK364" i="16"/>
  <c r="BI364" i="16"/>
  <c r="BH364" i="16"/>
  <c r="BG364" i="16"/>
  <c r="BF364" i="16"/>
  <c r="T364" i="16"/>
  <c r="R364" i="16"/>
  <c r="P364" i="16"/>
  <c r="J364" i="16"/>
  <c r="BE364" i="16" s="1"/>
  <c r="BK362" i="16"/>
  <c r="BI362" i="16"/>
  <c r="BH362" i="16"/>
  <c r="BG362" i="16"/>
  <c r="BF362" i="16"/>
  <c r="T362" i="16"/>
  <c r="R362" i="16"/>
  <c r="P362" i="16"/>
  <c r="J362" i="16"/>
  <c r="BE362" i="16" s="1"/>
  <c r="BK360" i="16"/>
  <c r="BI360" i="16"/>
  <c r="BH360" i="16"/>
  <c r="BG360" i="16"/>
  <c r="BF360" i="16"/>
  <c r="T360" i="16"/>
  <c r="R360" i="16"/>
  <c r="P360" i="16"/>
  <c r="J360" i="16"/>
  <c r="BE360" i="16" s="1"/>
  <c r="BK358" i="16"/>
  <c r="BI358" i="16"/>
  <c r="BH358" i="16"/>
  <c r="BG358" i="16"/>
  <c r="BF358" i="16"/>
  <c r="BE358" i="16"/>
  <c r="T358" i="16"/>
  <c r="R358" i="16"/>
  <c r="P358" i="16"/>
  <c r="J358" i="16"/>
  <c r="BK356" i="16"/>
  <c r="BI356" i="16"/>
  <c r="BH356" i="16"/>
  <c r="BG356" i="16"/>
  <c r="BF356" i="16"/>
  <c r="T356" i="16"/>
  <c r="R356" i="16"/>
  <c r="P356" i="16"/>
  <c r="J356" i="16"/>
  <c r="BE356" i="16" s="1"/>
  <c r="BK355" i="16"/>
  <c r="BI355" i="16"/>
  <c r="BH355" i="16"/>
  <c r="BG355" i="16"/>
  <c r="BF355" i="16"/>
  <c r="T355" i="16"/>
  <c r="R355" i="16"/>
  <c r="P355" i="16"/>
  <c r="J355" i="16"/>
  <c r="BE355" i="16" s="1"/>
  <c r="BK354" i="16"/>
  <c r="BI354" i="16"/>
  <c r="BH354" i="16"/>
  <c r="BG354" i="16"/>
  <c r="BF354" i="16"/>
  <c r="BE354" i="16"/>
  <c r="T354" i="16"/>
  <c r="R354" i="16"/>
  <c r="P354" i="16"/>
  <c r="J354" i="16"/>
  <c r="BK353" i="16"/>
  <c r="BI353" i="16"/>
  <c r="BH353" i="16"/>
  <c r="BG353" i="16"/>
  <c r="BF353" i="16"/>
  <c r="BE353" i="16"/>
  <c r="T353" i="16"/>
  <c r="R353" i="16"/>
  <c r="P353" i="16"/>
  <c r="J353" i="16"/>
  <c r="BK351" i="16"/>
  <c r="BI351" i="16"/>
  <c r="BH351" i="16"/>
  <c r="BG351" i="16"/>
  <c r="BF351" i="16"/>
  <c r="T351" i="16"/>
  <c r="R351" i="16"/>
  <c r="P351" i="16"/>
  <c r="J351" i="16"/>
  <c r="BE351" i="16" s="1"/>
  <c r="BK349" i="16"/>
  <c r="BI349" i="16"/>
  <c r="BH349" i="16"/>
  <c r="BG349" i="16"/>
  <c r="BF349" i="16"/>
  <c r="T349" i="16"/>
  <c r="R349" i="16"/>
  <c r="P349" i="16"/>
  <c r="J349" i="16"/>
  <c r="BE349" i="16" s="1"/>
  <c r="BK347" i="16"/>
  <c r="BI347" i="16"/>
  <c r="BH347" i="16"/>
  <c r="BG347" i="16"/>
  <c r="BF347" i="16"/>
  <c r="BE347" i="16"/>
  <c r="T347" i="16"/>
  <c r="R347" i="16"/>
  <c r="P347" i="16"/>
  <c r="J347" i="16"/>
  <c r="BK345" i="16"/>
  <c r="BI345" i="16"/>
  <c r="BH345" i="16"/>
  <c r="BG345" i="16"/>
  <c r="BF345" i="16"/>
  <c r="BE345" i="16"/>
  <c r="T345" i="16"/>
  <c r="R345" i="16"/>
  <c r="P345" i="16"/>
  <c r="J345" i="16"/>
  <c r="BK343" i="16"/>
  <c r="BI343" i="16"/>
  <c r="BH343" i="16"/>
  <c r="BG343" i="16"/>
  <c r="BF343" i="16"/>
  <c r="T343" i="16"/>
  <c r="R343" i="16"/>
  <c r="P343" i="16"/>
  <c r="J343" i="16"/>
  <c r="BE343" i="16" s="1"/>
  <c r="BK341" i="16"/>
  <c r="BI341" i="16"/>
  <c r="BH341" i="16"/>
  <c r="BG341" i="16"/>
  <c r="BF341" i="16"/>
  <c r="T341" i="16"/>
  <c r="R341" i="16"/>
  <c r="P341" i="16"/>
  <c r="J341" i="16"/>
  <c r="BE341" i="16" s="1"/>
  <c r="BK339" i="16"/>
  <c r="BI339" i="16"/>
  <c r="BH339" i="16"/>
  <c r="BG339" i="16"/>
  <c r="BF339" i="16"/>
  <c r="T339" i="16"/>
  <c r="R339" i="16"/>
  <c r="P339" i="16"/>
  <c r="J339" i="16"/>
  <c r="BE339" i="16" s="1"/>
  <c r="BK337" i="16"/>
  <c r="BI337" i="16"/>
  <c r="BH337" i="16"/>
  <c r="BG337" i="16"/>
  <c r="BF337" i="16"/>
  <c r="BE337" i="16"/>
  <c r="T337" i="16"/>
  <c r="R337" i="16"/>
  <c r="P337" i="16"/>
  <c r="J337" i="16"/>
  <c r="BK335" i="16"/>
  <c r="BK330" i="16" s="1"/>
  <c r="J330" i="16" s="1"/>
  <c r="J72" i="16" s="1"/>
  <c r="BI335" i="16"/>
  <c r="BH335" i="16"/>
  <c r="BG335" i="16"/>
  <c r="BF335" i="16"/>
  <c r="T335" i="16"/>
  <c r="R335" i="16"/>
  <c r="P335" i="16"/>
  <c r="P330" i="16" s="1"/>
  <c r="J335" i="16"/>
  <c r="BE335" i="16" s="1"/>
  <c r="BK333" i="16"/>
  <c r="BI333" i="16"/>
  <c r="BH333" i="16"/>
  <c r="BG333" i="16"/>
  <c r="BF333" i="16"/>
  <c r="T333" i="16"/>
  <c r="T330" i="16" s="1"/>
  <c r="R333" i="16"/>
  <c r="P333" i="16"/>
  <c r="J333" i="16"/>
  <c r="BE333" i="16" s="1"/>
  <c r="BK331" i="16"/>
  <c r="BI331" i="16"/>
  <c r="BH331" i="16"/>
  <c r="BG331" i="16"/>
  <c r="BF331" i="16"/>
  <c r="T331" i="16"/>
  <c r="R331" i="16"/>
  <c r="R330" i="16" s="1"/>
  <c r="P331" i="16"/>
  <c r="J331" i="16"/>
  <c r="BE331" i="16" s="1"/>
  <c r="BK328" i="16"/>
  <c r="BI328" i="16"/>
  <c r="BH328" i="16"/>
  <c r="BG328" i="16"/>
  <c r="BF328" i="16"/>
  <c r="BE328" i="16"/>
  <c r="T328" i="16"/>
  <c r="R328" i="16"/>
  <c r="P328" i="16"/>
  <c r="J328" i="16"/>
  <c r="BK326" i="16"/>
  <c r="BI326" i="16"/>
  <c r="BH326" i="16"/>
  <c r="BG326" i="16"/>
  <c r="BF326" i="16"/>
  <c r="T326" i="16"/>
  <c r="R326" i="16"/>
  <c r="P326" i="16"/>
  <c r="J326" i="16"/>
  <c r="BE326" i="16" s="1"/>
  <c r="BK324" i="16"/>
  <c r="BI324" i="16"/>
  <c r="BH324" i="16"/>
  <c r="BG324" i="16"/>
  <c r="BF324" i="16"/>
  <c r="T324" i="16"/>
  <c r="R324" i="16"/>
  <c r="P324" i="16"/>
  <c r="J324" i="16"/>
  <c r="BE324" i="16" s="1"/>
  <c r="BK322" i="16"/>
  <c r="BI322" i="16"/>
  <c r="BH322" i="16"/>
  <c r="BG322" i="16"/>
  <c r="BF322" i="16"/>
  <c r="T322" i="16"/>
  <c r="R322" i="16"/>
  <c r="P322" i="16"/>
  <c r="J322" i="16"/>
  <c r="BE322" i="16" s="1"/>
  <c r="BK320" i="16"/>
  <c r="BI320" i="16"/>
  <c r="BH320" i="16"/>
  <c r="BG320" i="16"/>
  <c r="BF320" i="16"/>
  <c r="BE320" i="16"/>
  <c r="T320" i="16"/>
  <c r="R320" i="16"/>
  <c r="P320" i="16"/>
  <c r="J320" i="16"/>
  <c r="BK318" i="16"/>
  <c r="BI318" i="16"/>
  <c r="BH318" i="16"/>
  <c r="BG318" i="16"/>
  <c r="BF318" i="16"/>
  <c r="T318" i="16"/>
  <c r="R318" i="16"/>
  <c r="P318" i="16"/>
  <c r="J318" i="16"/>
  <c r="BE318" i="16" s="1"/>
  <c r="BK317" i="16"/>
  <c r="BI317" i="16"/>
  <c r="BH317" i="16"/>
  <c r="BG317" i="16"/>
  <c r="BF317" i="16"/>
  <c r="T317" i="16"/>
  <c r="R317" i="16"/>
  <c r="P317" i="16"/>
  <c r="J317" i="16"/>
  <c r="BE317" i="16" s="1"/>
  <c r="BK315" i="16"/>
  <c r="BI315" i="16"/>
  <c r="BH315" i="16"/>
  <c r="BG315" i="16"/>
  <c r="BF315" i="16"/>
  <c r="BE315" i="16"/>
  <c r="T315" i="16"/>
  <c r="R315" i="16"/>
  <c r="P315" i="16"/>
  <c r="J315" i="16"/>
  <c r="BK313" i="16"/>
  <c r="BI313" i="16"/>
  <c r="BH313" i="16"/>
  <c r="BG313" i="16"/>
  <c r="BF313" i="16"/>
  <c r="BE313" i="16"/>
  <c r="T313" i="16"/>
  <c r="R313" i="16"/>
  <c r="P313" i="16"/>
  <c r="J313" i="16"/>
  <c r="BK311" i="16"/>
  <c r="BI311" i="16"/>
  <c r="BH311" i="16"/>
  <c r="BG311" i="16"/>
  <c r="BF311" i="16"/>
  <c r="T311" i="16"/>
  <c r="R311" i="16"/>
  <c r="P311" i="16"/>
  <c r="J311" i="16"/>
  <c r="BE311" i="16" s="1"/>
  <c r="BK309" i="16"/>
  <c r="BI309" i="16"/>
  <c r="BH309" i="16"/>
  <c r="BG309" i="16"/>
  <c r="BF309" i="16"/>
  <c r="T309" i="16"/>
  <c r="R309" i="16"/>
  <c r="P309" i="16"/>
  <c r="J309" i="16"/>
  <c r="BE309" i="16" s="1"/>
  <c r="BK307" i="16"/>
  <c r="BI307" i="16"/>
  <c r="BH307" i="16"/>
  <c r="BG307" i="16"/>
  <c r="BF307" i="16"/>
  <c r="T307" i="16"/>
  <c r="R307" i="16"/>
  <c r="P307" i="16"/>
  <c r="J307" i="16"/>
  <c r="BE307" i="16" s="1"/>
  <c r="BK305" i="16"/>
  <c r="BI305" i="16"/>
  <c r="BH305" i="16"/>
  <c r="BG305" i="16"/>
  <c r="BF305" i="16"/>
  <c r="BE305" i="16"/>
  <c r="T305" i="16"/>
  <c r="R305" i="16"/>
  <c r="P305" i="16"/>
  <c r="J305" i="16"/>
  <c r="BK303" i="16"/>
  <c r="BI303" i="16"/>
  <c r="BH303" i="16"/>
  <c r="BG303" i="16"/>
  <c r="BF303" i="16"/>
  <c r="T303" i="16"/>
  <c r="R303" i="16"/>
  <c r="P303" i="16"/>
  <c r="J303" i="16"/>
  <c r="BE303" i="16" s="1"/>
  <c r="BK301" i="16"/>
  <c r="BI301" i="16"/>
  <c r="BH301" i="16"/>
  <c r="BG301" i="16"/>
  <c r="BF301" i="16"/>
  <c r="T301" i="16"/>
  <c r="R301" i="16"/>
  <c r="P301" i="16"/>
  <c r="J301" i="16"/>
  <c r="BE301" i="16" s="1"/>
  <c r="BK299" i="16"/>
  <c r="BI299" i="16"/>
  <c r="BH299" i="16"/>
  <c r="BG299" i="16"/>
  <c r="BF299" i="16"/>
  <c r="T299" i="16"/>
  <c r="R299" i="16"/>
  <c r="P299" i="16"/>
  <c r="J299" i="16"/>
  <c r="BE299" i="16" s="1"/>
  <c r="BK297" i="16"/>
  <c r="BI297" i="16"/>
  <c r="BH297" i="16"/>
  <c r="BG297" i="16"/>
  <c r="BF297" i="16"/>
  <c r="BE297" i="16"/>
  <c r="T297" i="16"/>
  <c r="R297" i="16"/>
  <c r="P297" i="16"/>
  <c r="J297" i="16"/>
  <c r="BK295" i="16"/>
  <c r="BI295" i="16"/>
  <c r="BH295" i="16"/>
  <c r="BG295" i="16"/>
  <c r="BF295" i="16"/>
  <c r="T295" i="16"/>
  <c r="R295" i="16"/>
  <c r="P295" i="16"/>
  <c r="J295" i="16"/>
  <c r="BE295" i="16" s="1"/>
  <c r="BK293" i="16"/>
  <c r="BI293" i="16"/>
  <c r="BH293" i="16"/>
  <c r="BG293" i="16"/>
  <c r="BF293" i="16"/>
  <c r="T293" i="16"/>
  <c r="R293" i="16"/>
  <c r="P293" i="16"/>
  <c r="J293" i="16"/>
  <c r="BE293" i="16" s="1"/>
  <c r="BK291" i="16"/>
  <c r="BI291" i="16"/>
  <c r="BH291" i="16"/>
  <c r="BG291" i="16"/>
  <c r="BF291" i="16"/>
  <c r="T291" i="16"/>
  <c r="R291" i="16"/>
  <c r="P291" i="16"/>
  <c r="J291" i="16"/>
  <c r="BE291" i="16" s="1"/>
  <c r="BK289" i="16"/>
  <c r="BI289" i="16"/>
  <c r="BH289" i="16"/>
  <c r="BG289" i="16"/>
  <c r="BF289" i="16"/>
  <c r="BE289" i="16"/>
  <c r="T289" i="16"/>
  <c r="R289" i="16"/>
  <c r="P289" i="16"/>
  <c r="J289" i="16"/>
  <c r="BK287" i="16"/>
  <c r="BI287" i="16"/>
  <c r="BH287" i="16"/>
  <c r="BG287" i="16"/>
  <c r="BF287" i="16"/>
  <c r="T287" i="16"/>
  <c r="R287" i="16"/>
  <c r="P287" i="16"/>
  <c r="J287" i="16"/>
  <c r="BE287" i="16" s="1"/>
  <c r="BK285" i="16"/>
  <c r="BI285" i="16"/>
  <c r="BH285" i="16"/>
  <c r="BG285" i="16"/>
  <c r="BF285" i="16"/>
  <c r="T285" i="16"/>
  <c r="R285" i="16"/>
  <c r="P285" i="16"/>
  <c r="J285" i="16"/>
  <c r="BE285" i="16" s="1"/>
  <c r="BK284" i="16"/>
  <c r="BI284" i="16"/>
  <c r="BH284" i="16"/>
  <c r="BG284" i="16"/>
  <c r="BF284" i="16"/>
  <c r="T284" i="16"/>
  <c r="R284" i="16"/>
  <c r="P284" i="16"/>
  <c r="J284" i="16"/>
  <c r="BE284" i="16" s="1"/>
  <c r="BK282" i="16"/>
  <c r="BI282" i="16"/>
  <c r="BH282" i="16"/>
  <c r="BG282" i="16"/>
  <c r="BF282" i="16"/>
  <c r="BE282" i="16"/>
  <c r="T282" i="16"/>
  <c r="R282" i="16"/>
  <c r="P282" i="16"/>
  <c r="J282" i="16"/>
  <c r="BK281" i="16"/>
  <c r="BI281" i="16"/>
  <c r="BH281" i="16"/>
  <c r="BG281" i="16"/>
  <c r="BF281" i="16"/>
  <c r="T281" i="16"/>
  <c r="R281" i="16"/>
  <c r="P281" i="16"/>
  <c r="J281" i="16"/>
  <c r="BE281" i="16" s="1"/>
  <c r="BK279" i="16"/>
  <c r="BI279" i="16"/>
  <c r="BH279" i="16"/>
  <c r="BG279" i="16"/>
  <c r="BF279" i="16"/>
  <c r="T279" i="16"/>
  <c r="R279" i="16"/>
  <c r="P279" i="16"/>
  <c r="J279" i="16"/>
  <c r="BE279" i="16" s="1"/>
  <c r="BK278" i="16"/>
  <c r="BI278" i="16"/>
  <c r="BH278" i="16"/>
  <c r="BG278" i="16"/>
  <c r="BF278" i="16"/>
  <c r="T278" i="16"/>
  <c r="R278" i="16"/>
  <c r="P278" i="16"/>
  <c r="J278" i="16"/>
  <c r="BE278" i="16" s="1"/>
  <c r="BK276" i="16"/>
  <c r="BI276" i="16"/>
  <c r="BH276" i="16"/>
  <c r="BG276" i="16"/>
  <c r="BF276" i="16"/>
  <c r="BE276" i="16"/>
  <c r="T276" i="16"/>
  <c r="R276" i="16"/>
  <c r="P276" i="16"/>
  <c r="J276" i="16"/>
  <c r="BK275" i="16"/>
  <c r="BI275" i="16"/>
  <c r="BH275" i="16"/>
  <c r="BG275" i="16"/>
  <c r="BF275" i="16"/>
  <c r="T275" i="16"/>
  <c r="R275" i="16"/>
  <c r="P275" i="16"/>
  <c r="J275" i="16"/>
  <c r="BE275" i="16" s="1"/>
  <c r="BK274" i="16"/>
  <c r="BI274" i="16"/>
  <c r="BH274" i="16"/>
  <c r="BG274" i="16"/>
  <c r="BF274" i="16"/>
  <c r="T274" i="16"/>
  <c r="R274" i="16"/>
  <c r="P274" i="16"/>
  <c r="J274" i="16"/>
  <c r="BE274" i="16" s="1"/>
  <c r="BK272" i="16"/>
  <c r="BI272" i="16"/>
  <c r="BH272" i="16"/>
  <c r="BG272" i="16"/>
  <c r="BF272" i="16"/>
  <c r="T272" i="16"/>
  <c r="R272" i="16"/>
  <c r="P272" i="16"/>
  <c r="J272" i="16"/>
  <c r="BE272" i="16" s="1"/>
  <c r="BK271" i="16"/>
  <c r="BI271" i="16"/>
  <c r="BH271" i="16"/>
  <c r="BG271" i="16"/>
  <c r="BF271" i="16"/>
  <c r="BE271" i="16"/>
  <c r="T271" i="16"/>
  <c r="R271" i="16"/>
  <c r="P271" i="16"/>
  <c r="J271" i="16"/>
  <c r="BK270" i="16"/>
  <c r="BI270" i="16"/>
  <c r="BH270" i="16"/>
  <c r="BG270" i="16"/>
  <c r="BF270" i="16"/>
  <c r="T270" i="16"/>
  <c r="R270" i="16"/>
  <c r="P270" i="16"/>
  <c r="J270" i="16"/>
  <c r="BE270" i="16" s="1"/>
  <c r="BK268" i="16"/>
  <c r="BI268" i="16"/>
  <c r="BH268" i="16"/>
  <c r="BG268" i="16"/>
  <c r="BF268" i="16"/>
  <c r="T268" i="16"/>
  <c r="R268" i="16"/>
  <c r="P268" i="16"/>
  <c r="J268" i="16"/>
  <c r="BE268" i="16" s="1"/>
  <c r="BK267" i="16"/>
  <c r="BI267" i="16"/>
  <c r="BH267" i="16"/>
  <c r="BG267" i="16"/>
  <c r="BF267" i="16"/>
  <c r="T267" i="16"/>
  <c r="R267" i="16"/>
  <c r="P267" i="16"/>
  <c r="J267" i="16"/>
  <c r="BE267" i="16" s="1"/>
  <c r="BK266" i="16"/>
  <c r="BI266" i="16"/>
  <c r="BH266" i="16"/>
  <c r="BG266" i="16"/>
  <c r="BF266" i="16"/>
  <c r="BE266" i="16"/>
  <c r="T266" i="16"/>
  <c r="R266" i="16"/>
  <c r="P266" i="16"/>
  <c r="J266" i="16"/>
  <c r="BK264" i="16"/>
  <c r="BI264" i="16"/>
  <c r="BH264" i="16"/>
  <c r="BG264" i="16"/>
  <c r="BF264" i="16"/>
  <c r="T264" i="16"/>
  <c r="R264" i="16"/>
  <c r="P264" i="16"/>
  <c r="J264" i="16"/>
  <c r="BE264" i="16" s="1"/>
  <c r="BK263" i="16"/>
  <c r="BI263" i="16"/>
  <c r="BH263" i="16"/>
  <c r="BG263" i="16"/>
  <c r="BF263" i="16"/>
  <c r="T263" i="16"/>
  <c r="R263" i="16"/>
  <c r="P263" i="16"/>
  <c r="J263" i="16"/>
  <c r="BE263" i="16" s="1"/>
  <c r="BK261" i="16"/>
  <c r="BI261" i="16"/>
  <c r="BH261" i="16"/>
  <c r="BG261" i="16"/>
  <c r="BF261" i="16"/>
  <c r="T261" i="16"/>
  <c r="R261" i="16"/>
  <c r="P261" i="16"/>
  <c r="J261" i="16"/>
  <c r="BE261" i="16" s="1"/>
  <c r="BK259" i="16"/>
  <c r="BI259" i="16"/>
  <c r="BH259" i="16"/>
  <c r="BG259" i="16"/>
  <c r="BF259" i="16"/>
  <c r="BE259" i="16"/>
  <c r="T259" i="16"/>
  <c r="R259" i="16"/>
  <c r="P259" i="16"/>
  <c r="J259" i="16"/>
  <c r="BK257" i="16"/>
  <c r="BI257" i="16"/>
  <c r="BH257" i="16"/>
  <c r="BG257" i="16"/>
  <c r="BF257" i="16"/>
  <c r="T257" i="16"/>
  <c r="R257" i="16"/>
  <c r="P257" i="16"/>
  <c r="J257" i="16"/>
  <c r="BE257" i="16" s="1"/>
  <c r="BK255" i="16"/>
  <c r="BI255" i="16"/>
  <c r="BH255" i="16"/>
  <c r="BG255" i="16"/>
  <c r="BF255" i="16"/>
  <c r="T255" i="16"/>
  <c r="R255" i="16"/>
  <c r="P255" i="16"/>
  <c r="J255" i="16"/>
  <c r="BE255" i="16" s="1"/>
  <c r="BK254" i="16"/>
  <c r="BI254" i="16"/>
  <c r="BH254" i="16"/>
  <c r="BG254" i="16"/>
  <c r="BF254" i="16"/>
  <c r="T254" i="16"/>
  <c r="R254" i="16"/>
  <c r="R248" i="16" s="1"/>
  <c r="P254" i="16"/>
  <c r="J254" i="16"/>
  <c r="BE254" i="16" s="1"/>
  <c r="BK252" i="16"/>
  <c r="BK248" i="16" s="1"/>
  <c r="J248" i="16" s="1"/>
  <c r="J71" i="16" s="1"/>
  <c r="BI252" i="16"/>
  <c r="BH252" i="16"/>
  <c r="BG252" i="16"/>
  <c r="BF252" i="16"/>
  <c r="BE252" i="16"/>
  <c r="T252" i="16"/>
  <c r="R252" i="16"/>
  <c r="P252" i="16"/>
  <c r="P248" i="16" s="1"/>
  <c r="J252" i="16"/>
  <c r="BK251" i="16"/>
  <c r="BI251" i="16"/>
  <c r="BH251" i="16"/>
  <c r="BG251" i="16"/>
  <c r="BF251" i="16"/>
  <c r="T251" i="16"/>
  <c r="T248" i="16" s="1"/>
  <c r="R251" i="16"/>
  <c r="P251" i="16"/>
  <c r="J251" i="16"/>
  <c r="BE251" i="16" s="1"/>
  <c r="BK249" i="16"/>
  <c r="BI249" i="16"/>
  <c r="BH249" i="16"/>
  <c r="BG249" i="16"/>
  <c r="BF249" i="16"/>
  <c r="T249" i="16"/>
  <c r="R249" i="16"/>
  <c r="P249" i="16"/>
  <c r="J249" i="16"/>
  <c r="BE249" i="16" s="1"/>
  <c r="BK246" i="16"/>
  <c r="BI246" i="16"/>
  <c r="BH246" i="16"/>
  <c r="BG246" i="16"/>
  <c r="BF246" i="16"/>
  <c r="BE246" i="16"/>
  <c r="T246" i="16"/>
  <c r="R246" i="16"/>
  <c r="P246" i="16"/>
  <c r="J246" i="16"/>
  <c r="BK244" i="16"/>
  <c r="BI244" i="16"/>
  <c r="BH244" i="16"/>
  <c r="BG244" i="16"/>
  <c r="BF244" i="16"/>
  <c r="T244" i="16"/>
  <c r="R244" i="16"/>
  <c r="P244" i="16"/>
  <c r="J244" i="16"/>
  <c r="BE244" i="16" s="1"/>
  <c r="BK242" i="16"/>
  <c r="BI242" i="16"/>
  <c r="BH242" i="16"/>
  <c r="BG242" i="16"/>
  <c r="BF242" i="16"/>
  <c r="T242" i="16"/>
  <c r="R242" i="16"/>
  <c r="P242" i="16"/>
  <c r="J242" i="16"/>
  <c r="BE242" i="16" s="1"/>
  <c r="BK240" i="16"/>
  <c r="BI240" i="16"/>
  <c r="BH240" i="16"/>
  <c r="BG240" i="16"/>
  <c r="BF240" i="16"/>
  <c r="BE240" i="16"/>
  <c r="T240" i="16"/>
  <c r="R240" i="16"/>
  <c r="P240" i="16"/>
  <c r="J240" i="16"/>
  <c r="BK238" i="16"/>
  <c r="BI238" i="16"/>
  <c r="BH238" i="16"/>
  <c r="BG238" i="16"/>
  <c r="BF238" i="16"/>
  <c r="BE238" i="16"/>
  <c r="T238" i="16"/>
  <c r="R238" i="16"/>
  <c r="P238" i="16"/>
  <c r="J238" i="16"/>
  <c r="BK236" i="16"/>
  <c r="BI236" i="16"/>
  <c r="BH236" i="16"/>
  <c r="BG236" i="16"/>
  <c r="BF236" i="16"/>
  <c r="T236" i="16"/>
  <c r="R236" i="16"/>
  <c r="P236" i="16"/>
  <c r="J236" i="16"/>
  <c r="BE236" i="16" s="1"/>
  <c r="BK234" i="16"/>
  <c r="BI234" i="16"/>
  <c r="BH234" i="16"/>
  <c r="BG234" i="16"/>
  <c r="BF234" i="16"/>
  <c r="T234" i="16"/>
  <c r="R234" i="16"/>
  <c r="P234" i="16"/>
  <c r="J234" i="16"/>
  <c r="BE234" i="16" s="1"/>
  <c r="BK232" i="16"/>
  <c r="BI232" i="16"/>
  <c r="BH232" i="16"/>
  <c r="BG232" i="16"/>
  <c r="BF232" i="16"/>
  <c r="BE232" i="16"/>
  <c r="T232" i="16"/>
  <c r="R232" i="16"/>
  <c r="P232" i="16"/>
  <c r="J232" i="16"/>
  <c r="BK231" i="16"/>
  <c r="BI231" i="16"/>
  <c r="BH231" i="16"/>
  <c r="BG231" i="16"/>
  <c r="BF231" i="16"/>
  <c r="BE231" i="16"/>
  <c r="T231" i="16"/>
  <c r="R231" i="16"/>
  <c r="P231" i="16"/>
  <c r="J231" i="16"/>
  <c r="BK229" i="16"/>
  <c r="BI229" i="16"/>
  <c r="BH229" i="16"/>
  <c r="BG229" i="16"/>
  <c r="BF229" i="16"/>
  <c r="T229" i="16"/>
  <c r="R229" i="16"/>
  <c r="P229" i="16"/>
  <c r="J229" i="16"/>
  <c r="BE229" i="16" s="1"/>
  <c r="BK228" i="16"/>
  <c r="BI228" i="16"/>
  <c r="BH228" i="16"/>
  <c r="BG228" i="16"/>
  <c r="BF228" i="16"/>
  <c r="T228" i="16"/>
  <c r="R228" i="16"/>
  <c r="P228" i="16"/>
  <c r="J228" i="16"/>
  <c r="BE228" i="16" s="1"/>
  <c r="BK226" i="16"/>
  <c r="BI226" i="16"/>
  <c r="BH226" i="16"/>
  <c r="BG226" i="16"/>
  <c r="BF226" i="16"/>
  <c r="T226" i="16"/>
  <c r="R226" i="16"/>
  <c r="P226" i="16"/>
  <c r="J226" i="16"/>
  <c r="BE226" i="16" s="1"/>
  <c r="BK224" i="16"/>
  <c r="BI224" i="16"/>
  <c r="BH224" i="16"/>
  <c r="BG224" i="16"/>
  <c r="BF224" i="16"/>
  <c r="BE224" i="16"/>
  <c r="T224" i="16"/>
  <c r="R224" i="16"/>
  <c r="P224" i="16"/>
  <c r="J224" i="16"/>
  <c r="BK222" i="16"/>
  <c r="BI222" i="16"/>
  <c r="BH222" i="16"/>
  <c r="BG222" i="16"/>
  <c r="BF222" i="16"/>
  <c r="T222" i="16"/>
  <c r="R222" i="16"/>
  <c r="P222" i="16"/>
  <c r="J222" i="16"/>
  <c r="BE222" i="16" s="1"/>
  <c r="BK221" i="16"/>
  <c r="BI221" i="16"/>
  <c r="BH221" i="16"/>
  <c r="BG221" i="16"/>
  <c r="BF221" i="16"/>
  <c r="T221" i="16"/>
  <c r="R221" i="16"/>
  <c r="P221" i="16"/>
  <c r="J221" i="16"/>
  <c r="BE221" i="16" s="1"/>
  <c r="BK219" i="16"/>
  <c r="BI219" i="16"/>
  <c r="BH219" i="16"/>
  <c r="BG219" i="16"/>
  <c r="BF219" i="16"/>
  <c r="T219" i="16"/>
  <c r="R219" i="16"/>
  <c r="P219" i="16"/>
  <c r="J219" i="16"/>
  <c r="BE219" i="16" s="1"/>
  <c r="BK218" i="16"/>
  <c r="BI218" i="16"/>
  <c r="BH218" i="16"/>
  <c r="BG218" i="16"/>
  <c r="BF218" i="16"/>
  <c r="BE218" i="16"/>
  <c r="T218" i="16"/>
  <c r="R218" i="16"/>
  <c r="P218" i="16"/>
  <c r="J218" i="16"/>
  <c r="BK216" i="16"/>
  <c r="BI216" i="16"/>
  <c r="BH216" i="16"/>
  <c r="BG216" i="16"/>
  <c r="BF216" i="16"/>
  <c r="T216" i="16"/>
  <c r="R216" i="16"/>
  <c r="P216" i="16"/>
  <c r="J216" i="16"/>
  <c r="BE216" i="16" s="1"/>
  <c r="BK215" i="16"/>
  <c r="BI215" i="16"/>
  <c r="BH215" i="16"/>
  <c r="BG215" i="16"/>
  <c r="BF215" i="16"/>
  <c r="T215" i="16"/>
  <c r="R215" i="16"/>
  <c r="P215" i="16"/>
  <c r="J215" i="16"/>
  <c r="BE215" i="16" s="1"/>
  <c r="BK213" i="16"/>
  <c r="BI213" i="16"/>
  <c r="BH213" i="16"/>
  <c r="BG213" i="16"/>
  <c r="BF213" i="16"/>
  <c r="T213" i="16"/>
  <c r="R213" i="16"/>
  <c r="P213" i="16"/>
  <c r="J213" i="16"/>
  <c r="BE213" i="16" s="1"/>
  <c r="BK212" i="16"/>
  <c r="BI212" i="16"/>
  <c r="BH212" i="16"/>
  <c r="BG212" i="16"/>
  <c r="BF212" i="16"/>
  <c r="BE212" i="16"/>
  <c r="T212" i="16"/>
  <c r="R212" i="16"/>
  <c r="P212" i="16"/>
  <c r="J212" i="16"/>
  <c r="BK210" i="16"/>
  <c r="BI210" i="16"/>
  <c r="BH210" i="16"/>
  <c r="BG210" i="16"/>
  <c r="BF210" i="16"/>
  <c r="T210" i="16"/>
  <c r="R210" i="16"/>
  <c r="P210" i="16"/>
  <c r="J210" i="16"/>
  <c r="BE210" i="16" s="1"/>
  <c r="BK209" i="16"/>
  <c r="BI209" i="16"/>
  <c r="BH209" i="16"/>
  <c r="BG209" i="16"/>
  <c r="BF209" i="16"/>
  <c r="T209" i="16"/>
  <c r="R209" i="16"/>
  <c r="P209" i="16"/>
  <c r="J209" i="16"/>
  <c r="BE209" i="16" s="1"/>
  <c r="BK208" i="16"/>
  <c r="BI208" i="16"/>
  <c r="BH208" i="16"/>
  <c r="BG208" i="16"/>
  <c r="BF208" i="16"/>
  <c r="T208" i="16"/>
  <c r="R208" i="16"/>
  <c r="P208" i="16"/>
  <c r="J208" i="16"/>
  <c r="BE208" i="16" s="1"/>
  <c r="BK207" i="16"/>
  <c r="BI207" i="16"/>
  <c r="BH207" i="16"/>
  <c r="BG207" i="16"/>
  <c r="BF207" i="16"/>
  <c r="BE207" i="16"/>
  <c r="T207" i="16"/>
  <c r="R207" i="16"/>
  <c r="P207" i="16"/>
  <c r="J207" i="16"/>
  <c r="BK205" i="16"/>
  <c r="BI205" i="16"/>
  <c r="BH205" i="16"/>
  <c r="BG205" i="16"/>
  <c r="BF205" i="16"/>
  <c r="T205" i="16"/>
  <c r="R205" i="16"/>
  <c r="P205" i="16"/>
  <c r="J205" i="16"/>
  <c r="BE205" i="16" s="1"/>
  <c r="BK204" i="16"/>
  <c r="BI204" i="16"/>
  <c r="BH204" i="16"/>
  <c r="BG204" i="16"/>
  <c r="BF204" i="16"/>
  <c r="T204" i="16"/>
  <c r="R204" i="16"/>
  <c r="P204" i="16"/>
  <c r="J204" i="16"/>
  <c r="BE204" i="16" s="1"/>
  <c r="BK202" i="16"/>
  <c r="BI202" i="16"/>
  <c r="BH202" i="16"/>
  <c r="BG202" i="16"/>
  <c r="BF202" i="16"/>
  <c r="T202" i="16"/>
  <c r="R202" i="16"/>
  <c r="P202" i="16"/>
  <c r="J202" i="16"/>
  <c r="BE202" i="16" s="1"/>
  <c r="BK201" i="16"/>
  <c r="BI201" i="16"/>
  <c r="BH201" i="16"/>
  <c r="BG201" i="16"/>
  <c r="BF201" i="16"/>
  <c r="BE201" i="16"/>
  <c r="T201" i="16"/>
  <c r="R201" i="16"/>
  <c r="P201" i="16"/>
  <c r="J201" i="16"/>
  <c r="BK200" i="16"/>
  <c r="BI200" i="16"/>
  <c r="BH200" i="16"/>
  <c r="BG200" i="16"/>
  <c r="BF200" i="16"/>
  <c r="T200" i="16"/>
  <c r="R200" i="16"/>
  <c r="P200" i="16"/>
  <c r="P195" i="16" s="1"/>
  <c r="P194" i="16" s="1"/>
  <c r="J200" i="16"/>
  <c r="BE200" i="16" s="1"/>
  <c r="BK198" i="16"/>
  <c r="BI198" i="16"/>
  <c r="BH198" i="16"/>
  <c r="BG198" i="16"/>
  <c r="BF198" i="16"/>
  <c r="T198" i="16"/>
  <c r="T195" i="16" s="1"/>
  <c r="T194" i="16" s="1"/>
  <c r="R198" i="16"/>
  <c r="P198" i="16"/>
  <c r="J198" i="16"/>
  <c r="BE198" i="16" s="1"/>
  <c r="BK196" i="16"/>
  <c r="BK195" i="16" s="1"/>
  <c r="BI196" i="16"/>
  <c r="BH196" i="16"/>
  <c r="BG196" i="16"/>
  <c r="BF196" i="16"/>
  <c r="T196" i="16"/>
  <c r="R196" i="16"/>
  <c r="R195" i="16" s="1"/>
  <c r="P196" i="16"/>
  <c r="J196" i="16"/>
  <c r="BE196" i="16" s="1"/>
  <c r="BK192" i="16"/>
  <c r="BK189" i="16" s="1"/>
  <c r="J189" i="16" s="1"/>
  <c r="J68" i="16" s="1"/>
  <c r="BI192" i="16"/>
  <c r="BH192" i="16"/>
  <c r="BG192" i="16"/>
  <c r="BF192" i="16"/>
  <c r="T192" i="16"/>
  <c r="R192" i="16"/>
  <c r="P192" i="16"/>
  <c r="P189" i="16" s="1"/>
  <c r="J192" i="16"/>
  <c r="BE192" i="16" s="1"/>
  <c r="BK190" i="16"/>
  <c r="BI190" i="16"/>
  <c r="BH190" i="16"/>
  <c r="BG190" i="16"/>
  <c r="BF190" i="16"/>
  <c r="T190" i="16"/>
  <c r="T189" i="16" s="1"/>
  <c r="R190" i="16"/>
  <c r="R189" i="16" s="1"/>
  <c r="P190" i="16"/>
  <c r="J190" i="16"/>
  <c r="BE190" i="16" s="1"/>
  <c r="BK187" i="16"/>
  <c r="BI187" i="16"/>
  <c r="BH187" i="16"/>
  <c r="BG187" i="16"/>
  <c r="BF187" i="16"/>
  <c r="T187" i="16"/>
  <c r="R187" i="16"/>
  <c r="P187" i="16"/>
  <c r="J187" i="16"/>
  <c r="BE187" i="16" s="1"/>
  <c r="BK185" i="16"/>
  <c r="BI185" i="16"/>
  <c r="BH185" i="16"/>
  <c r="BG185" i="16"/>
  <c r="BF185" i="16"/>
  <c r="BE185" i="16"/>
  <c r="T185" i="16"/>
  <c r="R185" i="16"/>
  <c r="P185" i="16"/>
  <c r="P177" i="16" s="1"/>
  <c r="J185" i="16"/>
  <c r="BK182" i="16"/>
  <c r="BI182" i="16"/>
  <c r="BH182" i="16"/>
  <c r="BG182" i="16"/>
  <c r="BF182" i="16"/>
  <c r="T182" i="16"/>
  <c r="T177" i="16" s="1"/>
  <c r="R182" i="16"/>
  <c r="P182" i="16"/>
  <c r="J182" i="16"/>
  <c r="BE182" i="16" s="1"/>
  <c r="BK180" i="16"/>
  <c r="BI180" i="16"/>
  <c r="BH180" i="16"/>
  <c r="BG180" i="16"/>
  <c r="BF180" i="16"/>
  <c r="T180" i="16"/>
  <c r="R180" i="16"/>
  <c r="P180" i="16"/>
  <c r="J180" i="16"/>
  <c r="BE180" i="16" s="1"/>
  <c r="BK178" i="16"/>
  <c r="BI178" i="16"/>
  <c r="BH178" i="16"/>
  <c r="BG178" i="16"/>
  <c r="BF178" i="16"/>
  <c r="T178" i="16"/>
  <c r="R178" i="16"/>
  <c r="R177" i="16" s="1"/>
  <c r="P178" i="16"/>
  <c r="J178" i="16"/>
  <c r="BE178" i="16" s="1"/>
  <c r="BK177" i="16"/>
  <c r="J177" i="16" s="1"/>
  <c r="J67" i="16" s="1"/>
  <c r="BK175" i="16"/>
  <c r="BI175" i="16"/>
  <c r="BH175" i="16"/>
  <c r="BG175" i="16"/>
  <c r="BF175" i="16"/>
  <c r="BE175" i="16"/>
  <c r="T175" i="16"/>
  <c r="R175" i="16"/>
  <c r="P175" i="16"/>
  <c r="J175" i="16"/>
  <c r="BK173" i="16"/>
  <c r="BI173" i="16"/>
  <c r="BH173" i="16"/>
  <c r="BG173" i="16"/>
  <c r="BF173" i="16"/>
  <c r="T173" i="16"/>
  <c r="R173" i="16"/>
  <c r="P173" i="16"/>
  <c r="J173" i="16"/>
  <c r="BE173" i="16" s="1"/>
  <c r="BK171" i="16"/>
  <c r="BI171" i="16"/>
  <c r="BH171" i="16"/>
  <c r="BG171" i="16"/>
  <c r="BF171" i="16"/>
  <c r="T171" i="16"/>
  <c r="R171" i="16"/>
  <c r="P171" i="16"/>
  <c r="J171" i="16"/>
  <c r="BE171" i="16" s="1"/>
  <c r="BK169" i="16"/>
  <c r="BI169" i="16"/>
  <c r="BH169" i="16"/>
  <c r="BG169" i="16"/>
  <c r="BF169" i="16"/>
  <c r="BE169" i="16"/>
  <c r="T169" i="16"/>
  <c r="R169" i="16"/>
  <c r="P169" i="16"/>
  <c r="J169" i="16"/>
  <c r="BK167" i="16"/>
  <c r="BI167" i="16"/>
  <c r="BH167" i="16"/>
  <c r="BG167" i="16"/>
  <c r="BF167" i="16"/>
  <c r="BE167" i="16"/>
  <c r="T167" i="16"/>
  <c r="R167" i="16"/>
  <c r="P167" i="16"/>
  <c r="J167" i="16"/>
  <c r="BK165" i="16"/>
  <c r="BI165" i="16"/>
  <c r="BH165" i="16"/>
  <c r="BG165" i="16"/>
  <c r="BF165" i="16"/>
  <c r="T165" i="16"/>
  <c r="R165" i="16"/>
  <c r="P165" i="16"/>
  <c r="J165" i="16"/>
  <c r="BE165" i="16" s="1"/>
  <c r="BK163" i="16"/>
  <c r="BI163" i="16"/>
  <c r="BH163" i="16"/>
  <c r="BG163" i="16"/>
  <c r="BF163" i="16"/>
  <c r="T163" i="16"/>
  <c r="R163" i="16"/>
  <c r="P163" i="16"/>
  <c r="J163" i="16"/>
  <c r="BE163" i="16" s="1"/>
  <c r="BK161" i="16"/>
  <c r="BI161" i="16"/>
  <c r="BH161" i="16"/>
  <c r="BG161" i="16"/>
  <c r="BF161" i="16"/>
  <c r="BE161" i="16"/>
  <c r="T161" i="16"/>
  <c r="R161" i="16"/>
  <c r="P161" i="16"/>
  <c r="J161" i="16"/>
  <c r="BK159" i="16"/>
  <c r="BI159" i="16"/>
  <c r="BH159" i="16"/>
  <c r="BG159" i="16"/>
  <c r="BF159" i="16"/>
  <c r="BE159" i="16"/>
  <c r="T159" i="16"/>
  <c r="R159" i="16"/>
  <c r="P159" i="16"/>
  <c r="P154" i="16" s="1"/>
  <c r="J159" i="16"/>
  <c r="BK157" i="16"/>
  <c r="BI157" i="16"/>
  <c r="BH157" i="16"/>
  <c r="BG157" i="16"/>
  <c r="BF157" i="16"/>
  <c r="T157" i="16"/>
  <c r="T154" i="16" s="1"/>
  <c r="R157" i="16"/>
  <c r="P157" i="16"/>
  <c r="J157" i="16"/>
  <c r="BE157" i="16" s="1"/>
  <c r="BK155" i="16"/>
  <c r="BK154" i="16" s="1"/>
  <c r="J154" i="16" s="1"/>
  <c r="J66" i="16" s="1"/>
  <c r="BI155" i="16"/>
  <c r="BH155" i="16"/>
  <c r="BG155" i="16"/>
  <c r="BF155" i="16"/>
  <c r="T155" i="16"/>
  <c r="R155" i="16"/>
  <c r="R154" i="16" s="1"/>
  <c r="P155" i="16"/>
  <c r="J155" i="16"/>
  <c r="BE155" i="16" s="1"/>
  <c r="BK153" i="16"/>
  <c r="BI153" i="16"/>
  <c r="BH153" i="16"/>
  <c r="BG153" i="16"/>
  <c r="BF153" i="16"/>
  <c r="BE153" i="16"/>
  <c r="T153" i="16"/>
  <c r="R153" i="16"/>
  <c r="P153" i="16"/>
  <c r="J153" i="16"/>
  <c r="BK151" i="16"/>
  <c r="BI151" i="16"/>
  <c r="BH151" i="16"/>
  <c r="BG151" i="16"/>
  <c r="BF151" i="16"/>
  <c r="T151" i="16"/>
  <c r="R151" i="16"/>
  <c r="P151" i="16"/>
  <c r="J151" i="16"/>
  <c r="BE151" i="16" s="1"/>
  <c r="BK149" i="16"/>
  <c r="BI149" i="16"/>
  <c r="BH149" i="16"/>
  <c r="BG149" i="16"/>
  <c r="BF149" i="16"/>
  <c r="T149" i="16"/>
  <c r="R149" i="16"/>
  <c r="P149" i="16"/>
  <c r="J149" i="16"/>
  <c r="BE149" i="16" s="1"/>
  <c r="BK147" i="16"/>
  <c r="BI147" i="16"/>
  <c r="BH147" i="16"/>
  <c r="BG147" i="16"/>
  <c r="BF147" i="16"/>
  <c r="T147" i="16"/>
  <c r="R147" i="16"/>
  <c r="P147" i="16"/>
  <c r="J147" i="16"/>
  <c r="BE147" i="16" s="1"/>
  <c r="BK145" i="16"/>
  <c r="BI145" i="16"/>
  <c r="BH145" i="16"/>
  <c r="BG145" i="16"/>
  <c r="BF145" i="16"/>
  <c r="BE145" i="16"/>
  <c r="T145" i="16"/>
  <c r="R145" i="16"/>
  <c r="P145" i="16"/>
  <c r="J145" i="16"/>
  <c r="BK143" i="16"/>
  <c r="BI143" i="16"/>
  <c r="BH143" i="16"/>
  <c r="BG143" i="16"/>
  <c r="BF143" i="16"/>
  <c r="T143" i="16"/>
  <c r="R143" i="16"/>
  <c r="P143" i="16"/>
  <c r="J143" i="16"/>
  <c r="BE143" i="16" s="1"/>
  <c r="BK141" i="16"/>
  <c r="BI141" i="16"/>
  <c r="BH141" i="16"/>
  <c r="BG141" i="16"/>
  <c r="BF141" i="16"/>
  <c r="T141" i="16"/>
  <c r="R141" i="16"/>
  <c r="P141" i="16"/>
  <c r="J141" i="16"/>
  <c r="BE141" i="16" s="1"/>
  <c r="BK140" i="16"/>
  <c r="BI140" i="16"/>
  <c r="BH140" i="16"/>
  <c r="BG140" i="16"/>
  <c r="BF140" i="16"/>
  <c r="T140" i="16"/>
  <c r="R140" i="16"/>
  <c r="P140" i="16"/>
  <c r="J140" i="16"/>
  <c r="BE140" i="16" s="1"/>
  <c r="BK138" i="16"/>
  <c r="BI138" i="16"/>
  <c r="BH138" i="16"/>
  <c r="BG138" i="16"/>
  <c r="BF138" i="16"/>
  <c r="BE138" i="16"/>
  <c r="T138" i="16"/>
  <c r="R138" i="16"/>
  <c r="P138" i="16"/>
  <c r="J138" i="16"/>
  <c r="BK136" i="16"/>
  <c r="BI136" i="16"/>
  <c r="BH136" i="16"/>
  <c r="BG136" i="16"/>
  <c r="BF136" i="16"/>
  <c r="T136" i="16"/>
  <c r="R136" i="16"/>
  <c r="P136" i="16"/>
  <c r="J136" i="16"/>
  <c r="BE136" i="16" s="1"/>
  <c r="BK134" i="16"/>
  <c r="BI134" i="16"/>
  <c r="BH134" i="16"/>
  <c r="BG134" i="16"/>
  <c r="BF134" i="16"/>
  <c r="T134" i="16"/>
  <c r="R134" i="16"/>
  <c r="P134" i="16"/>
  <c r="J134" i="16"/>
  <c r="BE134" i="16" s="1"/>
  <c r="BK132" i="16"/>
  <c r="BI132" i="16"/>
  <c r="BH132" i="16"/>
  <c r="BG132" i="16"/>
  <c r="BF132" i="16"/>
  <c r="T132" i="16"/>
  <c r="R132" i="16"/>
  <c r="P132" i="16"/>
  <c r="J132" i="16"/>
  <c r="BE132" i="16" s="1"/>
  <c r="BK130" i="16"/>
  <c r="BI130" i="16"/>
  <c r="BH130" i="16"/>
  <c r="BG130" i="16"/>
  <c r="BF130" i="16"/>
  <c r="BE130" i="16"/>
  <c r="T130" i="16"/>
  <c r="R130" i="16"/>
  <c r="P130" i="16"/>
  <c r="P123" i="16" s="1"/>
  <c r="J130" i="16"/>
  <c r="BK128" i="16"/>
  <c r="BI128" i="16"/>
  <c r="BH128" i="16"/>
  <c r="BG128" i="16"/>
  <c r="BF128" i="16"/>
  <c r="T128" i="16"/>
  <c r="T123" i="16" s="1"/>
  <c r="R128" i="16"/>
  <c r="P128" i="16"/>
  <c r="J128" i="16"/>
  <c r="BE128" i="16" s="1"/>
  <c r="BK126" i="16"/>
  <c r="BI126" i="16"/>
  <c r="BH126" i="16"/>
  <c r="BG126" i="16"/>
  <c r="BF126" i="16"/>
  <c r="T126" i="16"/>
  <c r="R126" i="16"/>
  <c r="P126" i="16"/>
  <c r="J126" i="16"/>
  <c r="BE126" i="16" s="1"/>
  <c r="BK124" i="16"/>
  <c r="BI124" i="16"/>
  <c r="BH124" i="16"/>
  <c r="BG124" i="16"/>
  <c r="BF124" i="16"/>
  <c r="T124" i="16"/>
  <c r="R124" i="16"/>
  <c r="R123" i="16" s="1"/>
  <c r="P124" i="16"/>
  <c r="J124" i="16"/>
  <c r="BE124" i="16" s="1"/>
  <c r="BK123" i="16"/>
  <c r="J123" i="16" s="1"/>
  <c r="J65" i="16" s="1"/>
  <c r="BK121" i="16"/>
  <c r="BK120" i="16" s="1"/>
  <c r="J120" i="16" s="1"/>
  <c r="J64" i="16" s="1"/>
  <c r="BI121" i="16"/>
  <c r="BH121" i="16"/>
  <c r="BG121" i="16"/>
  <c r="BF121" i="16"/>
  <c r="BE121" i="16"/>
  <c r="T121" i="16"/>
  <c r="R121" i="16"/>
  <c r="P121" i="16"/>
  <c r="P120" i="16" s="1"/>
  <c r="J121" i="16"/>
  <c r="T120" i="16"/>
  <c r="R120" i="16"/>
  <c r="BK118" i="16"/>
  <c r="BI118" i="16"/>
  <c r="BH118" i="16"/>
  <c r="BG118" i="16"/>
  <c r="BF118" i="16"/>
  <c r="T118" i="16"/>
  <c r="R118" i="16"/>
  <c r="P118" i="16"/>
  <c r="J118" i="16"/>
  <c r="BE118" i="16" s="1"/>
  <c r="BK117" i="16"/>
  <c r="T117" i="16"/>
  <c r="R117" i="16"/>
  <c r="P117" i="16"/>
  <c r="J117" i="16"/>
  <c r="BK115" i="16"/>
  <c r="BI115" i="16"/>
  <c r="BH115" i="16"/>
  <c r="BG115" i="16"/>
  <c r="BF115" i="16"/>
  <c r="BE115" i="16"/>
  <c r="T115" i="16"/>
  <c r="R115" i="16"/>
  <c r="P115" i="16"/>
  <c r="J115" i="16"/>
  <c r="BK113" i="16"/>
  <c r="BK112" i="16" s="1"/>
  <c r="J112" i="16" s="1"/>
  <c r="J62" i="16" s="1"/>
  <c r="BI113" i="16"/>
  <c r="BH113" i="16"/>
  <c r="BG113" i="16"/>
  <c r="BF113" i="16"/>
  <c r="BE113" i="16"/>
  <c r="T113" i="16"/>
  <c r="R113" i="16"/>
  <c r="P113" i="16"/>
  <c r="P112" i="16" s="1"/>
  <c r="J113" i="16"/>
  <c r="T112" i="16"/>
  <c r="R112" i="16"/>
  <c r="BK110" i="16"/>
  <c r="BI110" i="16"/>
  <c r="BH110" i="16"/>
  <c r="BG110" i="16"/>
  <c r="BF110" i="16"/>
  <c r="T110" i="16"/>
  <c r="R110" i="16"/>
  <c r="P110" i="16"/>
  <c r="J110" i="16"/>
  <c r="BE110" i="16" s="1"/>
  <c r="BK108" i="16"/>
  <c r="BI108" i="16"/>
  <c r="BH108" i="16"/>
  <c r="BG108" i="16"/>
  <c r="BF108" i="16"/>
  <c r="T108" i="16"/>
  <c r="R108" i="16"/>
  <c r="P108" i="16"/>
  <c r="J108" i="16"/>
  <c r="BE108" i="16" s="1"/>
  <c r="BK106" i="16"/>
  <c r="BI106" i="16"/>
  <c r="BH106" i="16"/>
  <c r="BG106" i="16"/>
  <c r="BF106" i="16"/>
  <c r="BE106" i="16"/>
  <c r="T106" i="16"/>
  <c r="R106" i="16"/>
  <c r="P106" i="16"/>
  <c r="J106" i="16"/>
  <c r="BK103" i="16"/>
  <c r="BI103" i="16"/>
  <c r="BH103" i="16"/>
  <c r="BG103" i="16"/>
  <c r="BF103" i="16"/>
  <c r="BE103" i="16"/>
  <c r="T103" i="16"/>
  <c r="R103" i="16"/>
  <c r="P103" i="16"/>
  <c r="J103" i="16"/>
  <c r="BK101" i="16"/>
  <c r="BI101" i="16"/>
  <c r="F37" i="16" s="1"/>
  <c r="BD55" i="15" s="1"/>
  <c r="BH101" i="16"/>
  <c r="BG101" i="16"/>
  <c r="BF101" i="16"/>
  <c r="F34" i="16" s="1"/>
  <c r="BA55" i="15" s="1"/>
  <c r="T101" i="16"/>
  <c r="R101" i="16"/>
  <c r="P101" i="16"/>
  <c r="J101" i="16"/>
  <c r="BE101" i="16" s="1"/>
  <c r="BK99" i="16"/>
  <c r="BI99" i="16"/>
  <c r="BH99" i="16"/>
  <c r="F36" i="16" s="1"/>
  <c r="BC55" i="15" s="1"/>
  <c r="BG99" i="16"/>
  <c r="BF99" i="16"/>
  <c r="T99" i="16"/>
  <c r="R99" i="16"/>
  <c r="P99" i="16"/>
  <c r="J99" i="16"/>
  <c r="BE99" i="16" s="1"/>
  <c r="BK97" i="16"/>
  <c r="BI97" i="16"/>
  <c r="BH97" i="16"/>
  <c r="BG97" i="16"/>
  <c r="BF97" i="16"/>
  <c r="BE97" i="16"/>
  <c r="T97" i="16"/>
  <c r="R97" i="16"/>
  <c r="P97" i="16"/>
  <c r="P94" i="16" s="1"/>
  <c r="J97" i="16"/>
  <c r="BK95" i="16"/>
  <c r="BK94" i="16" s="1"/>
  <c r="BI95" i="16"/>
  <c r="BH95" i="16"/>
  <c r="BG95" i="16"/>
  <c r="F35" i="16" s="1"/>
  <c r="BB55" i="15" s="1"/>
  <c r="BF95" i="16"/>
  <c r="BE95" i="16"/>
  <c r="T95" i="16"/>
  <c r="T94" i="16" s="1"/>
  <c r="R95" i="16"/>
  <c r="R94" i="16" s="1"/>
  <c r="R93" i="16" s="1"/>
  <c r="P95" i="16"/>
  <c r="J95" i="16"/>
  <c r="J88" i="16"/>
  <c r="F86" i="16"/>
  <c r="E84" i="16"/>
  <c r="J63" i="16"/>
  <c r="J55" i="16"/>
  <c r="J52" i="16"/>
  <c r="F52" i="16"/>
  <c r="E50" i="16"/>
  <c r="E48" i="16"/>
  <c r="J37" i="16"/>
  <c r="J36" i="16"/>
  <c r="J35" i="16"/>
  <c r="J34" i="16"/>
  <c r="AW55" i="15" s="1"/>
  <c r="J24" i="16"/>
  <c r="E24" i="16"/>
  <c r="J89" i="16" s="1"/>
  <c r="J23" i="16"/>
  <c r="J21" i="16"/>
  <c r="E21" i="16"/>
  <c r="J54" i="16" s="1"/>
  <c r="J20" i="16"/>
  <c r="J18" i="16"/>
  <c r="E18" i="16"/>
  <c r="F89" i="16" s="1"/>
  <c r="J17" i="16"/>
  <c r="J15" i="16"/>
  <c r="E15" i="16"/>
  <c r="F54" i="16" s="1"/>
  <c r="J14" i="16"/>
  <c r="J12" i="16"/>
  <c r="J86" i="16" s="1"/>
  <c r="E7" i="16"/>
  <c r="E82" i="16" s="1"/>
  <c r="BD58" i="15"/>
  <c r="AY58" i="15"/>
  <c r="AX58" i="15"/>
  <c r="BA57" i="15"/>
  <c r="AY57" i="15"/>
  <c r="AX57" i="15"/>
  <c r="AY56" i="15"/>
  <c r="AX56" i="15"/>
  <c r="AU56" i="15"/>
  <c r="AY55" i="15"/>
  <c r="AX55" i="15"/>
  <c r="AS54" i="15"/>
  <c r="AM50" i="15"/>
  <c r="L50" i="15"/>
  <c r="AM49" i="15"/>
  <c r="L49" i="15"/>
  <c r="AM47" i="15"/>
  <c r="L47" i="15"/>
  <c r="L45" i="15"/>
  <c r="L44" i="15"/>
  <c r="E48" i="14" s="1"/>
  <c r="J83" i="14" s="1"/>
  <c r="F54" i="14" s="1"/>
  <c r="J85" i="14" s="1"/>
  <c r="J35" i="14"/>
  <c r="J36" i="14"/>
  <c r="J37" i="14"/>
  <c r="E50" i="14"/>
  <c r="F52" i="14"/>
  <c r="F55" i="14"/>
  <c r="J55" i="14"/>
  <c r="E79" i="14"/>
  <c r="E81" i="14"/>
  <c r="F83" i="14"/>
  <c r="F85" i="14"/>
  <c r="F86" i="14"/>
  <c r="J86" i="14"/>
  <c r="R91" i="14"/>
  <c r="J92" i="14"/>
  <c r="BE92" i="14" s="1"/>
  <c r="P92" i="14"/>
  <c r="P91" i="14" s="1"/>
  <c r="R92" i="14"/>
  <c r="T92" i="14"/>
  <c r="T91" i="14" s="1"/>
  <c r="BF92" i="14"/>
  <c r="BG92" i="14"/>
  <c r="BH92" i="14"/>
  <c r="BI92" i="14"/>
  <c r="BK92" i="14"/>
  <c r="BK91" i="14" s="1"/>
  <c r="J95" i="14"/>
  <c r="BE95" i="14" s="1"/>
  <c r="P95" i="14"/>
  <c r="P94" i="14" s="1"/>
  <c r="R95" i="14"/>
  <c r="R94" i="14" s="1"/>
  <c r="T95" i="14"/>
  <c r="T94" i="14" s="1"/>
  <c r="BF95" i="14"/>
  <c r="BG95" i="14"/>
  <c r="BH95" i="14"/>
  <c r="BI95" i="14"/>
  <c r="BK95" i="14"/>
  <c r="BK94" i="14" s="1"/>
  <c r="J94" i="14" s="1"/>
  <c r="J62" i="14" s="1"/>
  <c r="J98" i="14"/>
  <c r="BE98" i="14" s="1"/>
  <c r="P98" i="14"/>
  <c r="P97" i="14" s="1"/>
  <c r="R98" i="14"/>
  <c r="R97" i="14" s="1"/>
  <c r="T98" i="14"/>
  <c r="T97" i="14" s="1"/>
  <c r="BF98" i="14"/>
  <c r="BG98" i="14"/>
  <c r="BH98" i="14"/>
  <c r="BI98" i="14"/>
  <c r="BK98" i="14"/>
  <c r="J100" i="14"/>
  <c r="P100" i="14"/>
  <c r="R100" i="14"/>
  <c r="T100" i="14"/>
  <c r="BE100" i="14"/>
  <c r="BF100" i="14"/>
  <c r="BG100" i="14"/>
  <c r="BH100" i="14"/>
  <c r="BI100" i="14"/>
  <c r="BK100" i="14"/>
  <c r="BK97" i="14" s="1"/>
  <c r="J97" i="14" s="1"/>
  <c r="J63" i="14" s="1"/>
  <c r="J103" i="14"/>
  <c r="BE103" i="14" s="1"/>
  <c r="P103" i="14"/>
  <c r="R103" i="14"/>
  <c r="T103" i="14"/>
  <c r="T102" i="14" s="1"/>
  <c r="BF103" i="14"/>
  <c r="BG103" i="14"/>
  <c r="BH103" i="14"/>
  <c r="BI103" i="14"/>
  <c r="BK103" i="14"/>
  <c r="J105" i="14"/>
  <c r="P105" i="14"/>
  <c r="R105" i="14"/>
  <c r="T105" i="14"/>
  <c r="BE105" i="14"/>
  <c r="BF105" i="14"/>
  <c r="BG105" i="14"/>
  <c r="BH105" i="14"/>
  <c r="BI105" i="14"/>
  <c r="BK105" i="14"/>
  <c r="J107" i="14"/>
  <c r="BE107" i="14" s="1"/>
  <c r="P107" i="14"/>
  <c r="P102" i="14" s="1"/>
  <c r="R107" i="14"/>
  <c r="R102" i="14" s="1"/>
  <c r="T107" i="14"/>
  <c r="BF107" i="14"/>
  <c r="BG107" i="14"/>
  <c r="BH107" i="14"/>
  <c r="BI107" i="14"/>
  <c r="BK107" i="14"/>
  <c r="J110" i="14"/>
  <c r="BE110" i="14" s="1"/>
  <c r="P110" i="14"/>
  <c r="R110" i="14"/>
  <c r="T110" i="14"/>
  <c r="BF110" i="14"/>
  <c r="BG110" i="14"/>
  <c r="BH110" i="14"/>
  <c r="BI110" i="14"/>
  <c r="BK110" i="14"/>
  <c r="J112" i="14"/>
  <c r="BE112" i="14" s="1"/>
  <c r="P112" i="14"/>
  <c r="R112" i="14"/>
  <c r="T112" i="14"/>
  <c r="BF112" i="14"/>
  <c r="BG112" i="14"/>
  <c r="BH112" i="14"/>
  <c r="BI112" i="14"/>
  <c r="BK112" i="14"/>
  <c r="T114" i="14"/>
  <c r="J115" i="14"/>
  <c r="BE115" i="14" s="1"/>
  <c r="P115" i="14"/>
  <c r="P114" i="14" s="1"/>
  <c r="R115" i="14"/>
  <c r="R114" i="14" s="1"/>
  <c r="T115" i="14"/>
  <c r="BF115" i="14"/>
  <c r="BG115" i="14"/>
  <c r="BH115" i="14"/>
  <c r="BI115" i="14"/>
  <c r="BK115" i="14"/>
  <c r="BK114" i="14" s="1"/>
  <c r="J114" i="14" s="1"/>
  <c r="J65" i="14" s="1"/>
  <c r="J119" i="14"/>
  <c r="P119" i="14"/>
  <c r="R119" i="14"/>
  <c r="T119" i="14"/>
  <c r="BE119" i="14"/>
  <c r="BF119" i="14"/>
  <c r="BG119" i="14"/>
  <c r="BH119" i="14"/>
  <c r="BI119" i="14"/>
  <c r="BK119" i="14"/>
  <c r="J121" i="14"/>
  <c r="BE121" i="14" s="1"/>
  <c r="P121" i="14"/>
  <c r="R121" i="14"/>
  <c r="T121" i="14"/>
  <c r="BF121" i="14"/>
  <c r="BG121" i="14"/>
  <c r="BH121" i="14"/>
  <c r="BI121" i="14"/>
  <c r="BK121" i="14"/>
  <c r="J122" i="14"/>
  <c r="P122" i="14"/>
  <c r="R122" i="14"/>
  <c r="T122" i="14"/>
  <c r="BE122" i="14"/>
  <c r="BF122" i="14"/>
  <c r="BG122" i="14"/>
  <c r="BH122" i="14"/>
  <c r="BI122" i="14"/>
  <c r="BK122" i="14"/>
  <c r="J124" i="14"/>
  <c r="P124" i="14"/>
  <c r="R124" i="14"/>
  <c r="T124" i="14"/>
  <c r="BE124" i="14"/>
  <c r="BF124" i="14"/>
  <c r="BG124" i="14"/>
  <c r="BH124" i="14"/>
  <c r="BI124" i="14"/>
  <c r="BK124" i="14"/>
  <c r="J125" i="14"/>
  <c r="BE125" i="14" s="1"/>
  <c r="P125" i="14"/>
  <c r="R125" i="14"/>
  <c r="T125" i="14"/>
  <c r="BF125" i="14"/>
  <c r="BG125" i="14"/>
  <c r="BH125" i="14"/>
  <c r="BI125" i="14"/>
  <c r="BK125" i="14"/>
  <c r="J127" i="14"/>
  <c r="BE127" i="14" s="1"/>
  <c r="P127" i="14"/>
  <c r="R127" i="14"/>
  <c r="T127" i="14"/>
  <c r="BF127" i="14"/>
  <c r="BG127" i="14"/>
  <c r="BH127" i="14"/>
  <c r="BI127" i="14"/>
  <c r="BK127" i="14"/>
  <c r="J128" i="14"/>
  <c r="BE128" i="14" s="1"/>
  <c r="P128" i="14"/>
  <c r="R128" i="14"/>
  <c r="T128" i="14"/>
  <c r="BF128" i="14"/>
  <c r="BG128" i="14"/>
  <c r="BH128" i="14"/>
  <c r="BI128" i="14"/>
  <c r="BK128" i="14"/>
  <c r="J130" i="14"/>
  <c r="BE130" i="14" s="1"/>
  <c r="P130" i="14"/>
  <c r="R130" i="14"/>
  <c r="T130" i="14"/>
  <c r="BF130" i="14"/>
  <c r="BG130" i="14"/>
  <c r="BH130" i="14"/>
  <c r="BI130" i="14"/>
  <c r="BK130" i="14"/>
  <c r="J132" i="14"/>
  <c r="P132" i="14"/>
  <c r="R132" i="14"/>
  <c r="T132" i="14"/>
  <c r="BE132" i="14"/>
  <c r="BF132" i="14"/>
  <c r="BG132" i="14"/>
  <c r="BH132" i="14"/>
  <c r="BI132" i="14"/>
  <c r="BK132" i="14"/>
  <c r="J134" i="14"/>
  <c r="BE134" i="14" s="1"/>
  <c r="P134" i="14"/>
  <c r="R134" i="14"/>
  <c r="T134" i="14"/>
  <c r="BF134" i="14"/>
  <c r="BG134" i="14"/>
  <c r="BH134" i="14"/>
  <c r="BI134" i="14"/>
  <c r="BK134" i="14"/>
  <c r="J136" i="14"/>
  <c r="BE136" i="14" s="1"/>
  <c r="P136" i="14"/>
  <c r="R136" i="14"/>
  <c r="T136" i="14"/>
  <c r="BF136" i="14"/>
  <c r="BG136" i="14"/>
  <c r="BH136" i="14"/>
  <c r="BI136" i="14"/>
  <c r="BK136" i="14"/>
  <c r="J138" i="14"/>
  <c r="P138" i="14"/>
  <c r="R138" i="14"/>
  <c r="T138" i="14"/>
  <c r="BE138" i="14"/>
  <c r="BF138" i="14"/>
  <c r="BG138" i="14"/>
  <c r="BH138" i="14"/>
  <c r="BI138" i="14"/>
  <c r="BK138" i="14"/>
  <c r="J139" i="14"/>
  <c r="P139" i="14"/>
  <c r="R139" i="14"/>
  <c r="T139" i="14"/>
  <c r="BE139" i="14"/>
  <c r="BF139" i="14"/>
  <c r="BG139" i="14"/>
  <c r="BH139" i="14"/>
  <c r="BI139" i="14"/>
  <c r="BK139" i="14"/>
  <c r="J140" i="14"/>
  <c r="BE140" i="14" s="1"/>
  <c r="P140" i="14"/>
  <c r="R140" i="14"/>
  <c r="T140" i="14"/>
  <c r="BF140" i="14"/>
  <c r="BG140" i="14"/>
  <c r="BH140" i="14"/>
  <c r="BI140" i="14"/>
  <c r="BK140" i="14"/>
  <c r="J142" i="14"/>
  <c r="P142" i="14"/>
  <c r="R142" i="14"/>
  <c r="T142" i="14"/>
  <c r="BE142" i="14"/>
  <c r="BF142" i="14"/>
  <c r="BG142" i="14"/>
  <c r="BH142" i="14"/>
  <c r="BI142" i="14"/>
  <c r="BK142" i="14"/>
  <c r="J146" i="14"/>
  <c r="BE146" i="14" s="1"/>
  <c r="P146" i="14"/>
  <c r="R146" i="14"/>
  <c r="T146" i="14"/>
  <c r="T145" i="14" s="1"/>
  <c r="T144" i="14" s="1"/>
  <c r="BF146" i="14"/>
  <c r="BG146" i="14"/>
  <c r="BH146" i="14"/>
  <c r="BI146" i="14"/>
  <c r="BK146" i="14"/>
  <c r="J148" i="14"/>
  <c r="BE148" i="14" s="1"/>
  <c r="P148" i="14"/>
  <c r="R148" i="14"/>
  <c r="T148" i="14"/>
  <c r="BF148" i="14"/>
  <c r="BG148" i="14"/>
  <c r="BH148" i="14"/>
  <c r="BI148" i="14"/>
  <c r="BK148" i="14"/>
  <c r="F36" i="14" l="1"/>
  <c r="BC56" i="15" s="1"/>
  <c r="BK102" i="14"/>
  <c r="J102" i="14" s="1"/>
  <c r="J64" i="14" s="1"/>
  <c r="R145" i="14"/>
  <c r="R144" i="14" s="1"/>
  <c r="F34" i="14"/>
  <c r="BA56" i="15" s="1"/>
  <c r="BK145" i="14"/>
  <c r="P145" i="14"/>
  <c r="P144" i="14" s="1"/>
  <c r="T118" i="14"/>
  <c r="T117" i="14" s="1"/>
  <c r="F37" i="14"/>
  <c r="BD56" i="15" s="1"/>
  <c r="R118" i="14"/>
  <c r="R117" i="14" s="1"/>
  <c r="T90" i="14"/>
  <c r="BK118" i="14"/>
  <c r="P118" i="14"/>
  <c r="P117" i="14" s="1"/>
  <c r="F35" i="14"/>
  <c r="BB56" i="15" s="1"/>
  <c r="BB54" i="15" s="1"/>
  <c r="BC54" i="15"/>
  <c r="AY54" i="15" s="1"/>
  <c r="BD54" i="15"/>
  <c r="W33" i="15" s="1"/>
  <c r="P87" i="17"/>
  <c r="P86" i="17" s="1"/>
  <c r="AU57" i="15" s="1"/>
  <c r="BK87" i="17"/>
  <c r="J88" i="17"/>
  <c r="J61" i="17" s="1"/>
  <c r="P123" i="18"/>
  <c r="J94" i="16"/>
  <c r="J61" i="16" s="1"/>
  <c r="BK93" i="16"/>
  <c r="BA54" i="15"/>
  <c r="R92" i="16"/>
  <c r="J195" i="16"/>
  <c r="J70" i="16" s="1"/>
  <c r="BK194" i="16"/>
  <c r="J194" i="16" s="1"/>
  <c r="J69" i="16" s="1"/>
  <c r="T93" i="16"/>
  <c r="T92" i="16" s="1"/>
  <c r="P93" i="16"/>
  <c r="P92" i="16" s="1"/>
  <c r="AU55" i="15" s="1"/>
  <c r="T91" i="18"/>
  <c r="R92" i="18"/>
  <c r="R91" i="18" s="1"/>
  <c r="R194" i="16"/>
  <c r="J123" i="17"/>
  <c r="J66" i="17" s="1"/>
  <c r="BK122" i="17"/>
  <c r="J122" i="17" s="1"/>
  <c r="J65" i="17" s="1"/>
  <c r="J33" i="17"/>
  <c r="AV57" i="15" s="1"/>
  <c r="AT57" i="15" s="1"/>
  <c r="F33" i="17"/>
  <c r="AZ57" i="15" s="1"/>
  <c r="F33" i="16"/>
  <c r="AZ55" i="15" s="1"/>
  <c r="J33" i="18"/>
  <c r="AV58" i="15" s="1"/>
  <c r="F33" i="18"/>
  <c r="AZ58" i="15" s="1"/>
  <c r="J93" i="18"/>
  <c r="J61" i="18" s="1"/>
  <c r="BK92" i="18"/>
  <c r="P92" i="18"/>
  <c r="P91" i="18" s="1"/>
  <c r="AU58" i="15" s="1"/>
  <c r="J124" i="18"/>
  <c r="J67" i="18" s="1"/>
  <c r="BK123" i="18"/>
  <c r="J123" i="18" s="1"/>
  <c r="J66" i="18" s="1"/>
  <c r="J33" i="16"/>
  <c r="AV55" i="15" s="1"/>
  <c r="AT55" i="15" s="1"/>
  <c r="F55" i="16"/>
  <c r="J34" i="18"/>
  <c r="AW58" i="15" s="1"/>
  <c r="J85" i="18"/>
  <c r="J52" i="17"/>
  <c r="F87" i="18"/>
  <c r="J54" i="17"/>
  <c r="F88" i="18"/>
  <c r="F88" i="16"/>
  <c r="F55" i="17"/>
  <c r="J88" i="18"/>
  <c r="E48" i="17"/>
  <c r="BK117" i="14"/>
  <c r="J117" i="14" s="1"/>
  <c r="J66" i="14" s="1"/>
  <c r="J118" i="14"/>
  <c r="J67" i="14" s="1"/>
  <c r="BK90" i="14"/>
  <c r="J91" i="14"/>
  <c r="J61" i="14" s="1"/>
  <c r="P90" i="14"/>
  <c r="R90" i="14"/>
  <c r="R89" i="14" s="1"/>
  <c r="BK144" i="14"/>
  <c r="J144" i="14" s="1"/>
  <c r="J68" i="14" s="1"/>
  <c r="J145" i="14"/>
  <c r="J69" i="14" s="1"/>
  <c r="J33" i="14"/>
  <c r="AV56" i="15" s="1"/>
  <c r="AT56" i="15" s="1"/>
  <c r="J54" i="14"/>
  <c r="F33" i="14"/>
  <c r="AZ56" i="15" s="1"/>
  <c r="J52" i="14"/>
  <c r="J34" i="14"/>
  <c r="AW56" i="15" s="1"/>
  <c r="P89" i="14" l="1"/>
  <c r="T89" i="14"/>
  <c r="W32" i="15"/>
  <c r="W31" i="15"/>
  <c r="AX54" i="15"/>
  <c r="AZ54" i="15"/>
  <c r="W29" i="15" s="1"/>
  <c r="AU54" i="15"/>
  <c r="BK92" i="16"/>
  <c r="J92" i="16" s="1"/>
  <c r="J93" i="16"/>
  <c r="J60" i="16" s="1"/>
  <c r="J92" i="18"/>
  <c r="J60" i="18" s="1"/>
  <c r="BK91" i="18"/>
  <c r="J91" i="18" s="1"/>
  <c r="J87" i="17"/>
  <c r="J60" i="17" s="1"/>
  <c r="BK86" i="17"/>
  <c r="J86" i="17" s="1"/>
  <c r="AT58" i="15"/>
  <c r="AW54" i="15"/>
  <c r="AK30" i="15" s="1"/>
  <c r="W30" i="15"/>
  <c r="BK89" i="14"/>
  <c r="J89" i="14" s="1"/>
  <c r="J90" i="14"/>
  <c r="J60" i="14" s="1"/>
  <c r="AV54" i="15" l="1"/>
  <c r="AT54" i="15" s="1"/>
  <c r="J30" i="16"/>
  <c r="J59" i="16"/>
  <c r="AK29" i="15"/>
  <c r="J30" i="18"/>
  <c r="J59" i="18"/>
  <c r="J59" i="17"/>
  <c r="J30" i="17"/>
  <c r="J59" i="14"/>
  <c r="J30" i="14"/>
  <c r="AG56" i="15" s="1"/>
  <c r="AN56" i="15" s="1"/>
  <c r="J39" i="18" l="1"/>
  <c r="AG58" i="15"/>
  <c r="AN58" i="15" s="1"/>
  <c r="AG57" i="15"/>
  <c r="AN57" i="15" s="1"/>
  <c r="J39" i="17"/>
  <c r="AG55" i="15"/>
  <c r="J39" i="16"/>
  <c r="J39" i="14"/>
  <c r="AG54" i="15" l="1"/>
  <c r="AN55" i="15"/>
  <c r="AN54" i="15" l="1"/>
  <c r="AK26" i="15"/>
  <c r="AK35" i="15" s="1"/>
  <c r="H156" i="8" l="1"/>
  <c r="I156" i="8" s="1"/>
  <c r="F156" i="8"/>
  <c r="H155" i="8"/>
  <c r="I155" i="8" s="1"/>
  <c r="F155" i="8"/>
  <c r="H154" i="8"/>
  <c r="I154" i="8" s="1"/>
  <c r="F154" i="8"/>
  <c r="H153" i="8"/>
  <c r="F153" i="8"/>
  <c r="H152" i="8"/>
  <c r="F152" i="8"/>
  <c r="H151" i="8"/>
  <c r="F151" i="8"/>
  <c r="H150" i="8"/>
  <c r="F150" i="8"/>
  <c r="H147" i="8"/>
  <c r="I147" i="8" s="1"/>
  <c r="F147" i="8"/>
  <c r="H146" i="8"/>
  <c r="F146" i="8"/>
  <c r="H145" i="8"/>
  <c r="F145" i="8"/>
  <c r="H144" i="8"/>
  <c r="F144" i="8"/>
  <c r="H143" i="8"/>
  <c r="F143" i="8"/>
  <c r="H142" i="8"/>
  <c r="F142" i="8"/>
  <c r="H141" i="8"/>
  <c r="F141" i="8"/>
  <c r="H140" i="8"/>
  <c r="F140" i="8"/>
  <c r="H139" i="8"/>
  <c r="F139" i="8"/>
  <c r="H138" i="8"/>
  <c r="F138" i="8"/>
  <c r="H137" i="8"/>
  <c r="F137" i="8"/>
  <c r="H136" i="8"/>
  <c r="F136" i="8"/>
  <c r="H135" i="8"/>
  <c r="F135" i="8"/>
  <c r="H132" i="8"/>
  <c r="F132" i="8"/>
  <c r="I132" i="8" s="1"/>
  <c r="H131" i="8"/>
  <c r="I131" i="8" s="1"/>
  <c r="F131" i="8"/>
  <c r="I130" i="8"/>
  <c r="H130" i="8"/>
  <c r="F130" i="8"/>
  <c r="H129" i="8"/>
  <c r="F129" i="8"/>
  <c r="H128" i="8"/>
  <c r="F128" i="8"/>
  <c r="H127" i="8"/>
  <c r="F127" i="8"/>
  <c r="H126" i="8"/>
  <c r="I126" i="8" s="1"/>
  <c r="F126" i="8"/>
  <c r="H125" i="8"/>
  <c r="I125" i="8" s="1"/>
  <c r="F125" i="8"/>
  <c r="H124" i="8"/>
  <c r="I124" i="8" s="1"/>
  <c r="F124" i="8"/>
  <c r="H123" i="8"/>
  <c r="I123" i="8" s="1"/>
  <c r="F123" i="8"/>
  <c r="H122" i="8"/>
  <c r="I122" i="8" s="1"/>
  <c r="F122" i="8"/>
  <c r="H121" i="8"/>
  <c r="I121" i="8" s="1"/>
  <c r="F121" i="8"/>
  <c r="H120" i="8"/>
  <c r="I120" i="8" s="1"/>
  <c r="F120" i="8"/>
  <c r="H119" i="8"/>
  <c r="I119" i="8" s="1"/>
  <c r="F119" i="8"/>
  <c r="H116" i="8"/>
  <c r="F116" i="8"/>
  <c r="H115" i="8"/>
  <c r="F115" i="8"/>
  <c r="H114" i="8"/>
  <c r="F114" i="8"/>
  <c r="H113" i="8"/>
  <c r="F113" i="8"/>
  <c r="H112" i="8"/>
  <c r="F112" i="8"/>
  <c r="H111" i="8"/>
  <c r="F111" i="8"/>
  <c r="H110" i="8"/>
  <c r="F110" i="8"/>
  <c r="H109" i="8"/>
  <c r="F109" i="8"/>
  <c r="H108" i="8"/>
  <c r="F108" i="8"/>
  <c r="H107" i="8"/>
  <c r="F107" i="8"/>
  <c r="H106" i="8"/>
  <c r="F106" i="8"/>
  <c r="H105" i="8"/>
  <c r="F105" i="8"/>
  <c r="H104" i="8"/>
  <c r="F104" i="8"/>
  <c r="H103" i="8"/>
  <c r="I103" i="8" s="1"/>
  <c r="F103" i="8"/>
  <c r="H102" i="8"/>
  <c r="F102" i="8"/>
  <c r="H101" i="8"/>
  <c r="F101" i="8"/>
  <c r="H100" i="8"/>
  <c r="F100" i="8"/>
  <c r="H99" i="8"/>
  <c r="F99" i="8"/>
  <c r="H98" i="8"/>
  <c r="I98" i="8" s="1"/>
  <c r="F98" i="8"/>
  <c r="H97" i="8"/>
  <c r="I97" i="8" s="1"/>
  <c r="F97" i="8"/>
  <c r="H96" i="8"/>
  <c r="F96" i="8"/>
  <c r="H93" i="8"/>
  <c r="F93" i="8"/>
  <c r="H92" i="8"/>
  <c r="F92" i="8"/>
  <c r="H91" i="8"/>
  <c r="F91" i="8"/>
  <c r="H90" i="8"/>
  <c r="I90" i="8" s="1"/>
  <c r="F90" i="8"/>
  <c r="H89" i="8"/>
  <c r="F89" i="8"/>
  <c r="H86" i="8"/>
  <c r="F86" i="8"/>
  <c r="H85" i="8"/>
  <c r="F85" i="8"/>
  <c r="H84" i="8"/>
  <c r="F84" i="8"/>
  <c r="H83" i="8"/>
  <c r="F83" i="8"/>
  <c r="H82" i="8"/>
  <c r="I82" i="8" s="1"/>
  <c r="F82" i="8"/>
  <c r="H81" i="8"/>
  <c r="I81" i="8" s="1"/>
  <c r="F81" i="8"/>
  <c r="H80" i="8"/>
  <c r="F80" i="8"/>
  <c r="H79" i="8"/>
  <c r="F79" i="8"/>
  <c r="H78" i="8"/>
  <c r="F78" i="8"/>
  <c r="H77" i="8"/>
  <c r="I77" i="8" s="1"/>
  <c r="F77" i="8"/>
  <c r="H76" i="8"/>
  <c r="F76" i="8"/>
  <c r="H75" i="8"/>
  <c r="I75" i="8" s="1"/>
  <c r="F75" i="8"/>
  <c r="H74" i="8"/>
  <c r="I74" i="8" s="1"/>
  <c r="F74" i="8"/>
  <c r="H73" i="8"/>
  <c r="F73" i="8"/>
  <c r="H72" i="8"/>
  <c r="F72" i="8"/>
  <c r="H71" i="8"/>
  <c r="I71" i="8" s="1"/>
  <c r="F71" i="8"/>
  <c r="H68" i="8"/>
  <c r="F68" i="8"/>
  <c r="H67" i="8"/>
  <c r="F67" i="8"/>
  <c r="H66" i="8"/>
  <c r="I66" i="8" s="1"/>
  <c r="F66" i="8"/>
  <c r="H65" i="8"/>
  <c r="F65" i="8"/>
  <c r="H64" i="8"/>
  <c r="F64" i="8"/>
  <c r="H63" i="8"/>
  <c r="F63" i="8"/>
  <c r="H62" i="8"/>
  <c r="F62" i="8"/>
  <c r="H61" i="8"/>
  <c r="F61" i="8"/>
  <c r="H60" i="8"/>
  <c r="F60" i="8"/>
  <c r="H59" i="8"/>
  <c r="F59" i="8"/>
  <c r="H58" i="8"/>
  <c r="F58" i="8"/>
  <c r="H57" i="8"/>
  <c r="F57" i="8"/>
  <c r="H56" i="8"/>
  <c r="F56" i="8"/>
  <c r="H55" i="8"/>
  <c r="F55" i="8"/>
  <c r="H52" i="8"/>
  <c r="I52" i="8" s="1"/>
  <c r="F52" i="8"/>
  <c r="H51" i="8"/>
  <c r="F51" i="8"/>
  <c r="H50" i="8"/>
  <c r="F50" i="8"/>
  <c r="H49" i="8"/>
  <c r="F49" i="8"/>
  <c r="H48" i="8"/>
  <c r="F48" i="8"/>
  <c r="H47" i="8"/>
  <c r="F47" i="8"/>
  <c r="H46" i="8"/>
  <c r="F46" i="8"/>
  <c r="H45" i="8"/>
  <c r="I45" i="8" s="1"/>
  <c r="F45" i="8"/>
  <c r="H44" i="8"/>
  <c r="F44" i="8"/>
  <c r="H43" i="8"/>
  <c r="F43" i="8"/>
  <c r="H42" i="8"/>
  <c r="F42" i="8"/>
  <c r="I42" i="8" s="1"/>
  <c r="H41" i="8"/>
  <c r="I41" i="8" s="1"/>
  <c r="F41" i="8"/>
  <c r="I40" i="8"/>
  <c r="H40" i="8"/>
  <c r="F40" i="8"/>
  <c r="H39" i="8"/>
  <c r="F39" i="8"/>
  <c r="H38" i="8"/>
  <c r="I38" i="8" s="1"/>
  <c r="F38" i="8"/>
  <c r="H37" i="8"/>
  <c r="F37" i="8"/>
  <c r="H36" i="8"/>
  <c r="F36" i="8"/>
  <c r="H35" i="8"/>
  <c r="F35" i="8"/>
  <c r="H34" i="8"/>
  <c r="I34" i="8" s="1"/>
  <c r="F34" i="8"/>
  <c r="H33" i="8"/>
  <c r="I33" i="8" s="1"/>
  <c r="F33" i="8"/>
  <c r="H32" i="8"/>
  <c r="F32" i="8"/>
  <c r="I32" i="8" s="1"/>
  <c r="H31" i="8"/>
  <c r="I31" i="8" s="1"/>
  <c r="F31" i="8"/>
  <c r="H30" i="8"/>
  <c r="F30" i="8"/>
  <c r="H29" i="8"/>
  <c r="F29" i="8"/>
  <c r="H28" i="8"/>
  <c r="F28" i="8"/>
  <c r="H27" i="8"/>
  <c r="I27" i="8" s="1"/>
  <c r="F27" i="8"/>
  <c r="H26" i="8"/>
  <c r="F26" i="8"/>
  <c r="H25" i="8"/>
  <c r="I25" i="8" s="1"/>
  <c r="F25" i="8"/>
  <c r="H24" i="8"/>
  <c r="I24" i="8" s="1"/>
  <c r="F24" i="8"/>
  <c r="H23" i="8"/>
  <c r="F23" i="8"/>
  <c r="H22" i="8"/>
  <c r="F22" i="8"/>
  <c r="H21" i="8"/>
  <c r="I21" i="8" s="1"/>
  <c r="F21" i="8"/>
  <c r="H20" i="8"/>
  <c r="I20" i="8" s="1"/>
  <c r="F20" i="8"/>
  <c r="H19" i="8"/>
  <c r="F19" i="8"/>
  <c r="H18" i="8"/>
  <c r="F18" i="8"/>
  <c r="I18" i="8" s="1"/>
  <c r="H17" i="8"/>
  <c r="I17" i="8" s="1"/>
  <c r="F17" i="8"/>
  <c r="I16" i="8"/>
  <c r="H16" i="8"/>
  <c r="F16" i="8"/>
  <c r="H15" i="8"/>
  <c r="I15" i="8" s="1"/>
  <c r="F15" i="8"/>
  <c r="H14" i="8"/>
  <c r="I14" i="8" s="1"/>
  <c r="F14" i="8"/>
  <c r="H13" i="8"/>
  <c r="I13" i="8" s="1"/>
  <c r="F13" i="8"/>
  <c r="I40" i="7"/>
  <c r="I39" i="7"/>
  <c r="I38" i="7"/>
  <c r="I37" i="7"/>
  <c r="I36" i="7"/>
  <c r="I26" i="7"/>
  <c r="I25" i="7"/>
  <c r="I24" i="7"/>
  <c r="I23" i="7"/>
  <c r="I22" i="7"/>
  <c r="I21" i="7"/>
  <c r="I14" i="6" s="1"/>
  <c r="I17" i="7"/>
  <c r="I16" i="7"/>
  <c r="I15" i="7"/>
  <c r="I18" i="7" s="1"/>
  <c r="I19" i="6"/>
  <c r="I18" i="6"/>
  <c r="I17" i="6"/>
  <c r="I16" i="6"/>
  <c r="F16" i="6"/>
  <c r="I15" i="6"/>
  <c r="F15" i="6"/>
  <c r="AF105" i="5"/>
  <c r="AN105" i="5" s="1"/>
  <c r="AE105" i="5"/>
  <c r="AM105" i="5" s="1"/>
  <c r="AA105" i="5"/>
  <c r="Z105" i="5"/>
  <c r="O105" i="5"/>
  <c r="L105" i="5"/>
  <c r="J105" i="5"/>
  <c r="AB105" i="5" s="1"/>
  <c r="AF104" i="5"/>
  <c r="AN104" i="5" s="1"/>
  <c r="AE104" i="5"/>
  <c r="AM104" i="5" s="1"/>
  <c r="AA104" i="5"/>
  <c r="AJ103" i="5" s="1"/>
  <c r="Z104" i="5"/>
  <c r="O104" i="5"/>
  <c r="P103" i="5" s="1"/>
  <c r="L104" i="5"/>
  <c r="J104" i="5"/>
  <c r="AI103" i="5"/>
  <c r="V103" i="5"/>
  <c r="T103" i="5"/>
  <c r="R103" i="5"/>
  <c r="L103" i="5"/>
  <c r="AF101" i="5"/>
  <c r="AN101" i="5" s="1"/>
  <c r="AE101" i="5"/>
  <c r="AM101" i="5" s="1"/>
  <c r="AA101" i="5"/>
  <c r="AJ100" i="5" s="1"/>
  <c r="Z101" i="5"/>
  <c r="O101" i="5"/>
  <c r="L101" i="5"/>
  <c r="L100" i="5" s="1"/>
  <c r="J101" i="5"/>
  <c r="AB101" i="5" s="1"/>
  <c r="AK100" i="5" s="1"/>
  <c r="AI100" i="5"/>
  <c r="X100" i="5"/>
  <c r="V100" i="5"/>
  <c r="T100" i="5"/>
  <c r="P100" i="5"/>
  <c r="AF97" i="5"/>
  <c r="AN97" i="5" s="1"/>
  <c r="AE97" i="5"/>
  <c r="AM97" i="5" s="1"/>
  <c r="AA97" i="5"/>
  <c r="AJ96" i="5" s="1"/>
  <c r="Z97" i="5"/>
  <c r="AI96" i="5" s="1"/>
  <c r="O97" i="5"/>
  <c r="P96" i="5" s="1"/>
  <c r="L97" i="5"/>
  <c r="L96" i="5" s="1"/>
  <c r="L95" i="5" s="1"/>
  <c r="J97" i="5"/>
  <c r="X96" i="5"/>
  <c r="V96" i="5"/>
  <c r="T96" i="5"/>
  <c r="AF94" i="5"/>
  <c r="AN94" i="5" s="1"/>
  <c r="AE94" i="5"/>
  <c r="AM94" i="5" s="1"/>
  <c r="AA94" i="5"/>
  <c r="Z94" i="5"/>
  <c r="O94" i="5"/>
  <c r="P93" i="5" s="1"/>
  <c r="L94" i="5"/>
  <c r="L93" i="5" s="1"/>
  <c r="J94" i="5"/>
  <c r="AB94" i="5" s="1"/>
  <c r="AK93" i="5" s="1"/>
  <c r="AJ93" i="5"/>
  <c r="AI93" i="5"/>
  <c r="V93" i="5"/>
  <c r="T93" i="5"/>
  <c r="R93" i="5"/>
  <c r="AF92" i="5"/>
  <c r="AN92" i="5" s="1"/>
  <c r="AE92" i="5"/>
  <c r="AM92" i="5" s="1"/>
  <c r="AA92" i="5"/>
  <c r="AJ90" i="5" s="1"/>
  <c r="Z92" i="5"/>
  <c r="O92" i="5"/>
  <c r="L92" i="5"/>
  <c r="J92" i="5"/>
  <c r="AB92" i="5" s="1"/>
  <c r="AF91" i="5"/>
  <c r="AN91" i="5" s="1"/>
  <c r="AE91" i="5"/>
  <c r="AM91" i="5" s="1"/>
  <c r="AA91" i="5"/>
  <c r="Z91" i="5"/>
  <c r="O91" i="5"/>
  <c r="L91" i="5"/>
  <c r="L90" i="5" s="1"/>
  <c r="J91" i="5"/>
  <c r="V90" i="5"/>
  <c r="T90" i="5"/>
  <c r="R90" i="5"/>
  <c r="AN89" i="5"/>
  <c r="AF89" i="5"/>
  <c r="AE89" i="5"/>
  <c r="AM89" i="5" s="1"/>
  <c r="AA89" i="5"/>
  <c r="AJ88" i="5" s="1"/>
  <c r="Z89" i="5"/>
  <c r="AI88" i="5" s="1"/>
  <c r="O89" i="5"/>
  <c r="P88" i="5" s="1"/>
  <c r="L89" i="5"/>
  <c r="L88" i="5" s="1"/>
  <c r="J89" i="5"/>
  <c r="AB89" i="5" s="1"/>
  <c r="AK88" i="5" s="1"/>
  <c r="H89" i="5"/>
  <c r="X88" i="5"/>
  <c r="T88" i="5"/>
  <c r="R88" i="5"/>
  <c r="AF86" i="5"/>
  <c r="AN86" i="5" s="1"/>
  <c r="AE86" i="5"/>
  <c r="AM86" i="5" s="1"/>
  <c r="AA86" i="5"/>
  <c r="Z86" i="5"/>
  <c r="O86" i="5"/>
  <c r="L86" i="5"/>
  <c r="L81" i="5" s="1"/>
  <c r="J86" i="5"/>
  <c r="AF84" i="5"/>
  <c r="AN84" i="5" s="1"/>
  <c r="AE84" i="5"/>
  <c r="AM84" i="5" s="1"/>
  <c r="AA84" i="5"/>
  <c r="Z84" i="5"/>
  <c r="O84" i="5"/>
  <c r="L84" i="5"/>
  <c r="J84" i="5"/>
  <c r="AF82" i="5"/>
  <c r="AN82" i="5" s="1"/>
  <c r="AE82" i="5"/>
  <c r="AM82" i="5" s="1"/>
  <c r="AA82" i="5"/>
  <c r="Z82" i="5"/>
  <c r="O82" i="5"/>
  <c r="L82" i="5"/>
  <c r="J82" i="5"/>
  <c r="X81" i="5"/>
  <c r="V81" i="5"/>
  <c r="T81" i="5"/>
  <c r="AF79" i="5"/>
  <c r="AN79" i="5" s="1"/>
  <c r="AE79" i="5"/>
  <c r="AM79" i="5" s="1"/>
  <c r="AA79" i="5"/>
  <c r="Z79" i="5"/>
  <c r="O79" i="5"/>
  <c r="L79" i="5"/>
  <c r="J79" i="5"/>
  <c r="AB79" i="5" s="1"/>
  <c r="AF78" i="5"/>
  <c r="AN78" i="5" s="1"/>
  <c r="AE78" i="5"/>
  <c r="AM78" i="5" s="1"/>
  <c r="AA78" i="5"/>
  <c r="Z78" i="5"/>
  <c r="O78" i="5"/>
  <c r="L78" i="5"/>
  <c r="J78" i="5"/>
  <c r="AB78" i="5" s="1"/>
  <c r="AF77" i="5"/>
  <c r="AN77" i="5" s="1"/>
  <c r="AE77" i="5"/>
  <c r="AM77" i="5" s="1"/>
  <c r="AA77" i="5"/>
  <c r="Z77" i="5"/>
  <c r="O77" i="5"/>
  <c r="L77" i="5"/>
  <c r="L76" i="5" s="1"/>
  <c r="J77" i="5"/>
  <c r="AB77" i="5" s="1"/>
  <c r="X76" i="5"/>
  <c r="V76" i="5"/>
  <c r="T76" i="5"/>
  <c r="AF74" i="5"/>
  <c r="AN74" i="5" s="1"/>
  <c r="AE74" i="5"/>
  <c r="AM74" i="5" s="1"/>
  <c r="AA74" i="5"/>
  <c r="AJ73" i="5" s="1"/>
  <c r="Z74" i="5"/>
  <c r="AI73" i="5" s="1"/>
  <c r="O74" i="5"/>
  <c r="P73" i="5" s="1"/>
  <c r="L74" i="5"/>
  <c r="L73" i="5" s="1"/>
  <c r="J74" i="5"/>
  <c r="AB74" i="5" s="1"/>
  <c r="AK73" i="5" s="1"/>
  <c r="X73" i="5"/>
  <c r="V73" i="5"/>
  <c r="R73" i="5"/>
  <c r="AF72" i="5"/>
  <c r="AN72" i="5" s="1"/>
  <c r="AE72" i="5"/>
  <c r="AM72" i="5" s="1"/>
  <c r="AA72" i="5"/>
  <c r="Z72" i="5"/>
  <c r="AI71" i="5" s="1"/>
  <c r="O72" i="5"/>
  <c r="P71" i="5" s="1"/>
  <c r="L72" i="5"/>
  <c r="L71" i="5" s="1"/>
  <c r="J72" i="5"/>
  <c r="AB72" i="5" s="1"/>
  <c r="AK71" i="5" s="1"/>
  <c r="AJ71" i="5"/>
  <c r="X71" i="5"/>
  <c r="V71" i="5"/>
  <c r="R71" i="5"/>
  <c r="AF70" i="5"/>
  <c r="AN70" i="5" s="1"/>
  <c r="AE70" i="5"/>
  <c r="AM70" i="5" s="1"/>
  <c r="AA70" i="5"/>
  <c r="Z70" i="5"/>
  <c r="O70" i="5"/>
  <c r="L70" i="5"/>
  <c r="L64" i="5" s="1"/>
  <c r="J70" i="5"/>
  <c r="AF69" i="5"/>
  <c r="AN69" i="5" s="1"/>
  <c r="AE69" i="5"/>
  <c r="AM69" i="5" s="1"/>
  <c r="AA69" i="5"/>
  <c r="Z69" i="5"/>
  <c r="O69" i="5"/>
  <c r="L69" i="5"/>
  <c r="J69" i="5"/>
  <c r="AF67" i="5"/>
  <c r="AN67" i="5" s="1"/>
  <c r="AE67" i="5"/>
  <c r="AM67" i="5" s="1"/>
  <c r="AA67" i="5"/>
  <c r="Z67" i="5"/>
  <c r="O67" i="5"/>
  <c r="L67" i="5"/>
  <c r="J67" i="5"/>
  <c r="AF65" i="5"/>
  <c r="AN65" i="5" s="1"/>
  <c r="AE65" i="5"/>
  <c r="AM65" i="5" s="1"/>
  <c r="AA65" i="5"/>
  <c r="Z65" i="5"/>
  <c r="O65" i="5"/>
  <c r="L65" i="5"/>
  <c r="J65" i="5"/>
  <c r="X64" i="5"/>
  <c r="V64" i="5"/>
  <c r="R64" i="5"/>
  <c r="AF63" i="5"/>
  <c r="AN63" i="5" s="1"/>
  <c r="AE63" i="5"/>
  <c r="AM63" i="5" s="1"/>
  <c r="AA63" i="5"/>
  <c r="Z63" i="5"/>
  <c r="O63" i="5"/>
  <c r="L63" i="5"/>
  <c r="L48" i="5" s="1"/>
  <c r="J63" i="5"/>
  <c r="AB63" i="5" s="1"/>
  <c r="AF62" i="5"/>
  <c r="AN62" i="5" s="1"/>
  <c r="AE62" i="5"/>
  <c r="AM62" i="5" s="1"/>
  <c r="AA62" i="5"/>
  <c r="Z62" i="5"/>
  <c r="O62" i="5"/>
  <c r="L62" i="5"/>
  <c r="J62" i="5"/>
  <c r="AF60" i="5"/>
  <c r="AN60" i="5" s="1"/>
  <c r="AE60" i="5"/>
  <c r="AM60" i="5" s="1"/>
  <c r="AA60" i="5"/>
  <c r="Z60" i="5"/>
  <c r="O60" i="5"/>
  <c r="L60" i="5"/>
  <c r="J60" i="5"/>
  <c r="AB60" i="5" s="1"/>
  <c r="AF59" i="5"/>
  <c r="AN59" i="5" s="1"/>
  <c r="AE59" i="5"/>
  <c r="AM59" i="5" s="1"/>
  <c r="AA59" i="5"/>
  <c r="Z59" i="5"/>
  <c r="O59" i="5"/>
  <c r="L59" i="5"/>
  <c r="J59" i="5"/>
  <c r="AB59" i="5" s="1"/>
  <c r="AF57" i="5"/>
  <c r="AN57" i="5" s="1"/>
  <c r="AE57" i="5"/>
  <c r="AM57" i="5" s="1"/>
  <c r="AA57" i="5"/>
  <c r="Z57" i="5"/>
  <c r="O57" i="5"/>
  <c r="L57" i="5"/>
  <c r="J57" i="5"/>
  <c r="AB57" i="5" s="1"/>
  <c r="AF55" i="5"/>
  <c r="AN55" i="5" s="1"/>
  <c r="AE55" i="5"/>
  <c r="AM55" i="5" s="1"/>
  <c r="AA55" i="5"/>
  <c r="Z55" i="5"/>
  <c r="O55" i="5"/>
  <c r="L55" i="5"/>
  <c r="J55" i="5"/>
  <c r="AB55" i="5" s="1"/>
  <c r="AF53" i="5"/>
  <c r="AN53" i="5" s="1"/>
  <c r="AE53" i="5"/>
  <c r="H53" i="5" s="1"/>
  <c r="I53" i="5" s="1"/>
  <c r="AA53" i="5"/>
  <c r="Z53" i="5"/>
  <c r="O53" i="5"/>
  <c r="L53" i="5"/>
  <c r="J53" i="5"/>
  <c r="AB53" i="5" s="1"/>
  <c r="AF51" i="5"/>
  <c r="AN51" i="5" s="1"/>
  <c r="AE51" i="5"/>
  <c r="AM51" i="5" s="1"/>
  <c r="AA51" i="5"/>
  <c r="Z51" i="5"/>
  <c r="O51" i="5"/>
  <c r="L51" i="5"/>
  <c r="J51" i="5"/>
  <c r="AB51" i="5" s="1"/>
  <c r="AF49" i="5"/>
  <c r="AN49" i="5" s="1"/>
  <c r="AE49" i="5"/>
  <c r="AM49" i="5" s="1"/>
  <c r="AA49" i="5"/>
  <c r="Z49" i="5"/>
  <c r="O49" i="5"/>
  <c r="L49" i="5"/>
  <c r="J49" i="5"/>
  <c r="AB49" i="5" s="1"/>
  <c r="X48" i="5"/>
  <c r="V48" i="5"/>
  <c r="R48" i="5"/>
  <c r="AF47" i="5"/>
  <c r="AN47" i="5" s="1"/>
  <c r="AE47" i="5"/>
  <c r="AM47" i="5" s="1"/>
  <c r="AA47" i="5"/>
  <c r="Z47" i="5"/>
  <c r="AI46" i="5" s="1"/>
  <c r="O47" i="5"/>
  <c r="P46" i="5" s="1"/>
  <c r="L47" i="5"/>
  <c r="J47" i="5"/>
  <c r="AB47" i="5" s="1"/>
  <c r="AK46" i="5" s="1"/>
  <c r="AJ46" i="5"/>
  <c r="X46" i="5"/>
  <c r="V46" i="5"/>
  <c r="R46" i="5"/>
  <c r="L46" i="5"/>
  <c r="AF45" i="5"/>
  <c r="AN45" i="5" s="1"/>
  <c r="AE45" i="5"/>
  <c r="AM45" i="5" s="1"/>
  <c r="AA45" i="5"/>
  <c r="AJ44" i="5" s="1"/>
  <c r="Z45" i="5"/>
  <c r="AI44" i="5" s="1"/>
  <c r="O45" i="5"/>
  <c r="L45" i="5"/>
  <c r="L44" i="5" s="1"/>
  <c r="J45" i="5"/>
  <c r="X44" i="5"/>
  <c r="V44" i="5"/>
  <c r="R44" i="5"/>
  <c r="P44" i="5"/>
  <c r="AF43" i="5"/>
  <c r="AN43" i="5" s="1"/>
  <c r="AE43" i="5"/>
  <c r="AM43" i="5" s="1"/>
  <c r="AA43" i="5"/>
  <c r="Z43" i="5"/>
  <c r="O43" i="5"/>
  <c r="L43" i="5"/>
  <c r="J43" i="5"/>
  <c r="AF41" i="5"/>
  <c r="AN41" i="5" s="1"/>
  <c r="AE41" i="5"/>
  <c r="AM41" i="5" s="1"/>
  <c r="AA41" i="5"/>
  <c r="AJ40" i="5" s="1"/>
  <c r="Z41" i="5"/>
  <c r="O41" i="5"/>
  <c r="L41" i="5"/>
  <c r="L40" i="5" s="1"/>
  <c r="J41" i="5"/>
  <c r="X40" i="5"/>
  <c r="V40" i="5"/>
  <c r="R40" i="5"/>
  <c r="AF39" i="5"/>
  <c r="AN39" i="5" s="1"/>
  <c r="AE39" i="5"/>
  <c r="AM39" i="5" s="1"/>
  <c r="AA39" i="5"/>
  <c r="Z39" i="5"/>
  <c r="O39" i="5"/>
  <c r="L39" i="5"/>
  <c r="J39" i="5"/>
  <c r="AB39" i="5" s="1"/>
  <c r="AF37" i="5"/>
  <c r="AN37" i="5" s="1"/>
  <c r="AE37" i="5"/>
  <c r="AM37" i="5" s="1"/>
  <c r="AA37" i="5"/>
  <c r="Z37" i="5"/>
  <c r="O37" i="5"/>
  <c r="L37" i="5"/>
  <c r="J37" i="5"/>
  <c r="AF36" i="5"/>
  <c r="AN36" i="5" s="1"/>
  <c r="AE36" i="5"/>
  <c r="H36" i="5" s="1"/>
  <c r="AA36" i="5"/>
  <c r="Z36" i="5"/>
  <c r="O36" i="5"/>
  <c r="L36" i="5"/>
  <c r="J36" i="5"/>
  <c r="AB36" i="5" s="1"/>
  <c r="X35" i="5"/>
  <c r="V35" i="5"/>
  <c r="R35" i="5"/>
  <c r="L35" i="5"/>
  <c r="AF34" i="5"/>
  <c r="AN34" i="5" s="1"/>
  <c r="AE34" i="5"/>
  <c r="AM34" i="5" s="1"/>
  <c r="AA34" i="5"/>
  <c r="Z34" i="5"/>
  <c r="AI33" i="5" s="1"/>
  <c r="O34" i="5"/>
  <c r="P33" i="5" s="1"/>
  <c r="L34" i="5"/>
  <c r="J34" i="5"/>
  <c r="AB34" i="5" s="1"/>
  <c r="AK33" i="5" s="1"/>
  <c r="H34" i="5"/>
  <c r="H33" i="5" s="1"/>
  <c r="R33" i="5" s="1"/>
  <c r="AJ33" i="5"/>
  <c r="X33" i="5"/>
  <c r="V33" i="5"/>
  <c r="T33" i="5"/>
  <c r="L33" i="5"/>
  <c r="AF32" i="5"/>
  <c r="AN32" i="5" s="1"/>
  <c r="AE32" i="5"/>
  <c r="AM32" i="5" s="1"/>
  <c r="AA32" i="5"/>
  <c r="Z32" i="5"/>
  <c r="O32" i="5"/>
  <c r="L32" i="5"/>
  <c r="J32" i="5"/>
  <c r="AF30" i="5"/>
  <c r="AN30" i="5" s="1"/>
  <c r="AE30" i="5"/>
  <c r="AM30" i="5" s="1"/>
  <c r="AA30" i="5"/>
  <c r="Z30" i="5"/>
  <c r="O30" i="5"/>
  <c r="L30" i="5"/>
  <c r="J30" i="5"/>
  <c r="AB30" i="5" s="1"/>
  <c r="AF28" i="5"/>
  <c r="AN28" i="5" s="1"/>
  <c r="AE28" i="5"/>
  <c r="AM28" i="5" s="1"/>
  <c r="AA28" i="5"/>
  <c r="Z28" i="5"/>
  <c r="O28" i="5"/>
  <c r="L28" i="5"/>
  <c r="J28" i="5"/>
  <c r="AF26" i="5"/>
  <c r="AN26" i="5" s="1"/>
  <c r="AE26" i="5"/>
  <c r="AM26" i="5" s="1"/>
  <c r="AA26" i="5"/>
  <c r="Z26" i="5"/>
  <c r="O26" i="5"/>
  <c r="L26" i="5"/>
  <c r="J26" i="5"/>
  <c r="H26" i="5"/>
  <c r="AF24" i="5"/>
  <c r="AN24" i="5" s="1"/>
  <c r="AE24" i="5"/>
  <c r="AM24" i="5" s="1"/>
  <c r="AA24" i="5"/>
  <c r="Z24" i="5"/>
  <c r="O24" i="5"/>
  <c r="L24" i="5"/>
  <c r="J24" i="5"/>
  <c r="AF22" i="5"/>
  <c r="AN22" i="5" s="1"/>
  <c r="AE22" i="5"/>
  <c r="AM22" i="5" s="1"/>
  <c r="AA22" i="5"/>
  <c r="Z22" i="5"/>
  <c r="O22" i="5"/>
  <c r="L22" i="5"/>
  <c r="J22" i="5"/>
  <c r="AB22" i="5" s="1"/>
  <c r="AF21" i="5"/>
  <c r="AN21" i="5" s="1"/>
  <c r="AE21" i="5"/>
  <c r="AM21" i="5" s="1"/>
  <c r="AA21" i="5"/>
  <c r="Z21" i="5"/>
  <c r="O21" i="5"/>
  <c r="L21" i="5"/>
  <c r="J21" i="5"/>
  <c r="AF19" i="5"/>
  <c r="AN19" i="5" s="1"/>
  <c r="AE19" i="5"/>
  <c r="AM19" i="5" s="1"/>
  <c r="AA19" i="5"/>
  <c r="Z19" i="5"/>
  <c r="O19" i="5"/>
  <c r="L19" i="5"/>
  <c r="J19" i="5"/>
  <c r="X18" i="5"/>
  <c r="V18" i="5"/>
  <c r="T18" i="5"/>
  <c r="L18" i="5"/>
  <c r="AF17" i="5"/>
  <c r="AN17" i="5" s="1"/>
  <c r="AE17" i="5"/>
  <c r="AM17" i="5" s="1"/>
  <c r="AA17" i="5"/>
  <c r="Z17" i="5"/>
  <c r="O17" i="5"/>
  <c r="L17" i="5"/>
  <c r="J17" i="5"/>
  <c r="AB17" i="5" s="1"/>
  <c r="AF16" i="5"/>
  <c r="AN16" i="5" s="1"/>
  <c r="AE16" i="5"/>
  <c r="AM16" i="5" s="1"/>
  <c r="AA16" i="5"/>
  <c r="AJ15" i="5" s="1"/>
  <c r="Z16" i="5"/>
  <c r="AI15" i="5" s="1"/>
  <c r="O16" i="5"/>
  <c r="L16" i="5"/>
  <c r="J16" i="5"/>
  <c r="AB16" i="5" s="1"/>
  <c r="X15" i="5"/>
  <c r="V15" i="5"/>
  <c r="T15" i="5"/>
  <c r="AF14" i="5"/>
  <c r="AN14" i="5" s="1"/>
  <c r="AE14" i="5"/>
  <c r="AM14" i="5" s="1"/>
  <c r="AA14" i="5"/>
  <c r="Z14" i="5"/>
  <c r="O14" i="5"/>
  <c r="P13" i="5" s="1"/>
  <c r="L14" i="5"/>
  <c r="J14" i="5"/>
  <c r="H14" i="5"/>
  <c r="H13" i="5" s="1"/>
  <c r="AJ13" i="5"/>
  <c r="AI13" i="5"/>
  <c r="X13" i="5"/>
  <c r="V13" i="5"/>
  <c r="T13" i="5"/>
  <c r="L13" i="5"/>
  <c r="I40" i="4"/>
  <c r="I39" i="4"/>
  <c r="I38" i="4"/>
  <c r="I37" i="4"/>
  <c r="I36" i="4"/>
  <c r="I26" i="4"/>
  <c r="I19" i="3" s="1"/>
  <c r="I25" i="4"/>
  <c r="I24" i="4"/>
  <c r="I23" i="4"/>
  <c r="I16" i="3" s="1"/>
  <c r="I22" i="4"/>
  <c r="I15" i="3" s="1"/>
  <c r="I21" i="4"/>
  <c r="I17" i="4"/>
  <c r="I16" i="4"/>
  <c r="I18" i="4" s="1"/>
  <c r="I15" i="4"/>
  <c r="I18" i="3"/>
  <c r="I17" i="3"/>
  <c r="F16" i="3"/>
  <c r="I14" i="3"/>
  <c r="F14" i="3"/>
  <c r="J1023" i="2"/>
  <c r="AF1021" i="2"/>
  <c r="AN1021" i="2" s="1"/>
  <c r="AE1021" i="2"/>
  <c r="AM1021" i="2" s="1"/>
  <c r="AA1021" i="2"/>
  <c r="AJ1020" i="2" s="1"/>
  <c r="Z1021" i="2"/>
  <c r="O1021" i="2"/>
  <c r="L1021" i="2"/>
  <c r="J1021" i="2"/>
  <c r="AB1021" i="2" s="1"/>
  <c r="AK1020" i="2" s="1"/>
  <c r="H1021" i="2"/>
  <c r="AI1020" i="2"/>
  <c r="X1020" i="2"/>
  <c r="V1020" i="2"/>
  <c r="T1020" i="2"/>
  <c r="P1020" i="2"/>
  <c r="L1020" i="2"/>
  <c r="H1020" i="2"/>
  <c r="AF1019" i="2"/>
  <c r="AN1019" i="2" s="1"/>
  <c r="AE1019" i="2"/>
  <c r="AM1019" i="2" s="1"/>
  <c r="AA1019" i="2"/>
  <c r="Z1019" i="2"/>
  <c r="AI1018" i="2" s="1"/>
  <c r="O1019" i="2"/>
  <c r="P1018" i="2" s="1"/>
  <c r="L1019" i="2"/>
  <c r="J1019" i="2"/>
  <c r="AB1019" i="2" s="1"/>
  <c r="AK1018" i="2" s="1"/>
  <c r="H1019" i="2"/>
  <c r="I1019" i="2" s="1"/>
  <c r="I1018" i="2" s="1"/>
  <c r="AJ1018" i="2"/>
  <c r="X1018" i="2"/>
  <c r="V1018" i="2"/>
  <c r="R1018" i="2"/>
  <c r="L1018" i="2"/>
  <c r="AF1017" i="2"/>
  <c r="AN1017" i="2" s="1"/>
  <c r="AE1017" i="2"/>
  <c r="AM1017" i="2" s="1"/>
  <c r="AA1017" i="2"/>
  <c r="Z1017" i="2"/>
  <c r="O1017" i="2"/>
  <c r="L1017" i="2"/>
  <c r="J1017" i="2"/>
  <c r="AB1017" i="2" s="1"/>
  <c r="AF1015" i="2"/>
  <c r="AN1015" i="2" s="1"/>
  <c r="AE1015" i="2"/>
  <c r="AM1015" i="2" s="1"/>
  <c r="AA1015" i="2"/>
  <c r="AJ1014" i="2" s="1"/>
  <c r="Z1015" i="2"/>
  <c r="AI1014" i="2" s="1"/>
  <c r="O1015" i="2"/>
  <c r="P1014" i="2" s="1"/>
  <c r="L1015" i="2"/>
  <c r="J1015" i="2"/>
  <c r="AB1015" i="2" s="1"/>
  <c r="X1014" i="2"/>
  <c r="V1014" i="2"/>
  <c r="R1014" i="2"/>
  <c r="L1014" i="2"/>
  <c r="AF1013" i="2"/>
  <c r="AN1013" i="2" s="1"/>
  <c r="AE1013" i="2"/>
  <c r="AM1013" i="2" s="1"/>
  <c r="AA1013" i="2"/>
  <c r="Z1013" i="2"/>
  <c r="AI1012" i="2" s="1"/>
  <c r="O1013" i="2"/>
  <c r="P1012" i="2" s="1"/>
  <c r="L1013" i="2"/>
  <c r="L1012" i="2" s="1"/>
  <c r="J1013" i="2"/>
  <c r="I1013" i="2" s="1"/>
  <c r="I1012" i="2" s="1"/>
  <c r="H1013" i="2"/>
  <c r="H1012" i="2" s="1"/>
  <c r="AJ1012" i="2"/>
  <c r="X1012" i="2"/>
  <c r="V1012" i="2"/>
  <c r="T1012" i="2"/>
  <c r="R1012" i="2"/>
  <c r="AF1010" i="2"/>
  <c r="AN1010" i="2" s="1"/>
  <c r="AE1010" i="2"/>
  <c r="AM1010" i="2" s="1"/>
  <c r="AA1010" i="2"/>
  <c r="Z1010" i="2"/>
  <c r="AI1009" i="2" s="1"/>
  <c r="O1010" i="2"/>
  <c r="L1010" i="2"/>
  <c r="L1009" i="2" s="1"/>
  <c r="J1010" i="2"/>
  <c r="AB1010" i="2" s="1"/>
  <c r="AK1009" i="2" s="1"/>
  <c r="H1010" i="2"/>
  <c r="H1009" i="2" s="1"/>
  <c r="AJ1009" i="2"/>
  <c r="X1009" i="2"/>
  <c r="V1009" i="2"/>
  <c r="T1009" i="2"/>
  <c r="P1009" i="2"/>
  <c r="AF1008" i="2"/>
  <c r="AN1008" i="2" s="1"/>
  <c r="AE1008" i="2"/>
  <c r="AM1008" i="2" s="1"/>
  <c r="AA1008" i="2"/>
  <c r="Z1008" i="2"/>
  <c r="O1008" i="2"/>
  <c r="L1008" i="2"/>
  <c r="J1008" i="2"/>
  <c r="I1008" i="2" s="1"/>
  <c r="I1007" i="2" s="1"/>
  <c r="H1008" i="2"/>
  <c r="H1007" i="2" s="1"/>
  <c r="AJ1007" i="2"/>
  <c r="AI1007" i="2"/>
  <c r="X1007" i="2"/>
  <c r="V1007" i="2"/>
  <c r="T1007" i="2"/>
  <c r="P1007" i="2"/>
  <c r="L1007" i="2"/>
  <c r="AF1004" i="2"/>
  <c r="AN1004" i="2" s="1"/>
  <c r="AE1004" i="2"/>
  <c r="AM1004" i="2" s="1"/>
  <c r="AA1004" i="2"/>
  <c r="Z1004" i="2"/>
  <c r="O1004" i="2"/>
  <c r="P1003" i="2" s="1"/>
  <c r="L1004" i="2"/>
  <c r="L1003" i="2" s="1"/>
  <c r="J1004" i="2"/>
  <c r="H1004" i="2"/>
  <c r="H1003" i="2" s="1"/>
  <c r="R1003" i="2" s="1"/>
  <c r="AJ1003" i="2"/>
  <c r="AI1003" i="2"/>
  <c r="X1003" i="2"/>
  <c r="W1003" i="2"/>
  <c r="V1003" i="2"/>
  <c r="T1003" i="2"/>
  <c r="AN1002" i="2"/>
  <c r="AF1002" i="2"/>
  <c r="AE1002" i="2"/>
  <c r="AM1002" i="2" s="1"/>
  <c r="AA1002" i="2"/>
  <c r="Z1002" i="2"/>
  <c r="O1002" i="2"/>
  <c r="L1002" i="2"/>
  <c r="L1001" i="2" s="1"/>
  <c r="J1002" i="2"/>
  <c r="I1002" i="2" s="1"/>
  <c r="I1001" i="2" s="1"/>
  <c r="H1002" i="2"/>
  <c r="H1001" i="2" s="1"/>
  <c r="T1001" i="2" s="1"/>
  <c r="AJ1001" i="2"/>
  <c r="AI1001" i="2"/>
  <c r="X1001" i="2"/>
  <c r="V1001" i="2"/>
  <c r="S1001" i="2"/>
  <c r="R1001" i="2"/>
  <c r="P1001" i="2"/>
  <c r="AF1000" i="2"/>
  <c r="AN1000" i="2" s="1"/>
  <c r="AE1000" i="2"/>
  <c r="AM1000" i="2" s="1"/>
  <c r="AA1000" i="2"/>
  <c r="AJ999" i="2" s="1"/>
  <c r="Z1000" i="2"/>
  <c r="O1000" i="2"/>
  <c r="L1000" i="2"/>
  <c r="L999" i="2" s="1"/>
  <c r="J1000" i="2"/>
  <c r="AB1000" i="2" s="1"/>
  <c r="AK999" i="2" s="1"/>
  <c r="H1000" i="2"/>
  <c r="H999" i="2" s="1"/>
  <c r="AI999" i="2"/>
  <c r="X999" i="2"/>
  <c r="V999" i="2"/>
  <c r="R999" i="2"/>
  <c r="P999" i="2"/>
  <c r="AF998" i="2"/>
  <c r="AN998" i="2" s="1"/>
  <c r="AE998" i="2"/>
  <c r="AM998" i="2" s="1"/>
  <c r="AA998" i="2"/>
  <c r="Z998" i="2"/>
  <c r="O998" i="2"/>
  <c r="L998" i="2"/>
  <c r="J998" i="2"/>
  <c r="I998" i="2" s="1"/>
  <c r="I997" i="2" s="1"/>
  <c r="H998" i="2"/>
  <c r="AJ997" i="2"/>
  <c r="AI997" i="2"/>
  <c r="X997" i="2"/>
  <c r="V997" i="2"/>
  <c r="R997" i="2"/>
  <c r="P997" i="2"/>
  <c r="L997" i="2"/>
  <c r="H997" i="2"/>
  <c r="AN995" i="2"/>
  <c r="AF995" i="2"/>
  <c r="AE995" i="2"/>
  <c r="AM995" i="2" s="1"/>
  <c r="AA995" i="2"/>
  <c r="Z995" i="2"/>
  <c r="O995" i="2"/>
  <c r="P994" i="2" s="1"/>
  <c r="L995" i="2"/>
  <c r="J995" i="2"/>
  <c r="AB995" i="2" s="1"/>
  <c r="AK994" i="2" s="1"/>
  <c r="AJ994" i="2"/>
  <c r="AI994" i="2"/>
  <c r="X994" i="2"/>
  <c r="V994" i="2"/>
  <c r="R994" i="2"/>
  <c r="L994" i="2"/>
  <c r="AM993" i="2"/>
  <c r="AF993" i="2"/>
  <c r="AN993" i="2" s="1"/>
  <c r="AE993" i="2"/>
  <c r="AA993" i="2"/>
  <c r="Z993" i="2"/>
  <c r="O993" i="2"/>
  <c r="P992" i="2" s="1"/>
  <c r="L993" i="2"/>
  <c r="L992" i="2" s="1"/>
  <c r="J993" i="2"/>
  <c r="I993" i="2" s="1"/>
  <c r="I992" i="2" s="1"/>
  <c r="U992" i="2" s="1"/>
  <c r="H993" i="2"/>
  <c r="H992" i="2" s="1"/>
  <c r="AJ992" i="2"/>
  <c r="AI992" i="2"/>
  <c r="X992" i="2"/>
  <c r="V992" i="2"/>
  <c r="T992" i="2"/>
  <c r="AF990" i="2"/>
  <c r="AN990" i="2" s="1"/>
  <c r="AE990" i="2"/>
  <c r="AM990" i="2" s="1"/>
  <c r="AA990" i="2"/>
  <c r="Z990" i="2"/>
  <c r="O990" i="2"/>
  <c r="L990" i="2"/>
  <c r="J990" i="2"/>
  <c r="AF988" i="2"/>
  <c r="AN988" i="2" s="1"/>
  <c r="AE988" i="2"/>
  <c r="AM988" i="2" s="1"/>
  <c r="AA988" i="2"/>
  <c r="AJ987" i="2" s="1"/>
  <c r="Z988" i="2"/>
  <c r="O988" i="2"/>
  <c r="L988" i="2"/>
  <c r="L987" i="2" s="1"/>
  <c r="J988" i="2"/>
  <c r="AB988" i="2" s="1"/>
  <c r="X987" i="2"/>
  <c r="V987" i="2"/>
  <c r="T987" i="2"/>
  <c r="P987" i="2"/>
  <c r="AF984" i="2"/>
  <c r="AN984" i="2" s="1"/>
  <c r="AE984" i="2"/>
  <c r="AM984" i="2" s="1"/>
  <c r="AA984" i="2"/>
  <c r="Z984" i="2"/>
  <c r="AI983" i="2" s="1"/>
  <c r="O984" i="2"/>
  <c r="L984" i="2"/>
  <c r="J984" i="2"/>
  <c r="AB984" i="2" s="1"/>
  <c r="AK983" i="2" s="1"/>
  <c r="AJ983" i="2"/>
  <c r="X983" i="2"/>
  <c r="V983" i="2"/>
  <c r="T983" i="2"/>
  <c r="P983" i="2"/>
  <c r="L983" i="2"/>
  <c r="AF982" i="2"/>
  <c r="AN982" i="2" s="1"/>
  <c r="AE982" i="2"/>
  <c r="AM982" i="2" s="1"/>
  <c r="AA982" i="2"/>
  <c r="Z982" i="2"/>
  <c r="AI981" i="2" s="1"/>
  <c r="O982" i="2"/>
  <c r="P981" i="2" s="1"/>
  <c r="L982" i="2"/>
  <c r="L981" i="2" s="1"/>
  <c r="J982" i="2"/>
  <c r="AB982" i="2" s="1"/>
  <c r="AK981" i="2" s="1"/>
  <c r="H982" i="2"/>
  <c r="H981" i="2" s="1"/>
  <c r="AJ981" i="2"/>
  <c r="X981" i="2"/>
  <c r="V981" i="2"/>
  <c r="R981" i="2"/>
  <c r="AF980" i="2"/>
  <c r="AN980" i="2" s="1"/>
  <c r="AE980" i="2"/>
  <c r="AM980" i="2" s="1"/>
  <c r="AA980" i="2"/>
  <c r="AJ979" i="2" s="1"/>
  <c r="Z980" i="2"/>
  <c r="AI979" i="2" s="1"/>
  <c r="O980" i="2"/>
  <c r="P979" i="2" s="1"/>
  <c r="L980" i="2"/>
  <c r="L979" i="2" s="1"/>
  <c r="J980" i="2"/>
  <c r="I980" i="2" s="1"/>
  <c r="I979" i="2" s="1"/>
  <c r="H980" i="2"/>
  <c r="H979" i="2" s="1"/>
  <c r="X979" i="2"/>
  <c r="V979" i="2"/>
  <c r="S979" i="2"/>
  <c r="R979" i="2"/>
  <c r="AF977" i="2"/>
  <c r="AN977" i="2" s="1"/>
  <c r="AE977" i="2"/>
  <c r="AM977" i="2" s="1"/>
  <c r="AA977" i="2"/>
  <c r="Z977" i="2"/>
  <c r="O977" i="2"/>
  <c r="P974" i="2" s="1"/>
  <c r="L977" i="2"/>
  <c r="J977" i="2"/>
  <c r="AB977" i="2" s="1"/>
  <c r="H977" i="2"/>
  <c r="AF975" i="2"/>
  <c r="AN975" i="2" s="1"/>
  <c r="AE975" i="2"/>
  <c r="AM975" i="2" s="1"/>
  <c r="AA975" i="2"/>
  <c r="AJ974" i="2" s="1"/>
  <c r="Z975" i="2"/>
  <c r="AI974" i="2" s="1"/>
  <c r="O975" i="2"/>
  <c r="L975" i="2"/>
  <c r="J975" i="2"/>
  <c r="X974" i="2"/>
  <c r="V974" i="2"/>
  <c r="R974" i="2"/>
  <c r="L974" i="2"/>
  <c r="AF973" i="2"/>
  <c r="AN973" i="2" s="1"/>
  <c r="AE973" i="2"/>
  <c r="AM973" i="2" s="1"/>
  <c r="AA973" i="2"/>
  <c r="Z973" i="2"/>
  <c r="AI972" i="2" s="1"/>
  <c r="O973" i="2"/>
  <c r="L973" i="2"/>
  <c r="J973" i="2"/>
  <c r="AB973" i="2" s="1"/>
  <c r="AK972" i="2" s="1"/>
  <c r="AJ972" i="2"/>
  <c r="X972" i="2"/>
  <c r="V972" i="2"/>
  <c r="R972" i="2"/>
  <c r="P972" i="2"/>
  <c r="L972" i="2"/>
  <c r="AF970" i="2"/>
  <c r="AN970" i="2" s="1"/>
  <c r="AE970" i="2"/>
  <c r="AM970" i="2" s="1"/>
  <c r="AA970" i="2"/>
  <c r="Z970" i="2"/>
  <c r="O970" i="2"/>
  <c r="P969" i="2" s="1"/>
  <c r="L970" i="2"/>
  <c r="L969" i="2" s="1"/>
  <c r="J970" i="2"/>
  <c r="AB970" i="2" s="1"/>
  <c r="AK969" i="2" s="1"/>
  <c r="AJ969" i="2"/>
  <c r="AI969" i="2"/>
  <c r="X969" i="2"/>
  <c r="V969" i="2"/>
  <c r="R969" i="2"/>
  <c r="AF968" i="2"/>
  <c r="AN968" i="2" s="1"/>
  <c r="AE968" i="2"/>
  <c r="H968" i="2" s="1"/>
  <c r="H967" i="2" s="1"/>
  <c r="T967" i="2" s="1"/>
  <c r="AA968" i="2"/>
  <c r="AJ967" i="2" s="1"/>
  <c r="Z968" i="2"/>
  <c r="O968" i="2"/>
  <c r="L968" i="2"/>
  <c r="L967" i="2" s="1"/>
  <c r="J968" i="2"/>
  <c r="AB968" i="2" s="1"/>
  <c r="AK967" i="2" s="1"/>
  <c r="AI967" i="2"/>
  <c r="X967" i="2"/>
  <c r="V967" i="2"/>
  <c r="S967" i="2"/>
  <c r="R967" i="2"/>
  <c r="P967" i="2"/>
  <c r="AF966" i="2"/>
  <c r="AN966" i="2" s="1"/>
  <c r="AE966" i="2"/>
  <c r="AM966" i="2" s="1"/>
  <c r="AA966" i="2"/>
  <c r="AJ965" i="2" s="1"/>
  <c r="Z966" i="2"/>
  <c r="O966" i="2"/>
  <c r="L966" i="2"/>
  <c r="L965" i="2" s="1"/>
  <c r="J966" i="2"/>
  <c r="AB966" i="2" s="1"/>
  <c r="AK965" i="2" s="1"/>
  <c r="AI965" i="2"/>
  <c r="X965" i="2"/>
  <c r="V965" i="2"/>
  <c r="T965" i="2"/>
  <c r="P965" i="2"/>
  <c r="AF963" i="2"/>
  <c r="AN963" i="2" s="1"/>
  <c r="AE963" i="2"/>
  <c r="AM963" i="2" s="1"/>
  <c r="AA963" i="2"/>
  <c r="Z963" i="2"/>
  <c r="O963" i="2"/>
  <c r="L963" i="2"/>
  <c r="J963" i="2"/>
  <c r="AB963" i="2" s="1"/>
  <c r="AF961" i="2"/>
  <c r="AN961" i="2" s="1"/>
  <c r="AE961" i="2"/>
  <c r="AM961" i="2" s="1"/>
  <c r="AA961" i="2"/>
  <c r="AJ958" i="2" s="1"/>
  <c r="Z961" i="2"/>
  <c r="O961" i="2"/>
  <c r="L961" i="2"/>
  <c r="J961" i="2"/>
  <c r="AB961" i="2" s="1"/>
  <c r="H961" i="2"/>
  <c r="AF959" i="2"/>
  <c r="AN959" i="2" s="1"/>
  <c r="AE959" i="2"/>
  <c r="AM959" i="2" s="1"/>
  <c r="AA959" i="2"/>
  <c r="Z959" i="2"/>
  <c r="O959" i="2"/>
  <c r="L959" i="2"/>
  <c r="J959" i="2"/>
  <c r="AB959" i="2" s="1"/>
  <c r="H959" i="2"/>
  <c r="X958" i="2"/>
  <c r="V958" i="2"/>
  <c r="T958" i="2"/>
  <c r="L958" i="2"/>
  <c r="AN957" i="2"/>
  <c r="AF957" i="2"/>
  <c r="AE957" i="2"/>
  <c r="AM957" i="2" s="1"/>
  <c r="AA957" i="2"/>
  <c r="Z957" i="2"/>
  <c r="O957" i="2"/>
  <c r="P956" i="2" s="1"/>
  <c r="L957" i="2"/>
  <c r="J957" i="2"/>
  <c r="AB957" i="2" s="1"/>
  <c r="AK956" i="2" s="1"/>
  <c r="AJ956" i="2"/>
  <c r="AI956" i="2"/>
  <c r="X956" i="2"/>
  <c r="V956" i="2"/>
  <c r="T956" i="2"/>
  <c r="L956" i="2"/>
  <c r="AF953" i="2"/>
  <c r="AN953" i="2" s="1"/>
  <c r="AE953" i="2"/>
  <c r="AM953" i="2" s="1"/>
  <c r="AB953" i="2"/>
  <c r="AA953" i="2"/>
  <c r="AJ952" i="2" s="1"/>
  <c r="Z953" i="2"/>
  <c r="O953" i="2"/>
  <c r="P952" i="2" s="1"/>
  <c r="W952" i="2" s="1"/>
  <c r="L953" i="2"/>
  <c r="L952" i="2" s="1"/>
  <c r="J953" i="2"/>
  <c r="AK952" i="2"/>
  <c r="AI952" i="2"/>
  <c r="X952" i="2"/>
  <c r="V952" i="2"/>
  <c r="T952" i="2"/>
  <c r="AM951" i="2"/>
  <c r="AF951" i="2"/>
  <c r="AN951" i="2" s="1"/>
  <c r="AE951" i="2"/>
  <c r="AA951" i="2"/>
  <c r="AJ950" i="2" s="1"/>
  <c r="Z951" i="2"/>
  <c r="O951" i="2"/>
  <c r="L951" i="2"/>
  <c r="J951" i="2"/>
  <c r="AB951" i="2" s="1"/>
  <c r="AK950" i="2" s="1"/>
  <c r="H951" i="2"/>
  <c r="AI950" i="2"/>
  <c r="X950" i="2"/>
  <c r="V950" i="2"/>
  <c r="R950" i="2"/>
  <c r="P950" i="2"/>
  <c r="L950" i="2"/>
  <c r="H950" i="2"/>
  <c r="AF949" i="2"/>
  <c r="AN949" i="2" s="1"/>
  <c r="AE949" i="2"/>
  <c r="AM949" i="2" s="1"/>
  <c r="AA949" i="2"/>
  <c r="Z949" i="2"/>
  <c r="AI948" i="2" s="1"/>
  <c r="O949" i="2"/>
  <c r="L949" i="2"/>
  <c r="J949" i="2"/>
  <c r="AB949" i="2" s="1"/>
  <c r="AK948" i="2" s="1"/>
  <c r="H949" i="2"/>
  <c r="AJ948" i="2"/>
  <c r="X948" i="2"/>
  <c r="V948" i="2"/>
  <c r="R948" i="2"/>
  <c r="P948" i="2"/>
  <c r="L948" i="2"/>
  <c r="H948" i="2"/>
  <c r="AF947" i="2"/>
  <c r="AN947" i="2" s="1"/>
  <c r="AE947" i="2"/>
  <c r="AM947" i="2" s="1"/>
  <c r="AA947" i="2"/>
  <c r="Z947" i="2"/>
  <c r="O947" i="2"/>
  <c r="P946" i="2" s="1"/>
  <c r="L947" i="2"/>
  <c r="J947" i="2"/>
  <c r="AB947" i="2" s="1"/>
  <c r="AK946" i="2" s="1"/>
  <c r="AJ946" i="2"/>
  <c r="AI946" i="2"/>
  <c r="X946" i="2"/>
  <c r="V946" i="2"/>
  <c r="R946" i="2"/>
  <c r="L946" i="2"/>
  <c r="AF945" i="2"/>
  <c r="AN945" i="2" s="1"/>
  <c r="AE945" i="2"/>
  <c r="AM945" i="2" s="1"/>
  <c r="AA945" i="2"/>
  <c r="Z945" i="2"/>
  <c r="O945" i="2"/>
  <c r="P944" i="2" s="1"/>
  <c r="L945" i="2"/>
  <c r="L944" i="2" s="1"/>
  <c r="L936" i="2" s="1"/>
  <c r="J945" i="2"/>
  <c r="AJ944" i="2"/>
  <c r="AI944" i="2"/>
  <c r="X944" i="2"/>
  <c r="V944" i="2"/>
  <c r="T944" i="2"/>
  <c r="AM942" i="2"/>
  <c r="AF942" i="2"/>
  <c r="AN942" i="2" s="1"/>
  <c r="AE942" i="2"/>
  <c r="AA942" i="2"/>
  <c r="Z942" i="2"/>
  <c r="O942" i="2"/>
  <c r="L942" i="2"/>
  <c r="J942" i="2"/>
  <c r="H942" i="2"/>
  <c r="AF940" i="2"/>
  <c r="AN940" i="2" s="1"/>
  <c r="AE940" i="2"/>
  <c r="AM940" i="2" s="1"/>
  <c r="AA940" i="2"/>
  <c r="Z940" i="2"/>
  <c r="O940" i="2"/>
  <c r="L940" i="2"/>
  <c r="J940" i="2"/>
  <c r="AB940" i="2" s="1"/>
  <c r="H940" i="2"/>
  <c r="H937" i="2" s="1"/>
  <c r="R937" i="2" s="1"/>
  <c r="AM938" i="2"/>
  <c r="AF938" i="2"/>
  <c r="AN938" i="2" s="1"/>
  <c r="AE938" i="2"/>
  <c r="AA938" i="2"/>
  <c r="Z938" i="2"/>
  <c r="O938" i="2"/>
  <c r="P937" i="2" s="1"/>
  <c r="L938" i="2"/>
  <c r="J938" i="2"/>
  <c r="H938" i="2"/>
  <c r="AI937" i="2"/>
  <c r="X937" i="2"/>
  <c r="V937" i="2"/>
  <c r="T937" i="2"/>
  <c r="L937" i="2"/>
  <c r="AF935" i="2"/>
  <c r="AN935" i="2" s="1"/>
  <c r="AE935" i="2"/>
  <c r="AM935" i="2" s="1"/>
  <c r="AA935" i="2"/>
  <c r="AJ934" i="2" s="1"/>
  <c r="Z935" i="2"/>
  <c r="O935" i="2"/>
  <c r="P934" i="2" s="1"/>
  <c r="L935" i="2"/>
  <c r="J935" i="2"/>
  <c r="AB935" i="2" s="1"/>
  <c r="AK934" i="2" s="1"/>
  <c r="AI934" i="2"/>
  <c r="X934" i="2"/>
  <c r="V934" i="2"/>
  <c r="R934" i="2"/>
  <c r="L934" i="2"/>
  <c r="AF933" i="2"/>
  <c r="AN933" i="2" s="1"/>
  <c r="AE933" i="2"/>
  <c r="AM933" i="2" s="1"/>
  <c r="AA933" i="2"/>
  <c r="AJ932" i="2" s="1"/>
  <c r="Z933" i="2"/>
  <c r="AI932" i="2" s="1"/>
  <c r="O933" i="2"/>
  <c r="P932" i="2" s="1"/>
  <c r="L933" i="2"/>
  <c r="L932" i="2" s="1"/>
  <c r="J933" i="2"/>
  <c r="AB933" i="2" s="1"/>
  <c r="AK932" i="2" s="1"/>
  <c r="H933" i="2"/>
  <c r="H932" i="2" s="1"/>
  <c r="X932" i="2"/>
  <c r="V932" i="2"/>
  <c r="R932" i="2"/>
  <c r="AF930" i="2"/>
  <c r="AN930" i="2" s="1"/>
  <c r="AE930" i="2"/>
  <c r="AM930" i="2" s="1"/>
  <c r="AA930" i="2"/>
  <c r="Z930" i="2"/>
  <c r="O930" i="2"/>
  <c r="L930" i="2"/>
  <c r="J930" i="2"/>
  <c r="I930" i="2" s="1"/>
  <c r="H930" i="2"/>
  <c r="AF928" i="2"/>
  <c r="AN928" i="2" s="1"/>
  <c r="AE928" i="2"/>
  <c r="AM928" i="2" s="1"/>
  <c r="AA928" i="2"/>
  <c r="Z928" i="2"/>
  <c r="O928" i="2"/>
  <c r="L928" i="2"/>
  <c r="J928" i="2"/>
  <c r="AF927" i="2"/>
  <c r="AN927" i="2" s="1"/>
  <c r="AE927" i="2"/>
  <c r="AM927" i="2" s="1"/>
  <c r="AA927" i="2"/>
  <c r="Z927" i="2"/>
  <c r="O927" i="2"/>
  <c r="P926" i="2" s="1"/>
  <c r="L927" i="2"/>
  <c r="J927" i="2"/>
  <c r="I927" i="2" s="1"/>
  <c r="H927" i="2"/>
  <c r="AJ926" i="2"/>
  <c r="AI926" i="2"/>
  <c r="X926" i="2"/>
  <c r="V926" i="2"/>
  <c r="R926" i="2"/>
  <c r="AF924" i="2"/>
  <c r="AN924" i="2" s="1"/>
  <c r="AE924" i="2"/>
  <c r="AM924" i="2" s="1"/>
  <c r="AA924" i="2"/>
  <c r="Z924" i="2"/>
  <c r="O924" i="2"/>
  <c r="L924" i="2"/>
  <c r="L923" i="2" s="1"/>
  <c r="J924" i="2"/>
  <c r="AJ923" i="2"/>
  <c r="AI923" i="2"/>
  <c r="X923" i="2"/>
  <c r="V923" i="2"/>
  <c r="R923" i="2"/>
  <c r="P923" i="2"/>
  <c r="AF922" i="2"/>
  <c r="AN922" i="2" s="1"/>
  <c r="AE922" i="2"/>
  <c r="AM922" i="2" s="1"/>
  <c r="AA922" i="2"/>
  <c r="Z922" i="2"/>
  <c r="AI921" i="2" s="1"/>
  <c r="O922" i="2"/>
  <c r="P921" i="2" s="1"/>
  <c r="L922" i="2"/>
  <c r="J922" i="2"/>
  <c r="AB922" i="2" s="1"/>
  <c r="AK921" i="2" s="1"/>
  <c r="H922" i="2"/>
  <c r="H921" i="2" s="1"/>
  <c r="T921" i="2" s="1"/>
  <c r="AJ921" i="2"/>
  <c r="X921" i="2"/>
  <c r="V921" i="2"/>
  <c r="R921" i="2"/>
  <c r="L921" i="2"/>
  <c r="AF920" i="2"/>
  <c r="AN920" i="2" s="1"/>
  <c r="AE920" i="2"/>
  <c r="AM920" i="2" s="1"/>
  <c r="AA920" i="2"/>
  <c r="Z920" i="2"/>
  <c r="O920" i="2"/>
  <c r="P919" i="2" s="1"/>
  <c r="L920" i="2"/>
  <c r="J920" i="2"/>
  <c r="AB920" i="2" s="1"/>
  <c r="AK919" i="2" s="1"/>
  <c r="H920" i="2"/>
  <c r="AJ919" i="2"/>
  <c r="AI919" i="2"/>
  <c r="X919" i="2"/>
  <c r="V919" i="2"/>
  <c r="T919" i="2"/>
  <c r="L919" i="2"/>
  <c r="AM917" i="2"/>
  <c r="AF917" i="2"/>
  <c r="AN917" i="2" s="1"/>
  <c r="AE917" i="2"/>
  <c r="AA917" i="2"/>
  <c r="AJ916" i="2" s="1"/>
  <c r="Z917" i="2"/>
  <c r="O917" i="2"/>
  <c r="P916" i="2" s="1"/>
  <c r="L917" i="2"/>
  <c r="L916" i="2" s="1"/>
  <c r="J917" i="2"/>
  <c r="I917" i="2" s="1"/>
  <c r="I916" i="2" s="1"/>
  <c r="H917" i="2"/>
  <c r="H916" i="2" s="1"/>
  <c r="AI916" i="2"/>
  <c r="X916" i="2"/>
  <c r="V916" i="2"/>
  <c r="T916" i="2"/>
  <c r="R916" i="2"/>
  <c r="AM915" i="2"/>
  <c r="AF915" i="2"/>
  <c r="AN915" i="2" s="1"/>
  <c r="AE915" i="2"/>
  <c r="AA915" i="2"/>
  <c r="Z915" i="2"/>
  <c r="O915" i="2"/>
  <c r="P914" i="2" s="1"/>
  <c r="L915" i="2"/>
  <c r="L914" i="2" s="1"/>
  <c r="J915" i="2"/>
  <c r="H915" i="2"/>
  <c r="AJ914" i="2"/>
  <c r="AI914" i="2"/>
  <c r="X914" i="2"/>
  <c r="V914" i="2"/>
  <c r="T914" i="2"/>
  <c r="H914" i="2"/>
  <c r="R914" i="2" s="1"/>
  <c r="AF911" i="2"/>
  <c r="AN911" i="2" s="1"/>
  <c r="AE911" i="2"/>
  <c r="AA911" i="2"/>
  <c r="Z911" i="2"/>
  <c r="AI910" i="2" s="1"/>
  <c r="O911" i="2"/>
  <c r="P910" i="2" s="1"/>
  <c r="L911" i="2"/>
  <c r="J911" i="2"/>
  <c r="AB911" i="2" s="1"/>
  <c r="AK910" i="2" s="1"/>
  <c r="AJ910" i="2"/>
  <c r="X910" i="2"/>
  <c r="V910" i="2"/>
  <c r="T910" i="2"/>
  <c r="L910" i="2"/>
  <c r="AN909" i="2"/>
  <c r="AF909" i="2"/>
  <c r="AE909" i="2"/>
  <c r="AM909" i="2" s="1"/>
  <c r="AA909" i="2"/>
  <c r="Z909" i="2"/>
  <c r="AI908" i="2" s="1"/>
  <c r="O909" i="2"/>
  <c r="P908" i="2" s="1"/>
  <c r="S908" i="2" s="1"/>
  <c r="L909" i="2"/>
  <c r="J909" i="2"/>
  <c r="AB909" i="2" s="1"/>
  <c r="AK908" i="2" s="1"/>
  <c r="AJ908" i="2"/>
  <c r="X908" i="2"/>
  <c r="V908" i="2"/>
  <c r="R908" i="2"/>
  <c r="L908" i="2"/>
  <c r="AN907" i="2"/>
  <c r="AM907" i="2"/>
  <c r="AF907" i="2"/>
  <c r="AE907" i="2"/>
  <c r="AA907" i="2"/>
  <c r="AJ906" i="2" s="1"/>
  <c r="Z907" i="2"/>
  <c r="O907" i="2"/>
  <c r="P906" i="2" s="1"/>
  <c r="L907" i="2"/>
  <c r="J907" i="2"/>
  <c r="H907" i="2"/>
  <c r="H906" i="2" s="1"/>
  <c r="T906" i="2" s="1"/>
  <c r="AI906" i="2"/>
  <c r="X906" i="2"/>
  <c r="W906" i="2"/>
  <c r="V906" i="2"/>
  <c r="R906" i="2"/>
  <c r="L906" i="2"/>
  <c r="AF904" i="2"/>
  <c r="AN904" i="2" s="1"/>
  <c r="AE904" i="2"/>
  <c r="AM904" i="2" s="1"/>
  <c r="AA904" i="2"/>
  <c r="AJ901" i="2" s="1"/>
  <c r="Z904" i="2"/>
  <c r="O904" i="2"/>
  <c r="P901" i="2" s="1"/>
  <c r="L904" i="2"/>
  <c r="J904" i="2"/>
  <c r="AF902" i="2"/>
  <c r="AN902" i="2" s="1"/>
  <c r="AE902" i="2"/>
  <c r="AM902" i="2" s="1"/>
  <c r="AA902" i="2"/>
  <c r="Z902" i="2"/>
  <c r="O902" i="2"/>
  <c r="L902" i="2"/>
  <c r="L901" i="2" s="1"/>
  <c r="J902" i="2"/>
  <c r="AB902" i="2" s="1"/>
  <c r="H902" i="2"/>
  <c r="X901" i="2"/>
  <c r="V901" i="2"/>
  <c r="R901" i="2"/>
  <c r="AF900" i="2"/>
  <c r="AN900" i="2" s="1"/>
  <c r="AE900" i="2"/>
  <c r="AM900" i="2" s="1"/>
  <c r="AA900" i="2"/>
  <c r="AJ899" i="2" s="1"/>
  <c r="Z900" i="2"/>
  <c r="AI899" i="2" s="1"/>
  <c r="O900" i="2"/>
  <c r="P899" i="2" s="1"/>
  <c r="L900" i="2"/>
  <c r="J900" i="2"/>
  <c r="X899" i="2"/>
  <c r="V899" i="2"/>
  <c r="R899" i="2"/>
  <c r="L899" i="2"/>
  <c r="AF897" i="2"/>
  <c r="AN897" i="2" s="1"/>
  <c r="AE897" i="2"/>
  <c r="AM897" i="2" s="1"/>
  <c r="AA897" i="2"/>
  <c r="Z897" i="2"/>
  <c r="AI896" i="2" s="1"/>
  <c r="O897" i="2"/>
  <c r="P896" i="2" s="1"/>
  <c r="L897" i="2"/>
  <c r="J897" i="2"/>
  <c r="AB897" i="2" s="1"/>
  <c r="AK896" i="2" s="1"/>
  <c r="H897" i="2"/>
  <c r="I897" i="2" s="1"/>
  <c r="I896" i="2" s="1"/>
  <c r="AJ896" i="2"/>
  <c r="X896" i="2"/>
  <c r="V896" i="2"/>
  <c r="S896" i="2"/>
  <c r="R896" i="2"/>
  <c r="L896" i="2"/>
  <c r="AF895" i="2"/>
  <c r="AN895" i="2" s="1"/>
  <c r="AE895" i="2"/>
  <c r="AM895" i="2" s="1"/>
  <c r="AA895" i="2"/>
  <c r="Z895" i="2"/>
  <c r="O895" i="2"/>
  <c r="L895" i="2"/>
  <c r="L894" i="2" s="1"/>
  <c r="J895" i="2"/>
  <c r="AJ894" i="2"/>
  <c r="AI894" i="2"/>
  <c r="X894" i="2"/>
  <c r="V894" i="2"/>
  <c r="R894" i="2"/>
  <c r="P894" i="2"/>
  <c r="AF893" i="2"/>
  <c r="AN893" i="2" s="1"/>
  <c r="AE893" i="2"/>
  <c r="AM893" i="2" s="1"/>
  <c r="AA893" i="2"/>
  <c r="Z893" i="2"/>
  <c r="AI892" i="2" s="1"/>
  <c r="O893" i="2"/>
  <c r="L893" i="2"/>
  <c r="L892" i="2" s="1"/>
  <c r="J893" i="2"/>
  <c r="H893" i="2"/>
  <c r="H892" i="2" s="1"/>
  <c r="R892" i="2" s="1"/>
  <c r="AJ892" i="2"/>
  <c r="X892" i="2"/>
  <c r="V892" i="2"/>
  <c r="T892" i="2"/>
  <c r="P892" i="2"/>
  <c r="AF890" i="2"/>
  <c r="AN890" i="2" s="1"/>
  <c r="AE890" i="2"/>
  <c r="AM890" i="2" s="1"/>
  <c r="AA890" i="2"/>
  <c r="Z890" i="2"/>
  <c r="O890" i="2"/>
  <c r="L890" i="2"/>
  <c r="J890" i="2"/>
  <c r="AB890" i="2" s="1"/>
  <c r="AF888" i="2"/>
  <c r="AN888" i="2" s="1"/>
  <c r="AE888" i="2"/>
  <c r="AM888" i="2" s="1"/>
  <c r="AA888" i="2"/>
  <c r="Z888" i="2"/>
  <c r="O888" i="2"/>
  <c r="L888" i="2"/>
  <c r="J888" i="2"/>
  <c r="AF886" i="2"/>
  <c r="AN886" i="2" s="1"/>
  <c r="AE886" i="2"/>
  <c r="AA886" i="2"/>
  <c r="AJ885" i="2" s="1"/>
  <c r="Z886" i="2"/>
  <c r="O886" i="2"/>
  <c r="L886" i="2"/>
  <c r="J886" i="2"/>
  <c r="AB886" i="2" s="1"/>
  <c r="X885" i="2"/>
  <c r="V885" i="2"/>
  <c r="T885" i="2"/>
  <c r="L885" i="2"/>
  <c r="AF884" i="2"/>
  <c r="AN884" i="2" s="1"/>
  <c r="AE884" i="2"/>
  <c r="AM884" i="2" s="1"/>
  <c r="AA884" i="2"/>
  <c r="Z884" i="2"/>
  <c r="O884" i="2"/>
  <c r="P883" i="2" s="1"/>
  <c r="L884" i="2"/>
  <c r="L883" i="2" s="1"/>
  <c r="J884" i="2"/>
  <c r="I884" i="2" s="1"/>
  <c r="I883" i="2" s="1"/>
  <c r="H884" i="2"/>
  <c r="H883" i="2" s="1"/>
  <c r="AJ883" i="2"/>
  <c r="AI883" i="2"/>
  <c r="X883" i="2"/>
  <c r="W883" i="2"/>
  <c r="V883" i="2"/>
  <c r="T883" i="2"/>
  <c r="AF880" i="2"/>
  <c r="AN880" i="2" s="1"/>
  <c r="AE880" i="2"/>
  <c r="AM880" i="2" s="1"/>
  <c r="AA880" i="2"/>
  <c r="Z880" i="2"/>
  <c r="O880" i="2"/>
  <c r="P879" i="2" s="1"/>
  <c r="L880" i="2"/>
  <c r="J880" i="2"/>
  <c r="AJ879" i="2"/>
  <c r="AI879" i="2"/>
  <c r="X879" i="2"/>
  <c r="V879" i="2"/>
  <c r="T879" i="2"/>
  <c r="L879" i="2"/>
  <c r="AN878" i="2"/>
  <c r="AF878" i="2"/>
  <c r="AE878" i="2"/>
  <c r="AM878" i="2" s="1"/>
  <c r="AA878" i="2"/>
  <c r="Z878" i="2"/>
  <c r="AI877" i="2" s="1"/>
  <c r="O878" i="2"/>
  <c r="L878" i="2"/>
  <c r="J878" i="2"/>
  <c r="AB878" i="2" s="1"/>
  <c r="AK877" i="2" s="1"/>
  <c r="H878" i="2"/>
  <c r="H877" i="2" s="1"/>
  <c r="AJ877" i="2"/>
  <c r="X877" i="2"/>
  <c r="V877" i="2"/>
  <c r="R877" i="2"/>
  <c r="P877" i="2"/>
  <c r="L877" i="2"/>
  <c r="AF876" i="2"/>
  <c r="AN876" i="2" s="1"/>
  <c r="AE876" i="2"/>
  <c r="AM876" i="2" s="1"/>
  <c r="AA876" i="2"/>
  <c r="Z876" i="2"/>
  <c r="O876" i="2"/>
  <c r="P875" i="2" s="1"/>
  <c r="L876" i="2"/>
  <c r="J876" i="2"/>
  <c r="H876" i="2"/>
  <c r="H875" i="2" s="1"/>
  <c r="AJ875" i="2"/>
  <c r="AI875" i="2"/>
  <c r="X875" i="2"/>
  <c r="V875" i="2"/>
  <c r="R875" i="2"/>
  <c r="L875" i="2"/>
  <c r="AF874" i="2"/>
  <c r="AN874" i="2" s="1"/>
  <c r="AE874" i="2"/>
  <c r="AM874" i="2" s="1"/>
  <c r="AA874" i="2"/>
  <c r="AJ873" i="2" s="1"/>
  <c r="Z874" i="2"/>
  <c r="O874" i="2"/>
  <c r="P873" i="2" s="1"/>
  <c r="L874" i="2"/>
  <c r="L873" i="2" s="1"/>
  <c r="L863" i="2" s="1"/>
  <c r="J874" i="2"/>
  <c r="AB874" i="2" s="1"/>
  <c r="AK873" i="2" s="1"/>
  <c r="AI873" i="2"/>
  <c r="X873" i="2"/>
  <c r="W873" i="2"/>
  <c r="V873" i="2"/>
  <c r="R873" i="2"/>
  <c r="AM872" i="2"/>
  <c r="AF872" i="2"/>
  <c r="AN872" i="2" s="1"/>
  <c r="AE872" i="2"/>
  <c r="AA872" i="2"/>
  <c r="AJ871" i="2" s="1"/>
  <c r="Z872" i="2"/>
  <c r="O872" i="2"/>
  <c r="P871" i="2" s="1"/>
  <c r="L872" i="2"/>
  <c r="J872" i="2"/>
  <c r="H872" i="2"/>
  <c r="H871" i="2" s="1"/>
  <c r="R871" i="2" s="1"/>
  <c r="AI871" i="2"/>
  <c r="X871" i="2"/>
  <c r="V871" i="2"/>
  <c r="T871" i="2"/>
  <c r="L871" i="2"/>
  <c r="AF869" i="2"/>
  <c r="AN869" i="2" s="1"/>
  <c r="AE869" i="2"/>
  <c r="AM869" i="2" s="1"/>
  <c r="AA869" i="2"/>
  <c r="Z869" i="2"/>
  <c r="O869" i="2"/>
  <c r="L869" i="2"/>
  <c r="J869" i="2"/>
  <c r="AB869" i="2" s="1"/>
  <c r="H869" i="2"/>
  <c r="AF867" i="2"/>
  <c r="AN867" i="2" s="1"/>
  <c r="AE867" i="2"/>
  <c r="AM867" i="2" s="1"/>
  <c r="AA867" i="2"/>
  <c r="Z867" i="2"/>
  <c r="O867" i="2"/>
  <c r="L867" i="2"/>
  <c r="J867" i="2"/>
  <c r="AB867" i="2" s="1"/>
  <c r="H867" i="2"/>
  <c r="AF865" i="2"/>
  <c r="AN865" i="2" s="1"/>
  <c r="AE865" i="2"/>
  <c r="AM865" i="2" s="1"/>
  <c r="AA865" i="2"/>
  <c r="AJ864" i="2" s="1"/>
  <c r="Z865" i="2"/>
  <c r="O865" i="2"/>
  <c r="L865" i="2"/>
  <c r="J865" i="2"/>
  <c r="AB865" i="2" s="1"/>
  <c r="H865" i="2"/>
  <c r="H864" i="2" s="1"/>
  <c r="X864" i="2"/>
  <c r="V864" i="2"/>
  <c r="T864" i="2"/>
  <c r="P864" i="2"/>
  <c r="L864" i="2"/>
  <c r="AF861" i="2"/>
  <c r="AN861" i="2" s="1"/>
  <c r="AE861" i="2"/>
  <c r="AM861" i="2" s="1"/>
  <c r="AA861" i="2"/>
  <c r="Z861" i="2"/>
  <c r="O861" i="2"/>
  <c r="L861" i="2"/>
  <c r="J861" i="2"/>
  <c r="AB861" i="2" s="1"/>
  <c r="AK860" i="2" s="1"/>
  <c r="H861" i="2"/>
  <c r="AJ860" i="2"/>
  <c r="AI860" i="2"/>
  <c r="X860" i="2"/>
  <c r="V860" i="2"/>
  <c r="T860" i="2"/>
  <c r="P860" i="2"/>
  <c r="L860" i="2"/>
  <c r="AF859" i="2"/>
  <c r="AN859" i="2" s="1"/>
  <c r="AE859" i="2"/>
  <c r="AM859" i="2" s="1"/>
  <c r="AA859" i="2"/>
  <c r="Z859" i="2"/>
  <c r="AI858" i="2" s="1"/>
  <c r="O859" i="2"/>
  <c r="L859" i="2"/>
  <c r="L858" i="2" s="1"/>
  <c r="J859" i="2"/>
  <c r="AB859" i="2" s="1"/>
  <c r="AK858" i="2" s="1"/>
  <c r="AJ858" i="2"/>
  <c r="X858" i="2"/>
  <c r="V858" i="2"/>
  <c r="R858" i="2"/>
  <c r="P858" i="2"/>
  <c r="AF857" i="2"/>
  <c r="AN857" i="2" s="1"/>
  <c r="AE857" i="2"/>
  <c r="AM857" i="2" s="1"/>
  <c r="AA857" i="2"/>
  <c r="AJ856" i="2" s="1"/>
  <c r="Z857" i="2"/>
  <c r="O857" i="2"/>
  <c r="P856" i="2" s="1"/>
  <c r="L857" i="2"/>
  <c r="J857" i="2"/>
  <c r="AB857" i="2" s="1"/>
  <c r="AK856" i="2" s="1"/>
  <c r="AI856" i="2"/>
  <c r="X856" i="2"/>
  <c r="V856" i="2"/>
  <c r="R856" i="2"/>
  <c r="L856" i="2"/>
  <c r="AF855" i="2"/>
  <c r="AN855" i="2" s="1"/>
  <c r="AE855" i="2"/>
  <c r="AM855" i="2" s="1"/>
  <c r="AA855" i="2"/>
  <c r="Z855" i="2"/>
  <c r="O855" i="2"/>
  <c r="P854" i="2" s="1"/>
  <c r="L855" i="2"/>
  <c r="J855" i="2"/>
  <c r="I855" i="2" s="1"/>
  <c r="I854" i="2" s="1"/>
  <c r="H855" i="2"/>
  <c r="AJ854" i="2"/>
  <c r="AI854" i="2"/>
  <c r="X854" i="2"/>
  <c r="V854" i="2"/>
  <c r="R854" i="2"/>
  <c r="L854" i="2"/>
  <c r="H854" i="2"/>
  <c r="AF853" i="2"/>
  <c r="AN853" i="2" s="1"/>
  <c r="AE853" i="2"/>
  <c r="AM853" i="2" s="1"/>
  <c r="AA853" i="2"/>
  <c r="Z853" i="2"/>
  <c r="O853" i="2"/>
  <c r="P852" i="2" s="1"/>
  <c r="L853" i="2"/>
  <c r="J853" i="2"/>
  <c r="AJ852" i="2"/>
  <c r="AI852" i="2"/>
  <c r="X852" i="2"/>
  <c r="V852" i="2"/>
  <c r="T852" i="2"/>
  <c r="L852" i="2"/>
  <c r="AF850" i="2"/>
  <c r="AN850" i="2" s="1"/>
  <c r="AE850" i="2"/>
  <c r="AM850" i="2" s="1"/>
  <c r="AA850" i="2"/>
  <c r="Z850" i="2"/>
  <c r="O850" i="2"/>
  <c r="L850" i="2"/>
  <c r="J850" i="2"/>
  <c r="AB850" i="2" s="1"/>
  <c r="H850" i="2"/>
  <c r="I850" i="2" s="1"/>
  <c r="AF848" i="2"/>
  <c r="AN848" i="2" s="1"/>
  <c r="AE848" i="2"/>
  <c r="AM848" i="2" s="1"/>
  <c r="AA848" i="2"/>
  <c r="Z848" i="2"/>
  <c r="O848" i="2"/>
  <c r="P847" i="2" s="1"/>
  <c r="L848" i="2"/>
  <c r="L847" i="2" s="1"/>
  <c r="L846" i="2" s="1"/>
  <c r="J848" i="2"/>
  <c r="AB848" i="2" s="1"/>
  <c r="H848" i="2"/>
  <c r="AJ847" i="2"/>
  <c r="AI847" i="2"/>
  <c r="X847" i="2"/>
  <c r="V847" i="2"/>
  <c r="T847" i="2"/>
  <c r="AF844" i="2"/>
  <c r="AN844" i="2" s="1"/>
  <c r="AE844" i="2"/>
  <c r="AM844" i="2" s="1"/>
  <c r="AA844" i="2"/>
  <c r="Z844" i="2"/>
  <c r="O844" i="2"/>
  <c r="P843" i="2" s="1"/>
  <c r="L844" i="2"/>
  <c r="J844" i="2"/>
  <c r="AJ843" i="2"/>
  <c r="AI843" i="2"/>
  <c r="X843" i="2"/>
  <c r="V843" i="2"/>
  <c r="T843" i="2"/>
  <c r="L843" i="2"/>
  <c r="AF842" i="2"/>
  <c r="AN842" i="2" s="1"/>
  <c r="AE842" i="2"/>
  <c r="AM842" i="2" s="1"/>
  <c r="AA842" i="2"/>
  <c r="Z842" i="2"/>
  <c r="O842" i="2"/>
  <c r="P841" i="2" s="1"/>
  <c r="L842" i="2"/>
  <c r="J842" i="2"/>
  <c r="H842" i="2"/>
  <c r="H841" i="2" s="1"/>
  <c r="T841" i="2" s="1"/>
  <c r="AJ841" i="2"/>
  <c r="AI841" i="2"/>
  <c r="X841" i="2"/>
  <c r="V841" i="2"/>
  <c r="R841" i="2"/>
  <c r="L841" i="2"/>
  <c r="AF840" i="2"/>
  <c r="AN840" i="2" s="1"/>
  <c r="AE840" i="2"/>
  <c r="AM840" i="2" s="1"/>
  <c r="AA840" i="2"/>
  <c r="Z840" i="2"/>
  <c r="O840" i="2"/>
  <c r="L840" i="2"/>
  <c r="J840" i="2"/>
  <c r="AB840" i="2" s="1"/>
  <c r="AK839" i="2" s="1"/>
  <c r="H840" i="2"/>
  <c r="AJ839" i="2"/>
  <c r="AI839" i="2"/>
  <c r="X839" i="2"/>
  <c r="V839" i="2"/>
  <c r="R839" i="2"/>
  <c r="P839" i="2"/>
  <c r="L839" i="2"/>
  <c r="AF838" i="2"/>
  <c r="AN838" i="2" s="1"/>
  <c r="AE838" i="2"/>
  <c r="AM838" i="2" s="1"/>
  <c r="AA838" i="2"/>
  <c r="Z838" i="2"/>
  <c r="O838" i="2"/>
  <c r="L838" i="2"/>
  <c r="L837" i="2" s="1"/>
  <c r="L829" i="2" s="1"/>
  <c r="J838" i="2"/>
  <c r="AB838" i="2" s="1"/>
  <c r="AK837" i="2" s="1"/>
  <c r="AJ837" i="2"/>
  <c r="AI837" i="2"/>
  <c r="X837" i="2"/>
  <c r="V837" i="2"/>
  <c r="R837" i="2"/>
  <c r="P837" i="2"/>
  <c r="AF836" i="2"/>
  <c r="AN836" i="2" s="1"/>
  <c r="AE836" i="2"/>
  <c r="AM836" i="2" s="1"/>
  <c r="AA836" i="2"/>
  <c r="Z836" i="2"/>
  <c r="O836" i="2"/>
  <c r="P835" i="2" s="1"/>
  <c r="L836" i="2"/>
  <c r="J836" i="2"/>
  <c r="I836" i="2" s="1"/>
  <c r="I835" i="2" s="1"/>
  <c r="H836" i="2"/>
  <c r="H835" i="2" s="1"/>
  <c r="AJ835" i="2"/>
  <c r="AI835" i="2"/>
  <c r="X835" i="2"/>
  <c r="V835" i="2"/>
  <c r="U835" i="2"/>
  <c r="T835" i="2"/>
  <c r="L835" i="2"/>
  <c r="AM833" i="2"/>
  <c r="AF833" i="2"/>
  <c r="AN833" i="2" s="1"/>
  <c r="AE833" i="2"/>
  <c r="AA833" i="2"/>
  <c r="Z833" i="2"/>
  <c r="O833" i="2"/>
  <c r="L833" i="2"/>
  <c r="J833" i="2"/>
  <c r="AB833" i="2" s="1"/>
  <c r="I833" i="2"/>
  <c r="H833" i="2"/>
  <c r="AF831" i="2"/>
  <c r="AN831" i="2" s="1"/>
  <c r="AE831" i="2"/>
  <c r="AM831" i="2" s="1"/>
  <c r="AA831" i="2"/>
  <c r="Z831" i="2"/>
  <c r="AI830" i="2" s="1"/>
  <c r="O831" i="2"/>
  <c r="L831" i="2"/>
  <c r="J831" i="2"/>
  <c r="AJ830" i="2"/>
  <c r="X830" i="2"/>
  <c r="V830" i="2"/>
  <c r="T830" i="2"/>
  <c r="P830" i="2"/>
  <c r="L830" i="2"/>
  <c r="AF827" i="2"/>
  <c r="AN827" i="2" s="1"/>
  <c r="AE827" i="2"/>
  <c r="AM827" i="2" s="1"/>
  <c r="AA827" i="2"/>
  <c r="Z827" i="2"/>
  <c r="O827" i="2"/>
  <c r="P826" i="2" s="1"/>
  <c r="L827" i="2"/>
  <c r="J827" i="2"/>
  <c r="H827" i="2"/>
  <c r="AJ826" i="2"/>
  <c r="AI826" i="2"/>
  <c r="X826" i="2"/>
  <c r="V826" i="2"/>
  <c r="T826" i="2"/>
  <c r="L826" i="2"/>
  <c r="H826" i="2"/>
  <c r="R826" i="2" s="1"/>
  <c r="AF825" i="2"/>
  <c r="AN825" i="2" s="1"/>
  <c r="AE825" i="2"/>
  <c r="AM825" i="2" s="1"/>
  <c r="AA825" i="2"/>
  <c r="Z825" i="2"/>
  <c r="O825" i="2"/>
  <c r="P824" i="2" s="1"/>
  <c r="L825" i="2"/>
  <c r="J825" i="2"/>
  <c r="I825" i="2" s="1"/>
  <c r="I824" i="2" s="1"/>
  <c r="H825" i="2"/>
  <c r="AJ824" i="2"/>
  <c r="AI824" i="2"/>
  <c r="X824" i="2"/>
  <c r="V824" i="2"/>
  <c r="T824" i="2"/>
  <c r="S824" i="2"/>
  <c r="R824" i="2"/>
  <c r="L824" i="2"/>
  <c r="H824" i="2"/>
  <c r="AF823" i="2"/>
  <c r="AN823" i="2" s="1"/>
  <c r="AE823" i="2"/>
  <c r="AM823" i="2" s="1"/>
  <c r="AA823" i="2"/>
  <c r="AJ822" i="2" s="1"/>
  <c r="Z823" i="2"/>
  <c r="O823" i="2"/>
  <c r="L823" i="2"/>
  <c r="J823" i="2"/>
  <c r="AI822" i="2"/>
  <c r="X822" i="2"/>
  <c r="V822" i="2"/>
  <c r="R822" i="2"/>
  <c r="P822" i="2"/>
  <c r="L822" i="2"/>
  <c r="AF820" i="2"/>
  <c r="AN820" i="2" s="1"/>
  <c r="AE820" i="2"/>
  <c r="AM820" i="2" s="1"/>
  <c r="AA820" i="2"/>
  <c r="Z820" i="2"/>
  <c r="O820" i="2"/>
  <c r="L820" i="2"/>
  <c r="J820" i="2"/>
  <c r="H820" i="2"/>
  <c r="H817" i="2" s="1"/>
  <c r="AF818" i="2"/>
  <c r="AN818" i="2" s="1"/>
  <c r="AE818" i="2"/>
  <c r="AM818" i="2" s="1"/>
  <c r="AA818" i="2"/>
  <c r="Z818" i="2"/>
  <c r="O818" i="2"/>
  <c r="P817" i="2" s="1"/>
  <c r="L818" i="2"/>
  <c r="J818" i="2"/>
  <c r="AB818" i="2" s="1"/>
  <c r="I818" i="2"/>
  <c r="H818" i="2"/>
  <c r="AJ817" i="2"/>
  <c r="X817" i="2"/>
  <c r="V817" i="2"/>
  <c r="R817" i="2"/>
  <c r="L817" i="2"/>
  <c r="AF816" i="2"/>
  <c r="AN816" i="2" s="1"/>
  <c r="AE816" i="2"/>
  <c r="AM816" i="2" s="1"/>
  <c r="AA816" i="2"/>
  <c r="Z816" i="2"/>
  <c r="O816" i="2"/>
  <c r="P815" i="2" s="1"/>
  <c r="L816" i="2"/>
  <c r="J816" i="2"/>
  <c r="H816" i="2"/>
  <c r="AJ815" i="2"/>
  <c r="AI815" i="2"/>
  <c r="X815" i="2"/>
  <c r="V815" i="2"/>
  <c r="R815" i="2"/>
  <c r="L815" i="2"/>
  <c r="H815" i="2"/>
  <c r="AF813" i="2"/>
  <c r="AN813" i="2" s="1"/>
  <c r="AE813" i="2"/>
  <c r="AM813" i="2" s="1"/>
  <c r="AA813" i="2"/>
  <c r="Z813" i="2"/>
  <c r="O813" i="2"/>
  <c r="L813" i="2"/>
  <c r="J813" i="2"/>
  <c r="I813" i="2" s="1"/>
  <c r="I812" i="2" s="1"/>
  <c r="H813" i="2"/>
  <c r="H812" i="2" s="1"/>
  <c r="T812" i="2" s="1"/>
  <c r="AJ812" i="2"/>
  <c r="AI812" i="2"/>
  <c r="X812" i="2"/>
  <c r="V812" i="2"/>
  <c r="S812" i="2"/>
  <c r="R812" i="2"/>
  <c r="P812" i="2"/>
  <c r="L812" i="2"/>
  <c r="AF811" i="2"/>
  <c r="AN811" i="2" s="1"/>
  <c r="AE811" i="2"/>
  <c r="AM811" i="2" s="1"/>
  <c r="AA811" i="2"/>
  <c r="Z811" i="2"/>
  <c r="O811" i="2"/>
  <c r="L811" i="2"/>
  <c r="J811" i="2"/>
  <c r="AJ810" i="2"/>
  <c r="AI810" i="2"/>
  <c r="X810" i="2"/>
  <c r="V810" i="2"/>
  <c r="R810" i="2"/>
  <c r="P810" i="2"/>
  <c r="L810" i="2"/>
  <c r="AN809" i="2"/>
  <c r="AF809" i="2"/>
  <c r="AE809" i="2"/>
  <c r="AM809" i="2" s="1"/>
  <c r="AA809" i="2"/>
  <c r="Z809" i="2"/>
  <c r="O809" i="2"/>
  <c r="L809" i="2"/>
  <c r="J809" i="2"/>
  <c r="H809" i="2"/>
  <c r="H808" i="2" s="1"/>
  <c r="R808" i="2" s="1"/>
  <c r="AJ808" i="2"/>
  <c r="AI808" i="2"/>
  <c r="X808" i="2"/>
  <c r="V808" i="2"/>
  <c r="T808" i="2"/>
  <c r="P808" i="2"/>
  <c r="L808" i="2"/>
  <c r="AF806" i="2"/>
  <c r="AN806" i="2" s="1"/>
  <c r="AE806" i="2"/>
  <c r="AM806" i="2" s="1"/>
  <c r="AA806" i="2"/>
  <c r="Z806" i="2"/>
  <c r="O806" i="2"/>
  <c r="L806" i="2"/>
  <c r="J806" i="2"/>
  <c r="AF804" i="2"/>
  <c r="AN804" i="2" s="1"/>
  <c r="AE804" i="2"/>
  <c r="AM804" i="2" s="1"/>
  <c r="AA804" i="2"/>
  <c r="Z804" i="2"/>
  <c r="O804" i="2"/>
  <c r="L804" i="2"/>
  <c r="J804" i="2"/>
  <c r="AF802" i="2"/>
  <c r="AN802" i="2" s="1"/>
  <c r="AE802" i="2"/>
  <c r="AM802" i="2" s="1"/>
  <c r="AA802" i="2"/>
  <c r="Z802" i="2"/>
  <c r="O802" i="2"/>
  <c r="L802" i="2"/>
  <c r="J802" i="2"/>
  <c r="AJ801" i="2"/>
  <c r="AI801" i="2"/>
  <c r="X801" i="2"/>
  <c r="V801" i="2"/>
  <c r="T801" i="2"/>
  <c r="L801" i="2"/>
  <c r="AN800" i="2"/>
  <c r="AF800" i="2"/>
  <c r="AE800" i="2"/>
  <c r="AM800" i="2" s="1"/>
  <c r="AA800" i="2"/>
  <c r="Z800" i="2"/>
  <c r="O800" i="2"/>
  <c r="L800" i="2"/>
  <c r="L799" i="2" s="1"/>
  <c r="L798" i="2" s="1"/>
  <c r="J800" i="2"/>
  <c r="AB800" i="2" s="1"/>
  <c r="AK799" i="2" s="1"/>
  <c r="H800" i="2"/>
  <c r="I800" i="2" s="1"/>
  <c r="I799" i="2" s="1"/>
  <c r="AJ799" i="2"/>
  <c r="AI799" i="2"/>
  <c r="X799" i="2"/>
  <c r="W799" i="2"/>
  <c r="V799" i="2"/>
  <c r="T799" i="2"/>
  <c r="P799" i="2"/>
  <c r="AF796" i="2"/>
  <c r="AN796" i="2" s="1"/>
  <c r="AE796" i="2"/>
  <c r="AM796" i="2" s="1"/>
  <c r="AA796" i="2"/>
  <c r="Z796" i="2"/>
  <c r="O796" i="2"/>
  <c r="L796" i="2"/>
  <c r="J796" i="2"/>
  <c r="AJ795" i="2"/>
  <c r="AI795" i="2"/>
  <c r="X795" i="2"/>
  <c r="V795" i="2"/>
  <c r="T795" i="2"/>
  <c r="P795" i="2"/>
  <c r="L795" i="2"/>
  <c r="AF794" i="2"/>
  <c r="AN794" i="2" s="1"/>
  <c r="AE794" i="2"/>
  <c r="AM794" i="2" s="1"/>
  <c r="AA794" i="2"/>
  <c r="Z794" i="2"/>
  <c r="AI793" i="2" s="1"/>
  <c r="O794" i="2"/>
  <c r="L794" i="2"/>
  <c r="J794" i="2"/>
  <c r="AJ793" i="2"/>
  <c r="X793" i="2"/>
  <c r="V793" i="2"/>
  <c r="R793" i="2"/>
  <c r="P793" i="2"/>
  <c r="L793" i="2"/>
  <c r="AF792" i="2"/>
  <c r="AN792" i="2" s="1"/>
  <c r="AE792" i="2"/>
  <c r="AM792" i="2" s="1"/>
  <c r="AA792" i="2"/>
  <c r="Z792" i="2"/>
  <c r="O792" i="2"/>
  <c r="L792" i="2"/>
  <c r="J792" i="2"/>
  <c r="H792" i="2"/>
  <c r="AJ791" i="2"/>
  <c r="AI791" i="2"/>
  <c r="X791" i="2"/>
  <c r="V791" i="2"/>
  <c r="R791" i="2"/>
  <c r="P791" i="2"/>
  <c r="L791" i="2"/>
  <c r="H791" i="2"/>
  <c r="AF789" i="2"/>
  <c r="AN789" i="2" s="1"/>
  <c r="AE789" i="2"/>
  <c r="AM789" i="2" s="1"/>
  <c r="AA789" i="2"/>
  <c r="Z789" i="2"/>
  <c r="O789" i="2"/>
  <c r="L789" i="2"/>
  <c r="J789" i="2"/>
  <c r="AF787" i="2"/>
  <c r="AN787" i="2" s="1"/>
  <c r="AE787" i="2"/>
  <c r="AM787" i="2" s="1"/>
  <c r="AA787" i="2"/>
  <c r="Z787" i="2"/>
  <c r="O787" i="2"/>
  <c r="L787" i="2"/>
  <c r="J787" i="2"/>
  <c r="AB787" i="2" s="1"/>
  <c r="AF786" i="2"/>
  <c r="AN786" i="2" s="1"/>
  <c r="AE786" i="2"/>
  <c r="AM786" i="2" s="1"/>
  <c r="AA786" i="2"/>
  <c r="Z786" i="2"/>
  <c r="O786" i="2"/>
  <c r="L786" i="2"/>
  <c r="J786" i="2"/>
  <c r="AI785" i="2"/>
  <c r="X785" i="2"/>
  <c r="V785" i="2"/>
  <c r="R785" i="2"/>
  <c r="P785" i="2"/>
  <c r="L785" i="2"/>
  <c r="AF783" i="2"/>
  <c r="AN783" i="2" s="1"/>
  <c r="AE783" i="2"/>
  <c r="AM783" i="2" s="1"/>
  <c r="AA783" i="2"/>
  <c r="Z783" i="2"/>
  <c r="O783" i="2"/>
  <c r="L783" i="2"/>
  <c r="L782" i="2" s="1"/>
  <c r="J783" i="2"/>
  <c r="AB783" i="2" s="1"/>
  <c r="AK782" i="2" s="1"/>
  <c r="H783" i="2"/>
  <c r="AJ782" i="2"/>
  <c r="AI782" i="2"/>
  <c r="X782" i="2"/>
  <c r="V782" i="2"/>
  <c r="R782" i="2"/>
  <c r="P782" i="2"/>
  <c r="AN781" i="2"/>
  <c r="AF781" i="2"/>
  <c r="AE781" i="2"/>
  <c r="AM781" i="2" s="1"/>
  <c r="AA781" i="2"/>
  <c r="Z781" i="2"/>
  <c r="O781" i="2"/>
  <c r="P780" i="2" s="1"/>
  <c r="L781" i="2"/>
  <c r="L780" i="2" s="1"/>
  <c r="J781" i="2"/>
  <c r="AJ780" i="2"/>
  <c r="AI780" i="2"/>
  <c r="X780" i="2"/>
  <c r="V780" i="2"/>
  <c r="R780" i="2"/>
  <c r="AF779" i="2"/>
  <c r="AN779" i="2" s="1"/>
  <c r="AE779" i="2"/>
  <c r="AM779" i="2" s="1"/>
  <c r="AB779" i="2"/>
  <c r="AK778" i="2" s="1"/>
  <c r="AA779" i="2"/>
  <c r="Z779" i="2"/>
  <c r="O779" i="2"/>
  <c r="L779" i="2"/>
  <c r="L778" i="2" s="1"/>
  <c r="J779" i="2"/>
  <c r="I779" i="2" s="1"/>
  <c r="I778" i="2" s="1"/>
  <c r="H779" i="2"/>
  <c r="AJ778" i="2"/>
  <c r="AI778" i="2"/>
  <c r="X778" i="2"/>
  <c r="V778" i="2"/>
  <c r="T778" i="2"/>
  <c r="P778" i="2"/>
  <c r="H778" i="2"/>
  <c r="R778" i="2" s="1"/>
  <c r="AF776" i="2"/>
  <c r="AN776" i="2" s="1"/>
  <c r="AE776" i="2"/>
  <c r="AM776" i="2" s="1"/>
  <c r="AA776" i="2"/>
  <c r="Z776" i="2"/>
  <c r="O776" i="2"/>
  <c r="L776" i="2"/>
  <c r="J776" i="2"/>
  <c r="AB776" i="2" s="1"/>
  <c r="AK775" i="2" s="1"/>
  <c r="H776" i="2"/>
  <c r="I776" i="2" s="1"/>
  <c r="I775" i="2" s="1"/>
  <c r="AJ775" i="2"/>
  <c r="AI775" i="2"/>
  <c r="X775" i="2"/>
  <c r="V775" i="2"/>
  <c r="T775" i="2"/>
  <c r="P775" i="2"/>
  <c r="L775" i="2"/>
  <c r="AF774" i="2"/>
  <c r="AN774" i="2" s="1"/>
  <c r="AE774" i="2"/>
  <c r="AM774" i="2" s="1"/>
  <c r="AA774" i="2"/>
  <c r="Z774" i="2"/>
  <c r="O774" i="2"/>
  <c r="P773" i="2" s="1"/>
  <c r="W773" i="2" s="1"/>
  <c r="L774" i="2"/>
  <c r="L773" i="2" s="1"/>
  <c r="J774" i="2"/>
  <c r="I774" i="2" s="1"/>
  <c r="I773" i="2" s="1"/>
  <c r="H774" i="2"/>
  <c r="AJ773" i="2"/>
  <c r="AI773" i="2"/>
  <c r="X773" i="2"/>
  <c r="V773" i="2"/>
  <c r="T773" i="2"/>
  <c r="H773" i="2"/>
  <c r="R773" i="2" s="1"/>
  <c r="AF770" i="2"/>
  <c r="AN770" i="2" s="1"/>
  <c r="AE770" i="2"/>
  <c r="AM770" i="2" s="1"/>
  <c r="AA770" i="2"/>
  <c r="Z770" i="2"/>
  <c r="O770" i="2"/>
  <c r="P769" i="2" s="1"/>
  <c r="L770" i="2"/>
  <c r="L769" i="2" s="1"/>
  <c r="J770" i="2"/>
  <c r="AJ769" i="2"/>
  <c r="AI769" i="2"/>
  <c r="X769" i="2"/>
  <c r="V769" i="2"/>
  <c r="T769" i="2"/>
  <c r="AM768" i="2"/>
  <c r="AF768" i="2"/>
  <c r="AN768" i="2" s="1"/>
  <c r="AE768" i="2"/>
  <c r="AA768" i="2"/>
  <c r="AJ767" i="2" s="1"/>
  <c r="Z768" i="2"/>
  <c r="AI767" i="2" s="1"/>
  <c r="O768" i="2"/>
  <c r="L768" i="2"/>
  <c r="L767" i="2" s="1"/>
  <c r="J768" i="2"/>
  <c r="H768" i="2"/>
  <c r="H767" i="2" s="1"/>
  <c r="T767" i="2" s="1"/>
  <c r="X767" i="2"/>
  <c r="V767" i="2"/>
  <c r="R767" i="2"/>
  <c r="P767" i="2"/>
  <c r="AF766" i="2"/>
  <c r="AN766" i="2" s="1"/>
  <c r="AE766" i="2"/>
  <c r="AM766" i="2" s="1"/>
  <c r="AA766" i="2"/>
  <c r="AJ765" i="2" s="1"/>
  <c r="Z766" i="2"/>
  <c r="O766" i="2"/>
  <c r="L766" i="2"/>
  <c r="J766" i="2"/>
  <c r="AB766" i="2" s="1"/>
  <c r="AK765" i="2" s="1"/>
  <c r="AI765" i="2"/>
  <c r="X765" i="2"/>
  <c r="V765" i="2"/>
  <c r="R765" i="2"/>
  <c r="P765" i="2"/>
  <c r="L765" i="2"/>
  <c r="AN763" i="2"/>
  <c r="AF763" i="2"/>
  <c r="AE763" i="2"/>
  <c r="AM763" i="2" s="1"/>
  <c r="AA763" i="2"/>
  <c r="Z763" i="2"/>
  <c r="O763" i="2"/>
  <c r="L763" i="2"/>
  <c r="L760" i="2" s="1"/>
  <c r="J763" i="2"/>
  <c r="I763" i="2" s="1"/>
  <c r="H763" i="2"/>
  <c r="AF761" i="2"/>
  <c r="AN761" i="2" s="1"/>
  <c r="AE761" i="2"/>
  <c r="AA761" i="2"/>
  <c r="Z761" i="2"/>
  <c r="O761" i="2"/>
  <c r="L761" i="2"/>
  <c r="J761" i="2"/>
  <c r="AB761" i="2" s="1"/>
  <c r="AI760" i="2"/>
  <c r="X760" i="2"/>
  <c r="V760" i="2"/>
  <c r="R760" i="2"/>
  <c r="AF759" i="2"/>
  <c r="AN759" i="2" s="1"/>
  <c r="AE759" i="2"/>
  <c r="AM759" i="2" s="1"/>
  <c r="AA759" i="2"/>
  <c r="Z759" i="2"/>
  <c r="O759" i="2"/>
  <c r="P758" i="2" s="1"/>
  <c r="L759" i="2"/>
  <c r="L758" i="2" s="1"/>
  <c r="J759" i="2"/>
  <c r="AJ758" i="2"/>
  <c r="AI758" i="2"/>
  <c r="X758" i="2"/>
  <c r="V758" i="2"/>
  <c r="R758" i="2"/>
  <c r="AM756" i="2"/>
  <c r="AF756" i="2"/>
  <c r="AN756" i="2" s="1"/>
  <c r="AE756" i="2"/>
  <c r="AA756" i="2"/>
  <c r="AJ755" i="2" s="1"/>
  <c r="Z756" i="2"/>
  <c r="AI755" i="2" s="1"/>
  <c r="O756" i="2"/>
  <c r="L756" i="2"/>
  <c r="L755" i="2" s="1"/>
  <c r="J756" i="2"/>
  <c r="H756" i="2"/>
  <c r="H755" i="2" s="1"/>
  <c r="X755" i="2"/>
  <c r="V755" i="2"/>
  <c r="R755" i="2"/>
  <c r="P755" i="2"/>
  <c r="AF754" i="2"/>
  <c r="AN754" i="2" s="1"/>
  <c r="AE754" i="2"/>
  <c r="AM754" i="2" s="1"/>
  <c r="AA754" i="2"/>
  <c r="AJ753" i="2" s="1"/>
  <c r="Z754" i="2"/>
  <c r="AI753" i="2" s="1"/>
  <c r="O754" i="2"/>
  <c r="L754" i="2"/>
  <c r="L753" i="2" s="1"/>
  <c r="J754" i="2"/>
  <c r="AB754" i="2" s="1"/>
  <c r="AK753" i="2" s="1"/>
  <c r="X753" i="2"/>
  <c r="V753" i="2"/>
  <c r="R753" i="2"/>
  <c r="P753" i="2"/>
  <c r="AF752" i="2"/>
  <c r="AN752" i="2" s="1"/>
  <c r="AE752" i="2"/>
  <c r="AM752" i="2" s="1"/>
  <c r="AA752" i="2"/>
  <c r="Z752" i="2"/>
  <c r="O752" i="2"/>
  <c r="P751" i="2" s="1"/>
  <c r="L752" i="2"/>
  <c r="J752" i="2"/>
  <c r="I752" i="2" s="1"/>
  <c r="I751" i="2" s="1"/>
  <c r="H752" i="2"/>
  <c r="H751" i="2" s="1"/>
  <c r="AJ751" i="2"/>
  <c r="AI751" i="2"/>
  <c r="X751" i="2"/>
  <c r="V751" i="2"/>
  <c r="T751" i="2"/>
  <c r="L751" i="2"/>
  <c r="AF749" i="2"/>
  <c r="AN749" i="2" s="1"/>
  <c r="AE749" i="2"/>
  <c r="AM749" i="2" s="1"/>
  <c r="AA749" i="2"/>
  <c r="Z749" i="2"/>
  <c r="O749" i="2"/>
  <c r="L749" i="2"/>
  <c r="J749" i="2"/>
  <c r="AB749" i="2" s="1"/>
  <c r="H749" i="2"/>
  <c r="I749" i="2" s="1"/>
  <c r="AF747" i="2"/>
  <c r="AN747" i="2" s="1"/>
  <c r="AE747" i="2"/>
  <c r="AM747" i="2" s="1"/>
  <c r="AA747" i="2"/>
  <c r="Z747" i="2"/>
  <c r="O747" i="2"/>
  <c r="L747" i="2"/>
  <c r="L744" i="2" s="1"/>
  <c r="J747" i="2"/>
  <c r="AF745" i="2"/>
  <c r="AN745" i="2" s="1"/>
  <c r="AE745" i="2"/>
  <c r="AM745" i="2" s="1"/>
  <c r="AA745" i="2"/>
  <c r="AJ744" i="2" s="1"/>
  <c r="Z745" i="2"/>
  <c r="O745" i="2"/>
  <c r="P744" i="2" s="1"/>
  <c r="L745" i="2"/>
  <c r="J745" i="2"/>
  <c r="AB745" i="2" s="1"/>
  <c r="H745" i="2"/>
  <c r="I745" i="2" s="1"/>
  <c r="X744" i="2"/>
  <c r="V744" i="2"/>
  <c r="T744" i="2"/>
  <c r="AM743" i="2"/>
  <c r="AF743" i="2"/>
  <c r="AN743" i="2" s="1"/>
  <c r="AE743" i="2"/>
  <c r="AA743" i="2"/>
  <c r="Z743" i="2"/>
  <c r="O743" i="2"/>
  <c r="P742" i="2" s="1"/>
  <c r="L743" i="2"/>
  <c r="L742" i="2" s="1"/>
  <c r="J743" i="2"/>
  <c r="AB743" i="2" s="1"/>
  <c r="AK742" i="2" s="1"/>
  <c r="H743" i="2"/>
  <c r="H742" i="2" s="1"/>
  <c r="AJ742" i="2"/>
  <c r="AI742" i="2"/>
  <c r="X742" i="2"/>
  <c r="V742" i="2"/>
  <c r="T742" i="2"/>
  <c r="AF739" i="2"/>
  <c r="AN739" i="2" s="1"/>
  <c r="AE739" i="2"/>
  <c r="AA739" i="2"/>
  <c r="AJ738" i="2" s="1"/>
  <c r="Z739" i="2"/>
  <c r="O739" i="2"/>
  <c r="L739" i="2"/>
  <c r="L738" i="2" s="1"/>
  <c r="J739" i="2"/>
  <c r="AB739" i="2" s="1"/>
  <c r="AK738" i="2" s="1"/>
  <c r="AI738" i="2"/>
  <c r="X738" i="2"/>
  <c r="V738" i="2"/>
  <c r="T738" i="2"/>
  <c r="P738" i="2"/>
  <c r="AN737" i="2"/>
  <c r="AF737" i="2"/>
  <c r="AE737" i="2"/>
  <c r="AM737" i="2" s="1"/>
  <c r="AA737" i="2"/>
  <c r="AJ736" i="2" s="1"/>
  <c r="Z737" i="2"/>
  <c r="O737" i="2"/>
  <c r="P736" i="2" s="1"/>
  <c r="L737" i="2"/>
  <c r="L736" i="2" s="1"/>
  <c r="J737" i="2"/>
  <c r="AB737" i="2" s="1"/>
  <c r="AK736" i="2" s="1"/>
  <c r="I737" i="2"/>
  <c r="I736" i="2" s="1"/>
  <c r="H737" i="2"/>
  <c r="AI736" i="2"/>
  <c r="X736" i="2"/>
  <c r="V736" i="2"/>
  <c r="R736" i="2"/>
  <c r="H736" i="2"/>
  <c r="T736" i="2" s="1"/>
  <c r="AF735" i="2"/>
  <c r="AN735" i="2" s="1"/>
  <c r="AE735" i="2"/>
  <c r="AM735" i="2" s="1"/>
  <c r="AA735" i="2"/>
  <c r="AJ734" i="2" s="1"/>
  <c r="Z735" i="2"/>
  <c r="O735" i="2"/>
  <c r="P734" i="2" s="1"/>
  <c r="L735" i="2"/>
  <c r="J735" i="2"/>
  <c r="AB735" i="2" s="1"/>
  <c r="AK734" i="2" s="1"/>
  <c r="H735" i="2"/>
  <c r="AI734" i="2"/>
  <c r="X734" i="2"/>
  <c r="V734" i="2"/>
  <c r="T734" i="2"/>
  <c r="S734" i="2"/>
  <c r="R734" i="2"/>
  <c r="L734" i="2"/>
  <c r="H734" i="2"/>
  <c r="AF733" i="2"/>
  <c r="AN733" i="2" s="1"/>
  <c r="AE733" i="2"/>
  <c r="AM733" i="2" s="1"/>
  <c r="AB733" i="2"/>
  <c r="AK732" i="2" s="1"/>
  <c r="AA733" i="2"/>
  <c r="Z733" i="2"/>
  <c r="AI732" i="2" s="1"/>
  <c r="O733" i="2"/>
  <c r="P732" i="2" s="1"/>
  <c r="L733" i="2"/>
  <c r="J733" i="2"/>
  <c r="I733" i="2" s="1"/>
  <c r="I732" i="2" s="1"/>
  <c r="H733" i="2"/>
  <c r="AJ732" i="2"/>
  <c r="X732" i="2"/>
  <c r="V732" i="2"/>
  <c r="R732" i="2"/>
  <c r="L732" i="2"/>
  <c r="H732" i="2"/>
  <c r="AF730" i="2"/>
  <c r="AN730" i="2" s="1"/>
  <c r="AE730" i="2"/>
  <c r="AM730" i="2" s="1"/>
  <c r="AA730" i="2"/>
  <c r="Z730" i="2"/>
  <c r="AI729" i="2" s="1"/>
  <c r="O730" i="2"/>
  <c r="L730" i="2"/>
  <c r="J730" i="2"/>
  <c r="AB730" i="2" s="1"/>
  <c r="AK729" i="2" s="1"/>
  <c r="H730" i="2"/>
  <c r="H729" i="2" s="1"/>
  <c r="AJ729" i="2"/>
  <c r="X729" i="2"/>
  <c r="V729" i="2"/>
  <c r="R729" i="2"/>
  <c r="P729" i="2"/>
  <c r="L729" i="2"/>
  <c r="AF728" i="2"/>
  <c r="AN728" i="2" s="1"/>
  <c r="AE728" i="2"/>
  <c r="AM728" i="2" s="1"/>
  <c r="AA728" i="2"/>
  <c r="AJ727" i="2" s="1"/>
  <c r="Z728" i="2"/>
  <c r="AI727" i="2" s="1"/>
  <c r="O728" i="2"/>
  <c r="L728" i="2"/>
  <c r="J728" i="2"/>
  <c r="AB728" i="2" s="1"/>
  <c r="AK727" i="2" s="1"/>
  <c r="X727" i="2"/>
  <c r="V727" i="2"/>
  <c r="T727" i="2"/>
  <c r="P727" i="2"/>
  <c r="L727" i="2"/>
  <c r="AF725" i="2"/>
  <c r="AN725" i="2" s="1"/>
  <c r="AE725" i="2"/>
  <c r="AM725" i="2" s="1"/>
  <c r="AA725" i="2"/>
  <c r="Z725" i="2"/>
  <c r="O725" i="2"/>
  <c r="L725" i="2"/>
  <c r="J725" i="2"/>
  <c r="AF723" i="2"/>
  <c r="AN723" i="2" s="1"/>
  <c r="AE723" i="2"/>
  <c r="AM723" i="2" s="1"/>
  <c r="AB723" i="2"/>
  <c r="AA723" i="2"/>
  <c r="Z723" i="2"/>
  <c r="O723" i="2"/>
  <c r="L723" i="2"/>
  <c r="L722" i="2" s="1"/>
  <c r="J723" i="2"/>
  <c r="AJ722" i="2"/>
  <c r="AI722" i="2"/>
  <c r="X722" i="2"/>
  <c r="V722" i="2"/>
  <c r="T722" i="2"/>
  <c r="AF719" i="2"/>
  <c r="AN719" i="2" s="1"/>
  <c r="AE719" i="2"/>
  <c r="AM719" i="2" s="1"/>
  <c r="AA719" i="2"/>
  <c r="AJ718" i="2" s="1"/>
  <c r="Z719" i="2"/>
  <c r="AI718" i="2" s="1"/>
  <c r="O719" i="2"/>
  <c r="L719" i="2"/>
  <c r="L718" i="2" s="1"/>
  <c r="J719" i="2"/>
  <c r="X718" i="2"/>
  <c r="V718" i="2"/>
  <c r="T718" i="2"/>
  <c r="P718" i="2"/>
  <c r="AF717" i="2"/>
  <c r="AN717" i="2" s="1"/>
  <c r="AE717" i="2"/>
  <c r="AM717" i="2" s="1"/>
  <c r="AA717" i="2"/>
  <c r="AJ716" i="2" s="1"/>
  <c r="Z717" i="2"/>
  <c r="AI716" i="2" s="1"/>
  <c r="O717" i="2"/>
  <c r="P716" i="2" s="1"/>
  <c r="L717" i="2"/>
  <c r="L716" i="2" s="1"/>
  <c r="J717" i="2"/>
  <c r="AB717" i="2" s="1"/>
  <c r="AK716" i="2" s="1"/>
  <c r="X716" i="2"/>
  <c r="V716" i="2"/>
  <c r="R716" i="2"/>
  <c r="AF715" i="2"/>
  <c r="AN715" i="2" s="1"/>
  <c r="AE715" i="2"/>
  <c r="AM715" i="2" s="1"/>
  <c r="AA715" i="2"/>
  <c r="Z715" i="2"/>
  <c r="O715" i="2"/>
  <c r="L715" i="2"/>
  <c r="L712" i="2" s="1"/>
  <c r="J715" i="2"/>
  <c r="AB715" i="2" s="1"/>
  <c r="AF713" i="2"/>
  <c r="AN713" i="2" s="1"/>
  <c r="AE713" i="2"/>
  <c r="AM713" i="2" s="1"/>
  <c r="AA713" i="2"/>
  <c r="Z713" i="2"/>
  <c r="AI712" i="2" s="1"/>
  <c r="O713" i="2"/>
  <c r="P712" i="2" s="1"/>
  <c r="L713" i="2"/>
  <c r="J713" i="2"/>
  <c r="AB713" i="2" s="1"/>
  <c r="AJ712" i="2"/>
  <c r="X712" i="2"/>
  <c r="V712" i="2"/>
  <c r="R712" i="2"/>
  <c r="AF711" i="2"/>
  <c r="AN711" i="2" s="1"/>
  <c r="AE711" i="2"/>
  <c r="AM711" i="2" s="1"/>
  <c r="AA711" i="2"/>
  <c r="Z711" i="2"/>
  <c r="O711" i="2"/>
  <c r="L711" i="2"/>
  <c r="J711" i="2"/>
  <c r="AB711" i="2" s="1"/>
  <c r="H711" i="2"/>
  <c r="AF709" i="2"/>
  <c r="AN709" i="2" s="1"/>
  <c r="AE709" i="2"/>
  <c r="AM709" i="2" s="1"/>
  <c r="AA709" i="2"/>
  <c r="Z709" i="2"/>
  <c r="O709" i="2"/>
  <c r="P708" i="2" s="1"/>
  <c r="L709" i="2"/>
  <c r="L708" i="2" s="1"/>
  <c r="L700" i="2" s="1"/>
  <c r="J709" i="2"/>
  <c r="AB709" i="2" s="1"/>
  <c r="H709" i="2"/>
  <c r="I709" i="2" s="1"/>
  <c r="AJ708" i="2"/>
  <c r="AI708" i="2"/>
  <c r="X708" i="2"/>
  <c r="V708" i="2"/>
  <c r="T708" i="2"/>
  <c r="AF707" i="2"/>
  <c r="AN707" i="2" s="1"/>
  <c r="AE707" i="2"/>
  <c r="AM707" i="2" s="1"/>
  <c r="AB707" i="2"/>
  <c r="AK706" i="2" s="1"/>
  <c r="AA707" i="2"/>
  <c r="Z707" i="2"/>
  <c r="O707" i="2"/>
  <c r="P706" i="2" s="1"/>
  <c r="L707" i="2"/>
  <c r="J707" i="2"/>
  <c r="I707" i="2" s="1"/>
  <c r="I706" i="2" s="1"/>
  <c r="H707" i="2"/>
  <c r="AJ706" i="2"/>
  <c r="AI706" i="2"/>
  <c r="X706" i="2"/>
  <c r="V706" i="2"/>
  <c r="T706" i="2"/>
  <c r="L706" i="2"/>
  <c r="H706" i="2"/>
  <c r="R706" i="2" s="1"/>
  <c r="AF704" i="2"/>
  <c r="AN704" i="2" s="1"/>
  <c r="AE704" i="2"/>
  <c r="AM704" i="2" s="1"/>
  <c r="AA704" i="2"/>
  <c r="Z704" i="2"/>
  <c r="O704" i="2"/>
  <c r="L704" i="2"/>
  <c r="J704" i="2"/>
  <c r="AB704" i="2" s="1"/>
  <c r="AF702" i="2"/>
  <c r="AN702" i="2" s="1"/>
  <c r="AE702" i="2"/>
  <c r="AM702" i="2" s="1"/>
  <c r="AA702" i="2"/>
  <c r="AJ701" i="2" s="1"/>
  <c r="Z702" i="2"/>
  <c r="AI701" i="2" s="1"/>
  <c r="O702" i="2"/>
  <c r="L702" i="2"/>
  <c r="J702" i="2"/>
  <c r="AB702" i="2" s="1"/>
  <c r="H702" i="2"/>
  <c r="X701" i="2"/>
  <c r="V701" i="2"/>
  <c r="T701" i="2"/>
  <c r="L701" i="2"/>
  <c r="AF698" i="2"/>
  <c r="AN698" i="2" s="1"/>
  <c r="AE698" i="2"/>
  <c r="AM698" i="2" s="1"/>
  <c r="AA698" i="2"/>
  <c r="AJ697" i="2" s="1"/>
  <c r="Z698" i="2"/>
  <c r="AI697" i="2" s="1"/>
  <c r="O698" i="2"/>
  <c r="L698" i="2"/>
  <c r="J698" i="2"/>
  <c r="AB698" i="2" s="1"/>
  <c r="AK697" i="2" s="1"/>
  <c r="X697" i="2"/>
  <c r="V697" i="2"/>
  <c r="T697" i="2"/>
  <c r="P697" i="2"/>
  <c r="L697" i="2"/>
  <c r="AF695" i="2"/>
  <c r="AN695" i="2" s="1"/>
  <c r="AE695" i="2"/>
  <c r="AM695" i="2" s="1"/>
  <c r="AA695" i="2"/>
  <c r="Z695" i="2"/>
  <c r="O695" i="2"/>
  <c r="L695" i="2"/>
  <c r="L694" i="2" s="1"/>
  <c r="J695" i="2"/>
  <c r="AJ694" i="2"/>
  <c r="AI694" i="2"/>
  <c r="X694" i="2"/>
  <c r="V694" i="2"/>
  <c r="T694" i="2"/>
  <c r="P694" i="2"/>
  <c r="AF693" i="2"/>
  <c r="AN693" i="2" s="1"/>
  <c r="AE693" i="2"/>
  <c r="AM693" i="2" s="1"/>
  <c r="AA693" i="2"/>
  <c r="AJ692" i="2" s="1"/>
  <c r="Z693" i="2"/>
  <c r="O693" i="2"/>
  <c r="L693" i="2"/>
  <c r="L692" i="2" s="1"/>
  <c r="J693" i="2"/>
  <c r="AI692" i="2"/>
  <c r="X692" i="2"/>
  <c r="V692" i="2"/>
  <c r="R692" i="2"/>
  <c r="P692" i="2"/>
  <c r="AF691" i="2"/>
  <c r="AN691" i="2" s="1"/>
  <c r="AE691" i="2"/>
  <c r="AA691" i="2"/>
  <c r="AJ690" i="2" s="1"/>
  <c r="Z691" i="2"/>
  <c r="AI690" i="2" s="1"/>
  <c r="O691" i="2"/>
  <c r="L691" i="2"/>
  <c r="J691" i="2"/>
  <c r="AB691" i="2" s="1"/>
  <c r="AK690" i="2" s="1"/>
  <c r="X690" i="2"/>
  <c r="V690" i="2"/>
  <c r="R690" i="2"/>
  <c r="P690" i="2"/>
  <c r="L690" i="2"/>
  <c r="AF689" i="2"/>
  <c r="AN689" i="2" s="1"/>
  <c r="AE689" i="2"/>
  <c r="AM689" i="2" s="1"/>
  <c r="AA689" i="2"/>
  <c r="AJ688" i="2" s="1"/>
  <c r="Z689" i="2"/>
  <c r="O689" i="2"/>
  <c r="P688" i="2" s="1"/>
  <c r="L689" i="2"/>
  <c r="L688" i="2" s="1"/>
  <c r="J689" i="2"/>
  <c r="AB689" i="2" s="1"/>
  <c r="AK688" i="2" s="1"/>
  <c r="AI688" i="2"/>
  <c r="X688" i="2"/>
  <c r="V688" i="2"/>
  <c r="R688" i="2"/>
  <c r="AF686" i="2"/>
  <c r="AN686" i="2" s="1"/>
  <c r="AE686" i="2"/>
  <c r="AM686" i="2" s="1"/>
  <c r="AA686" i="2"/>
  <c r="AJ685" i="2" s="1"/>
  <c r="Z686" i="2"/>
  <c r="O686" i="2"/>
  <c r="P685" i="2" s="1"/>
  <c r="L686" i="2"/>
  <c r="L685" i="2" s="1"/>
  <c r="J686" i="2"/>
  <c r="AB686" i="2" s="1"/>
  <c r="AK685" i="2" s="1"/>
  <c r="H686" i="2"/>
  <c r="I686" i="2" s="1"/>
  <c r="I685" i="2" s="1"/>
  <c r="AI685" i="2"/>
  <c r="X685" i="2"/>
  <c r="V685" i="2"/>
  <c r="R685" i="2"/>
  <c r="AF684" i="2"/>
  <c r="AN684" i="2" s="1"/>
  <c r="AE684" i="2"/>
  <c r="AM684" i="2" s="1"/>
  <c r="AA684" i="2"/>
  <c r="Z684" i="2"/>
  <c r="AI683" i="2" s="1"/>
  <c r="O684" i="2"/>
  <c r="L684" i="2"/>
  <c r="J684" i="2"/>
  <c r="AB684" i="2" s="1"/>
  <c r="AK683" i="2" s="1"/>
  <c r="AJ683" i="2"/>
  <c r="X683" i="2"/>
  <c r="V683" i="2"/>
  <c r="T683" i="2"/>
  <c r="P683" i="2"/>
  <c r="L683" i="2"/>
  <c r="AF681" i="2"/>
  <c r="AN681" i="2" s="1"/>
  <c r="AE681" i="2"/>
  <c r="AM681" i="2" s="1"/>
  <c r="AA681" i="2"/>
  <c r="Z681" i="2"/>
  <c r="O681" i="2"/>
  <c r="L681" i="2"/>
  <c r="J681" i="2"/>
  <c r="AB681" i="2" s="1"/>
  <c r="H681" i="2"/>
  <c r="AF679" i="2"/>
  <c r="AN679" i="2" s="1"/>
  <c r="AE679" i="2"/>
  <c r="AA679" i="2"/>
  <c r="Z679" i="2"/>
  <c r="AI678" i="2" s="1"/>
  <c r="O679" i="2"/>
  <c r="L679" i="2"/>
  <c r="J679" i="2"/>
  <c r="AB679" i="2" s="1"/>
  <c r="AJ678" i="2"/>
  <c r="X678" i="2"/>
  <c r="V678" i="2"/>
  <c r="T678" i="2"/>
  <c r="P678" i="2"/>
  <c r="L678" i="2"/>
  <c r="AF675" i="2"/>
  <c r="AN675" i="2" s="1"/>
  <c r="AE675" i="2"/>
  <c r="AM675" i="2" s="1"/>
  <c r="AA675" i="2"/>
  <c r="Z675" i="2"/>
  <c r="O675" i="2"/>
  <c r="L675" i="2"/>
  <c r="J675" i="2"/>
  <c r="AJ674" i="2"/>
  <c r="AI674" i="2"/>
  <c r="X674" i="2"/>
  <c r="V674" i="2"/>
  <c r="T674" i="2"/>
  <c r="P674" i="2"/>
  <c r="L674" i="2"/>
  <c r="AF673" i="2"/>
  <c r="AN673" i="2" s="1"/>
  <c r="AE673" i="2"/>
  <c r="AM673" i="2" s="1"/>
  <c r="AB673" i="2"/>
  <c r="AK672" i="2" s="1"/>
  <c r="AA673" i="2"/>
  <c r="Z673" i="2"/>
  <c r="O673" i="2"/>
  <c r="L673" i="2"/>
  <c r="L672" i="2" s="1"/>
  <c r="J673" i="2"/>
  <c r="H673" i="2"/>
  <c r="I673" i="2" s="1"/>
  <c r="I672" i="2" s="1"/>
  <c r="AJ672" i="2"/>
  <c r="AI672" i="2"/>
  <c r="X672" i="2"/>
  <c r="V672" i="2"/>
  <c r="R672" i="2"/>
  <c r="P672" i="2"/>
  <c r="AF671" i="2"/>
  <c r="AN671" i="2" s="1"/>
  <c r="AE671" i="2"/>
  <c r="AM671" i="2" s="1"/>
  <c r="AA671" i="2"/>
  <c r="Z671" i="2"/>
  <c r="O671" i="2"/>
  <c r="L671" i="2"/>
  <c r="L668" i="2" s="1"/>
  <c r="J671" i="2"/>
  <c r="AB671" i="2" s="1"/>
  <c r="AF669" i="2"/>
  <c r="AN669" i="2" s="1"/>
  <c r="AE669" i="2"/>
  <c r="AM669" i="2" s="1"/>
  <c r="AA669" i="2"/>
  <c r="Z669" i="2"/>
  <c r="O669" i="2"/>
  <c r="P668" i="2" s="1"/>
  <c r="L669" i="2"/>
  <c r="J669" i="2"/>
  <c r="AJ668" i="2"/>
  <c r="AI668" i="2"/>
  <c r="X668" i="2"/>
  <c r="V668" i="2"/>
  <c r="R668" i="2"/>
  <c r="AM667" i="2"/>
  <c r="AF667" i="2"/>
  <c r="AN667" i="2" s="1"/>
  <c r="AE667" i="2"/>
  <c r="AA667" i="2"/>
  <c r="Z667" i="2"/>
  <c r="O667" i="2"/>
  <c r="L667" i="2"/>
  <c r="L666" i="2" s="1"/>
  <c r="J667" i="2"/>
  <c r="I667" i="2" s="1"/>
  <c r="I666" i="2" s="1"/>
  <c r="S666" i="2" s="1"/>
  <c r="H667" i="2"/>
  <c r="AJ666" i="2"/>
  <c r="AI666" i="2"/>
  <c r="X666" i="2"/>
  <c r="V666" i="2"/>
  <c r="T666" i="2"/>
  <c r="P666" i="2"/>
  <c r="H666" i="2"/>
  <c r="AN664" i="2"/>
  <c r="AF664" i="2"/>
  <c r="AE664" i="2"/>
  <c r="AM664" i="2" s="1"/>
  <c r="AA664" i="2"/>
  <c r="Z664" i="2"/>
  <c r="AI663" i="2" s="1"/>
  <c r="O664" i="2"/>
  <c r="P663" i="2" s="1"/>
  <c r="L664" i="2"/>
  <c r="J664" i="2"/>
  <c r="AJ663" i="2"/>
  <c r="X663" i="2"/>
  <c r="V663" i="2"/>
  <c r="T663" i="2"/>
  <c r="L663" i="2"/>
  <c r="AF662" i="2"/>
  <c r="AN662" i="2" s="1"/>
  <c r="AE662" i="2"/>
  <c r="AM662" i="2" s="1"/>
  <c r="AB662" i="2"/>
  <c r="AK661" i="2" s="1"/>
  <c r="AA662" i="2"/>
  <c r="Z662" i="2"/>
  <c r="O662" i="2"/>
  <c r="L662" i="2"/>
  <c r="L661" i="2" s="1"/>
  <c r="J662" i="2"/>
  <c r="AJ661" i="2"/>
  <c r="AI661" i="2"/>
  <c r="X661" i="2"/>
  <c r="V661" i="2"/>
  <c r="T661" i="2"/>
  <c r="P661" i="2"/>
  <c r="AN658" i="2"/>
  <c r="AF658" i="2"/>
  <c r="AE658" i="2"/>
  <c r="AM658" i="2" s="1"/>
  <c r="AA658" i="2"/>
  <c r="Z658" i="2"/>
  <c r="O658" i="2"/>
  <c r="P657" i="2" s="1"/>
  <c r="L658" i="2"/>
  <c r="J658" i="2"/>
  <c r="I658" i="2" s="1"/>
  <c r="I657" i="2" s="1"/>
  <c r="H658" i="2"/>
  <c r="H657" i="2" s="1"/>
  <c r="AJ657" i="2"/>
  <c r="AI657" i="2"/>
  <c r="X657" i="2"/>
  <c r="V657" i="2"/>
  <c r="T657" i="2"/>
  <c r="R657" i="2"/>
  <c r="L657" i="2"/>
  <c r="AF656" i="2"/>
  <c r="AN656" i="2" s="1"/>
  <c r="AE656" i="2"/>
  <c r="AM656" i="2" s="1"/>
  <c r="AA656" i="2"/>
  <c r="Z656" i="2"/>
  <c r="O656" i="2"/>
  <c r="L656" i="2"/>
  <c r="L655" i="2" s="1"/>
  <c r="J656" i="2"/>
  <c r="H656" i="2"/>
  <c r="H655" i="2" s="1"/>
  <c r="AJ655" i="2"/>
  <c r="AI655" i="2"/>
  <c r="X655" i="2"/>
  <c r="V655" i="2"/>
  <c r="R655" i="2"/>
  <c r="P655" i="2"/>
  <c r="AN654" i="2"/>
  <c r="AF654" i="2"/>
  <c r="AE654" i="2"/>
  <c r="AM654" i="2" s="1"/>
  <c r="AA654" i="2"/>
  <c r="Z654" i="2"/>
  <c r="AI653" i="2" s="1"/>
  <c r="O654" i="2"/>
  <c r="P653" i="2" s="1"/>
  <c r="L654" i="2"/>
  <c r="J654" i="2"/>
  <c r="AJ653" i="2"/>
  <c r="X653" i="2"/>
  <c r="V653" i="2"/>
  <c r="R653" i="2"/>
  <c r="L653" i="2"/>
  <c r="AF652" i="2"/>
  <c r="AN652" i="2" s="1"/>
  <c r="AE652" i="2"/>
  <c r="AA652" i="2"/>
  <c r="Z652" i="2"/>
  <c r="O652" i="2"/>
  <c r="L652" i="2"/>
  <c r="L651" i="2" s="1"/>
  <c r="J652" i="2"/>
  <c r="AB652" i="2" s="1"/>
  <c r="AK651" i="2" s="1"/>
  <c r="AJ651" i="2"/>
  <c r="AI651" i="2"/>
  <c r="X651" i="2"/>
  <c r="V651" i="2"/>
  <c r="R651" i="2"/>
  <c r="P651" i="2"/>
  <c r="AN649" i="2"/>
  <c r="AF649" i="2"/>
  <c r="AE649" i="2"/>
  <c r="AM649" i="2" s="1"/>
  <c r="AA649" i="2"/>
  <c r="Z649" i="2"/>
  <c r="O649" i="2"/>
  <c r="P648" i="2" s="1"/>
  <c r="L649" i="2"/>
  <c r="L648" i="2" s="1"/>
  <c r="J649" i="2"/>
  <c r="AJ648" i="2"/>
  <c r="AI648" i="2"/>
  <c r="X648" i="2"/>
  <c r="V648" i="2"/>
  <c r="R648" i="2"/>
  <c r="AF647" i="2"/>
  <c r="AN647" i="2" s="1"/>
  <c r="AE647" i="2"/>
  <c r="AM647" i="2" s="1"/>
  <c r="AA647" i="2"/>
  <c r="Z647" i="2"/>
  <c r="O647" i="2"/>
  <c r="P646" i="2" s="1"/>
  <c r="L647" i="2"/>
  <c r="J647" i="2"/>
  <c r="AJ646" i="2"/>
  <c r="AI646" i="2"/>
  <c r="X646" i="2"/>
  <c r="V646" i="2"/>
  <c r="T646" i="2"/>
  <c r="L646" i="2"/>
  <c r="AF644" i="2"/>
  <c r="AN644" i="2" s="1"/>
  <c r="AE644" i="2"/>
  <c r="AM644" i="2" s="1"/>
  <c r="AA644" i="2"/>
  <c r="Z644" i="2"/>
  <c r="O644" i="2"/>
  <c r="L644" i="2"/>
  <c r="J644" i="2"/>
  <c r="AB644" i="2" s="1"/>
  <c r="AN642" i="2"/>
  <c r="AF642" i="2"/>
  <c r="AE642" i="2"/>
  <c r="AM642" i="2" s="1"/>
  <c r="AA642" i="2"/>
  <c r="Z642" i="2"/>
  <c r="AI641" i="2" s="1"/>
  <c r="O642" i="2"/>
  <c r="L642" i="2"/>
  <c r="J642" i="2"/>
  <c r="X641" i="2"/>
  <c r="V641" i="2"/>
  <c r="T641" i="2"/>
  <c r="P641" i="2"/>
  <c r="L641" i="2"/>
  <c r="L640" i="2" s="1"/>
  <c r="AF638" i="2"/>
  <c r="AN638" i="2" s="1"/>
  <c r="AE638" i="2"/>
  <c r="AM638" i="2" s="1"/>
  <c r="AA638" i="2"/>
  <c r="Z638" i="2"/>
  <c r="O638" i="2"/>
  <c r="P637" i="2" s="1"/>
  <c r="L638" i="2"/>
  <c r="L637" i="2" s="1"/>
  <c r="J638" i="2"/>
  <c r="AJ637" i="2"/>
  <c r="AI637" i="2"/>
  <c r="X637" i="2"/>
  <c r="V637" i="2"/>
  <c r="T637" i="2"/>
  <c r="AF636" i="2"/>
  <c r="AN636" i="2" s="1"/>
  <c r="AE636" i="2"/>
  <c r="AM636" i="2" s="1"/>
  <c r="AA636" i="2"/>
  <c r="Z636" i="2"/>
  <c r="O636" i="2"/>
  <c r="P635" i="2" s="1"/>
  <c r="L636" i="2"/>
  <c r="J636" i="2"/>
  <c r="I636" i="2" s="1"/>
  <c r="I635" i="2" s="1"/>
  <c r="H636" i="2"/>
  <c r="H635" i="2" s="1"/>
  <c r="AJ635" i="2"/>
  <c r="AI635" i="2"/>
  <c r="X635" i="2"/>
  <c r="V635" i="2"/>
  <c r="S635" i="2"/>
  <c r="R635" i="2"/>
  <c r="L635" i="2"/>
  <c r="AF634" i="2"/>
  <c r="AN634" i="2" s="1"/>
  <c r="AE634" i="2"/>
  <c r="AM634" i="2" s="1"/>
  <c r="AA634" i="2"/>
  <c r="Z634" i="2"/>
  <c r="O634" i="2"/>
  <c r="L634" i="2"/>
  <c r="L633" i="2" s="1"/>
  <c r="J634" i="2"/>
  <c r="AJ633" i="2"/>
  <c r="AI633" i="2"/>
  <c r="X633" i="2"/>
  <c r="V633" i="2"/>
  <c r="R633" i="2"/>
  <c r="P633" i="2"/>
  <c r="AM632" i="2"/>
  <c r="AF632" i="2"/>
  <c r="AN632" i="2" s="1"/>
  <c r="AE632" i="2"/>
  <c r="AA632" i="2"/>
  <c r="Z632" i="2"/>
  <c r="AI631" i="2" s="1"/>
  <c r="O632" i="2"/>
  <c r="L632" i="2"/>
  <c r="J632" i="2"/>
  <c r="H632" i="2"/>
  <c r="H631" i="2" s="1"/>
  <c r="AJ631" i="2"/>
  <c r="X631" i="2"/>
  <c r="V631" i="2"/>
  <c r="R631" i="2"/>
  <c r="P631" i="2"/>
  <c r="L631" i="2"/>
  <c r="AF629" i="2"/>
  <c r="AN629" i="2" s="1"/>
  <c r="AE629" i="2"/>
  <c r="AM629" i="2" s="1"/>
  <c r="AB629" i="2"/>
  <c r="AA629" i="2"/>
  <c r="Z629" i="2"/>
  <c r="AI628" i="2" s="1"/>
  <c r="O629" i="2"/>
  <c r="L629" i="2"/>
  <c r="L628" i="2" s="1"/>
  <c r="J629" i="2"/>
  <c r="AK628" i="2"/>
  <c r="AJ628" i="2"/>
  <c r="X628" i="2"/>
  <c r="V628" i="2"/>
  <c r="R628" i="2"/>
  <c r="P628" i="2"/>
  <c r="AF627" i="2"/>
  <c r="AN627" i="2" s="1"/>
  <c r="AE627" i="2"/>
  <c r="AA627" i="2"/>
  <c r="AJ626" i="2" s="1"/>
  <c r="Z627" i="2"/>
  <c r="AI626" i="2" s="1"/>
  <c r="O627" i="2"/>
  <c r="P626" i="2" s="1"/>
  <c r="L627" i="2"/>
  <c r="L626" i="2" s="1"/>
  <c r="L620" i="2" s="1"/>
  <c r="J627" i="2"/>
  <c r="AB627" i="2" s="1"/>
  <c r="AK626" i="2" s="1"/>
  <c r="X626" i="2"/>
  <c r="V626" i="2"/>
  <c r="T626" i="2"/>
  <c r="AN624" i="2"/>
  <c r="AF624" i="2"/>
  <c r="AE624" i="2"/>
  <c r="AM624" i="2" s="1"/>
  <c r="AA624" i="2"/>
  <c r="Z624" i="2"/>
  <c r="O624" i="2"/>
  <c r="L624" i="2"/>
  <c r="J624" i="2"/>
  <c r="I624" i="2" s="1"/>
  <c r="H624" i="2"/>
  <c r="AF622" i="2"/>
  <c r="AN622" i="2" s="1"/>
  <c r="AE622" i="2"/>
  <c r="AM622" i="2" s="1"/>
  <c r="AB622" i="2"/>
  <c r="AA622" i="2"/>
  <c r="Z622" i="2"/>
  <c r="O622" i="2"/>
  <c r="L622" i="2"/>
  <c r="L621" i="2" s="1"/>
  <c r="J622" i="2"/>
  <c r="X621" i="2"/>
  <c r="V621" i="2"/>
  <c r="U621" i="2"/>
  <c r="T621" i="2"/>
  <c r="AF618" i="2"/>
  <c r="AN618" i="2" s="1"/>
  <c r="AE618" i="2"/>
  <c r="AM618" i="2" s="1"/>
  <c r="AA618" i="2"/>
  <c r="Z618" i="2"/>
  <c r="AI617" i="2" s="1"/>
  <c r="O618" i="2"/>
  <c r="P617" i="2" s="1"/>
  <c r="L618" i="2"/>
  <c r="J618" i="2"/>
  <c r="AB618" i="2" s="1"/>
  <c r="AK617" i="2" s="1"/>
  <c r="H618" i="2"/>
  <c r="AJ617" i="2"/>
  <c r="X617" i="2"/>
  <c r="V617" i="2"/>
  <c r="T617" i="2"/>
  <c r="L617" i="2"/>
  <c r="AN616" i="2"/>
  <c r="AF616" i="2"/>
  <c r="AE616" i="2"/>
  <c r="AM616" i="2" s="1"/>
  <c r="AA616" i="2"/>
  <c r="Z616" i="2"/>
  <c r="O616" i="2"/>
  <c r="P615" i="2" s="1"/>
  <c r="L616" i="2"/>
  <c r="J616" i="2"/>
  <c r="AJ615" i="2"/>
  <c r="AI615" i="2"/>
  <c r="X615" i="2"/>
  <c r="V615" i="2"/>
  <c r="R615" i="2"/>
  <c r="L615" i="2"/>
  <c r="AF614" i="2"/>
  <c r="AN614" i="2" s="1"/>
  <c r="AE614" i="2"/>
  <c r="AM614" i="2" s="1"/>
  <c r="AA614" i="2"/>
  <c r="AJ613" i="2" s="1"/>
  <c r="Z614" i="2"/>
  <c r="O614" i="2"/>
  <c r="P613" i="2" s="1"/>
  <c r="L614" i="2"/>
  <c r="J614" i="2"/>
  <c r="AB614" i="2" s="1"/>
  <c r="AK613" i="2" s="1"/>
  <c r="H614" i="2"/>
  <c r="H613" i="2" s="1"/>
  <c r="AI613" i="2"/>
  <c r="X613" i="2"/>
  <c r="V613" i="2"/>
  <c r="R613" i="2"/>
  <c r="L613" i="2"/>
  <c r="AF612" i="2"/>
  <c r="AN612" i="2" s="1"/>
  <c r="AE612" i="2"/>
  <c r="AM612" i="2" s="1"/>
  <c r="AA612" i="2"/>
  <c r="Z612" i="2"/>
  <c r="AI611" i="2" s="1"/>
  <c r="O612" i="2"/>
  <c r="L612" i="2"/>
  <c r="L611" i="2" s="1"/>
  <c r="J612" i="2"/>
  <c r="AJ611" i="2"/>
  <c r="X611" i="2"/>
  <c r="V611" i="2"/>
  <c r="R611" i="2"/>
  <c r="P611" i="2"/>
  <c r="AF609" i="2"/>
  <c r="AN609" i="2" s="1"/>
  <c r="AE609" i="2"/>
  <c r="AM609" i="2" s="1"/>
  <c r="AA609" i="2"/>
  <c r="AJ608" i="2" s="1"/>
  <c r="Z609" i="2"/>
  <c r="AI608" i="2" s="1"/>
  <c r="O609" i="2"/>
  <c r="P608" i="2" s="1"/>
  <c r="L609" i="2"/>
  <c r="L608" i="2" s="1"/>
  <c r="J609" i="2"/>
  <c r="X608" i="2"/>
  <c r="V608" i="2"/>
  <c r="R608" i="2"/>
  <c r="AF607" i="2"/>
  <c r="AN607" i="2" s="1"/>
  <c r="AE607" i="2"/>
  <c r="AM607" i="2" s="1"/>
  <c r="AA607" i="2"/>
  <c r="Z607" i="2"/>
  <c r="O607" i="2"/>
  <c r="P606" i="2" s="1"/>
  <c r="U606" i="2" s="1"/>
  <c r="L607" i="2"/>
  <c r="L606" i="2" s="1"/>
  <c r="J607" i="2"/>
  <c r="I607" i="2" s="1"/>
  <c r="I606" i="2" s="1"/>
  <c r="H607" i="2"/>
  <c r="AJ606" i="2"/>
  <c r="AI606" i="2"/>
  <c r="X606" i="2"/>
  <c r="V606" i="2"/>
  <c r="T606" i="2"/>
  <c r="R606" i="2"/>
  <c r="H606" i="2"/>
  <c r="AF604" i="2"/>
  <c r="AN604" i="2" s="1"/>
  <c r="AE604" i="2"/>
  <c r="AM604" i="2" s="1"/>
  <c r="AA604" i="2"/>
  <c r="Z604" i="2"/>
  <c r="O604" i="2"/>
  <c r="L604" i="2"/>
  <c r="J604" i="2"/>
  <c r="AB604" i="2" s="1"/>
  <c r="AF602" i="2"/>
  <c r="AN602" i="2" s="1"/>
  <c r="AE602" i="2"/>
  <c r="AA602" i="2"/>
  <c r="Z602" i="2"/>
  <c r="O602" i="2"/>
  <c r="L602" i="2"/>
  <c r="J602" i="2"/>
  <c r="AB602" i="2" s="1"/>
  <c r="AN600" i="2"/>
  <c r="AF600" i="2"/>
  <c r="AE600" i="2"/>
  <c r="AM600" i="2" s="1"/>
  <c r="AA600" i="2"/>
  <c r="Z600" i="2"/>
  <c r="O600" i="2"/>
  <c r="L600" i="2"/>
  <c r="J600" i="2"/>
  <c r="AB600" i="2" s="1"/>
  <c r="X599" i="2"/>
  <c r="V599" i="2"/>
  <c r="T599" i="2"/>
  <c r="L599" i="2"/>
  <c r="AF597" i="2"/>
  <c r="AN597" i="2" s="1"/>
  <c r="AE597" i="2"/>
  <c r="AM597" i="2" s="1"/>
  <c r="AB597" i="2"/>
  <c r="AK596" i="2" s="1"/>
  <c r="AA597" i="2"/>
  <c r="Z597" i="2"/>
  <c r="O597" i="2"/>
  <c r="L597" i="2"/>
  <c r="L596" i="2" s="1"/>
  <c r="J597" i="2"/>
  <c r="H597" i="2"/>
  <c r="H596" i="2" s="1"/>
  <c r="T596" i="2" s="1"/>
  <c r="AJ596" i="2"/>
  <c r="AI596" i="2"/>
  <c r="X596" i="2"/>
  <c r="V596" i="2"/>
  <c r="R596" i="2"/>
  <c r="P596" i="2"/>
  <c r="AF595" i="2"/>
  <c r="AN595" i="2" s="1"/>
  <c r="AE595" i="2"/>
  <c r="AM595" i="2" s="1"/>
  <c r="AA595" i="2"/>
  <c r="AJ594" i="2" s="1"/>
  <c r="Z595" i="2"/>
  <c r="O595" i="2"/>
  <c r="P594" i="2" s="1"/>
  <c r="L595" i="2"/>
  <c r="J595" i="2"/>
  <c r="AI594" i="2"/>
  <c r="X594" i="2"/>
  <c r="V594" i="2"/>
  <c r="R594" i="2"/>
  <c r="L594" i="2"/>
  <c r="AN592" i="2"/>
  <c r="AF592" i="2"/>
  <c r="AE592" i="2"/>
  <c r="AM592" i="2" s="1"/>
  <c r="AA592" i="2"/>
  <c r="Z592" i="2"/>
  <c r="O592" i="2"/>
  <c r="L592" i="2"/>
  <c r="J592" i="2"/>
  <c r="AF590" i="2"/>
  <c r="AN590" i="2" s="1"/>
  <c r="AE590" i="2"/>
  <c r="AM590" i="2" s="1"/>
  <c r="AA590" i="2"/>
  <c r="Z590" i="2"/>
  <c r="O590" i="2"/>
  <c r="L590" i="2"/>
  <c r="J590" i="2"/>
  <c r="AB590" i="2" s="1"/>
  <c r="H590" i="2"/>
  <c r="AF589" i="2"/>
  <c r="AN589" i="2" s="1"/>
  <c r="AE589" i="2"/>
  <c r="AM589" i="2" s="1"/>
  <c r="AA589" i="2"/>
  <c r="Z589" i="2"/>
  <c r="O589" i="2"/>
  <c r="L589" i="2"/>
  <c r="J589" i="2"/>
  <c r="AB589" i="2" s="1"/>
  <c r="AJ588" i="2"/>
  <c r="AI588" i="2"/>
  <c r="X588" i="2"/>
  <c r="V588" i="2"/>
  <c r="R588" i="2"/>
  <c r="L588" i="2"/>
  <c r="AM586" i="2"/>
  <c r="AF586" i="2"/>
  <c r="AN586" i="2" s="1"/>
  <c r="AE586" i="2"/>
  <c r="AA586" i="2"/>
  <c r="AJ585" i="2" s="1"/>
  <c r="Z586" i="2"/>
  <c r="AI585" i="2" s="1"/>
  <c r="O586" i="2"/>
  <c r="L586" i="2"/>
  <c r="L585" i="2" s="1"/>
  <c r="J586" i="2"/>
  <c r="H586" i="2"/>
  <c r="H585" i="2" s="1"/>
  <c r="T585" i="2" s="1"/>
  <c r="X585" i="2"/>
  <c r="V585" i="2"/>
  <c r="R585" i="2"/>
  <c r="P585" i="2"/>
  <c r="AF584" i="2"/>
  <c r="AN584" i="2" s="1"/>
  <c r="AE584" i="2"/>
  <c r="AM584" i="2" s="1"/>
  <c r="AA584" i="2"/>
  <c r="AJ583" i="2" s="1"/>
  <c r="Z584" i="2"/>
  <c r="AI583" i="2" s="1"/>
  <c r="O584" i="2"/>
  <c r="L584" i="2"/>
  <c r="J584" i="2"/>
  <c r="AB584" i="2" s="1"/>
  <c r="AK583" i="2" s="1"/>
  <c r="H584" i="2"/>
  <c r="H583" i="2" s="1"/>
  <c r="X583" i="2"/>
  <c r="V583" i="2"/>
  <c r="T583" i="2"/>
  <c r="P583" i="2"/>
  <c r="L583" i="2"/>
  <c r="AF581" i="2"/>
  <c r="AN581" i="2" s="1"/>
  <c r="AE581" i="2"/>
  <c r="AM581" i="2" s="1"/>
  <c r="AB581" i="2"/>
  <c r="AK580" i="2" s="1"/>
  <c r="AA581" i="2"/>
  <c r="Z581" i="2"/>
  <c r="AI580" i="2" s="1"/>
  <c r="O581" i="2"/>
  <c r="P580" i="2" s="1"/>
  <c r="L581" i="2"/>
  <c r="J581" i="2"/>
  <c r="H581" i="2"/>
  <c r="AJ580" i="2"/>
  <c r="X580" i="2"/>
  <c r="V580" i="2"/>
  <c r="T580" i="2"/>
  <c r="L580" i="2"/>
  <c r="AN579" i="2"/>
  <c r="AF579" i="2"/>
  <c r="AE579" i="2"/>
  <c r="AM579" i="2" s="1"/>
  <c r="AB579" i="2"/>
  <c r="AK578" i="2" s="1"/>
  <c r="AA579" i="2"/>
  <c r="AJ578" i="2" s="1"/>
  <c r="Z579" i="2"/>
  <c r="O579" i="2"/>
  <c r="P578" i="2" s="1"/>
  <c r="L579" i="2"/>
  <c r="L578" i="2" s="1"/>
  <c r="J579" i="2"/>
  <c r="H579" i="2"/>
  <c r="H578" i="2" s="1"/>
  <c r="AI578" i="2"/>
  <c r="X578" i="2"/>
  <c r="V578" i="2"/>
  <c r="T578" i="2"/>
  <c r="AF575" i="2"/>
  <c r="AN575" i="2" s="1"/>
  <c r="AE575" i="2"/>
  <c r="AM575" i="2" s="1"/>
  <c r="AB575" i="2"/>
  <c r="AK574" i="2" s="1"/>
  <c r="AA575" i="2"/>
  <c r="Z575" i="2"/>
  <c r="O575" i="2"/>
  <c r="L575" i="2"/>
  <c r="L574" i="2" s="1"/>
  <c r="J575" i="2"/>
  <c r="H575" i="2"/>
  <c r="H574" i="2" s="1"/>
  <c r="R574" i="2" s="1"/>
  <c r="AJ574" i="2"/>
  <c r="AI574" i="2"/>
  <c r="X574" i="2"/>
  <c r="V574" i="2"/>
  <c r="T574" i="2"/>
  <c r="P574" i="2"/>
  <c r="AM573" i="2"/>
  <c r="AF573" i="2"/>
  <c r="AN573" i="2" s="1"/>
  <c r="AE573" i="2"/>
  <c r="AA573" i="2"/>
  <c r="Z573" i="2"/>
  <c r="AI572" i="2" s="1"/>
  <c r="O573" i="2"/>
  <c r="L573" i="2"/>
  <c r="J573" i="2"/>
  <c r="AB573" i="2" s="1"/>
  <c r="AK572" i="2" s="1"/>
  <c r="I573" i="2"/>
  <c r="I572" i="2" s="1"/>
  <c r="H573" i="2"/>
  <c r="AJ572" i="2"/>
  <c r="X572" i="2"/>
  <c r="V572" i="2"/>
  <c r="R572" i="2"/>
  <c r="P572" i="2"/>
  <c r="L572" i="2"/>
  <c r="H572" i="2"/>
  <c r="AF571" i="2"/>
  <c r="AN571" i="2" s="1"/>
  <c r="AE571" i="2"/>
  <c r="AM571" i="2" s="1"/>
  <c r="AA571" i="2"/>
  <c r="Z571" i="2"/>
  <c r="AI570" i="2" s="1"/>
  <c r="O571" i="2"/>
  <c r="P570" i="2" s="1"/>
  <c r="L571" i="2"/>
  <c r="J571" i="2"/>
  <c r="AB571" i="2" s="1"/>
  <c r="AK570" i="2" s="1"/>
  <c r="H571" i="2"/>
  <c r="AJ570" i="2"/>
  <c r="X570" i="2"/>
  <c r="V570" i="2"/>
  <c r="R570" i="2"/>
  <c r="L570" i="2"/>
  <c r="AF569" i="2"/>
  <c r="AN569" i="2" s="1"/>
  <c r="AE569" i="2"/>
  <c r="AM569" i="2" s="1"/>
  <c r="AA569" i="2"/>
  <c r="Z569" i="2"/>
  <c r="AI568" i="2" s="1"/>
  <c r="O569" i="2"/>
  <c r="P568" i="2" s="1"/>
  <c r="L569" i="2"/>
  <c r="L568" i="2" s="1"/>
  <c r="J569" i="2"/>
  <c r="AB569" i="2" s="1"/>
  <c r="AK568" i="2" s="1"/>
  <c r="AJ568" i="2"/>
  <c r="X568" i="2"/>
  <c r="V568" i="2"/>
  <c r="R568" i="2"/>
  <c r="AM566" i="2"/>
  <c r="AF566" i="2"/>
  <c r="AN566" i="2" s="1"/>
  <c r="AE566" i="2"/>
  <c r="AA566" i="2"/>
  <c r="Z566" i="2"/>
  <c r="O566" i="2"/>
  <c r="L566" i="2"/>
  <c r="L565" i="2" s="1"/>
  <c r="J566" i="2"/>
  <c r="H566" i="2"/>
  <c r="AJ565" i="2"/>
  <c r="AI565" i="2"/>
  <c r="X565" i="2"/>
  <c r="V565" i="2"/>
  <c r="R565" i="2"/>
  <c r="P565" i="2"/>
  <c r="H565" i="2"/>
  <c r="T565" i="2" s="1"/>
  <c r="AF564" i="2"/>
  <c r="AN564" i="2" s="1"/>
  <c r="AE564" i="2"/>
  <c r="AM564" i="2" s="1"/>
  <c r="AA564" i="2"/>
  <c r="AJ563" i="2" s="1"/>
  <c r="Z564" i="2"/>
  <c r="O564" i="2"/>
  <c r="L564" i="2"/>
  <c r="L563" i="2" s="1"/>
  <c r="L555" i="2" s="1"/>
  <c r="J564" i="2"/>
  <c r="AB564" i="2" s="1"/>
  <c r="AK563" i="2" s="1"/>
  <c r="H564" i="2"/>
  <c r="H563" i="2" s="1"/>
  <c r="AI563" i="2"/>
  <c r="X563" i="2"/>
  <c r="V563" i="2"/>
  <c r="U563" i="2"/>
  <c r="T563" i="2"/>
  <c r="P563" i="2"/>
  <c r="AF561" i="2"/>
  <c r="AN561" i="2" s="1"/>
  <c r="AE561" i="2"/>
  <c r="AM561" i="2" s="1"/>
  <c r="AA561" i="2"/>
  <c r="Z561" i="2"/>
  <c r="O561" i="2"/>
  <c r="L561" i="2"/>
  <c r="J561" i="2"/>
  <c r="AB561" i="2" s="1"/>
  <c r="I561" i="2"/>
  <c r="H561" i="2"/>
  <c r="AN559" i="2"/>
  <c r="AF559" i="2"/>
  <c r="AE559" i="2"/>
  <c r="AM559" i="2" s="1"/>
  <c r="AA559" i="2"/>
  <c r="Z559" i="2"/>
  <c r="O559" i="2"/>
  <c r="L559" i="2"/>
  <c r="J559" i="2"/>
  <c r="AF557" i="2"/>
  <c r="AN557" i="2" s="1"/>
  <c r="AE557" i="2"/>
  <c r="AM557" i="2" s="1"/>
  <c r="AA557" i="2"/>
  <c r="Z557" i="2"/>
  <c r="O557" i="2"/>
  <c r="P556" i="2" s="1"/>
  <c r="L557" i="2"/>
  <c r="J557" i="2"/>
  <c r="I557" i="2" s="1"/>
  <c r="H557" i="2"/>
  <c r="AJ556" i="2"/>
  <c r="X556" i="2"/>
  <c r="V556" i="2"/>
  <c r="T556" i="2"/>
  <c r="L556" i="2"/>
  <c r="AN553" i="2"/>
  <c r="AF553" i="2"/>
  <c r="AE553" i="2"/>
  <c r="AM553" i="2" s="1"/>
  <c r="AA553" i="2"/>
  <c r="Z553" i="2"/>
  <c r="O553" i="2"/>
  <c r="L553" i="2"/>
  <c r="L552" i="2" s="1"/>
  <c r="J553" i="2"/>
  <c r="AB553" i="2" s="1"/>
  <c r="AK552" i="2" s="1"/>
  <c r="AJ552" i="2"/>
  <c r="AI552" i="2"/>
  <c r="X552" i="2"/>
  <c r="V552" i="2"/>
  <c r="T552" i="2"/>
  <c r="P552" i="2"/>
  <c r="AN551" i="2"/>
  <c r="AF551" i="2"/>
  <c r="AE551" i="2"/>
  <c r="AM551" i="2" s="1"/>
  <c r="AA551" i="2"/>
  <c r="Z551" i="2"/>
  <c r="O551" i="2"/>
  <c r="P550" i="2" s="1"/>
  <c r="L551" i="2"/>
  <c r="L550" i="2" s="1"/>
  <c r="J551" i="2"/>
  <c r="AJ550" i="2"/>
  <c r="AI550" i="2"/>
  <c r="X550" i="2"/>
  <c r="V550" i="2"/>
  <c r="R550" i="2"/>
  <c r="AF549" i="2"/>
  <c r="AN549" i="2" s="1"/>
  <c r="AE549" i="2"/>
  <c r="AM549" i="2" s="1"/>
  <c r="AA549" i="2"/>
  <c r="Z549" i="2"/>
  <c r="AI548" i="2" s="1"/>
  <c r="O549" i="2"/>
  <c r="L549" i="2"/>
  <c r="L548" i="2" s="1"/>
  <c r="J549" i="2"/>
  <c r="AB549" i="2" s="1"/>
  <c r="AK548" i="2" s="1"/>
  <c r="H549" i="2"/>
  <c r="H548" i="2" s="1"/>
  <c r="AJ548" i="2"/>
  <c r="X548" i="2"/>
  <c r="V548" i="2"/>
  <c r="R548" i="2"/>
  <c r="P548" i="2"/>
  <c r="AF547" i="2"/>
  <c r="AN547" i="2" s="1"/>
  <c r="AE547" i="2"/>
  <c r="AM547" i="2" s="1"/>
  <c r="AB547" i="2"/>
  <c r="AK546" i="2" s="1"/>
  <c r="AA547" i="2"/>
  <c r="Z547" i="2"/>
  <c r="O547" i="2"/>
  <c r="P546" i="2" s="1"/>
  <c r="L547" i="2"/>
  <c r="J547" i="2"/>
  <c r="AJ546" i="2"/>
  <c r="AI546" i="2"/>
  <c r="X546" i="2"/>
  <c r="V546" i="2"/>
  <c r="R546" i="2"/>
  <c r="L546" i="2"/>
  <c r="AF544" i="2"/>
  <c r="AN544" i="2" s="1"/>
  <c r="AE544" i="2"/>
  <c r="AM544" i="2" s="1"/>
  <c r="AA544" i="2"/>
  <c r="Z544" i="2"/>
  <c r="AI543" i="2" s="1"/>
  <c r="O544" i="2"/>
  <c r="P543" i="2" s="1"/>
  <c r="S543" i="2" s="1"/>
  <c r="L544" i="2"/>
  <c r="L543" i="2" s="1"/>
  <c r="J544" i="2"/>
  <c r="I544" i="2" s="1"/>
  <c r="I543" i="2" s="1"/>
  <c r="H544" i="2"/>
  <c r="H543" i="2" s="1"/>
  <c r="AJ543" i="2"/>
  <c r="X543" i="2"/>
  <c r="W543" i="2"/>
  <c r="V543" i="2"/>
  <c r="R543" i="2"/>
  <c r="AF542" i="2"/>
  <c r="AN542" i="2" s="1"/>
  <c r="AE542" i="2"/>
  <c r="AM542" i="2" s="1"/>
  <c r="AA542" i="2"/>
  <c r="AJ541" i="2" s="1"/>
  <c r="Z542" i="2"/>
  <c r="AI541" i="2" s="1"/>
  <c r="O542" i="2"/>
  <c r="P541" i="2" s="1"/>
  <c r="L542" i="2"/>
  <c r="J542" i="2"/>
  <c r="X541" i="2"/>
  <c r="V541" i="2"/>
  <c r="T541" i="2"/>
  <c r="L541" i="2"/>
  <c r="AF539" i="2"/>
  <c r="AN539" i="2" s="1"/>
  <c r="AE539" i="2"/>
  <c r="AM539" i="2" s="1"/>
  <c r="AA539" i="2"/>
  <c r="Z539" i="2"/>
  <c r="O539" i="2"/>
  <c r="L539" i="2"/>
  <c r="J539" i="2"/>
  <c r="AB539" i="2" s="1"/>
  <c r="AF537" i="2"/>
  <c r="AN537" i="2" s="1"/>
  <c r="AE537" i="2"/>
  <c r="AM537" i="2" s="1"/>
  <c r="AB537" i="2"/>
  <c r="AA537" i="2"/>
  <c r="Z537" i="2"/>
  <c r="O537" i="2"/>
  <c r="L537" i="2"/>
  <c r="L534" i="2" s="1"/>
  <c r="J537" i="2"/>
  <c r="AM535" i="2"/>
  <c r="AF535" i="2"/>
  <c r="AN535" i="2" s="1"/>
  <c r="AE535" i="2"/>
  <c r="AA535" i="2"/>
  <c r="Z535" i="2"/>
  <c r="O535" i="2"/>
  <c r="L535" i="2"/>
  <c r="J535" i="2"/>
  <c r="AB535" i="2" s="1"/>
  <c r="I535" i="2"/>
  <c r="H535" i="2"/>
  <c r="X534" i="2"/>
  <c r="V534" i="2"/>
  <c r="T534" i="2"/>
  <c r="P534" i="2"/>
  <c r="AF531" i="2"/>
  <c r="AN531" i="2" s="1"/>
  <c r="AE531" i="2"/>
  <c r="AM531" i="2" s="1"/>
  <c r="AA531" i="2"/>
  <c r="Z531" i="2"/>
  <c r="O531" i="2"/>
  <c r="P530" i="2" s="1"/>
  <c r="L531" i="2"/>
  <c r="J531" i="2"/>
  <c r="AB531" i="2" s="1"/>
  <c r="AK530" i="2" s="1"/>
  <c r="AJ530" i="2"/>
  <c r="AI530" i="2"/>
  <c r="X530" i="2"/>
  <c r="V530" i="2"/>
  <c r="T530" i="2"/>
  <c r="L530" i="2"/>
  <c r="AF529" i="2"/>
  <c r="AN529" i="2" s="1"/>
  <c r="AE529" i="2"/>
  <c r="AM529" i="2" s="1"/>
  <c r="AA529" i="2"/>
  <c r="Z529" i="2"/>
  <c r="O529" i="2"/>
  <c r="P528" i="2" s="1"/>
  <c r="L529" i="2"/>
  <c r="L528" i="2" s="1"/>
  <c r="J529" i="2"/>
  <c r="I529" i="2" s="1"/>
  <c r="I528" i="2" s="1"/>
  <c r="U528" i="2" s="1"/>
  <c r="H529" i="2"/>
  <c r="AJ528" i="2"/>
  <c r="AI528" i="2"/>
  <c r="X528" i="2"/>
  <c r="V528" i="2"/>
  <c r="S528" i="2"/>
  <c r="R528" i="2"/>
  <c r="H528" i="2"/>
  <c r="T528" i="2" s="1"/>
  <c r="AF527" i="2"/>
  <c r="AN527" i="2" s="1"/>
  <c r="AE527" i="2"/>
  <c r="AM527" i="2" s="1"/>
  <c r="AB527" i="2"/>
  <c r="AK526" i="2" s="1"/>
  <c r="AA527" i="2"/>
  <c r="Z527" i="2"/>
  <c r="O527" i="2"/>
  <c r="P526" i="2" s="1"/>
  <c r="L527" i="2"/>
  <c r="J527" i="2"/>
  <c r="H527" i="2"/>
  <c r="H526" i="2" s="1"/>
  <c r="AJ526" i="2"/>
  <c r="AI526" i="2"/>
  <c r="X526" i="2"/>
  <c r="V526" i="2"/>
  <c r="R526" i="2"/>
  <c r="L526" i="2"/>
  <c r="AF525" i="2"/>
  <c r="AN525" i="2" s="1"/>
  <c r="AE525" i="2"/>
  <c r="AM525" i="2" s="1"/>
  <c r="AA525" i="2"/>
  <c r="Z525" i="2"/>
  <c r="O525" i="2"/>
  <c r="L525" i="2"/>
  <c r="J525" i="2"/>
  <c r="AB525" i="2" s="1"/>
  <c r="AK524" i="2" s="1"/>
  <c r="AJ524" i="2"/>
  <c r="AI524" i="2"/>
  <c r="X524" i="2"/>
  <c r="V524" i="2"/>
  <c r="R524" i="2"/>
  <c r="P524" i="2"/>
  <c r="L524" i="2"/>
  <c r="AN522" i="2"/>
  <c r="AF522" i="2"/>
  <c r="AE522" i="2"/>
  <c r="AM522" i="2" s="1"/>
  <c r="AA522" i="2"/>
  <c r="AJ521" i="2" s="1"/>
  <c r="Z522" i="2"/>
  <c r="AI521" i="2" s="1"/>
  <c r="O522" i="2"/>
  <c r="L522" i="2"/>
  <c r="J522" i="2"/>
  <c r="H522" i="2"/>
  <c r="H521" i="2" s="1"/>
  <c r="X521" i="2"/>
  <c r="V521" i="2"/>
  <c r="R521" i="2"/>
  <c r="P521" i="2"/>
  <c r="L521" i="2"/>
  <c r="AF520" i="2"/>
  <c r="AN520" i="2" s="1"/>
  <c r="AE520" i="2"/>
  <c r="AM520" i="2" s="1"/>
  <c r="AA520" i="2"/>
  <c r="Z520" i="2"/>
  <c r="O520" i="2"/>
  <c r="L520" i="2"/>
  <c r="L519" i="2" s="1"/>
  <c r="J520" i="2"/>
  <c r="AB520" i="2" s="1"/>
  <c r="AK519" i="2" s="1"/>
  <c r="AJ519" i="2"/>
  <c r="AI519" i="2"/>
  <c r="X519" i="2"/>
  <c r="V519" i="2"/>
  <c r="T519" i="2"/>
  <c r="P519" i="2"/>
  <c r="AF517" i="2"/>
  <c r="AN517" i="2" s="1"/>
  <c r="AE517" i="2"/>
  <c r="AM517" i="2" s="1"/>
  <c r="AA517" i="2"/>
  <c r="Z517" i="2"/>
  <c r="O517" i="2"/>
  <c r="L517" i="2"/>
  <c r="J517" i="2"/>
  <c r="AM515" i="2"/>
  <c r="AF515" i="2"/>
  <c r="AN515" i="2" s="1"/>
  <c r="AE515" i="2"/>
  <c r="AA515" i="2"/>
  <c r="Z515" i="2"/>
  <c r="O515" i="2"/>
  <c r="L515" i="2"/>
  <c r="J515" i="2"/>
  <c r="H515" i="2"/>
  <c r="AF513" i="2"/>
  <c r="AN513" i="2" s="1"/>
  <c r="AE513" i="2"/>
  <c r="AM513" i="2" s="1"/>
  <c r="AA513" i="2"/>
  <c r="Z513" i="2"/>
  <c r="AI512" i="2" s="1"/>
  <c r="O513" i="2"/>
  <c r="L513" i="2"/>
  <c r="J513" i="2"/>
  <c r="AJ512" i="2"/>
  <c r="X512" i="2"/>
  <c r="V512" i="2"/>
  <c r="T512" i="2"/>
  <c r="AF509" i="2"/>
  <c r="AN509" i="2" s="1"/>
  <c r="AE509" i="2"/>
  <c r="AM509" i="2" s="1"/>
  <c r="AA509" i="2"/>
  <c r="Z509" i="2"/>
  <c r="O509" i="2"/>
  <c r="L509" i="2"/>
  <c r="J509" i="2"/>
  <c r="AB509" i="2" s="1"/>
  <c r="AK508" i="2" s="1"/>
  <c r="H509" i="2"/>
  <c r="I509" i="2" s="1"/>
  <c r="I508" i="2" s="1"/>
  <c r="W508" i="2" s="1"/>
  <c r="AJ508" i="2"/>
  <c r="AI508" i="2"/>
  <c r="X508" i="2"/>
  <c r="V508" i="2"/>
  <c r="T508" i="2"/>
  <c r="P508" i="2"/>
  <c r="L508" i="2"/>
  <c r="AF507" i="2"/>
  <c r="AN507" i="2" s="1"/>
  <c r="AE507" i="2"/>
  <c r="AM507" i="2" s="1"/>
  <c r="AA507" i="2"/>
  <c r="AJ506" i="2" s="1"/>
  <c r="Z507" i="2"/>
  <c r="O507" i="2"/>
  <c r="L507" i="2"/>
  <c r="J507" i="2"/>
  <c r="AI506" i="2"/>
  <c r="X506" i="2"/>
  <c r="V506" i="2"/>
  <c r="R506" i="2"/>
  <c r="P506" i="2"/>
  <c r="L506" i="2"/>
  <c r="AF505" i="2"/>
  <c r="AN505" i="2" s="1"/>
  <c r="AE505" i="2"/>
  <c r="AM505" i="2" s="1"/>
  <c r="AA505" i="2"/>
  <c r="Z505" i="2"/>
  <c r="AI504" i="2" s="1"/>
  <c r="O505" i="2"/>
  <c r="L505" i="2"/>
  <c r="L504" i="2" s="1"/>
  <c r="J505" i="2"/>
  <c r="AB505" i="2" s="1"/>
  <c r="AK504" i="2" s="1"/>
  <c r="AJ504" i="2"/>
  <c r="X504" i="2"/>
  <c r="V504" i="2"/>
  <c r="R504" i="2"/>
  <c r="P504" i="2"/>
  <c r="AF503" i="2"/>
  <c r="AN503" i="2" s="1"/>
  <c r="AE503" i="2"/>
  <c r="AM503" i="2" s="1"/>
  <c r="AA503" i="2"/>
  <c r="AJ502" i="2" s="1"/>
  <c r="Z503" i="2"/>
  <c r="O503" i="2"/>
  <c r="P502" i="2" s="1"/>
  <c r="L503" i="2"/>
  <c r="L502" i="2" s="1"/>
  <c r="J503" i="2"/>
  <c r="AI502" i="2"/>
  <c r="X502" i="2"/>
  <c r="V502" i="2"/>
  <c r="R502" i="2"/>
  <c r="AF500" i="2"/>
  <c r="AN500" i="2" s="1"/>
  <c r="AE500" i="2"/>
  <c r="AM500" i="2" s="1"/>
  <c r="AA500" i="2"/>
  <c r="AJ499" i="2" s="1"/>
  <c r="Z500" i="2"/>
  <c r="AI499" i="2" s="1"/>
  <c r="O500" i="2"/>
  <c r="P499" i="2" s="1"/>
  <c r="L500" i="2"/>
  <c r="L499" i="2" s="1"/>
  <c r="J500" i="2"/>
  <c r="AB500" i="2" s="1"/>
  <c r="AK499" i="2" s="1"/>
  <c r="H500" i="2"/>
  <c r="H499" i="2" s="1"/>
  <c r="T499" i="2" s="1"/>
  <c r="X499" i="2"/>
  <c r="V499" i="2"/>
  <c r="R499" i="2"/>
  <c r="AF498" i="2"/>
  <c r="AN498" i="2" s="1"/>
  <c r="AE498" i="2"/>
  <c r="AM498" i="2" s="1"/>
  <c r="AA498" i="2"/>
  <c r="Z498" i="2"/>
  <c r="O498" i="2"/>
  <c r="P497" i="2" s="1"/>
  <c r="L498" i="2"/>
  <c r="J498" i="2"/>
  <c r="AB498" i="2" s="1"/>
  <c r="AK497" i="2" s="1"/>
  <c r="AJ497" i="2"/>
  <c r="AI497" i="2"/>
  <c r="X497" i="2"/>
  <c r="V497" i="2"/>
  <c r="T497" i="2"/>
  <c r="L497" i="2"/>
  <c r="AN495" i="2"/>
  <c r="AF495" i="2"/>
  <c r="AE495" i="2"/>
  <c r="AM495" i="2" s="1"/>
  <c r="AB495" i="2"/>
  <c r="AA495" i="2"/>
  <c r="Z495" i="2"/>
  <c r="O495" i="2"/>
  <c r="L495" i="2"/>
  <c r="J495" i="2"/>
  <c r="H495" i="2"/>
  <c r="AN493" i="2"/>
  <c r="AF493" i="2"/>
  <c r="AE493" i="2"/>
  <c r="AM493" i="2" s="1"/>
  <c r="AA493" i="2"/>
  <c r="Z493" i="2"/>
  <c r="O493" i="2"/>
  <c r="P492" i="2" s="1"/>
  <c r="L493" i="2"/>
  <c r="L492" i="2" s="1"/>
  <c r="L491" i="2" s="1"/>
  <c r="J493" i="2"/>
  <c r="I493" i="2" s="1"/>
  <c r="H493" i="2"/>
  <c r="AJ492" i="2"/>
  <c r="AI492" i="2"/>
  <c r="X492" i="2"/>
  <c r="V492" i="2"/>
  <c r="T492" i="2"/>
  <c r="AF489" i="2"/>
  <c r="AN489" i="2" s="1"/>
  <c r="AE489" i="2"/>
  <c r="AM489" i="2" s="1"/>
  <c r="AA489" i="2"/>
  <c r="Z489" i="2"/>
  <c r="O489" i="2"/>
  <c r="L489" i="2"/>
  <c r="L488" i="2" s="1"/>
  <c r="J489" i="2"/>
  <c r="AJ488" i="2"/>
  <c r="AI488" i="2"/>
  <c r="X488" i="2"/>
  <c r="V488" i="2"/>
  <c r="T488" i="2"/>
  <c r="P488" i="2"/>
  <c r="AM487" i="2"/>
  <c r="AF487" i="2"/>
  <c r="AN487" i="2" s="1"/>
  <c r="AE487" i="2"/>
  <c r="AA487" i="2"/>
  <c r="Z487" i="2"/>
  <c r="O487" i="2"/>
  <c r="L487" i="2"/>
  <c r="J487" i="2"/>
  <c r="H487" i="2"/>
  <c r="H486" i="2" s="1"/>
  <c r="AJ486" i="2"/>
  <c r="AI486" i="2"/>
  <c r="X486" i="2"/>
  <c r="V486" i="2"/>
  <c r="R486" i="2"/>
  <c r="P486" i="2"/>
  <c r="L486" i="2"/>
  <c r="AF485" i="2"/>
  <c r="AN485" i="2" s="1"/>
  <c r="AE485" i="2"/>
  <c r="AM485" i="2" s="1"/>
  <c r="AA485" i="2"/>
  <c r="AJ484" i="2" s="1"/>
  <c r="Z485" i="2"/>
  <c r="O485" i="2"/>
  <c r="L485" i="2"/>
  <c r="L484" i="2" s="1"/>
  <c r="J485" i="2"/>
  <c r="AB485" i="2" s="1"/>
  <c r="AK484" i="2" s="1"/>
  <c r="AI484" i="2"/>
  <c r="X484" i="2"/>
  <c r="V484" i="2"/>
  <c r="R484" i="2"/>
  <c r="P484" i="2"/>
  <c r="AF483" i="2"/>
  <c r="AN483" i="2" s="1"/>
  <c r="AE483" i="2"/>
  <c r="AM483" i="2" s="1"/>
  <c r="AB483" i="2"/>
  <c r="AK482" i="2" s="1"/>
  <c r="AA483" i="2"/>
  <c r="Z483" i="2"/>
  <c r="O483" i="2"/>
  <c r="P482" i="2" s="1"/>
  <c r="L483" i="2"/>
  <c r="L482" i="2" s="1"/>
  <c r="J483" i="2"/>
  <c r="H483" i="2"/>
  <c r="H482" i="2" s="1"/>
  <c r="T482" i="2" s="1"/>
  <c r="AJ482" i="2"/>
  <c r="AI482" i="2"/>
  <c r="X482" i="2"/>
  <c r="V482" i="2"/>
  <c r="R482" i="2"/>
  <c r="AF480" i="2"/>
  <c r="AN480" i="2" s="1"/>
  <c r="AE480" i="2"/>
  <c r="AM480" i="2" s="1"/>
  <c r="AA480" i="2"/>
  <c r="Z480" i="2"/>
  <c r="O480" i="2"/>
  <c r="L480" i="2"/>
  <c r="L479" i="2" s="1"/>
  <c r="L471" i="2" s="1"/>
  <c r="J480" i="2"/>
  <c r="AB480" i="2" s="1"/>
  <c r="AK479" i="2" s="1"/>
  <c r="I480" i="2"/>
  <c r="I479" i="2" s="1"/>
  <c r="H480" i="2"/>
  <c r="AJ479" i="2"/>
  <c r="AI479" i="2"/>
  <c r="X479" i="2"/>
  <c r="V479" i="2"/>
  <c r="R479" i="2"/>
  <c r="P479" i="2"/>
  <c r="H479" i="2"/>
  <c r="T479" i="2" s="1"/>
  <c r="AF478" i="2"/>
  <c r="AN478" i="2" s="1"/>
  <c r="AE478" i="2"/>
  <c r="AM478" i="2" s="1"/>
  <c r="AA478" i="2"/>
  <c r="Z478" i="2"/>
  <c r="O478" i="2"/>
  <c r="P477" i="2" s="1"/>
  <c r="L478" i="2"/>
  <c r="J478" i="2"/>
  <c r="AB478" i="2" s="1"/>
  <c r="AK477" i="2" s="1"/>
  <c r="H478" i="2"/>
  <c r="AJ477" i="2"/>
  <c r="AI477" i="2"/>
  <c r="X477" i="2"/>
  <c r="V477" i="2"/>
  <c r="U477" i="2"/>
  <c r="T477" i="2"/>
  <c r="L477" i="2"/>
  <c r="H477" i="2"/>
  <c r="AF475" i="2"/>
  <c r="AN475" i="2" s="1"/>
  <c r="AE475" i="2"/>
  <c r="AM475" i="2" s="1"/>
  <c r="AA475" i="2"/>
  <c r="Z475" i="2"/>
  <c r="O475" i="2"/>
  <c r="L475" i="2"/>
  <c r="J475" i="2"/>
  <c r="I475" i="2" s="1"/>
  <c r="H475" i="2"/>
  <c r="AF473" i="2"/>
  <c r="AN473" i="2" s="1"/>
  <c r="AE473" i="2"/>
  <c r="AM473" i="2" s="1"/>
  <c r="AA473" i="2"/>
  <c r="Z473" i="2"/>
  <c r="O473" i="2"/>
  <c r="L473" i="2"/>
  <c r="L472" i="2" s="1"/>
  <c r="J473" i="2"/>
  <c r="AB473" i="2" s="1"/>
  <c r="X472" i="2"/>
  <c r="V472" i="2"/>
  <c r="T472" i="2"/>
  <c r="AN469" i="2"/>
  <c r="AF469" i="2"/>
  <c r="AE469" i="2"/>
  <c r="AM469" i="2" s="1"/>
  <c r="AB469" i="2"/>
  <c r="AK468" i="2" s="1"/>
  <c r="AA469" i="2"/>
  <c r="Z469" i="2"/>
  <c r="O469" i="2"/>
  <c r="P468" i="2" s="1"/>
  <c r="L469" i="2"/>
  <c r="J469" i="2"/>
  <c r="I469" i="2" s="1"/>
  <c r="I468" i="2" s="1"/>
  <c r="H469" i="2"/>
  <c r="H468" i="2" s="1"/>
  <c r="AJ468" i="2"/>
  <c r="AI468" i="2"/>
  <c r="X468" i="2"/>
  <c r="V468" i="2"/>
  <c r="T468" i="2"/>
  <c r="L468" i="2"/>
  <c r="AF467" i="2"/>
  <c r="AN467" i="2" s="1"/>
  <c r="AE467" i="2"/>
  <c r="AM467" i="2" s="1"/>
  <c r="AA467" i="2"/>
  <c r="Z467" i="2"/>
  <c r="O467" i="2"/>
  <c r="P466" i="2" s="1"/>
  <c r="L467" i="2"/>
  <c r="L466" i="2" s="1"/>
  <c r="J467" i="2"/>
  <c r="AJ466" i="2"/>
  <c r="AI466" i="2"/>
  <c r="X466" i="2"/>
  <c r="V466" i="2"/>
  <c r="R466" i="2"/>
  <c r="AF465" i="2"/>
  <c r="AN465" i="2" s="1"/>
  <c r="AE465" i="2"/>
  <c r="AM465" i="2" s="1"/>
  <c r="AA465" i="2"/>
  <c r="Z465" i="2"/>
  <c r="O465" i="2"/>
  <c r="L465" i="2"/>
  <c r="J465" i="2"/>
  <c r="AJ464" i="2"/>
  <c r="AI464" i="2"/>
  <c r="X464" i="2"/>
  <c r="V464" i="2"/>
  <c r="R464" i="2"/>
  <c r="P464" i="2"/>
  <c r="L464" i="2"/>
  <c r="AF463" i="2"/>
  <c r="AN463" i="2" s="1"/>
  <c r="AE463" i="2"/>
  <c r="AA463" i="2"/>
  <c r="AJ462" i="2" s="1"/>
  <c r="Z463" i="2"/>
  <c r="O463" i="2"/>
  <c r="L463" i="2"/>
  <c r="L462" i="2" s="1"/>
  <c r="J463" i="2"/>
  <c r="AB463" i="2" s="1"/>
  <c r="AK462" i="2" s="1"/>
  <c r="AI462" i="2"/>
  <c r="X462" i="2"/>
  <c r="V462" i="2"/>
  <c r="R462" i="2"/>
  <c r="P462" i="2"/>
  <c r="AF460" i="2"/>
  <c r="AN460" i="2" s="1"/>
  <c r="AE460" i="2"/>
  <c r="AM460" i="2" s="1"/>
  <c r="AA460" i="2"/>
  <c r="Z460" i="2"/>
  <c r="O460" i="2"/>
  <c r="P459" i="2" s="1"/>
  <c r="L460" i="2"/>
  <c r="L459" i="2" s="1"/>
  <c r="J460" i="2"/>
  <c r="H460" i="2"/>
  <c r="H459" i="2" s="1"/>
  <c r="T459" i="2" s="1"/>
  <c r="AJ459" i="2"/>
  <c r="AI459" i="2"/>
  <c r="X459" i="2"/>
  <c r="V459" i="2"/>
  <c r="R459" i="2"/>
  <c r="AN458" i="2"/>
  <c r="AF458" i="2"/>
  <c r="AE458" i="2"/>
  <c r="AM458" i="2" s="1"/>
  <c r="AA458" i="2"/>
  <c r="Z458" i="2"/>
  <c r="O458" i="2"/>
  <c r="L458" i="2"/>
  <c r="L457" i="2" s="1"/>
  <c r="J458" i="2"/>
  <c r="AB458" i="2" s="1"/>
  <c r="AK457" i="2" s="1"/>
  <c r="I458" i="2"/>
  <c r="I457" i="2" s="1"/>
  <c r="H458" i="2"/>
  <c r="AJ457" i="2"/>
  <c r="AI457" i="2"/>
  <c r="X457" i="2"/>
  <c r="V457" i="2"/>
  <c r="T457" i="2"/>
  <c r="R457" i="2"/>
  <c r="P457" i="2"/>
  <c r="H457" i="2"/>
  <c r="AM455" i="2"/>
  <c r="AF455" i="2"/>
  <c r="AN455" i="2" s="1"/>
  <c r="AE455" i="2"/>
  <c r="AA455" i="2"/>
  <c r="AJ452" i="2" s="1"/>
  <c r="Z455" i="2"/>
  <c r="O455" i="2"/>
  <c r="L455" i="2"/>
  <c r="L452" i="2" s="1"/>
  <c r="J455" i="2"/>
  <c r="AB455" i="2" s="1"/>
  <c r="I455" i="2"/>
  <c r="H455" i="2"/>
  <c r="AF453" i="2"/>
  <c r="AN453" i="2" s="1"/>
  <c r="AE453" i="2"/>
  <c r="AM453" i="2" s="1"/>
  <c r="AA453" i="2"/>
  <c r="Z453" i="2"/>
  <c r="O453" i="2"/>
  <c r="L453" i="2"/>
  <c r="J453" i="2"/>
  <c r="AI452" i="2"/>
  <c r="X452" i="2"/>
  <c r="V452" i="2"/>
  <c r="T452" i="2"/>
  <c r="AF450" i="2"/>
  <c r="AN450" i="2" s="1"/>
  <c r="AE450" i="2"/>
  <c r="AM450" i="2" s="1"/>
  <c r="AB450" i="2"/>
  <c r="AK449" i="2" s="1"/>
  <c r="AA450" i="2"/>
  <c r="Z450" i="2"/>
  <c r="O450" i="2"/>
  <c r="P449" i="2" s="1"/>
  <c r="L450" i="2"/>
  <c r="J450" i="2"/>
  <c r="H450" i="2"/>
  <c r="I450" i="2" s="1"/>
  <c r="I449" i="2" s="1"/>
  <c r="AJ449" i="2"/>
  <c r="AI449" i="2"/>
  <c r="X449" i="2"/>
  <c r="V449" i="2"/>
  <c r="R449" i="2"/>
  <c r="L449" i="2"/>
  <c r="H449" i="2"/>
  <c r="AN448" i="2"/>
  <c r="AF448" i="2"/>
  <c r="AE448" i="2"/>
  <c r="AM448" i="2" s="1"/>
  <c r="AA448" i="2"/>
  <c r="Z448" i="2"/>
  <c r="O448" i="2"/>
  <c r="P447" i="2" s="1"/>
  <c r="L448" i="2"/>
  <c r="J448" i="2"/>
  <c r="AB448" i="2" s="1"/>
  <c r="AK447" i="2" s="1"/>
  <c r="AJ447" i="2"/>
  <c r="AI447" i="2"/>
  <c r="X447" i="2"/>
  <c r="V447" i="2"/>
  <c r="R447" i="2"/>
  <c r="L447" i="2"/>
  <c r="AN446" i="2"/>
  <c r="AM446" i="2"/>
  <c r="AF446" i="2"/>
  <c r="AE446" i="2"/>
  <c r="AA446" i="2"/>
  <c r="Z446" i="2"/>
  <c r="O446" i="2"/>
  <c r="L446" i="2"/>
  <c r="L445" i="2" s="1"/>
  <c r="J446" i="2"/>
  <c r="H446" i="2"/>
  <c r="AJ445" i="2"/>
  <c r="AI445" i="2"/>
  <c r="X445" i="2"/>
  <c r="V445" i="2"/>
  <c r="R445" i="2"/>
  <c r="P445" i="2"/>
  <c r="H445" i="2"/>
  <c r="T445" i="2" s="1"/>
  <c r="AF444" i="2"/>
  <c r="AN444" i="2" s="1"/>
  <c r="AE444" i="2"/>
  <c r="AM444" i="2" s="1"/>
  <c r="AA444" i="2"/>
  <c r="AJ441" i="2" s="1"/>
  <c r="Z444" i="2"/>
  <c r="O444" i="2"/>
  <c r="L444" i="2"/>
  <c r="J444" i="2"/>
  <c r="AF442" i="2"/>
  <c r="AN442" i="2" s="1"/>
  <c r="AE442" i="2"/>
  <c r="AM442" i="2" s="1"/>
  <c r="AA442" i="2"/>
  <c r="Z442" i="2"/>
  <c r="O442" i="2"/>
  <c r="P441" i="2" s="1"/>
  <c r="L442" i="2"/>
  <c r="J442" i="2"/>
  <c r="AB442" i="2" s="1"/>
  <c r="X441" i="2"/>
  <c r="V441" i="2"/>
  <c r="R441" i="2"/>
  <c r="L441" i="2"/>
  <c r="AF440" i="2"/>
  <c r="AN440" i="2" s="1"/>
  <c r="AE440" i="2"/>
  <c r="AM440" i="2" s="1"/>
  <c r="AA440" i="2"/>
  <c r="Z440" i="2"/>
  <c r="O440" i="2"/>
  <c r="P439" i="2" s="1"/>
  <c r="L440" i="2"/>
  <c r="J440" i="2"/>
  <c r="AB440" i="2" s="1"/>
  <c r="AK439" i="2" s="1"/>
  <c r="I440" i="2"/>
  <c r="I439" i="2" s="1"/>
  <c r="H440" i="2"/>
  <c r="AJ439" i="2"/>
  <c r="AI439" i="2"/>
  <c r="X439" i="2"/>
  <c r="V439" i="2"/>
  <c r="T439" i="2"/>
  <c r="L439" i="2"/>
  <c r="H439" i="2"/>
  <c r="AF437" i="2"/>
  <c r="AN437" i="2" s="1"/>
  <c r="AE437" i="2"/>
  <c r="AA437" i="2"/>
  <c r="AJ436" i="2" s="1"/>
  <c r="Z437" i="2"/>
  <c r="O437" i="2"/>
  <c r="P436" i="2" s="1"/>
  <c r="L437" i="2"/>
  <c r="J437" i="2"/>
  <c r="AB437" i="2" s="1"/>
  <c r="AK436" i="2" s="1"/>
  <c r="AI436" i="2"/>
  <c r="X436" i="2"/>
  <c r="V436" i="2"/>
  <c r="T436" i="2"/>
  <c r="L436" i="2"/>
  <c r="AF435" i="2"/>
  <c r="AN435" i="2" s="1"/>
  <c r="AE435" i="2"/>
  <c r="AM435" i="2" s="1"/>
  <c r="AA435" i="2"/>
  <c r="Z435" i="2"/>
  <c r="O435" i="2"/>
  <c r="P434" i="2" s="1"/>
  <c r="L435" i="2"/>
  <c r="L434" i="2" s="1"/>
  <c r="J435" i="2"/>
  <c r="AJ434" i="2"/>
  <c r="AI434" i="2"/>
  <c r="X434" i="2"/>
  <c r="V434" i="2"/>
  <c r="T434" i="2"/>
  <c r="AF431" i="2"/>
  <c r="AN431" i="2" s="1"/>
  <c r="AE431" i="2"/>
  <c r="AM431" i="2" s="1"/>
  <c r="AA431" i="2"/>
  <c r="Z431" i="2"/>
  <c r="AI430" i="2" s="1"/>
  <c r="O431" i="2"/>
  <c r="P430" i="2" s="1"/>
  <c r="L431" i="2"/>
  <c r="J431" i="2"/>
  <c r="AB431" i="2" s="1"/>
  <c r="AK430" i="2" s="1"/>
  <c r="H431" i="2"/>
  <c r="H430" i="2" s="1"/>
  <c r="AJ430" i="2"/>
  <c r="X430" i="2"/>
  <c r="V430" i="2"/>
  <c r="T430" i="2"/>
  <c r="L430" i="2"/>
  <c r="AF429" i="2"/>
  <c r="AN429" i="2" s="1"/>
  <c r="AE429" i="2"/>
  <c r="AM429" i="2" s="1"/>
  <c r="AA429" i="2"/>
  <c r="Z429" i="2"/>
  <c r="O429" i="2"/>
  <c r="P428" i="2" s="1"/>
  <c r="L429" i="2"/>
  <c r="J429" i="2"/>
  <c r="I429" i="2" s="1"/>
  <c r="I428" i="2" s="1"/>
  <c r="H429" i="2"/>
  <c r="H428" i="2" s="1"/>
  <c r="AJ428" i="2"/>
  <c r="AI428" i="2"/>
  <c r="X428" i="2"/>
  <c r="V428" i="2"/>
  <c r="R428" i="2"/>
  <c r="L428" i="2"/>
  <c r="AF427" i="2"/>
  <c r="AN427" i="2" s="1"/>
  <c r="AE427" i="2"/>
  <c r="AM427" i="2" s="1"/>
  <c r="AA427" i="2"/>
  <c r="Z427" i="2"/>
  <c r="O427" i="2"/>
  <c r="P426" i="2" s="1"/>
  <c r="L427" i="2"/>
  <c r="J427" i="2"/>
  <c r="AB427" i="2" s="1"/>
  <c r="AK426" i="2" s="1"/>
  <c r="AJ426" i="2"/>
  <c r="AI426" i="2"/>
  <c r="X426" i="2"/>
  <c r="V426" i="2"/>
  <c r="R426" i="2"/>
  <c r="L426" i="2"/>
  <c r="AF425" i="2"/>
  <c r="AN425" i="2" s="1"/>
  <c r="AE425" i="2"/>
  <c r="AM425" i="2" s="1"/>
  <c r="AA425" i="2"/>
  <c r="Z425" i="2"/>
  <c r="O425" i="2"/>
  <c r="P424" i="2" s="1"/>
  <c r="L425" i="2"/>
  <c r="L424" i="2" s="1"/>
  <c r="J425" i="2"/>
  <c r="AJ424" i="2"/>
  <c r="AI424" i="2"/>
  <c r="X424" i="2"/>
  <c r="V424" i="2"/>
  <c r="R424" i="2"/>
  <c r="AF422" i="2"/>
  <c r="AN422" i="2" s="1"/>
  <c r="AE422" i="2"/>
  <c r="AM422" i="2" s="1"/>
  <c r="AA422" i="2"/>
  <c r="Z422" i="2"/>
  <c r="O422" i="2"/>
  <c r="L422" i="2"/>
  <c r="J422" i="2"/>
  <c r="AJ421" i="2"/>
  <c r="AI421" i="2"/>
  <c r="X421" i="2"/>
  <c r="V421" i="2"/>
  <c r="R421" i="2"/>
  <c r="P421" i="2"/>
  <c r="L421" i="2"/>
  <c r="AF420" i="2"/>
  <c r="AN420" i="2" s="1"/>
  <c r="AE420" i="2"/>
  <c r="AA420" i="2"/>
  <c r="Z420" i="2"/>
  <c r="O420" i="2"/>
  <c r="L420" i="2"/>
  <c r="L419" i="2" s="1"/>
  <c r="J420" i="2"/>
  <c r="AB420" i="2" s="1"/>
  <c r="AK419" i="2" s="1"/>
  <c r="AJ419" i="2"/>
  <c r="AI419" i="2"/>
  <c r="X419" i="2"/>
  <c r="V419" i="2"/>
  <c r="T419" i="2"/>
  <c r="P419" i="2"/>
  <c r="AN417" i="2"/>
  <c r="AF417" i="2"/>
  <c r="AE417" i="2"/>
  <c r="AM417" i="2" s="1"/>
  <c r="AA417" i="2"/>
  <c r="AJ414" i="2" s="1"/>
  <c r="Z417" i="2"/>
  <c r="O417" i="2"/>
  <c r="L417" i="2"/>
  <c r="L414" i="2" s="1"/>
  <c r="L413" i="2" s="1"/>
  <c r="J417" i="2"/>
  <c r="I417" i="2" s="1"/>
  <c r="H417" i="2"/>
  <c r="AF415" i="2"/>
  <c r="AN415" i="2" s="1"/>
  <c r="AE415" i="2"/>
  <c r="AM415" i="2" s="1"/>
  <c r="AA415" i="2"/>
  <c r="Z415" i="2"/>
  <c r="O415" i="2"/>
  <c r="L415" i="2"/>
  <c r="J415" i="2"/>
  <c r="AB415" i="2" s="1"/>
  <c r="X414" i="2"/>
  <c r="V414" i="2"/>
  <c r="T414" i="2"/>
  <c r="AF411" i="2"/>
  <c r="AN411" i="2" s="1"/>
  <c r="AE411" i="2"/>
  <c r="AM411" i="2" s="1"/>
  <c r="AA411" i="2"/>
  <c r="Z411" i="2"/>
  <c r="O411" i="2"/>
  <c r="P410" i="2" s="1"/>
  <c r="L411" i="2"/>
  <c r="L410" i="2" s="1"/>
  <c r="J411" i="2"/>
  <c r="I411" i="2" s="1"/>
  <c r="I410" i="2" s="1"/>
  <c r="U410" i="2" s="1"/>
  <c r="H411" i="2"/>
  <c r="AJ410" i="2"/>
  <c r="AI410" i="2"/>
  <c r="X410" i="2"/>
  <c r="V410" i="2"/>
  <c r="T410" i="2"/>
  <c r="R410" i="2"/>
  <c r="H410" i="2"/>
  <c r="AM409" i="2"/>
  <c r="AF409" i="2"/>
  <c r="AN409" i="2" s="1"/>
  <c r="AE409" i="2"/>
  <c r="AA409" i="2"/>
  <c r="AJ408" i="2" s="1"/>
  <c r="Z409" i="2"/>
  <c r="O409" i="2"/>
  <c r="P408" i="2" s="1"/>
  <c r="L409" i="2"/>
  <c r="J409" i="2"/>
  <c r="AB409" i="2" s="1"/>
  <c r="AK408" i="2" s="1"/>
  <c r="I409" i="2"/>
  <c r="I408" i="2" s="1"/>
  <c r="H409" i="2"/>
  <c r="AI408" i="2"/>
  <c r="X408" i="2"/>
  <c r="V408" i="2"/>
  <c r="R408" i="2"/>
  <c r="L408" i="2"/>
  <c r="H408" i="2"/>
  <c r="AF407" i="2"/>
  <c r="AN407" i="2" s="1"/>
  <c r="AE407" i="2"/>
  <c r="AM407" i="2" s="1"/>
  <c r="AA407" i="2"/>
  <c r="Z407" i="2"/>
  <c r="O407" i="2"/>
  <c r="L407" i="2"/>
  <c r="J407" i="2"/>
  <c r="AB407" i="2" s="1"/>
  <c r="AK406" i="2" s="1"/>
  <c r="I407" i="2"/>
  <c r="I406" i="2" s="1"/>
  <c r="H407" i="2"/>
  <c r="AJ406" i="2"/>
  <c r="AI406" i="2"/>
  <c r="X406" i="2"/>
  <c r="V406" i="2"/>
  <c r="R406" i="2"/>
  <c r="P406" i="2"/>
  <c r="U406" i="2" s="1"/>
  <c r="L406" i="2"/>
  <c r="H406" i="2"/>
  <c r="AF405" i="2"/>
  <c r="AN405" i="2" s="1"/>
  <c r="AE405" i="2"/>
  <c r="AM405" i="2" s="1"/>
  <c r="AB405" i="2"/>
  <c r="AK404" i="2" s="1"/>
  <c r="AA405" i="2"/>
  <c r="Z405" i="2"/>
  <c r="AI404" i="2" s="1"/>
  <c r="O405" i="2"/>
  <c r="P404" i="2" s="1"/>
  <c r="L405" i="2"/>
  <c r="J405" i="2"/>
  <c r="AJ404" i="2"/>
  <c r="X404" i="2"/>
  <c r="V404" i="2"/>
  <c r="R404" i="2"/>
  <c r="L404" i="2"/>
  <c r="AF402" i="2"/>
  <c r="AN402" i="2" s="1"/>
  <c r="AE402" i="2"/>
  <c r="AM402" i="2" s="1"/>
  <c r="AA402" i="2"/>
  <c r="AJ401" i="2" s="1"/>
  <c r="Z402" i="2"/>
  <c r="AI401" i="2" s="1"/>
  <c r="O402" i="2"/>
  <c r="L402" i="2"/>
  <c r="L401" i="2" s="1"/>
  <c r="J402" i="2"/>
  <c r="X401" i="2"/>
  <c r="V401" i="2"/>
  <c r="R401" i="2"/>
  <c r="P401" i="2"/>
  <c r="AF400" i="2"/>
  <c r="AN400" i="2" s="1"/>
  <c r="AE400" i="2"/>
  <c r="AM400" i="2" s="1"/>
  <c r="AA400" i="2"/>
  <c r="AJ399" i="2" s="1"/>
  <c r="Z400" i="2"/>
  <c r="AI399" i="2" s="1"/>
  <c r="O400" i="2"/>
  <c r="L400" i="2"/>
  <c r="J400" i="2"/>
  <c r="X399" i="2"/>
  <c r="V399" i="2"/>
  <c r="T399" i="2"/>
  <c r="P399" i="2"/>
  <c r="L399" i="2"/>
  <c r="AF397" i="2"/>
  <c r="AN397" i="2" s="1"/>
  <c r="AE397" i="2"/>
  <c r="AM397" i="2" s="1"/>
  <c r="AA397" i="2"/>
  <c r="AJ394" i="2" s="1"/>
  <c r="Z397" i="2"/>
  <c r="O397" i="2"/>
  <c r="L397" i="2"/>
  <c r="J397" i="2"/>
  <c r="AB397" i="2" s="1"/>
  <c r="AF395" i="2"/>
  <c r="AN395" i="2" s="1"/>
  <c r="AE395" i="2"/>
  <c r="AM395" i="2" s="1"/>
  <c r="AB395" i="2"/>
  <c r="AK394" i="2" s="1"/>
  <c r="AA395" i="2"/>
  <c r="Z395" i="2"/>
  <c r="O395" i="2"/>
  <c r="L395" i="2"/>
  <c r="J395" i="2"/>
  <c r="I395" i="2" s="1"/>
  <c r="H395" i="2"/>
  <c r="X394" i="2"/>
  <c r="V394" i="2"/>
  <c r="T394" i="2"/>
  <c r="P394" i="2"/>
  <c r="L394" i="2"/>
  <c r="AF391" i="2"/>
  <c r="AN391" i="2" s="1"/>
  <c r="AE391" i="2"/>
  <c r="AA391" i="2"/>
  <c r="Z391" i="2"/>
  <c r="AI390" i="2" s="1"/>
  <c r="O391" i="2"/>
  <c r="P390" i="2" s="1"/>
  <c r="L391" i="2"/>
  <c r="J391" i="2"/>
  <c r="AB391" i="2" s="1"/>
  <c r="AK390" i="2" s="1"/>
  <c r="AJ390" i="2"/>
  <c r="X390" i="2"/>
  <c r="V390" i="2"/>
  <c r="T390" i="2"/>
  <c r="L390" i="2"/>
  <c r="AF389" i="2"/>
  <c r="AN389" i="2" s="1"/>
  <c r="AE389" i="2"/>
  <c r="AM389" i="2" s="1"/>
  <c r="AA389" i="2"/>
  <c r="Z389" i="2"/>
  <c r="O389" i="2"/>
  <c r="P388" i="2" s="1"/>
  <c r="L389" i="2"/>
  <c r="L388" i="2" s="1"/>
  <c r="J389" i="2"/>
  <c r="AB389" i="2" s="1"/>
  <c r="AK388" i="2" s="1"/>
  <c r="AJ388" i="2"/>
  <c r="AI388" i="2"/>
  <c r="X388" i="2"/>
  <c r="V388" i="2"/>
  <c r="S388" i="2"/>
  <c r="R388" i="2"/>
  <c r="AF387" i="2"/>
  <c r="AN387" i="2" s="1"/>
  <c r="AE387" i="2"/>
  <c r="AM387" i="2" s="1"/>
  <c r="AA387" i="2"/>
  <c r="AJ386" i="2" s="1"/>
  <c r="Z387" i="2"/>
  <c r="O387" i="2"/>
  <c r="P386" i="2" s="1"/>
  <c r="L387" i="2"/>
  <c r="J387" i="2"/>
  <c r="AB387" i="2" s="1"/>
  <c r="AK386" i="2" s="1"/>
  <c r="AI386" i="2"/>
  <c r="X386" i="2"/>
  <c r="V386" i="2"/>
  <c r="R386" i="2"/>
  <c r="L386" i="2"/>
  <c r="AF385" i="2"/>
  <c r="AN385" i="2" s="1"/>
  <c r="AE385" i="2"/>
  <c r="AM385" i="2" s="1"/>
  <c r="AA385" i="2"/>
  <c r="AJ384" i="2" s="1"/>
  <c r="Z385" i="2"/>
  <c r="AI384" i="2" s="1"/>
  <c r="O385" i="2"/>
  <c r="P384" i="2" s="1"/>
  <c r="L385" i="2"/>
  <c r="J385" i="2"/>
  <c r="AB385" i="2" s="1"/>
  <c r="AK384" i="2" s="1"/>
  <c r="X384" i="2"/>
  <c r="V384" i="2"/>
  <c r="R384" i="2"/>
  <c r="L384" i="2"/>
  <c r="AF382" i="2"/>
  <c r="AN382" i="2" s="1"/>
  <c r="AE382" i="2"/>
  <c r="AM382" i="2" s="1"/>
  <c r="AA382" i="2"/>
  <c r="AJ381" i="2" s="1"/>
  <c r="Z382" i="2"/>
  <c r="AI381" i="2" s="1"/>
  <c r="O382" i="2"/>
  <c r="P381" i="2" s="1"/>
  <c r="L382" i="2"/>
  <c r="L381" i="2" s="1"/>
  <c r="J382" i="2"/>
  <c r="AB382" i="2" s="1"/>
  <c r="AK381" i="2" s="1"/>
  <c r="X381" i="2"/>
  <c r="V381" i="2"/>
  <c r="R381" i="2"/>
  <c r="AM380" i="2"/>
  <c r="AF380" i="2"/>
  <c r="AN380" i="2" s="1"/>
  <c r="AE380" i="2"/>
  <c r="AA380" i="2"/>
  <c r="AJ379" i="2" s="1"/>
  <c r="Z380" i="2"/>
  <c r="AI379" i="2" s="1"/>
  <c r="O380" i="2"/>
  <c r="P379" i="2" s="1"/>
  <c r="L380" i="2"/>
  <c r="L379" i="2" s="1"/>
  <c r="J380" i="2"/>
  <c r="H380" i="2"/>
  <c r="H379" i="2" s="1"/>
  <c r="R379" i="2" s="1"/>
  <c r="X379" i="2"/>
  <c r="V379" i="2"/>
  <c r="T379" i="2"/>
  <c r="AM377" i="2"/>
  <c r="AF377" i="2"/>
  <c r="AN377" i="2" s="1"/>
  <c r="AE377" i="2"/>
  <c r="AA377" i="2"/>
  <c r="Z377" i="2"/>
  <c r="O377" i="2"/>
  <c r="L377" i="2"/>
  <c r="L374" i="2" s="1"/>
  <c r="L373" i="2" s="1"/>
  <c r="J377" i="2"/>
  <c r="H377" i="2"/>
  <c r="AF375" i="2"/>
  <c r="AN375" i="2" s="1"/>
  <c r="AE375" i="2"/>
  <c r="AM375" i="2" s="1"/>
  <c r="AB375" i="2"/>
  <c r="AA375" i="2"/>
  <c r="Z375" i="2"/>
  <c r="O375" i="2"/>
  <c r="L375" i="2"/>
  <c r="J375" i="2"/>
  <c r="AJ374" i="2"/>
  <c r="AI374" i="2"/>
  <c r="X374" i="2"/>
  <c r="V374" i="2"/>
  <c r="T374" i="2"/>
  <c r="P374" i="2"/>
  <c r="AF371" i="2"/>
  <c r="AN371" i="2" s="1"/>
  <c r="AE371" i="2"/>
  <c r="AM371" i="2" s="1"/>
  <c r="AA371" i="2"/>
  <c r="AJ370" i="2" s="1"/>
  <c r="Z371" i="2"/>
  <c r="AI370" i="2" s="1"/>
  <c r="O371" i="2"/>
  <c r="P370" i="2" s="1"/>
  <c r="L371" i="2"/>
  <c r="J371" i="2"/>
  <c r="AB371" i="2" s="1"/>
  <c r="AK370" i="2" s="1"/>
  <c r="X370" i="2"/>
  <c r="V370" i="2"/>
  <c r="T370" i="2"/>
  <c r="L370" i="2"/>
  <c r="AF369" i="2"/>
  <c r="AN369" i="2" s="1"/>
  <c r="AE369" i="2"/>
  <c r="AM369" i="2" s="1"/>
  <c r="AA369" i="2"/>
  <c r="Z369" i="2"/>
  <c r="AI368" i="2" s="1"/>
  <c r="O369" i="2"/>
  <c r="P368" i="2" s="1"/>
  <c r="L369" i="2"/>
  <c r="L368" i="2" s="1"/>
  <c r="J369" i="2"/>
  <c r="AB369" i="2" s="1"/>
  <c r="AK368" i="2" s="1"/>
  <c r="AJ368" i="2"/>
  <c r="X368" i="2"/>
  <c r="V368" i="2"/>
  <c r="R368" i="2"/>
  <c r="AM367" i="2"/>
  <c r="AF367" i="2"/>
  <c r="AN367" i="2" s="1"/>
  <c r="AE367" i="2"/>
  <c r="AA367" i="2"/>
  <c r="Z367" i="2"/>
  <c r="O367" i="2"/>
  <c r="P366" i="2" s="1"/>
  <c r="W366" i="2" s="1"/>
  <c r="L367" i="2"/>
  <c r="L366" i="2" s="1"/>
  <c r="J367" i="2"/>
  <c r="H367" i="2"/>
  <c r="H366" i="2" s="1"/>
  <c r="AJ366" i="2"/>
  <c r="AI366" i="2"/>
  <c r="X366" i="2"/>
  <c r="V366" i="2"/>
  <c r="R366" i="2"/>
  <c r="AF365" i="2"/>
  <c r="AN365" i="2" s="1"/>
  <c r="AE365" i="2"/>
  <c r="AM365" i="2" s="1"/>
  <c r="AA365" i="2"/>
  <c r="AJ364" i="2" s="1"/>
  <c r="Z365" i="2"/>
  <c r="O365" i="2"/>
  <c r="P364" i="2" s="1"/>
  <c r="L365" i="2"/>
  <c r="J365" i="2"/>
  <c r="AB365" i="2" s="1"/>
  <c r="AK364" i="2" s="1"/>
  <c r="H365" i="2"/>
  <c r="I365" i="2" s="1"/>
  <c r="I364" i="2" s="1"/>
  <c r="AI364" i="2"/>
  <c r="X364" i="2"/>
  <c r="V364" i="2"/>
  <c r="R364" i="2"/>
  <c r="L364" i="2"/>
  <c r="AF362" i="2"/>
  <c r="AN362" i="2" s="1"/>
  <c r="AE362" i="2"/>
  <c r="AM362" i="2" s="1"/>
  <c r="AA362" i="2"/>
  <c r="AJ361" i="2" s="1"/>
  <c r="Z362" i="2"/>
  <c r="O362" i="2"/>
  <c r="P361" i="2" s="1"/>
  <c r="L362" i="2"/>
  <c r="L361" i="2" s="1"/>
  <c r="J362" i="2"/>
  <c r="AB362" i="2" s="1"/>
  <c r="AK361" i="2" s="1"/>
  <c r="AI361" i="2"/>
  <c r="X361" i="2"/>
  <c r="V361" i="2"/>
  <c r="R361" i="2"/>
  <c r="AF360" i="2"/>
  <c r="AN360" i="2" s="1"/>
  <c r="AE360" i="2"/>
  <c r="AM360" i="2" s="1"/>
  <c r="AB360" i="2"/>
  <c r="AK359" i="2" s="1"/>
  <c r="AA360" i="2"/>
  <c r="Z360" i="2"/>
  <c r="O360" i="2"/>
  <c r="P359" i="2" s="1"/>
  <c r="L360" i="2"/>
  <c r="J360" i="2"/>
  <c r="H360" i="2"/>
  <c r="H359" i="2" s="1"/>
  <c r="AJ359" i="2"/>
  <c r="AI359" i="2"/>
  <c r="X359" i="2"/>
  <c r="V359" i="2"/>
  <c r="T359" i="2"/>
  <c r="L359" i="2"/>
  <c r="AF357" i="2"/>
  <c r="AN357" i="2" s="1"/>
  <c r="AE357" i="2"/>
  <c r="AM357" i="2" s="1"/>
  <c r="AA357" i="2"/>
  <c r="AJ354" i="2" s="1"/>
  <c r="Z357" i="2"/>
  <c r="AI354" i="2" s="1"/>
  <c r="O357" i="2"/>
  <c r="L357" i="2"/>
  <c r="J357" i="2"/>
  <c r="AB357" i="2" s="1"/>
  <c r="H357" i="2"/>
  <c r="AM355" i="2"/>
  <c r="AF355" i="2"/>
  <c r="AN355" i="2" s="1"/>
  <c r="AE355" i="2"/>
  <c r="AA355" i="2"/>
  <c r="Z355" i="2"/>
  <c r="O355" i="2"/>
  <c r="P354" i="2" s="1"/>
  <c r="L355" i="2"/>
  <c r="L354" i="2" s="1"/>
  <c r="J355" i="2"/>
  <c r="H355" i="2"/>
  <c r="X354" i="2"/>
  <c r="V354" i="2"/>
  <c r="T354" i="2"/>
  <c r="AF351" i="2"/>
  <c r="AN351" i="2" s="1"/>
  <c r="AE351" i="2"/>
  <c r="AM351" i="2" s="1"/>
  <c r="AA351" i="2"/>
  <c r="Z351" i="2"/>
  <c r="AI350" i="2" s="1"/>
  <c r="O351" i="2"/>
  <c r="P350" i="2" s="1"/>
  <c r="L351" i="2"/>
  <c r="L350" i="2" s="1"/>
  <c r="J351" i="2"/>
  <c r="AJ350" i="2"/>
  <c r="X350" i="2"/>
  <c r="V350" i="2"/>
  <c r="T350" i="2"/>
  <c r="AF349" i="2"/>
  <c r="AN349" i="2" s="1"/>
  <c r="AE349" i="2"/>
  <c r="AM349" i="2" s="1"/>
  <c r="AA349" i="2"/>
  <c r="AJ348" i="2" s="1"/>
  <c r="Z349" i="2"/>
  <c r="O349" i="2"/>
  <c r="P348" i="2" s="1"/>
  <c r="L349" i="2"/>
  <c r="J349" i="2"/>
  <c r="AB349" i="2" s="1"/>
  <c r="AK348" i="2" s="1"/>
  <c r="H349" i="2"/>
  <c r="I349" i="2" s="1"/>
  <c r="I348" i="2" s="1"/>
  <c r="AI348" i="2"/>
  <c r="X348" i="2"/>
  <c r="V348" i="2"/>
  <c r="R348" i="2"/>
  <c r="L348" i="2"/>
  <c r="AF347" i="2"/>
  <c r="AN347" i="2" s="1"/>
  <c r="AE347" i="2"/>
  <c r="AM347" i="2" s="1"/>
  <c r="AB347" i="2"/>
  <c r="AA347" i="2"/>
  <c r="Z347" i="2"/>
  <c r="O347" i="2"/>
  <c r="L347" i="2"/>
  <c r="J347" i="2"/>
  <c r="H347" i="2"/>
  <c r="I347" i="2" s="1"/>
  <c r="AF346" i="2"/>
  <c r="AN346" i="2" s="1"/>
  <c r="AE346" i="2"/>
  <c r="AM346" i="2" s="1"/>
  <c r="AB346" i="2"/>
  <c r="AA346" i="2"/>
  <c r="Z346" i="2"/>
  <c r="O346" i="2"/>
  <c r="L346" i="2"/>
  <c r="J346" i="2"/>
  <c r="I346" i="2" s="1"/>
  <c r="H346" i="2"/>
  <c r="AF344" i="2"/>
  <c r="AN344" i="2" s="1"/>
  <c r="AE344" i="2"/>
  <c r="AM344" i="2" s="1"/>
  <c r="AA344" i="2"/>
  <c r="Z344" i="2"/>
  <c r="O344" i="2"/>
  <c r="P343" i="2" s="1"/>
  <c r="L344" i="2"/>
  <c r="L343" i="2" s="1"/>
  <c r="J344" i="2"/>
  <c r="AB344" i="2" s="1"/>
  <c r="X343" i="2"/>
  <c r="V343" i="2"/>
  <c r="R343" i="2"/>
  <c r="AF342" i="2"/>
  <c r="AN342" i="2" s="1"/>
  <c r="AE342" i="2"/>
  <c r="AM342" i="2" s="1"/>
  <c r="AA342" i="2"/>
  <c r="Z342" i="2"/>
  <c r="AI339" i="2" s="1"/>
  <c r="O342" i="2"/>
  <c r="L342" i="2"/>
  <c r="J342" i="2"/>
  <c r="AF340" i="2"/>
  <c r="AN340" i="2" s="1"/>
  <c r="AE340" i="2"/>
  <c r="AM340" i="2" s="1"/>
  <c r="AA340" i="2"/>
  <c r="AJ339" i="2" s="1"/>
  <c r="Z340" i="2"/>
  <c r="O340" i="2"/>
  <c r="L340" i="2"/>
  <c r="L339" i="2" s="1"/>
  <c r="J340" i="2"/>
  <c r="AB340" i="2" s="1"/>
  <c r="H340" i="2"/>
  <c r="I340" i="2" s="1"/>
  <c r="X339" i="2"/>
  <c r="V339" i="2"/>
  <c r="R339" i="2"/>
  <c r="AN338" i="2"/>
  <c r="AM338" i="2"/>
  <c r="AF338" i="2"/>
  <c r="AE338" i="2"/>
  <c r="AA338" i="2"/>
  <c r="Z338" i="2"/>
  <c r="O338" i="2"/>
  <c r="L338" i="2"/>
  <c r="L335" i="2" s="1"/>
  <c r="J338" i="2"/>
  <c r="H338" i="2"/>
  <c r="AF336" i="2"/>
  <c r="AN336" i="2" s="1"/>
  <c r="AE336" i="2"/>
  <c r="AM336" i="2" s="1"/>
  <c r="AA336" i="2"/>
  <c r="AJ335" i="2" s="1"/>
  <c r="Z336" i="2"/>
  <c r="AI335" i="2" s="1"/>
  <c r="O336" i="2"/>
  <c r="L336" i="2"/>
  <c r="J336" i="2"/>
  <c r="AB336" i="2" s="1"/>
  <c r="H336" i="2"/>
  <c r="X335" i="2"/>
  <c r="V335" i="2"/>
  <c r="T335" i="2"/>
  <c r="P335" i="2"/>
  <c r="AM334" i="2"/>
  <c r="AF334" i="2"/>
  <c r="AN334" i="2" s="1"/>
  <c r="AE334" i="2"/>
  <c r="AA334" i="2"/>
  <c r="Z334" i="2"/>
  <c r="O334" i="2"/>
  <c r="P333" i="2" s="1"/>
  <c r="U333" i="2" s="1"/>
  <c r="L334" i="2"/>
  <c r="L333" i="2" s="1"/>
  <c r="L327" i="2" s="1"/>
  <c r="J334" i="2"/>
  <c r="AB334" i="2" s="1"/>
  <c r="AK333" i="2" s="1"/>
  <c r="I334" i="2"/>
  <c r="I333" i="2" s="1"/>
  <c r="H334" i="2"/>
  <c r="AJ333" i="2"/>
  <c r="AI333" i="2"/>
  <c r="X333" i="2"/>
  <c r="V333" i="2"/>
  <c r="T333" i="2"/>
  <c r="H333" i="2"/>
  <c r="AN331" i="2"/>
  <c r="AF331" i="2"/>
  <c r="AE331" i="2"/>
  <c r="AM331" i="2" s="1"/>
  <c r="AA331" i="2"/>
  <c r="Z331" i="2"/>
  <c r="O331" i="2"/>
  <c r="L331" i="2"/>
  <c r="J331" i="2"/>
  <c r="I331" i="2" s="1"/>
  <c r="H331" i="2"/>
  <c r="AF329" i="2"/>
  <c r="AN329" i="2" s="1"/>
  <c r="AE329" i="2"/>
  <c r="AM329" i="2" s="1"/>
  <c r="AA329" i="2"/>
  <c r="Z329" i="2"/>
  <c r="O329" i="2"/>
  <c r="L329" i="2"/>
  <c r="L328" i="2" s="1"/>
  <c r="J329" i="2"/>
  <c r="AB329" i="2" s="1"/>
  <c r="X328" i="2"/>
  <c r="V328" i="2"/>
  <c r="T328" i="2"/>
  <c r="AF325" i="2"/>
  <c r="AN325" i="2" s="1"/>
  <c r="AE325" i="2"/>
  <c r="AM325" i="2" s="1"/>
  <c r="AB325" i="2"/>
  <c r="AK324" i="2" s="1"/>
  <c r="AA325" i="2"/>
  <c r="Z325" i="2"/>
  <c r="O325" i="2"/>
  <c r="L325" i="2"/>
  <c r="J325" i="2"/>
  <c r="H325" i="2"/>
  <c r="AJ324" i="2"/>
  <c r="AI324" i="2"/>
  <c r="X324" i="2"/>
  <c r="V324" i="2"/>
  <c r="T324" i="2"/>
  <c r="P324" i="2"/>
  <c r="L324" i="2"/>
  <c r="AM322" i="2"/>
  <c r="AF322" i="2"/>
  <c r="AN322" i="2" s="1"/>
  <c r="AE322" i="2"/>
  <c r="AA322" i="2"/>
  <c r="Z322" i="2"/>
  <c r="O322" i="2"/>
  <c r="P321" i="2" s="1"/>
  <c r="L322" i="2"/>
  <c r="L321" i="2" s="1"/>
  <c r="J322" i="2"/>
  <c r="H322" i="2"/>
  <c r="H321" i="2" s="1"/>
  <c r="R321" i="2" s="1"/>
  <c r="AJ321" i="2"/>
  <c r="AI321" i="2"/>
  <c r="X321" i="2"/>
  <c r="V321" i="2"/>
  <c r="T321" i="2"/>
  <c r="AF320" i="2"/>
  <c r="AN320" i="2" s="1"/>
  <c r="AE320" i="2"/>
  <c r="AM320" i="2" s="1"/>
  <c r="AA320" i="2"/>
  <c r="Z320" i="2"/>
  <c r="O320" i="2"/>
  <c r="P319" i="2" s="1"/>
  <c r="L320" i="2"/>
  <c r="J320" i="2"/>
  <c r="H320" i="2"/>
  <c r="H319" i="2" s="1"/>
  <c r="AJ319" i="2"/>
  <c r="AI319" i="2"/>
  <c r="X319" i="2"/>
  <c r="V319" i="2"/>
  <c r="R319" i="2"/>
  <c r="L319" i="2"/>
  <c r="AF318" i="2"/>
  <c r="AN318" i="2" s="1"/>
  <c r="AE318" i="2"/>
  <c r="AM318" i="2" s="1"/>
  <c r="AA318" i="2"/>
  <c r="Z318" i="2"/>
  <c r="O318" i="2"/>
  <c r="L318" i="2"/>
  <c r="L317" i="2" s="1"/>
  <c r="J318" i="2"/>
  <c r="AB318" i="2" s="1"/>
  <c r="AK317" i="2" s="1"/>
  <c r="H318" i="2"/>
  <c r="AJ317" i="2"/>
  <c r="AI317" i="2"/>
  <c r="X317" i="2"/>
  <c r="V317" i="2"/>
  <c r="R317" i="2"/>
  <c r="P317" i="2"/>
  <c r="AF316" i="2"/>
  <c r="AN316" i="2" s="1"/>
  <c r="AE316" i="2"/>
  <c r="AM316" i="2" s="1"/>
  <c r="AA316" i="2"/>
  <c r="Z316" i="2"/>
  <c r="AI315" i="2" s="1"/>
  <c r="O316" i="2"/>
  <c r="P315" i="2" s="1"/>
  <c r="W315" i="2" s="1"/>
  <c r="L316" i="2"/>
  <c r="L315" i="2" s="1"/>
  <c r="J316" i="2"/>
  <c r="AJ315" i="2"/>
  <c r="X315" i="2"/>
  <c r="V315" i="2"/>
  <c r="R315" i="2"/>
  <c r="AF313" i="2"/>
  <c r="AN313" i="2" s="1"/>
  <c r="AE313" i="2"/>
  <c r="AM313" i="2" s="1"/>
  <c r="AA313" i="2"/>
  <c r="AJ312" i="2" s="1"/>
  <c r="Z313" i="2"/>
  <c r="O313" i="2"/>
  <c r="L313" i="2"/>
  <c r="J313" i="2"/>
  <c r="AB313" i="2" s="1"/>
  <c r="AK312" i="2" s="1"/>
  <c r="H313" i="2"/>
  <c r="AI312" i="2"/>
  <c r="X312" i="2"/>
  <c r="V312" i="2"/>
  <c r="R312" i="2"/>
  <c r="P312" i="2"/>
  <c r="L312" i="2"/>
  <c r="AF311" i="2"/>
  <c r="AN311" i="2" s="1"/>
  <c r="AE311" i="2"/>
  <c r="AM311" i="2" s="1"/>
  <c r="AA311" i="2"/>
  <c r="Z311" i="2"/>
  <c r="O311" i="2"/>
  <c r="P310" i="2" s="1"/>
  <c r="U310" i="2" s="1"/>
  <c r="L311" i="2"/>
  <c r="L310" i="2" s="1"/>
  <c r="J311" i="2"/>
  <c r="AB311" i="2" s="1"/>
  <c r="AK310" i="2" s="1"/>
  <c r="AJ310" i="2"/>
  <c r="AI310" i="2"/>
  <c r="X310" i="2"/>
  <c r="V310" i="2"/>
  <c r="T310" i="2"/>
  <c r="AF308" i="2"/>
  <c r="AN308" i="2" s="1"/>
  <c r="AE308" i="2"/>
  <c r="AM308" i="2" s="1"/>
  <c r="AB308" i="2"/>
  <c r="AK305" i="2" s="1"/>
  <c r="AA308" i="2"/>
  <c r="Z308" i="2"/>
  <c r="O308" i="2"/>
  <c r="P305" i="2" s="1"/>
  <c r="L308" i="2"/>
  <c r="J308" i="2"/>
  <c r="H308" i="2"/>
  <c r="AF306" i="2"/>
  <c r="AN306" i="2" s="1"/>
  <c r="AE306" i="2"/>
  <c r="AM306" i="2" s="1"/>
  <c r="AB306" i="2"/>
  <c r="AA306" i="2"/>
  <c r="Z306" i="2"/>
  <c r="O306" i="2"/>
  <c r="L306" i="2"/>
  <c r="L305" i="2" s="1"/>
  <c r="L304" i="2" s="1"/>
  <c r="J306" i="2"/>
  <c r="X305" i="2"/>
  <c r="V305" i="2"/>
  <c r="T305" i="2"/>
  <c r="AF303" i="2"/>
  <c r="AN303" i="2" s="1"/>
  <c r="AE303" i="2"/>
  <c r="AM303" i="2" s="1"/>
  <c r="AA303" i="2"/>
  <c r="Z303" i="2"/>
  <c r="AI302" i="2" s="1"/>
  <c r="O303" i="2"/>
  <c r="P302" i="2" s="1"/>
  <c r="L303" i="2"/>
  <c r="J303" i="2"/>
  <c r="AB303" i="2" s="1"/>
  <c r="AK302" i="2" s="1"/>
  <c r="H303" i="2"/>
  <c r="AJ302" i="2"/>
  <c r="X302" i="2"/>
  <c r="V302" i="2"/>
  <c r="R302" i="2"/>
  <c r="L302" i="2"/>
  <c r="AF301" i="2"/>
  <c r="AN301" i="2" s="1"/>
  <c r="AE301" i="2"/>
  <c r="AM301" i="2" s="1"/>
  <c r="AA301" i="2"/>
  <c r="Z301" i="2"/>
  <c r="AI300" i="2" s="1"/>
  <c r="O301" i="2"/>
  <c r="P300" i="2" s="1"/>
  <c r="L301" i="2"/>
  <c r="L300" i="2" s="1"/>
  <c r="J301" i="2"/>
  <c r="AJ300" i="2"/>
  <c r="X300" i="2"/>
  <c r="V300" i="2"/>
  <c r="R300" i="2"/>
  <c r="AF299" i="2"/>
  <c r="AN299" i="2" s="1"/>
  <c r="AE299" i="2"/>
  <c r="AM299" i="2" s="1"/>
  <c r="AA299" i="2"/>
  <c r="Z299" i="2"/>
  <c r="AI298" i="2" s="1"/>
  <c r="O299" i="2"/>
  <c r="L299" i="2"/>
  <c r="J299" i="2"/>
  <c r="AB299" i="2" s="1"/>
  <c r="AK298" i="2" s="1"/>
  <c r="H299" i="2"/>
  <c r="H298" i="2" s="1"/>
  <c r="AJ298" i="2"/>
  <c r="X298" i="2"/>
  <c r="V298" i="2"/>
  <c r="R298" i="2"/>
  <c r="P298" i="2"/>
  <c r="L298" i="2"/>
  <c r="AF297" i="2"/>
  <c r="AN297" i="2" s="1"/>
  <c r="AE297" i="2"/>
  <c r="AM297" i="2" s="1"/>
  <c r="AA297" i="2"/>
  <c r="Z297" i="2"/>
  <c r="O297" i="2"/>
  <c r="L297" i="2"/>
  <c r="J297" i="2"/>
  <c r="AB297" i="2" s="1"/>
  <c r="H297" i="2"/>
  <c r="AM295" i="2"/>
  <c r="AF295" i="2"/>
  <c r="AN295" i="2" s="1"/>
  <c r="AE295" i="2"/>
  <c r="AA295" i="2"/>
  <c r="AJ294" i="2" s="1"/>
  <c r="Z295" i="2"/>
  <c r="O295" i="2"/>
  <c r="P294" i="2" s="1"/>
  <c r="L295" i="2"/>
  <c r="J295" i="2"/>
  <c r="AB295" i="2" s="1"/>
  <c r="H295" i="2"/>
  <c r="AI294" i="2"/>
  <c r="X294" i="2"/>
  <c r="V294" i="2"/>
  <c r="R294" i="2"/>
  <c r="L294" i="2"/>
  <c r="AF293" i="2"/>
  <c r="AN293" i="2" s="1"/>
  <c r="AE293" i="2"/>
  <c r="AM293" i="2" s="1"/>
  <c r="AA293" i="2"/>
  <c r="Z293" i="2"/>
  <c r="AI291" i="2" s="1"/>
  <c r="O293" i="2"/>
  <c r="L293" i="2"/>
  <c r="J293" i="2"/>
  <c r="AB293" i="2" s="1"/>
  <c r="H293" i="2"/>
  <c r="AF292" i="2"/>
  <c r="AN292" i="2" s="1"/>
  <c r="AE292" i="2"/>
  <c r="AM292" i="2" s="1"/>
  <c r="AA292" i="2"/>
  <c r="Z292" i="2"/>
  <c r="O292" i="2"/>
  <c r="P291" i="2" s="1"/>
  <c r="L292" i="2"/>
  <c r="L291" i="2" s="1"/>
  <c r="J292" i="2"/>
  <c r="X291" i="2"/>
  <c r="V291" i="2"/>
  <c r="T291" i="2"/>
  <c r="AF289" i="2"/>
  <c r="AN289" i="2" s="1"/>
  <c r="AE289" i="2"/>
  <c r="AM289" i="2" s="1"/>
  <c r="AA289" i="2"/>
  <c r="Z289" i="2"/>
  <c r="AI286" i="2" s="1"/>
  <c r="O289" i="2"/>
  <c r="L289" i="2"/>
  <c r="J289" i="2"/>
  <c r="AB289" i="2" s="1"/>
  <c r="H289" i="2"/>
  <c r="I289" i="2" s="1"/>
  <c r="AF287" i="2"/>
  <c r="AN287" i="2" s="1"/>
  <c r="AE287" i="2"/>
  <c r="AM287" i="2" s="1"/>
  <c r="AA287" i="2"/>
  <c r="Z287" i="2"/>
  <c r="O287" i="2"/>
  <c r="P286" i="2" s="1"/>
  <c r="L287" i="2"/>
  <c r="L286" i="2" s="1"/>
  <c r="J287" i="2"/>
  <c r="X286" i="2"/>
  <c r="V286" i="2"/>
  <c r="T286" i="2"/>
  <c r="AF285" i="2"/>
  <c r="AN285" i="2" s="1"/>
  <c r="AE285" i="2"/>
  <c r="AM285" i="2" s="1"/>
  <c r="AA285" i="2"/>
  <c r="Z285" i="2"/>
  <c r="AI284" i="2" s="1"/>
  <c r="O285" i="2"/>
  <c r="P284" i="2" s="1"/>
  <c r="L285" i="2"/>
  <c r="J285" i="2"/>
  <c r="AB285" i="2" s="1"/>
  <c r="AK284" i="2" s="1"/>
  <c r="H285" i="2"/>
  <c r="H284" i="2" s="1"/>
  <c r="AJ284" i="2"/>
  <c r="X284" i="2"/>
  <c r="V284" i="2"/>
  <c r="T284" i="2"/>
  <c r="L284" i="2"/>
  <c r="AF281" i="2"/>
  <c r="AN281" i="2" s="1"/>
  <c r="AE281" i="2"/>
  <c r="AM281" i="2" s="1"/>
  <c r="AA281" i="2"/>
  <c r="AJ280" i="2" s="1"/>
  <c r="Z281" i="2"/>
  <c r="O281" i="2"/>
  <c r="P280" i="2" s="1"/>
  <c r="L281" i="2"/>
  <c r="J281" i="2"/>
  <c r="AB281" i="2" s="1"/>
  <c r="AK280" i="2" s="1"/>
  <c r="I281" i="2"/>
  <c r="H281" i="2"/>
  <c r="H280" i="2" s="1"/>
  <c r="AI280" i="2"/>
  <c r="X280" i="2"/>
  <c r="V280" i="2"/>
  <c r="T280" i="2"/>
  <c r="L280" i="2"/>
  <c r="I280" i="2"/>
  <c r="AF278" i="2"/>
  <c r="AN278" i="2" s="1"/>
  <c r="AE278" i="2"/>
  <c r="AM278" i="2" s="1"/>
  <c r="AA278" i="2"/>
  <c r="Z278" i="2"/>
  <c r="AI277" i="2" s="1"/>
  <c r="O278" i="2"/>
  <c r="L278" i="2"/>
  <c r="J278" i="2"/>
  <c r="AB278" i="2" s="1"/>
  <c r="AK277" i="2" s="1"/>
  <c r="AJ277" i="2"/>
  <c r="X277" i="2"/>
  <c r="V277" i="2"/>
  <c r="T277" i="2"/>
  <c r="P277" i="2"/>
  <c r="L277" i="2"/>
  <c r="AN276" i="2"/>
  <c r="AF276" i="2"/>
  <c r="AE276" i="2"/>
  <c r="AM276" i="2" s="1"/>
  <c r="AA276" i="2"/>
  <c r="Z276" i="2"/>
  <c r="AI275" i="2" s="1"/>
  <c r="O276" i="2"/>
  <c r="P275" i="2" s="1"/>
  <c r="L276" i="2"/>
  <c r="L275" i="2" s="1"/>
  <c r="J276" i="2"/>
  <c r="AJ275" i="2"/>
  <c r="X275" i="2"/>
  <c r="V275" i="2"/>
  <c r="R275" i="2"/>
  <c r="AF274" i="2"/>
  <c r="AN274" i="2" s="1"/>
  <c r="AE274" i="2"/>
  <c r="AM274" i="2" s="1"/>
  <c r="AA274" i="2"/>
  <c r="Z274" i="2"/>
  <c r="AI273" i="2" s="1"/>
  <c r="O274" i="2"/>
  <c r="P273" i="2" s="1"/>
  <c r="L274" i="2"/>
  <c r="J274" i="2"/>
  <c r="I274" i="2" s="1"/>
  <c r="I273" i="2" s="1"/>
  <c r="H274" i="2"/>
  <c r="H273" i="2" s="1"/>
  <c r="AJ273" i="2"/>
  <c r="X273" i="2"/>
  <c r="V273" i="2"/>
  <c r="R273" i="2"/>
  <c r="L273" i="2"/>
  <c r="AF272" i="2"/>
  <c r="AN272" i="2" s="1"/>
  <c r="AE272" i="2"/>
  <c r="AM272" i="2" s="1"/>
  <c r="AA272" i="2"/>
  <c r="AJ271" i="2" s="1"/>
  <c r="Z272" i="2"/>
  <c r="AI271" i="2" s="1"/>
  <c r="O272" i="2"/>
  <c r="L272" i="2"/>
  <c r="L271" i="2" s="1"/>
  <c r="J272" i="2"/>
  <c r="AB272" i="2" s="1"/>
  <c r="AK271" i="2" s="1"/>
  <c r="H272" i="2"/>
  <c r="X271" i="2"/>
  <c r="V271" i="2"/>
  <c r="R271" i="2"/>
  <c r="P271" i="2"/>
  <c r="AM269" i="2"/>
  <c r="AF269" i="2"/>
  <c r="AN269" i="2" s="1"/>
  <c r="AE269" i="2"/>
  <c r="AA269" i="2"/>
  <c r="AJ268" i="2" s="1"/>
  <c r="Z269" i="2"/>
  <c r="O269" i="2"/>
  <c r="P268" i="2" s="1"/>
  <c r="L269" i="2"/>
  <c r="L268" i="2" s="1"/>
  <c r="J269" i="2"/>
  <c r="H269" i="2"/>
  <c r="H268" i="2" s="1"/>
  <c r="T268" i="2" s="1"/>
  <c r="AI268" i="2"/>
  <c r="X268" i="2"/>
  <c r="V268" i="2"/>
  <c r="R268" i="2"/>
  <c r="AF267" i="2"/>
  <c r="AN267" i="2" s="1"/>
  <c r="AE267" i="2"/>
  <c r="AM267" i="2" s="1"/>
  <c r="AB267" i="2"/>
  <c r="AK266" i="2" s="1"/>
  <c r="AA267" i="2"/>
  <c r="AJ266" i="2" s="1"/>
  <c r="Z267" i="2"/>
  <c r="O267" i="2"/>
  <c r="L267" i="2"/>
  <c r="J267" i="2"/>
  <c r="H267" i="2"/>
  <c r="I267" i="2" s="1"/>
  <c r="I266" i="2" s="1"/>
  <c r="AI266" i="2"/>
  <c r="X266" i="2"/>
  <c r="V266" i="2"/>
  <c r="T266" i="2"/>
  <c r="P266" i="2"/>
  <c r="L266" i="2"/>
  <c r="AM264" i="2"/>
  <c r="AF264" i="2"/>
  <c r="AN264" i="2" s="1"/>
  <c r="AE264" i="2"/>
  <c r="H264" i="2" s="1"/>
  <c r="I264" i="2" s="1"/>
  <c r="AA264" i="2"/>
  <c r="Z264" i="2"/>
  <c r="O264" i="2"/>
  <c r="L264" i="2"/>
  <c r="J264" i="2"/>
  <c r="AB264" i="2" s="1"/>
  <c r="AF262" i="2"/>
  <c r="AN262" i="2" s="1"/>
  <c r="AE262" i="2"/>
  <c r="AM262" i="2" s="1"/>
  <c r="AA262" i="2"/>
  <c r="Z262" i="2"/>
  <c r="O262" i="2"/>
  <c r="L262" i="2"/>
  <c r="J262" i="2"/>
  <c r="AB262" i="2" s="1"/>
  <c r="H262" i="2"/>
  <c r="AJ261" i="2"/>
  <c r="AI261" i="2"/>
  <c r="X261" i="2"/>
  <c r="V261" i="2"/>
  <c r="T261" i="2"/>
  <c r="P261" i="2"/>
  <c r="L261" i="2"/>
  <c r="AN258" i="2"/>
  <c r="AF258" i="2"/>
  <c r="AE258" i="2"/>
  <c r="AM258" i="2" s="1"/>
  <c r="AA258" i="2"/>
  <c r="Z258" i="2"/>
  <c r="O258" i="2"/>
  <c r="P257" i="2" s="1"/>
  <c r="L258" i="2"/>
  <c r="J258" i="2"/>
  <c r="I258" i="2" s="1"/>
  <c r="I257" i="2" s="1"/>
  <c r="H258" i="2"/>
  <c r="H257" i="2" s="1"/>
  <c r="AJ257" i="2"/>
  <c r="AI257" i="2"/>
  <c r="X257" i="2"/>
  <c r="V257" i="2"/>
  <c r="T257" i="2"/>
  <c r="L257" i="2"/>
  <c r="AF255" i="2"/>
  <c r="AN255" i="2" s="1"/>
  <c r="AE255" i="2"/>
  <c r="AM255" i="2" s="1"/>
  <c r="AA255" i="2"/>
  <c r="Z255" i="2"/>
  <c r="O255" i="2"/>
  <c r="L255" i="2"/>
  <c r="J255" i="2"/>
  <c r="AB255" i="2" s="1"/>
  <c r="AK254" i="2" s="1"/>
  <c r="H255" i="2"/>
  <c r="AJ254" i="2"/>
  <c r="AI254" i="2"/>
  <c r="X254" i="2"/>
  <c r="V254" i="2"/>
  <c r="T254" i="2"/>
  <c r="P254" i="2"/>
  <c r="L254" i="2"/>
  <c r="AF253" i="2"/>
  <c r="AN253" i="2" s="1"/>
  <c r="AE253" i="2"/>
  <c r="AM253" i="2" s="1"/>
  <c r="AA253" i="2"/>
  <c r="AJ252" i="2" s="1"/>
  <c r="Z253" i="2"/>
  <c r="O253" i="2"/>
  <c r="L253" i="2"/>
  <c r="L252" i="2" s="1"/>
  <c r="J253" i="2"/>
  <c r="AI252" i="2"/>
  <c r="X252" i="2"/>
  <c r="V252" i="2"/>
  <c r="R252" i="2"/>
  <c r="P252" i="2"/>
  <c r="AF251" i="2"/>
  <c r="AN251" i="2" s="1"/>
  <c r="AE251" i="2"/>
  <c r="AM251" i="2" s="1"/>
  <c r="AA251" i="2"/>
  <c r="AJ250" i="2" s="1"/>
  <c r="Z251" i="2"/>
  <c r="AI250" i="2" s="1"/>
  <c r="O251" i="2"/>
  <c r="P250" i="2" s="1"/>
  <c r="L251" i="2"/>
  <c r="J251" i="2"/>
  <c r="AB251" i="2" s="1"/>
  <c r="AK250" i="2" s="1"/>
  <c r="H251" i="2"/>
  <c r="H250" i="2" s="1"/>
  <c r="X250" i="2"/>
  <c r="V250" i="2"/>
  <c r="R250" i="2"/>
  <c r="L250" i="2"/>
  <c r="AF249" i="2"/>
  <c r="AN249" i="2" s="1"/>
  <c r="AE249" i="2"/>
  <c r="AM249" i="2" s="1"/>
  <c r="AA249" i="2"/>
  <c r="AJ248" i="2" s="1"/>
  <c r="Z249" i="2"/>
  <c r="O249" i="2"/>
  <c r="L249" i="2"/>
  <c r="L248" i="2" s="1"/>
  <c r="J249" i="2"/>
  <c r="AB249" i="2" s="1"/>
  <c r="AK248" i="2" s="1"/>
  <c r="H249" i="2"/>
  <c r="AI248" i="2"/>
  <c r="X248" i="2"/>
  <c r="V248" i="2"/>
  <c r="R248" i="2"/>
  <c r="P248" i="2"/>
  <c r="AF246" i="2"/>
  <c r="AN246" i="2" s="1"/>
  <c r="AE246" i="2"/>
  <c r="AM246" i="2" s="1"/>
  <c r="AA246" i="2"/>
  <c r="Z246" i="2"/>
  <c r="O246" i="2"/>
  <c r="P245" i="2" s="1"/>
  <c r="L246" i="2"/>
  <c r="L245" i="2" s="1"/>
  <c r="J246" i="2"/>
  <c r="AJ245" i="2"/>
  <c r="AI245" i="2"/>
  <c r="X245" i="2"/>
  <c r="V245" i="2"/>
  <c r="R245" i="2"/>
  <c r="AF244" i="2"/>
  <c r="AN244" i="2" s="1"/>
  <c r="AE244" i="2"/>
  <c r="AM244" i="2" s="1"/>
  <c r="AB244" i="2"/>
  <c r="AK243" i="2" s="1"/>
  <c r="AA244" i="2"/>
  <c r="Z244" i="2"/>
  <c r="O244" i="2"/>
  <c r="L244" i="2"/>
  <c r="J244" i="2"/>
  <c r="H244" i="2"/>
  <c r="I244" i="2" s="1"/>
  <c r="I243" i="2" s="1"/>
  <c r="AJ243" i="2"/>
  <c r="AI243" i="2"/>
  <c r="X243" i="2"/>
  <c r="V243" i="2"/>
  <c r="T243" i="2"/>
  <c r="P243" i="2"/>
  <c r="L243" i="2"/>
  <c r="AF241" i="2"/>
  <c r="AN241" i="2" s="1"/>
  <c r="AE241" i="2"/>
  <c r="AM241" i="2" s="1"/>
  <c r="AA241" i="2"/>
  <c r="Z241" i="2"/>
  <c r="AI238" i="2" s="1"/>
  <c r="O241" i="2"/>
  <c r="L241" i="2"/>
  <c r="J241" i="2"/>
  <c r="AB241" i="2" s="1"/>
  <c r="H241" i="2"/>
  <c r="AF239" i="2"/>
  <c r="AN239" i="2" s="1"/>
  <c r="AE239" i="2"/>
  <c r="AM239" i="2" s="1"/>
  <c r="AA239" i="2"/>
  <c r="Z239" i="2"/>
  <c r="O239" i="2"/>
  <c r="L239" i="2"/>
  <c r="J239" i="2"/>
  <c r="I239" i="2" s="1"/>
  <c r="H239" i="2"/>
  <c r="H238" i="2" s="1"/>
  <c r="AJ238" i="2"/>
  <c r="X238" i="2"/>
  <c r="V238" i="2"/>
  <c r="T238" i="2"/>
  <c r="P238" i="2"/>
  <c r="L238" i="2"/>
  <c r="L237" i="2" s="1"/>
  <c r="AF236" i="2"/>
  <c r="AN236" i="2" s="1"/>
  <c r="AE236" i="2"/>
  <c r="AM236" i="2" s="1"/>
  <c r="AA236" i="2"/>
  <c r="Z236" i="2"/>
  <c r="AI235" i="2" s="1"/>
  <c r="O236" i="2"/>
  <c r="P235" i="2" s="1"/>
  <c r="L236" i="2"/>
  <c r="J236" i="2"/>
  <c r="I236" i="2" s="1"/>
  <c r="I235" i="2" s="1"/>
  <c r="H236" i="2"/>
  <c r="H235" i="2" s="1"/>
  <c r="AJ235" i="2"/>
  <c r="X235" i="2"/>
  <c r="V235" i="2"/>
  <c r="R235" i="2"/>
  <c r="L235" i="2"/>
  <c r="AF234" i="2"/>
  <c r="AN234" i="2" s="1"/>
  <c r="AE234" i="2"/>
  <c r="AM234" i="2" s="1"/>
  <c r="AA234" i="2"/>
  <c r="Z234" i="2"/>
  <c r="O234" i="2"/>
  <c r="P233" i="2" s="1"/>
  <c r="L234" i="2"/>
  <c r="J234" i="2"/>
  <c r="AB234" i="2" s="1"/>
  <c r="AK233" i="2" s="1"/>
  <c r="H234" i="2"/>
  <c r="I234" i="2" s="1"/>
  <c r="I233" i="2" s="1"/>
  <c r="AJ233" i="2"/>
  <c r="AI233" i="2"/>
  <c r="X233" i="2"/>
  <c r="V233" i="2"/>
  <c r="R233" i="2"/>
  <c r="L233" i="2"/>
  <c r="AF232" i="2"/>
  <c r="AN232" i="2" s="1"/>
  <c r="AE232" i="2"/>
  <c r="AM232" i="2" s="1"/>
  <c r="AA232" i="2"/>
  <c r="Z232" i="2"/>
  <c r="AI230" i="2" s="1"/>
  <c r="O232" i="2"/>
  <c r="L232" i="2"/>
  <c r="L230" i="2" s="1"/>
  <c r="J232" i="2"/>
  <c r="AF231" i="2"/>
  <c r="AN231" i="2" s="1"/>
  <c r="AE231" i="2"/>
  <c r="AM231" i="2" s="1"/>
  <c r="AA231" i="2"/>
  <c r="Z231" i="2"/>
  <c r="O231" i="2"/>
  <c r="P230" i="2" s="1"/>
  <c r="L231" i="2"/>
  <c r="J231" i="2"/>
  <c r="AB231" i="2" s="1"/>
  <c r="H231" i="2"/>
  <c r="I231" i="2" s="1"/>
  <c r="AJ230" i="2"/>
  <c r="X230" i="2"/>
  <c r="V230" i="2"/>
  <c r="R230" i="2"/>
  <c r="AF229" i="2"/>
  <c r="AN229" i="2" s="1"/>
  <c r="AE229" i="2"/>
  <c r="AM229" i="2" s="1"/>
  <c r="AA229" i="2"/>
  <c r="Z229" i="2"/>
  <c r="AI226" i="2" s="1"/>
  <c r="O229" i="2"/>
  <c r="L229" i="2"/>
  <c r="J229" i="2"/>
  <c r="AB229" i="2" s="1"/>
  <c r="AF227" i="2"/>
  <c r="AN227" i="2" s="1"/>
  <c r="AE227" i="2"/>
  <c r="AM227" i="2" s="1"/>
  <c r="AA227" i="2"/>
  <c r="Z227" i="2"/>
  <c r="O227" i="2"/>
  <c r="P226" i="2" s="1"/>
  <c r="L227" i="2"/>
  <c r="J227" i="2"/>
  <c r="AJ226" i="2"/>
  <c r="X226" i="2"/>
  <c r="V226" i="2"/>
  <c r="R226" i="2"/>
  <c r="L226" i="2"/>
  <c r="AF225" i="2"/>
  <c r="AN225" i="2" s="1"/>
  <c r="AE225" i="2"/>
  <c r="AM225" i="2" s="1"/>
  <c r="AA225" i="2"/>
  <c r="Z225" i="2"/>
  <c r="O225" i="2"/>
  <c r="L225" i="2"/>
  <c r="J225" i="2"/>
  <c r="AB225" i="2" s="1"/>
  <c r="AN224" i="2"/>
  <c r="AM224" i="2"/>
  <c r="AF224" i="2"/>
  <c r="AE224" i="2"/>
  <c r="AA224" i="2"/>
  <c r="Z224" i="2"/>
  <c r="O224" i="2"/>
  <c r="P223" i="2" s="1"/>
  <c r="L224" i="2"/>
  <c r="J224" i="2"/>
  <c r="I224" i="2" s="1"/>
  <c r="H224" i="2"/>
  <c r="AJ223" i="2"/>
  <c r="X223" i="2"/>
  <c r="V223" i="2"/>
  <c r="T223" i="2"/>
  <c r="L223" i="2"/>
  <c r="AF221" i="2"/>
  <c r="AN221" i="2" s="1"/>
  <c r="AE221" i="2"/>
  <c r="AM221" i="2" s="1"/>
  <c r="AA221" i="2"/>
  <c r="Z221" i="2"/>
  <c r="O221" i="2"/>
  <c r="P220" i="2" s="1"/>
  <c r="L221" i="2"/>
  <c r="J221" i="2"/>
  <c r="AB221" i="2" s="1"/>
  <c r="AK220" i="2" s="1"/>
  <c r="AJ220" i="2"/>
  <c r="AI220" i="2"/>
  <c r="X220" i="2"/>
  <c r="V220" i="2"/>
  <c r="T220" i="2"/>
  <c r="L220" i="2"/>
  <c r="AF219" i="2"/>
  <c r="AN219" i="2" s="1"/>
  <c r="AE219" i="2"/>
  <c r="AM219" i="2" s="1"/>
  <c r="AA219" i="2"/>
  <c r="Z219" i="2"/>
  <c r="AI218" i="2" s="1"/>
  <c r="O219" i="2"/>
  <c r="P218" i="2" s="1"/>
  <c r="L219" i="2"/>
  <c r="L218" i="2" s="1"/>
  <c r="J219" i="2"/>
  <c r="AJ218" i="2"/>
  <c r="X218" i="2"/>
  <c r="V218" i="2"/>
  <c r="T218" i="2"/>
  <c r="AF215" i="2"/>
  <c r="AN215" i="2" s="1"/>
  <c r="AE215" i="2"/>
  <c r="AM215" i="2" s="1"/>
  <c r="AA215" i="2"/>
  <c r="Z215" i="2"/>
  <c r="O215" i="2"/>
  <c r="P214" i="2" s="1"/>
  <c r="L215" i="2"/>
  <c r="J215" i="2"/>
  <c r="AB215" i="2" s="1"/>
  <c r="AK214" i="2" s="1"/>
  <c r="H215" i="2"/>
  <c r="H214" i="2" s="1"/>
  <c r="AJ214" i="2"/>
  <c r="AI214" i="2"/>
  <c r="X214" i="2"/>
  <c r="V214" i="2"/>
  <c r="T214" i="2"/>
  <c r="L214" i="2"/>
  <c r="AF212" i="2"/>
  <c r="AN212" i="2" s="1"/>
  <c r="AE212" i="2"/>
  <c r="AM212" i="2" s="1"/>
  <c r="AA212" i="2"/>
  <c r="AJ211" i="2" s="1"/>
  <c r="Z212" i="2"/>
  <c r="O212" i="2"/>
  <c r="P211" i="2" s="1"/>
  <c r="W211" i="2" s="1"/>
  <c r="L212" i="2"/>
  <c r="L211" i="2" s="1"/>
  <c r="J212" i="2"/>
  <c r="I212" i="2" s="1"/>
  <c r="I211" i="2" s="1"/>
  <c r="H212" i="2"/>
  <c r="AI211" i="2"/>
  <c r="X211" i="2"/>
  <c r="V211" i="2"/>
  <c r="T211" i="2"/>
  <c r="R211" i="2"/>
  <c r="H211" i="2"/>
  <c r="J211" i="2" s="1"/>
  <c r="AF210" i="2"/>
  <c r="AN210" i="2" s="1"/>
  <c r="AE210" i="2"/>
  <c r="AM210" i="2" s="1"/>
  <c r="AA210" i="2"/>
  <c r="Z210" i="2"/>
  <c r="O210" i="2"/>
  <c r="L210" i="2"/>
  <c r="J210" i="2"/>
  <c r="AB210" i="2" s="1"/>
  <c r="AK209" i="2" s="1"/>
  <c r="AJ209" i="2"/>
  <c r="AI209" i="2"/>
  <c r="X209" i="2"/>
  <c r="V209" i="2"/>
  <c r="R209" i="2"/>
  <c r="P209" i="2"/>
  <c r="L209" i="2"/>
  <c r="AF208" i="2"/>
  <c r="AN208" i="2" s="1"/>
  <c r="AE208" i="2"/>
  <c r="AM208" i="2" s="1"/>
  <c r="AA208" i="2"/>
  <c r="Z208" i="2"/>
  <c r="AI207" i="2" s="1"/>
  <c r="O208" i="2"/>
  <c r="L208" i="2"/>
  <c r="J208" i="2"/>
  <c r="AB208" i="2" s="1"/>
  <c r="AK207" i="2" s="1"/>
  <c r="AJ207" i="2"/>
  <c r="X207" i="2"/>
  <c r="V207" i="2"/>
  <c r="R207" i="2"/>
  <c r="P207" i="2"/>
  <c r="L207" i="2"/>
  <c r="AF206" i="2"/>
  <c r="AN206" i="2" s="1"/>
  <c r="AE206" i="2"/>
  <c r="AM206" i="2" s="1"/>
  <c r="AA206" i="2"/>
  <c r="Z206" i="2"/>
  <c r="O206" i="2"/>
  <c r="L206" i="2"/>
  <c r="J206" i="2"/>
  <c r="AB206" i="2" s="1"/>
  <c r="AN204" i="2"/>
  <c r="AF204" i="2"/>
  <c r="AE204" i="2"/>
  <c r="AM204" i="2" s="1"/>
  <c r="AA204" i="2"/>
  <c r="Z204" i="2"/>
  <c r="O204" i="2"/>
  <c r="L204" i="2"/>
  <c r="L203" i="2" s="1"/>
  <c r="J204" i="2"/>
  <c r="AB204" i="2" s="1"/>
  <c r="H204" i="2"/>
  <c r="X203" i="2"/>
  <c r="V203" i="2"/>
  <c r="R203" i="2"/>
  <c r="AF202" i="2"/>
  <c r="AN202" i="2" s="1"/>
  <c r="AE202" i="2"/>
  <c r="AM202" i="2" s="1"/>
  <c r="AA202" i="2"/>
  <c r="Z202" i="2"/>
  <c r="O202" i="2"/>
  <c r="L202" i="2"/>
  <c r="J202" i="2"/>
  <c r="AB202" i="2" s="1"/>
  <c r="H202" i="2"/>
  <c r="AF200" i="2"/>
  <c r="AN200" i="2" s="1"/>
  <c r="AE200" i="2"/>
  <c r="AM200" i="2" s="1"/>
  <c r="AB200" i="2"/>
  <c r="AA200" i="2"/>
  <c r="Z200" i="2"/>
  <c r="O200" i="2"/>
  <c r="L200" i="2"/>
  <c r="J200" i="2"/>
  <c r="H200" i="2"/>
  <c r="AF198" i="2"/>
  <c r="AN198" i="2" s="1"/>
  <c r="AE198" i="2"/>
  <c r="AM198" i="2" s="1"/>
  <c r="AA198" i="2"/>
  <c r="Z198" i="2"/>
  <c r="O198" i="2"/>
  <c r="L198" i="2"/>
  <c r="J198" i="2"/>
  <c r="AB198" i="2" s="1"/>
  <c r="H198" i="2"/>
  <c r="X197" i="2"/>
  <c r="V197" i="2"/>
  <c r="R197" i="2"/>
  <c r="L197" i="2"/>
  <c r="AF195" i="2"/>
  <c r="AN195" i="2" s="1"/>
  <c r="AE195" i="2"/>
  <c r="AM195" i="2" s="1"/>
  <c r="AB195" i="2"/>
  <c r="AK194" i="2" s="1"/>
  <c r="AA195" i="2"/>
  <c r="Z195" i="2"/>
  <c r="AI194" i="2" s="1"/>
  <c r="O195" i="2"/>
  <c r="P194" i="2" s="1"/>
  <c r="L195" i="2"/>
  <c r="J195" i="2"/>
  <c r="I195" i="2" s="1"/>
  <c r="I194" i="2" s="1"/>
  <c r="H195" i="2"/>
  <c r="AJ194" i="2"/>
  <c r="X194" i="2"/>
  <c r="V194" i="2"/>
  <c r="T194" i="2"/>
  <c r="L194" i="2"/>
  <c r="H194" i="2"/>
  <c r="R194" i="2" s="1"/>
  <c r="AF193" i="2"/>
  <c r="AN193" i="2" s="1"/>
  <c r="AE193" i="2"/>
  <c r="AM193" i="2" s="1"/>
  <c r="AA193" i="2"/>
  <c r="Z193" i="2"/>
  <c r="O193" i="2"/>
  <c r="L193" i="2"/>
  <c r="J193" i="2"/>
  <c r="AN192" i="2"/>
  <c r="AF192" i="2"/>
  <c r="AE192" i="2"/>
  <c r="AM192" i="2" s="1"/>
  <c r="AA192" i="2"/>
  <c r="Z192" i="2"/>
  <c r="O192" i="2"/>
  <c r="L192" i="2"/>
  <c r="L191" i="2" s="1"/>
  <c r="J192" i="2"/>
  <c r="AJ191" i="2"/>
  <c r="AI191" i="2"/>
  <c r="X191" i="2"/>
  <c r="V191" i="2"/>
  <c r="T191" i="2"/>
  <c r="AF189" i="2"/>
  <c r="AN189" i="2" s="1"/>
  <c r="AE189" i="2"/>
  <c r="AM189" i="2" s="1"/>
  <c r="AA189" i="2"/>
  <c r="Z189" i="2"/>
  <c r="O189" i="2"/>
  <c r="L189" i="2"/>
  <c r="J189" i="2"/>
  <c r="I189" i="2" s="1"/>
  <c r="H189" i="2"/>
  <c r="AM187" i="2"/>
  <c r="AF187" i="2"/>
  <c r="AN187" i="2" s="1"/>
  <c r="AE187" i="2"/>
  <c r="AA187" i="2"/>
  <c r="Z187" i="2"/>
  <c r="O187" i="2"/>
  <c r="L187" i="2"/>
  <c r="J187" i="2"/>
  <c r="H187" i="2"/>
  <c r="AI186" i="2"/>
  <c r="X186" i="2"/>
  <c r="V186" i="2"/>
  <c r="T186" i="2"/>
  <c r="P186" i="2"/>
  <c r="L186" i="2"/>
  <c r="AF183" i="2"/>
  <c r="AN183" i="2" s="1"/>
  <c r="AE183" i="2"/>
  <c r="AM183" i="2" s="1"/>
  <c r="AA183" i="2"/>
  <c r="Z183" i="2"/>
  <c r="AI182" i="2" s="1"/>
  <c r="O183" i="2"/>
  <c r="P182" i="2" s="1"/>
  <c r="L183" i="2"/>
  <c r="J183" i="2"/>
  <c r="AB183" i="2" s="1"/>
  <c r="AK182" i="2" s="1"/>
  <c r="H183" i="2"/>
  <c r="H182" i="2" s="1"/>
  <c r="R182" i="2" s="1"/>
  <c r="AJ182" i="2"/>
  <c r="X182" i="2"/>
  <c r="V182" i="2"/>
  <c r="T182" i="2"/>
  <c r="L182" i="2"/>
  <c r="AF180" i="2"/>
  <c r="AN180" i="2" s="1"/>
  <c r="AE180" i="2"/>
  <c r="AM180" i="2" s="1"/>
  <c r="AB180" i="2"/>
  <c r="AK179" i="2" s="1"/>
  <c r="AA180" i="2"/>
  <c r="Z180" i="2"/>
  <c r="O180" i="2"/>
  <c r="P179" i="2" s="1"/>
  <c r="L180" i="2"/>
  <c r="J180" i="2"/>
  <c r="I180" i="2" s="1"/>
  <c r="I179" i="2" s="1"/>
  <c r="H180" i="2"/>
  <c r="AJ179" i="2"/>
  <c r="AI179" i="2"/>
  <c r="X179" i="2"/>
  <c r="V179" i="2"/>
  <c r="T179" i="2"/>
  <c r="L179" i="2"/>
  <c r="H179" i="2"/>
  <c r="R179" i="2" s="1"/>
  <c r="AF178" i="2"/>
  <c r="AN178" i="2" s="1"/>
  <c r="AE178" i="2"/>
  <c r="AM178" i="2" s="1"/>
  <c r="AA178" i="2"/>
  <c r="Z178" i="2"/>
  <c r="O178" i="2"/>
  <c r="P177" i="2" s="1"/>
  <c r="L178" i="2"/>
  <c r="J178" i="2"/>
  <c r="AJ177" i="2"/>
  <c r="AI177" i="2"/>
  <c r="X177" i="2"/>
  <c r="V177" i="2"/>
  <c r="R177" i="2"/>
  <c r="L177" i="2"/>
  <c r="AM176" i="2"/>
  <c r="AF176" i="2"/>
  <c r="AN176" i="2" s="1"/>
  <c r="AE176" i="2"/>
  <c r="AA176" i="2"/>
  <c r="Z176" i="2"/>
  <c r="O176" i="2"/>
  <c r="L176" i="2"/>
  <c r="J176" i="2"/>
  <c r="H176" i="2"/>
  <c r="AJ175" i="2"/>
  <c r="AI175" i="2"/>
  <c r="X175" i="2"/>
  <c r="V175" i="2"/>
  <c r="R175" i="2"/>
  <c r="P175" i="2"/>
  <c r="L175" i="2"/>
  <c r="H175" i="2"/>
  <c r="T175" i="2" s="1"/>
  <c r="AF174" i="2"/>
  <c r="AN174" i="2" s="1"/>
  <c r="AE174" i="2"/>
  <c r="AM174" i="2" s="1"/>
  <c r="AB174" i="2"/>
  <c r="AK173" i="2" s="1"/>
  <c r="AA174" i="2"/>
  <c r="Z174" i="2"/>
  <c r="O174" i="2"/>
  <c r="P173" i="2" s="1"/>
  <c r="L174" i="2"/>
  <c r="J174" i="2"/>
  <c r="H174" i="2"/>
  <c r="H173" i="2" s="1"/>
  <c r="AJ173" i="2"/>
  <c r="AI173" i="2"/>
  <c r="X173" i="2"/>
  <c r="V173" i="2"/>
  <c r="R173" i="2"/>
  <c r="L173" i="2"/>
  <c r="AF171" i="2"/>
  <c r="AN171" i="2" s="1"/>
  <c r="AE171" i="2"/>
  <c r="AM171" i="2" s="1"/>
  <c r="AA171" i="2"/>
  <c r="Z171" i="2"/>
  <c r="AI170" i="2" s="1"/>
  <c r="O171" i="2"/>
  <c r="P170" i="2" s="1"/>
  <c r="L171" i="2"/>
  <c r="L170" i="2" s="1"/>
  <c r="J171" i="2"/>
  <c r="AB171" i="2" s="1"/>
  <c r="AK170" i="2" s="1"/>
  <c r="AJ170" i="2"/>
  <c r="X170" i="2"/>
  <c r="V170" i="2"/>
  <c r="R170" i="2"/>
  <c r="AF169" i="2"/>
  <c r="AN169" i="2" s="1"/>
  <c r="AE169" i="2"/>
  <c r="AM169" i="2" s="1"/>
  <c r="AA169" i="2"/>
  <c r="Z169" i="2"/>
  <c r="AI168" i="2" s="1"/>
  <c r="O169" i="2"/>
  <c r="P168" i="2" s="1"/>
  <c r="L169" i="2"/>
  <c r="L168" i="2" s="1"/>
  <c r="J169" i="2"/>
  <c r="AJ168" i="2"/>
  <c r="X168" i="2"/>
  <c r="V168" i="2"/>
  <c r="T168" i="2"/>
  <c r="AF166" i="2"/>
  <c r="AN166" i="2" s="1"/>
  <c r="AE166" i="2"/>
  <c r="AM166" i="2" s="1"/>
  <c r="AA166" i="2"/>
  <c r="Z166" i="2"/>
  <c r="O166" i="2"/>
  <c r="L166" i="2"/>
  <c r="J166" i="2"/>
  <c r="I166" i="2" s="1"/>
  <c r="H166" i="2"/>
  <c r="AF164" i="2"/>
  <c r="AN164" i="2" s="1"/>
  <c r="AE164" i="2"/>
  <c r="AM164" i="2" s="1"/>
  <c r="AA164" i="2"/>
  <c r="Z164" i="2"/>
  <c r="O164" i="2"/>
  <c r="L164" i="2"/>
  <c r="J164" i="2"/>
  <c r="AF162" i="2"/>
  <c r="AN162" i="2" s="1"/>
  <c r="AE162" i="2"/>
  <c r="AM162" i="2" s="1"/>
  <c r="AA162" i="2"/>
  <c r="AJ161" i="2" s="1"/>
  <c r="Z162" i="2"/>
  <c r="O162" i="2"/>
  <c r="L162" i="2"/>
  <c r="L161" i="2" s="1"/>
  <c r="J162" i="2"/>
  <c r="AB162" i="2" s="1"/>
  <c r="H162" i="2"/>
  <c r="X161" i="2"/>
  <c r="V161" i="2"/>
  <c r="T161" i="2"/>
  <c r="AF158" i="2"/>
  <c r="AN158" i="2" s="1"/>
  <c r="AE158" i="2"/>
  <c r="AM158" i="2" s="1"/>
  <c r="AB158" i="2"/>
  <c r="AK157" i="2" s="1"/>
  <c r="AA158" i="2"/>
  <c r="Z158" i="2"/>
  <c r="O158" i="2"/>
  <c r="L158" i="2"/>
  <c r="J158" i="2"/>
  <c r="H158" i="2"/>
  <c r="H157" i="2" s="1"/>
  <c r="AJ157" i="2"/>
  <c r="AI157" i="2"/>
  <c r="X157" i="2"/>
  <c r="V157" i="2"/>
  <c r="T157" i="2"/>
  <c r="P157" i="2"/>
  <c r="L157" i="2"/>
  <c r="AF155" i="2"/>
  <c r="AN155" i="2" s="1"/>
  <c r="AE155" i="2"/>
  <c r="AM155" i="2" s="1"/>
  <c r="AA155" i="2"/>
  <c r="Z155" i="2"/>
  <c r="AI154" i="2" s="1"/>
  <c r="O155" i="2"/>
  <c r="P154" i="2" s="1"/>
  <c r="L155" i="2"/>
  <c r="L154" i="2" s="1"/>
  <c r="J155" i="2"/>
  <c r="AB155" i="2" s="1"/>
  <c r="AK154" i="2" s="1"/>
  <c r="AJ154" i="2"/>
  <c r="X154" i="2"/>
  <c r="V154" i="2"/>
  <c r="T154" i="2"/>
  <c r="AN153" i="2"/>
  <c r="AF153" i="2"/>
  <c r="AE153" i="2"/>
  <c r="AM153" i="2" s="1"/>
  <c r="AA153" i="2"/>
  <c r="Z153" i="2"/>
  <c r="O153" i="2"/>
  <c r="P152" i="2" s="1"/>
  <c r="L153" i="2"/>
  <c r="L152" i="2" s="1"/>
  <c r="J153" i="2"/>
  <c r="AJ152" i="2"/>
  <c r="AI152" i="2"/>
  <c r="X152" i="2"/>
  <c r="V152" i="2"/>
  <c r="R152" i="2"/>
  <c r="AF151" i="2"/>
  <c r="AN151" i="2" s="1"/>
  <c r="AE151" i="2"/>
  <c r="AM151" i="2" s="1"/>
  <c r="AB151" i="2"/>
  <c r="AK150" i="2" s="1"/>
  <c r="AA151" i="2"/>
  <c r="Z151" i="2"/>
  <c r="O151" i="2"/>
  <c r="L151" i="2"/>
  <c r="L150" i="2" s="1"/>
  <c r="J151" i="2"/>
  <c r="I151" i="2" s="1"/>
  <c r="I150" i="2" s="1"/>
  <c r="H151" i="2"/>
  <c r="AJ150" i="2"/>
  <c r="AI150" i="2"/>
  <c r="X150" i="2"/>
  <c r="V150" i="2"/>
  <c r="R150" i="2"/>
  <c r="P150" i="2"/>
  <c r="H150" i="2"/>
  <c r="AM149" i="2"/>
  <c r="AF149" i="2"/>
  <c r="AN149" i="2" s="1"/>
  <c r="AE149" i="2"/>
  <c r="AA149" i="2"/>
  <c r="Z149" i="2"/>
  <c r="O149" i="2"/>
  <c r="P148" i="2" s="1"/>
  <c r="L149" i="2"/>
  <c r="J149" i="2"/>
  <c r="AB149" i="2" s="1"/>
  <c r="AK148" i="2" s="1"/>
  <c r="I149" i="2"/>
  <c r="I148" i="2" s="1"/>
  <c r="H149" i="2"/>
  <c r="AJ148" i="2"/>
  <c r="AI148" i="2"/>
  <c r="X148" i="2"/>
  <c r="V148" i="2"/>
  <c r="R148" i="2"/>
  <c r="L148" i="2"/>
  <c r="H148" i="2"/>
  <c r="T148" i="2" s="1"/>
  <c r="AN147" i="2"/>
  <c r="AF147" i="2"/>
  <c r="AE147" i="2"/>
  <c r="AM147" i="2" s="1"/>
  <c r="AA147" i="2"/>
  <c r="AJ144" i="2" s="1"/>
  <c r="Z147" i="2"/>
  <c r="O147" i="2"/>
  <c r="L147" i="2"/>
  <c r="J147" i="2"/>
  <c r="I147" i="2" s="1"/>
  <c r="H147" i="2"/>
  <c r="AF145" i="2"/>
  <c r="AN145" i="2" s="1"/>
  <c r="AE145" i="2"/>
  <c r="AM145" i="2" s="1"/>
  <c r="AA145" i="2"/>
  <c r="Z145" i="2"/>
  <c r="O145" i="2"/>
  <c r="L145" i="2"/>
  <c r="L144" i="2" s="1"/>
  <c r="J145" i="2"/>
  <c r="AB145" i="2" s="1"/>
  <c r="X144" i="2"/>
  <c r="V144" i="2"/>
  <c r="R144" i="2"/>
  <c r="AN143" i="2"/>
  <c r="AF143" i="2"/>
  <c r="AE143" i="2"/>
  <c r="AM143" i="2" s="1"/>
  <c r="AA143" i="2"/>
  <c r="Z143" i="2"/>
  <c r="O143" i="2"/>
  <c r="P142" i="2" s="1"/>
  <c r="L143" i="2"/>
  <c r="L142" i="2" s="1"/>
  <c r="J143" i="2"/>
  <c r="AJ142" i="2"/>
  <c r="AI142" i="2"/>
  <c r="X142" i="2"/>
  <c r="V142" i="2"/>
  <c r="T142" i="2"/>
  <c r="AF140" i="2"/>
  <c r="AN140" i="2" s="1"/>
  <c r="AE140" i="2"/>
  <c r="AM140" i="2" s="1"/>
  <c r="AB140" i="2"/>
  <c r="AA140" i="2"/>
  <c r="Z140" i="2"/>
  <c r="O140" i="2"/>
  <c r="L140" i="2"/>
  <c r="J140" i="2"/>
  <c r="I140" i="2"/>
  <c r="H140" i="2"/>
  <c r="AM138" i="2"/>
  <c r="AF138" i="2"/>
  <c r="AN138" i="2" s="1"/>
  <c r="AE138" i="2"/>
  <c r="AA138" i="2"/>
  <c r="Z138" i="2"/>
  <c r="O138" i="2"/>
  <c r="L138" i="2"/>
  <c r="J138" i="2"/>
  <c r="H138" i="2"/>
  <c r="AI137" i="2"/>
  <c r="X137" i="2"/>
  <c r="V137" i="2"/>
  <c r="T137" i="2"/>
  <c r="P137" i="2"/>
  <c r="L137" i="2"/>
  <c r="AF134" i="2"/>
  <c r="AN134" i="2" s="1"/>
  <c r="AE134" i="2"/>
  <c r="AM134" i="2" s="1"/>
  <c r="AA134" i="2"/>
  <c r="Z134" i="2"/>
  <c r="O134" i="2"/>
  <c r="P133" i="2" s="1"/>
  <c r="L134" i="2"/>
  <c r="J134" i="2"/>
  <c r="AB134" i="2" s="1"/>
  <c r="AK133" i="2" s="1"/>
  <c r="H134" i="2"/>
  <c r="H133" i="2" s="1"/>
  <c r="R133" i="2" s="1"/>
  <c r="AJ133" i="2"/>
  <c r="AI133" i="2"/>
  <c r="X133" i="2"/>
  <c r="V133" i="2"/>
  <c r="T133" i="2"/>
  <c r="L133" i="2"/>
  <c r="AF131" i="2"/>
  <c r="AN131" i="2" s="1"/>
  <c r="AE131" i="2"/>
  <c r="AM131" i="2" s="1"/>
  <c r="AA131" i="2"/>
  <c r="Z131" i="2"/>
  <c r="AI130" i="2" s="1"/>
  <c r="O131" i="2"/>
  <c r="P130" i="2" s="1"/>
  <c r="L131" i="2"/>
  <c r="J131" i="2"/>
  <c r="AB131" i="2" s="1"/>
  <c r="AK130" i="2" s="1"/>
  <c r="H131" i="2"/>
  <c r="I131" i="2" s="1"/>
  <c r="I130" i="2" s="1"/>
  <c r="AJ130" i="2"/>
  <c r="X130" i="2"/>
  <c r="V130" i="2"/>
  <c r="T130" i="2"/>
  <c r="R130" i="2"/>
  <c r="L130" i="2"/>
  <c r="H130" i="2"/>
  <c r="AF129" i="2"/>
  <c r="AN129" i="2" s="1"/>
  <c r="AE129" i="2"/>
  <c r="AM129" i="2" s="1"/>
  <c r="AA129" i="2"/>
  <c r="Z129" i="2"/>
  <c r="O129" i="2"/>
  <c r="L129" i="2"/>
  <c r="J129" i="2"/>
  <c r="AJ128" i="2"/>
  <c r="AI128" i="2"/>
  <c r="X128" i="2"/>
  <c r="V128" i="2"/>
  <c r="R128" i="2"/>
  <c r="P128" i="2"/>
  <c r="L128" i="2"/>
  <c r="AF127" i="2"/>
  <c r="AN127" i="2" s="1"/>
  <c r="AE127" i="2"/>
  <c r="AM127" i="2" s="1"/>
  <c r="AA127" i="2"/>
  <c r="Z127" i="2"/>
  <c r="O127" i="2"/>
  <c r="L127" i="2"/>
  <c r="J127" i="2"/>
  <c r="AJ126" i="2"/>
  <c r="AI126" i="2"/>
  <c r="X126" i="2"/>
  <c r="V126" i="2"/>
  <c r="R126" i="2"/>
  <c r="P126" i="2"/>
  <c r="L126" i="2"/>
  <c r="AF125" i="2"/>
  <c r="AN125" i="2" s="1"/>
  <c r="AE125" i="2"/>
  <c r="AM125" i="2" s="1"/>
  <c r="AA125" i="2"/>
  <c r="Z125" i="2"/>
  <c r="AI122" i="2" s="1"/>
  <c r="O125" i="2"/>
  <c r="L125" i="2"/>
  <c r="J125" i="2"/>
  <c r="I125" i="2" s="1"/>
  <c r="H125" i="2"/>
  <c r="AF123" i="2"/>
  <c r="AN123" i="2" s="1"/>
  <c r="AE123" i="2"/>
  <c r="AM123" i="2" s="1"/>
  <c r="AA123" i="2"/>
  <c r="Z123" i="2"/>
  <c r="O123" i="2"/>
  <c r="P122" i="2" s="1"/>
  <c r="L123" i="2"/>
  <c r="J123" i="2"/>
  <c r="AB123" i="2" s="1"/>
  <c r="H123" i="2"/>
  <c r="H122" i="2" s="1"/>
  <c r="T122" i="2" s="1"/>
  <c r="X122" i="2"/>
  <c r="V122" i="2"/>
  <c r="R122" i="2"/>
  <c r="L122" i="2"/>
  <c r="AF121" i="2"/>
  <c r="AN121" i="2" s="1"/>
  <c r="AE121" i="2"/>
  <c r="AM121" i="2" s="1"/>
  <c r="AA121" i="2"/>
  <c r="Z121" i="2"/>
  <c r="O121" i="2"/>
  <c r="L121" i="2"/>
  <c r="J121" i="2"/>
  <c r="AB121" i="2" s="1"/>
  <c r="H121" i="2"/>
  <c r="I121" i="2" s="1"/>
  <c r="AN120" i="2"/>
  <c r="AF120" i="2"/>
  <c r="AE120" i="2"/>
  <c r="AM120" i="2" s="1"/>
  <c r="AA120" i="2"/>
  <c r="Z120" i="2"/>
  <c r="O120" i="2"/>
  <c r="L120" i="2"/>
  <c r="L119" i="2" s="1"/>
  <c r="J120" i="2"/>
  <c r="AB120" i="2" s="1"/>
  <c r="H120" i="2"/>
  <c r="X119" i="2"/>
  <c r="V119" i="2"/>
  <c r="T119" i="2"/>
  <c r="AF117" i="2"/>
  <c r="AN117" i="2" s="1"/>
  <c r="AE117" i="2"/>
  <c r="AM117" i="2" s="1"/>
  <c r="AA117" i="2"/>
  <c r="Z117" i="2"/>
  <c r="O117" i="2"/>
  <c r="P114" i="2" s="1"/>
  <c r="L117" i="2"/>
  <c r="L114" i="2" s="1"/>
  <c r="J117" i="2"/>
  <c r="AF115" i="2"/>
  <c r="AN115" i="2" s="1"/>
  <c r="AE115" i="2"/>
  <c r="AM115" i="2" s="1"/>
  <c r="AA115" i="2"/>
  <c r="Z115" i="2"/>
  <c r="O115" i="2"/>
  <c r="L115" i="2"/>
  <c r="J115" i="2"/>
  <c r="AB115" i="2" s="1"/>
  <c r="X114" i="2"/>
  <c r="V114" i="2"/>
  <c r="T114" i="2"/>
  <c r="AF113" i="2"/>
  <c r="AN113" i="2" s="1"/>
  <c r="AE113" i="2"/>
  <c r="AM113" i="2" s="1"/>
  <c r="AA113" i="2"/>
  <c r="Z113" i="2"/>
  <c r="O113" i="2"/>
  <c r="P112" i="2" s="1"/>
  <c r="L113" i="2"/>
  <c r="J113" i="2"/>
  <c r="AJ112" i="2"/>
  <c r="AI112" i="2"/>
  <c r="X112" i="2"/>
  <c r="V112" i="2"/>
  <c r="T112" i="2"/>
  <c r="L112" i="2"/>
  <c r="L111" i="2" s="1"/>
  <c r="AF110" i="2"/>
  <c r="AN110" i="2" s="1"/>
  <c r="AE110" i="2"/>
  <c r="AM110" i="2" s="1"/>
  <c r="AA110" i="2"/>
  <c r="Z110" i="2"/>
  <c r="AI109" i="2" s="1"/>
  <c r="O110" i="2"/>
  <c r="P109" i="2" s="1"/>
  <c r="L110" i="2"/>
  <c r="J110" i="2"/>
  <c r="AB110" i="2" s="1"/>
  <c r="AK109" i="2" s="1"/>
  <c r="H110" i="2"/>
  <c r="H109" i="2" s="1"/>
  <c r="T109" i="2" s="1"/>
  <c r="AJ109" i="2"/>
  <c r="X109" i="2"/>
  <c r="V109" i="2"/>
  <c r="R109" i="2"/>
  <c r="L109" i="2"/>
  <c r="AF108" i="2"/>
  <c r="AN108" i="2" s="1"/>
  <c r="AE108" i="2"/>
  <c r="AM108" i="2" s="1"/>
  <c r="AB108" i="2"/>
  <c r="AA108" i="2"/>
  <c r="Z108" i="2"/>
  <c r="O108" i="2"/>
  <c r="L108" i="2"/>
  <c r="J108" i="2"/>
  <c r="I108" i="2" s="1"/>
  <c r="H108" i="2"/>
  <c r="AF106" i="2"/>
  <c r="AN106" i="2" s="1"/>
  <c r="AE106" i="2"/>
  <c r="AM106" i="2" s="1"/>
  <c r="AA106" i="2"/>
  <c r="Z106" i="2"/>
  <c r="O106" i="2"/>
  <c r="L106" i="2"/>
  <c r="L105" i="2" s="1"/>
  <c r="J106" i="2"/>
  <c r="AB106" i="2" s="1"/>
  <c r="X105" i="2"/>
  <c r="V105" i="2"/>
  <c r="R105" i="2"/>
  <c r="AF104" i="2"/>
  <c r="AN104" i="2" s="1"/>
  <c r="AE104" i="2"/>
  <c r="AM104" i="2" s="1"/>
  <c r="AA104" i="2"/>
  <c r="Z104" i="2"/>
  <c r="AI103" i="2" s="1"/>
  <c r="O104" i="2"/>
  <c r="L104" i="2"/>
  <c r="L103" i="2" s="1"/>
  <c r="J104" i="2"/>
  <c r="AJ103" i="2"/>
  <c r="X103" i="2"/>
  <c r="V103" i="2"/>
  <c r="T103" i="2"/>
  <c r="P103" i="2"/>
  <c r="AF101" i="2"/>
  <c r="AN101" i="2" s="1"/>
  <c r="AE101" i="2"/>
  <c r="AM101" i="2" s="1"/>
  <c r="AA101" i="2"/>
  <c r="AJ100" i="2" s="1"/>
  <c r="Z101" i="2"/>
  <c r="O101" i="2"/>
  <c r="P100" i="2" s="1"/>
  <c r="L101" i="2"/>
  <c r="J101" i="2"/>
  <c r="I101" i="2" s="1"/>
  <c r="I100" i="2" s="1"/>
  <c r="H101" i="2"/>
  <c r="AI100" i="2"/>
  <c r="X100" i="2"/>
  <c r="V100" i="2"/>
  <c r="T100" i="2"/>
  <c r="L100" i="2"/>
  <c r="H100" i="2"/>
  <c r="AF99" i="2"/>
  <c r="AN99" i="2" s="1"/>
  <c r="AE99" i="2"/>
  <c r="AM99" i="2" s="1"/>
  <c r="AA99" i="2"/>
  <c r="Z99" i="2"/>
  <c r="O99" i="2"/>
  <c r="P98" i="2" s="1"/>
  <c r="L99" i="2"/>
  <c r="J99" i="2"/>
  <c r="AB99" i="2" s="1"/>
  <c r="AK98" i="2" s="1"/>
  <c r="H99" i="2"/>
  <c r="H98" i="2" s="1"/>
  <c r="R98" i="2" s="1"/>
  <c r="AJ98" i="2"/>
  <c r="AI98" i="2"/>
  <c r="X98" i="2"/>
  <c r="V98" i="2"/>
  <c r="T98" i="2"/>
  <c r="L98" i="2"/>
  <c r="AF95" i="2"/>
  <c r="AN95" i="2" s="1"/>
  <c r="AE95" i="2"/>
  <c r="AM95" i="2" s="1"/>
  <c r="AA95" i="2"/>
  <c r="Z95" i="2"/>
  <c r="AI94" i="2" s="1"/>
  <c r="O95" i="2"/>
  <c r="P94" i="2" s="1"/>
  <c r="L95" i="2"/>
  <c r="L94" i="2" s="1"/>
  <c r="J95" i="2"/>
  <c r="AB95" i="2" s="1"/>
  <c r="AK94" i="2" s="1"/>
  <c r="AJ94" i="2"/>
  <c r="X94" i="2"/>
  <c r="V94" i="2"/>
  <c r="T94" i="2"/>
  <c r="AM92" i="2"/>
  <c r="AF92" i="2"/>
  <c r="AN92" i="2" s="1"/>
  <c r="AE92" i="2"/>
  <c r="AA92" i="2"/>
  <c r="Z92" i="2"/>
  <c r="O92" i="2"/>
  <c r="L92" i="2"/>
  <c r="L91" i="2" s="1"/>
  <c r="J92" i="2"/>
  <c r="H92" i="2"/>
  <c r="AJ91" i="2"/>
  <c r="AI91" i="2"/>
  <c r="X91" i="2"/>
  <c r="V91" i="2"/>
  <c r="T91" i="2"/>
  <c r="R91" i="2"/>
  <c r="P91" i="2"/>
  <c r="H91" i="2"/>
  <c r="AF90" i="2"/>
  <c r="AN90" i="2" s="1"/>
  <c r="AE90" i="2"/>
  <c r="AM90" i="2" s="1"/>
  <c r="AA90" i="2"/>
  <c r="Z90" i="2"/>
  <c r="O90" i="2"/>
  <c r="P89" i="2" s="1"/>
  <c r="L90" i="2"/>
  <c r="J90" i="2"/>
  <c r="I90" i="2" s="1"/>
  <c r="I89" i="2" s="1"/>
  <c r="H90" i="2"/>
  <c r="AJ89" i="2"/>
  <c r="AI89" i="2"/>
  <c r="X89" i="2"/>
  <c r="V89" i="2"/>
  <c r="R89" i="2"/>
  <c r="L89" i="2"/>
  <c r="H89" i="2"/>
  <c r="AF88" i="2"/>
  <c r="AN88" i="2" s="1"/>
  <c r="AE88" i="2"/>
  <c r="AM88" i="2" s="1"/>
  <c r="AA88" i="2"/>
  <c r="Z88" i="2"/>
  <c r="O88" i="2"/>
  <c r="P87" i="2" s="1"/>
  <c r="L88" i="2"/>
  <c r="J88" i="2"/>
  <c r="AB88" i="2" s="1"/>
  <c r="AK87" i="2" s="1"/>
  <c r="AJ87" i="2"/>
  <c r="AI87" i="2"/>
  <c r="X87" i="2"/>
  <c r="V87" i="2"/>
  <c r="R87" i="2"/>
  <c r="L87" i="2"/>
  <c r="AF86" i="2"/>
  <c r="AN86" i="2" s="1"/>
  <c r="AE86" i="2"/>
  <c r="AM86" i="2" s="1"/>
  <c r="AA86" i="2"/>
  <c r="AJ85" i="2" s="1"/>
  <c r="Z86" i="2"/>
  <c r="O86" i="2"/>
  <c r="P85" i="2" s="1"/>
  <c r="L86" i="2"/>
  <c r="J86" i="2"/>
  <c r="I86" i="2" s="1"/>
  <c r="I85" i="2" s="1"/>
  <c r="H86" i="2"/>
  <c r="H85" i="2" s="1"/>
  <c r="AI85" i="2"/>
  <c r="X85" i="2"/>
  <c r="V85" i="2"/>
  <c r="R85" i="2"/>
  <c r="L85" i="2"/>
  <c r="AM83" i="2"/>
  <c r="AF83" i="2"/>
  <c r="AN83" i="2" s="1"/>
  <c r="AE83" i="2"/>
  <c r="AA83" i="2"/>
  <c r="Z83" i="2"/>
  <c r="O83" i="2"/>
  <c r="L83" i="2"/>
  <c r="J83" i="2"/>
  <c r="I83" i="2" s="1"/>
  <c r="I82" i="2" s="1"/>
  <c r="H83" i="2"/>
  <c r="H82" i="2" s="1"/>
  <c r="J82" i="2" s="1"/>
  <c r="AJ82" i="2"/>
  <c r="AI82" i="2"/>
  <c r="X82" i="2"/>
  <c r="V82" i="2"/>
  <c r="R82" i="2"/>
  <c r="P82" i="2"/>
  <c r="L82" i="2"/>
  <c r="AF81" i="2"/>
  <c r="AN81" i="2" s="1"/>
  <c r="AE81" i="2"/>
  <c r="AM81" i="2" s="1"/>
  <c r="AA81" i="2"/>
  <c r="Z81" i="2"/>
  <c r="AI80" i="2" s="1"/>
  <c r="O81" i="2"/>
  <c r="P80" i="2" s="1"/>
  <c r="L81" i="2"/>
  <c r="J81" i="2"/>
  <c r="AJ80" i="2"/>
  <c r="X80" i="2"/>
  <c r="V80" i="2"/>
  <c r="T80" i="2"/>
  <c r="L80" i="2"/>
  <c r="AF78" i="2"/>
  <c r="AN78" i="2" s="1"/>
  <c r="AE78" i="2"/>
  <c r="AM78" i="2" s="1"/>
  <c r="AA78" i="2"/>
  <c r="Z78" i="2"/>
  <c r="O78" i="2"/>
  <c r="L78" i="2"/>
  <c r="J78" i="2"/>
  <c r="AB78" i="2" s="1"/>
  <c r="H78" i="2"/>
  <c r="AF76" i="2"/>
  <c r="AN76" i="2" s="1"/>
  <c r="AE76" i="2"/>
  <c r="AM76" i="2" s="1"/>
  <c r="AA76" i="2"/>
  <c r="Z76" i="2"/>
  <c r="AI73" i="2" s="1"/>
  <c r="O76" i="2"/>
  <c r="L76" i="2"/>
  <c r="L73" i="2" s="1"/>
  <c r="J76" i="2"/>
  <c r="AB76" i="2" s="1"/>
  <c r="H76" i="2"/>
  <c r="AF74" i="2"/>
  <c r="AN74" i="2" s="1"/>
  <c r="AE74" i="2"/>
  <c r="AM74" i="2" s="1"/>
  <c r="AA74" i="2"/>
  <c r="Z74" i="2"/>
  <c r="O74" i="2"/>
  <c r="L74" i="2"/>
  <c r="J74" i="2"/>
  <c r="I74" i="2" s="1"/>
  <c r="H74" i="2"/>
  <c r="AJ73" i="2"/>
  <c r="X73" i="2"/>
  <c r="V73" i="2"/>
  <c r="T73" i="2"/>
  <c r="P73" i="2"/>
  <c r="AF71" i="2"/>
  <c r="AN71" i="2" s="1"/>
  <c r="AE71" i="2"/>
  <c r="AM71" i="2" s="1"/>
  <c r="AA71" i="2"/>
  <c r="Z71" i="2"/>
  <c r="O71" i="2"/>
  <c r="P70" i="2" s="1"/>
  <c r="L71" i="2"/>
  <c r="J71" i="2"/>
  <c r="AB71" i="2" s="1"/>
  <c r="AK70" i="2" s="1"/>
  <c r="H71" i="2"/>
  <c r="AJ70" i="2"/>
  <c r="AI70" i="2"/>
  <c r="X70" i="2"/>
  <c r="V70" i="2"/>
  <c r="R70" i="2"/>
  <c r="L70" i="2"/>
  <c r="H70" i="2"/>
  <c r="T70" i="2" s="1"/>
  <c r="AF69" i="2"/>
  <c r="AN69" i="2" s="1"/>
  <c r="AE69" i="2"/>
  <c r="AM69" i="2" s="1"/>
  <c r="AA69" i="2"/>
  <c r="Z69" i="2"/>
  <c r="O69" i="2"/>
  <c r="L69" i="2"/>
  <c r="J69" i="2"/>
  <c r="AB69" i="2" s="1"/>
  <c r="H69" i="2"/>
  <c r="AF68" i="2"/>
  <c r="AN68" i="2" s="1"/>
  <c r="AE68" i="2"/>
  <c r="AM68" i="2" s="1"/>
  <c r="AA68" i="2"/>
  <c r="Z68" i="2"/>
  <c r="O68" i="2"/>
  <c r="L68" i="2"/>
  <c r="L65" i="2" s="1"/>
  <c r="J68" i="2"/>
  <c r="AF66" i="2"/>
  <c r="AN66" i="2" s="1"/>
  <c r="AE66" i="2"/>
  <c r="AM66" i="2" s="1"/>
  <c r="AA66" i="2"/>
  <c r="Z66" i="2"/>
  <c r="O66" i="2"/>
  <c r="L66" i="2"/>
  <c r="J66" i="2"/>
  <c r="H66" i="2"/>
  <c r="X65" i="2"/>
  <c r="V65" i="2"/>
  <c r="R65" i="2"/>
  <c r="AF64" i="2"/>
  <c r="AN64" i="2" s="1"/>
  <c r="AE64" i="2"/>
  <c r="AM64" i="2" s="1"/>
  <c r="AA64" i="2"/>
  <c r="Z64" i="2"/>
  <c r="O64" i="2"/>
  <c r="P61" i="2" s="1"/>
  <c r="L64" i="2"/>
  <c r="L61" i="2" s="1"/>
  <c r="J64" i="2"/>
  <c r="AF62" i="2"/>
  <c r="AN62" i="2" s="1"/>
  <c r="AE62" i="2"/>
  <c r="AM62" i="2" s="1"/>
  <c r="AA62" i="2"/>
  <c r="AJ61" i="2" s="1"/>
  <c r="Z62" i="2"/>
  <c r="O62" i="2"/>
  <c r="L62" i="2"/>
  <c r="J62" i="2"/>
  <c r="AB62" i="2" s="1"/>
  <c r="H62" i="2"/>
  <c r="X61" i="2"/>
  <c r="V61" i="2"/>
  <c r="R61" i="2"/>
  <c r="AF60" i="2"/>
  <c r="AN60" i="2" s="1"/>
  <c r="AE60" i="2"/>
  <c r="AM60" i="2" s="1"/>
  <c r="AA60" i="2"/>
  <c r="Z60" i="2"/>
  <c r="O60" i="2"/>
  <c r="L60" i="2"/>
  <c r="L57" i="2" s="1"/>
  <c r="J60" i="2"/>
  <c r="AB60" i="2" s="1"/>
  <c r="AN58" i="2"/>
  <c r="AF58" i="2"/>
  <c r="AE58" i="2"/>
  <c r="AM58" i="2" s="1"/>
  <c r="AA58" i="2"/>
  <c r="Z58" i="2"/>
  <c r="O58" i="2"/>
  <c r="P57" i="2" s="1"/>
  <c r="L58" i="2"/>
  <c r="J58" i="2"/>
  <c r="I58" i="2" s="1"/>
  <c r="H58" i="2"/>
  <c r="AJ57" i="2"/>
  <c r="X57" i="2"/>
  <c r="V57" i="2"/>
  <c r="T57" i="2"/>
  <c r="AN56" i="2"/>
  <c r="AF56" i="2"/>
  <c r="AE56" i="2"/>
  <c r="AM56" i="2" s="1"/>
  <c r="AA56" i="2"/>
  <c r="Z56" i="2"/>
  <c r="O56" i="2"/>
  <c r="L56" i="2"/>
  <c r="L55" i="2" s="1"/>
  <c r="J56" i="2"/>
  <c r="AB56" i="2" s="1"/>
  <c r="AK55" i="2" s="1"/>
  <c r="H56" i="2"/>
  <c r="H55" i="2" s="1"/>
  <c r="AJ55" i="2"/>
  <c r="AI55" i="2"/>
  <c r="X55" i="2"/>
  <c r="V55" i="2"/>
  <c r="T55" i="2"/>
  <c r="P55" i="2"/>
  <c r="AM53" i="2"/>
  <c r="AF53" i="2"/>
  <c r="AN53" i="2" s="1"/>
  <c r="AE53" i="2"/>
  <c r="AA53" i="2"/>
  <c r="Z53" i="2"/>
  <c r="AI50" i="2" s="1"/>
  <c r="O53" i="2"/>
  <c r="L53" i="2"/>
  <c r="L50" i="2" s="1"/>
  <c r="J53" i="2"/>
  <c r="H53" i="2"/>
  <c r="AF51" i="2"/>
  <c r="AN51" i="2" s="1"/>
  <c r="AE51" i="2"/>
  <c r="AM51" i="2" s="1"/>
  <c r="AB51" i="2"/>
  <c r="AA51" i="2"/>
  <c r="Z51" i="2"/>
  <c r="O51" i="2"/>
  <c r="L51" i="2"/>
  <c r="J51" i="2"/>
  <c r="X50" i="2"/>
  <c r="V50" i="2"/>
  <c r="T50" i="2"/>
  <c r="AF48" i="2"/>
  <c r="AN48" i="2" s="1"/>
  <c r="AE48" i="2"/>
  <c r="AM48" i="2" s="1"/>
  <c r="AB48" i="2"/>
  <c r="AK47" i="2" s="1"/>
  <c r="AA48" i="2"/>
  <c r="Z48" i="2"/>
  <c r="O48" i="2"/>
  <c r="L48" i="2"/>
  <c r="J48" i="2"/>
  <c r="AJ47" i="2"/>
  <c r="AI47" i="2"/>
  <c r="X47" i="2"/>
  <c r="V47" i="2"/>
  <c r="R47" i="2"/>
  <c r="P47" i="2"/>
  <c r="L47" i="2"/>
  <c r="AF46" i="2"/>
  <c r="AN46" i="2" s="1"/>
  <c r="AE46" i="2"/>
  <c r="AM46" i="2" s="1"/>
  <c r="AA46" i="2"/>
  <c r="Z46" i="2"/>
  <c r="O46" i="2"/>
  <c r="L46" i="2"/>
  <c r="L43" i="2" s="1"/>
  <c r="J46" i="2"/>
  <c r="AB46" i="2" s="1"/>
  <c r="AF44" i="2"/>
  <c r="AN44" i="2" s="1"/>
  <c r="AE44" i="2"/>
  <c r="AM44" i="2" s="1"/>
  <c r="AA44" i="2"/>
  <c r="Z44" i="2"/>
  <c r="O44" i="2"/>
  <c r="P43" i="2" s="1"/>
  <c r="L44" i="2"/>
  <c r="J44" i="2"/>
  <c r="AB44" i="2" s="1"/>
  <c r="AJ43" i="2"/>
  <c r="AI43" i="2"/>
  <c r="X43" i="2"/>
  <c r="V43" i="2"/>
  <c r="R43" i="2"/>
  <c r="AF42" i="2"/>
  <c r="AN42" i="2" s="1"/>
  <c r="AE42" i="2"/>
  <c r="AM42" i="2" s="1"/>
  <c r="AA42" i="2"/>
  <c r="Z42" i="2"/>
  <c r="AI41" i="2" s="1"/>
  <c r="O42" i="2"/>
  <c r="L42" i="2"/>
  <c r="L41" i="2" s="1"/>
  <c r="J42" i="2"/>
  <c r="AB42" i="2" s="1"/>
  <c r="AK41" i="2" s="1"/>
  <c r="AJ41" i="2"/>
  <c r="X41" i="2"/>
  <c r="V41" i="2"/>
  <c r="T41" i="2"/>
  <c r="P41" i="2"/>
  <c r="AF39" i="2"/>
  <c r="AN39" i="2" s="1"/>
  <c r="AE39" i="2"/>
  <c r="AM39" i="2" s="1"/>
  <c r="AA39" i="2"/>
  <c r="AJ36" i="2" s="1"/>
  <c r="Z39" i="2"/>
  <c r="AI36" i="2" s="1"/>
  <c r="O39" i="2"/>
  <c r="P36" i="2" s="1"/>
  <c r="L39" i="2"/>
  <c r="L36" i="2" s="1"/>
  <c r="L35" i="2" s="1"/>
  <c r="J39" i="2"/>
  <c r="AF37" i="2"/>
  <c r="AN37" i="2" s="1"/>
  <c r="AE37" i="2"/>
  <c r="AM37" i="2" s="1"/>
  <c r="AB37" i="2"/>
  <c r="AA37" i="2"/>
  <c r="Z37" i="2"/>
  <c r="O37" i="2"/>
  <c r="L37" i="2"/>
  <c r="J37" i="2"/>
  <c r="X36" i="2"/>
  <c r="V36" i="2"/>
  <c r="T36" i="2"/>
  <c r="AF33" i="2"/>
  <c r="AN33" i="2" s="1"/>
  <c r="AE33" i="2"/>
  <c r="AM33" i="2" s="1"/>
  <c r="AA33" i="2"/>
  <c r="AJ32" i="2" s="1"/>
  <c r="Z33" i="2"/>
  <c r="O33" i="2"/>
  <c r="L33" i="2"/>
  <c r="J33" i="2"/>
  <c r="AB33" i="2" s="1"/>
  <c r="AK32" i="2" s="1"/>
  <c r="I33" i="2"/>
  <c r="I32" i="2" s="1"/>
  <c r="H33" i="2"/>
  <c r="AI32" i="2"/>
  <c r="X32" i="2"/>
  <c r="V32" i="2"/>
  <c r="T32" i="2"/>
  <c r="P32" i="2"/>
  <c r="L32" i="2"/>
  <c r="H32" i="2"/>
  <c r="J32" i="2" s="1"/>
  <c r="AF30" i="2"/>
  <c r="AN30" i="2" s="1"/>
  <c r="AE30" i="2"/>
  <c r="AM30" i="2" s="1"/>
  <c r="AA30" i="2"/>
  <c r="Z30" i="2"/>
  <c r="O30" i="2"/>
  <c r="P29" i="2" s="1"/>
  <c r="L30" i="2"/>
  <c r="J30" i="2"/>
  <c r="AB30" i="2" s="1"/>
  <c r="AK29" i="2" s="1"/>
  <c r="H30" i="2"/>
  <c r="H29" i="2" s="1"/>
  <c r="R29" i="2" s="1"/>
  <c r="AJ29" i="2"/>
  <c r="AI29" i="2"/>
  <c r="X29" i="2"/>
  <c r="V29" i="2"/>
  <c r="T29" i="2"/>
  <c r="L29" i="2"/>
  <c r="AN28" i="2"/>
  <c r="AM28" i="2"/>
  <c r="AF28" i="2"/>
  <c r="AE28" i="2"/>
  <c r="AA28" i="2"/>
  <c r="Z28" i="2"/>
  <c r="O28" i="2"/>
  <c r="P27" i="2" s="1"/>
  <c r="L28" i="2"/>
  <c r="J28" i="2"/>
  <c r="I28" i="2" s="1"/>
  <c r="I27" i="2" s="1"/>
  <c r="H28" i="2"/>
  <c r="H27" i="2" s="1"/>
  <c r="T27" i="2" s="1"/>
  <c r="AJ27" i="2"/>
  <c r="AI27" i="2"/>
  <c r="X27" i="2"/>
  <c r="V27" i="2"/>
  <c r="R27" i="2"/>
  <c r="L27" i="2"/>
  <c r="AF26" i="2"/>
  <c r="AN26" i="2" s="1"/>
  <c r="AE26" i="2"/>
  <c r="AM26" i="2" s="1"/>
  <c r="AA26" i="2"/>
  <c r="AJ25" i="2" s="1"/>
  <c r="Z26" i="2"/>
  <c r="AI25" i="2" s="1"/>
  <c r="O26" i="2"/>
  <c r="L26" i="2"/>
  <c r="J26" i="2"/>
  <c r="I26" i="2" s="1"/>
  <c r="I25" i="2" s="1"/>
  <c r="H26" i="2"/>
  <c r="X25" i="2"/>
  <c r="V25" i="2"/>
  <c r="R25" i="2"/>
  <c r="P25" i="2"/>
  <c r="L25" i="2"/>
  <c r="H25" i="2"/>
  <c r="AM24" i="2"/>
  <c r="AF24" i="2"/>
  <c r="AN24" i="2" s="1"/>
  <c r="AE24" i="2"/>
  <c r="AA24" i="2"/>
  <c r="Z24" i="2"/>
  <c r="O24" i="2"/>
  <c r="P23" i="2" s="1"/>
  <c r="L24" i="2"/>
  <c r="J24" i="2"/>
  <c r="H24" i="2"/>
  <c r="AJ23" i="2"/>
  <c r="AI23" i="2"/>
  <c r="X23" i="2"/>
  <c r="V23" i="2"/>
  <c r="R23" i="2"/>
  <c r="L23" i="2"/>
  <c r="H23" i="2"/>
  <c r="T23" i="2" s="1"/>
  <c r="AF21" i="2"/>
  <c r="AN21" i="2" s="1"/>
  <c r="AE21" i="2"/>
  <c r="AM21" i="2" s="1"/>
  <c r="AA21" i="2"/>
  <c r="Z21" i="2"/>
  <c r="AI20" i="2" s="1"/>
  <c r="O21" i="2"/>
  <c r="L21" i="2"/>
  <c r="J21" i="2"/>
  <c r="AB21" i="2" s="1"/>
  <c r="AK20" i="2" s="1"/>
  <c r="AJ20" i="2"/>
  <c r="X20" i="2"/>
  <c r="V20" i="2"/>
  <c r="R20" i="2"/>
  <c r="P20" i="2"/>
  <c r="L20" i="2"/>
  <c r="AF19" i="2"/>
  <c r="AN19" i="2" s="1"/>
  <c r="AE19" i="2"/>
  <c r="AM19" i="2" s="1"/>
  <c r="AA19" i="2"/>
  <c r="Z19" i="2"/>
  <c r="O19" i="2"/>
  <c r="P18" i="2" s="1"/>
  <c r="L19" i="2"/>
  <c r="L18" i="2" s="1"/>
  <c r="J19" i="2"/>
  <c r="AB19" i="2" s="1"/>
  <c r="AK18" i="2" s="1"/>
  <c r="AJ18" i="2"/>
  <c r="AI18" i="2"/>
  <c r="X18" i="2"/>
  <c r="V18" i="2"/>
  <c r="T18" i="2"/>
  <c r="AF16" i="2"/>
  <c r="AN16" i="2" s="1"/>
  <c r="AE16" i="2"/>
  <c r="AM16" i="2" s="1"/>
  <c r="AA16" i="2"/>
  <c r="Z16" i="2"/>
  <c r="O16" i="2"/>
  <c r="P13" i="2" s="1"/>
  <c r="L16" i="2"/>
  <c r="L13" i="2" s="1"/>
  <c r="L12" i="2" s="1"/>
  <c r="J16" i="2"/>
  <c r="AF14" i="2"/>
  <c r="AN14" i="2" s="1"/>
  <c r="AE14" i="2"/>
  <c r="AM14" i="2" s="1"/>
  <c r="AB14" i="2"/>
  <c r="AA14" i="2"/>
  <c r="Z14" i="2"/>
  <c r="O14" i="2"/>
  <c r="L14" i="2"/>
  <c r="J14" i="2"/>
  <c r="X13" i="2"/>
  <c r="V13" i="2"/>
  <c r="T13" i="2"/>
  <c r="I1021" i="2" l="1"/>
  <c r="I1020" i="2" s="1"/>
  <c r="AK1014" i="2"/>
  <c r="H1015" i="2"/>
  <c r="I1015" i="2" s="1"/>
  <c r="I1010" i="2"/>
  <c r="I1009" i="2" s="1"/>
  <c r="AB1013" i="2"/>
  <c r="AK1012" i="2" s="1"/>
  <c r="J1007" i="2"/>
  <c r="AB1008" i="2"/>
  <c r="AK1007" i="2" s="1"/>
  <c r="I1004" i="2"/>
  <c r="I1003" i="2" s="1"/>
  <c r="AB1004" i="2"/>
  <c r="AK1003" i="2" s="1"/>
  <c r="AB1002" i="2"/>
  <c r="AK1001" i="2" s="1"/>
  <c r="J1001" i="2"/>
  <c r="U1001" i="2"/>
  <c r="AB998" i="2"/>
  <c r="AK997" i="2" s="1"/>
  <c r="H995" i="2"/>
  <c r="J992" i="2"/>
  <c r="R992" i="2"/>
  <c r="AB993" i="2"/>
  <c r="AK992" i="2" s="1"/>
  <c r="H990" i="2"/>
  <c r="AI987" i="2"/>
  <c r="H988" i="2"/>
  <c r="H984" i="2"/>
  <c r="AB980" i="2"/>
  <c r="AK979" i="2" s="1"/>
  <c r="U979" i="2"/>
  <c r="I977" i="2"/>
  <c r="H975" i="2"/>
  <c r="H974" i="2" s="1"/>
  <c r="I968" i="2"/>
  <c r="I967" i="2" s="1"/>
  <c r="U967" i="2" s="1"/>
  <c r="AM968" i="2"/>
  <c r="H966" i="2"/>
  <c r="H965" i="2" s="1"/>
  <c r="H963" i="2"/>
  <c r="I963" i="2"/>
  <c r="AI958" i="2"/>
  <c r="I961" i="2"/>
  <c r="P958" i="2"/>
  <c r="I959" i="2"/>
  <c r="H958" i="2"/>
  <c r="H953" i="2"/>
  <c r="H952" i="2" s="1"/>
  <c r="R952" i="2" s="1"/>
  <c r="I951" i="2"/>
  <c r="I950" i="2" s="1"/>
  <c r="I949" i="2"/>
  <c r="I948" i="2" s="1"/>
  <c r="U948" i="2" s="1"/>
  <c r="H945" i="2"/>
  <c r="H944" i="2" s="1"/>
  <c r="R944" i="2" s="1"/>
  <c r="I940" i="2"/>
  <c r="AJ937" i="2"/>
  <c r="AB930" i="2"/>
  <c r="H928" i="2"/>
  <c r="H926" i="2" s="1"/>
  <c r="AB927" i="2"/>
  <c r="H924" i="2"/>
  <c r="H923" i="2" s="1"/>
  <c r="I922" i="2"/>
  <c r="I921" i="2" s="1"/>
  <c r="U921" i="2" s="1"/>
  <c r="AB917" i="2"/>
  <c r="AK916" i="2" s="1"/>
  <c r="H909" i="2"/>
  <c r="I907" i="2"/>
  <c r="I906" i="2" s="1"/>
  <c r="H904" i="2"/>
  <c r="H901" i="2" s="1"/>
  <c r="T901" i="2" s="1"/>
  <c r="AI901" i="2"/>
  <c r="I902" i="2"/>
  <c r="H900" i="2"/>
  <c r="H899" i="2" s="1"/>
  <c r="T899" i="2" s="1"/>
  <c r="H895" i="2"/>
  <c r="H894" i="2" s="1"/>
  <c r="I893" i="2"/>
  <c r="I892" i="2" s="1"/>
  <c r="H888" i="2"/>
  <c r="I888" i="2"/>
  <c r="P885" i="2"/>
  <c r="AI885" i="2"/>
  <c r="R883" i="2"/>
  <c r="J883" i="2"/>
  <c r="AB884" i="2"/>
  <c r="AK883" i="2" s="1"/>
  <c r="H880" i="2"/>
  <c r="H879" i="2" s="1"/>
  <c r="T877" i="2"/>
  <c r="I878" i="2"/>
  <c r="I877" i="2" s="1"/>
  <c r="J877" i="2" s="1"/>
  <c r="H874" i="2"/>
  <c r="H873" i="2" s="1"/>
  <c r="I872" i="2"/>
  <c r="I871" i="2" s="1"/>
  <c r="I869" i="2"/>
  <c r="AK864" i="2"/>
  <c r="I867" i="2"/>
  <c r="AI864" i="2"/>
  <c r="I865" i="2"/>
  <c r="I864" i="2" s="1"/>
  <c r="H859" i="2"/>
  <c r="H858" i="2" s="1"/>
  <c r="T858" i="2" s="1"/>
  <c r="H857" i="2"/>
  <c r="AB855" i="2"/>
  <c r="AK854" i="2" s="1"/>
  <c r="H853" i="2"/>
  <c r="H852" i="2" s="1"/>
  <c r="R852" i="2" s="1"/>
  <c r="I853" i="2"/>
  <c r="I852" i="2" s="1"/>
  <c r="H847" i="2"/>
  <c r="R847" i="2" s="1"/>
  <c r="H844" i="2"/>
  <c r="H843" i="2" s="1"/>
  <c r="R843" i="2" s="1"/>
  <c r="I842" i="2"/>
  <c r="I841" i="2" s="1"/>
  <c r="H838" i="2"/>
  <c r="H837" i="2" s="1"/>
  <c r="T837" i="2" s="1"/>
  <c r="J835" i="2"/>
  <c r="R835" i="2"/>
  <c r="W835" i="2"/>
  <c r="S835" i="2"/>
  <c r="AB836" i="2"/>
  <c r="AK835" i="2" s="1"/>
  <c r="H831" i="2"/>
  <c r="H830" i="2" s="1"/>
  <c r="I827" i="2"/>
  <c r="I826" i="2" s="1"/>
  <c r="AB827" i="2"/>
  <c r="AK826" i="2" s="1"/>
  <c r="J824" i="2"/>
  <c r="AB825" i="2"/>
  <c r="AK824" i="2" s="1"/>
  <c r="H823" i="2"/>
  <c r="H822" i="2" s="1"/>
  <c r="T822" i="2" s="1"/>
  <c r="I820" i="2"/>
  <c r="I817" i="2" s="1"/>
  <c r="AB820" i="2"/>
  <c r="AK817" i="2" s="1"/>
  <c r="AI817" i="2"/>
  <c r="I816" i="2"/>
  <c r="I815" i="2" s="1"/>
  <c r="J815" i="2" s="1"/>
  <c r="T815" i="2"/>
  <c r="AB813" i="2"/>
  <c r="AK812" i="2" s="1"/>
  <c r="H811" i="2"/>
  <c r="H810" i="2" s="1"/>
  <c r="T810" i="2" s="1"/>
  <c r="I809" i="2"/>
  <c r="I808" i="2" s="1"/>
  <c r="H804" i="2"/>
  <c r="I804" i="2" s="1"/>
  <c r="P801" i="2"/>
  <c r="H802" i="2"/>
  <c r="H799" i="2"/>
  <c r="H796" i="2"/>
  <c r="H795" i="2" s="1"/>
  <c r="R795" i="2" s="1"/>
  <c r="H794" i="2"/>
  <c r="H793" i="2" s="1"/>
  <c r="T793" i="2" s="1"/>
  <c r="H789" i="2"/>
  <c r="I789" i="2"/>
  <c r="H787" i="2"/>
  <c r="I787" i="2" s="1"/>
  <c r="H786" i="2"/>
  <c r="I786" i="2" s="1"/>
  <c r="AJ785" i="2"/>
  <c r="H781" i="2"/>
  <c r="H780" i="2" s="1"/>
  <c r="T780" i="2" s="1"/>
  <c r="AB774" i="2"/>
  <c r="AK773" i="2" s="1"/>
  <c r="J773" i="2"/>
  <c r="H770" i="2"/>
  <c r="H769" i="2" s="1"/>
  <c r="R769" i="2" s="1"/>
  <c r="I768" i="2"/>
  <c r="I767" i="2" s="1"/>
  <c r="AB763" i="2"/>
  <c r="AK760" i="2"/>
  <c r="P760" i="2"/>
  <c r="AJ760" i="2"/>
  <c r="H759" i="2"/>
  <c r="H758" i="2" s="1"/>
  <c r="T758" i="2" s="1"/>
  <c r="I756" i="2"/>
  <c r="I755" i="2" s="1"/>
  <c r="R751" i="2"/>
  <c r="J751" i="2"/>
  <c r="AB752" i="2"/>
  <c r="AK751" i="2" s="1"/>
  <c r="H747" i="2"/>
  <c r="AI744" i="2"/>
  <c r="I743" i="2"/>
  <c r="I742" i="2" s="1"/>
  <c r="I735" i="2"/>
  <c r="I734" i="2" s="1"/>
  <c r="U734" i="2" s="1"/>
  <c r="I730" i="2"/>
  <c r="I729" i="2" s="1"/>
  <c r="H725" i="2"/>
  <c r="P722" i="2"/>
  <c r="H723" i="2"/>
  <c r="I723" i="2" s="1"/>
  <c r="H719" i="2"/>
  <c r="H718" i="2" s="1"/>
  <c r="R718" i="2" s="1"/>
  <c r="H715" i="2"/>
  <c r="I715" i="2" s="1"/>
  <c r="AK712" i="2"/>
  <c r="H708" i="2"/>
  <c r="R708" i="2" s="1"/>
  <c r="H704" i="2"/>
  <c r="H701" i="2" s="1"/>
  <c r="R701" i="2" s="1"/>
  <c r="AK701" i="2"/>
  <c r="P701" i="2"/>
  <c r="I702" i="2"/>
  <c r="H695" i="2"/>
  <c r="H694" i="2" s="1"/>
  <c r="H693" i="2"/>
  <c r="H692" i="2" s="1"/>
  <c r="T692" i="2" s="1"/>
  <c r="H685" i="2"/>
  <c r="T685" i="2" s="1"/>
  <c r="H684" i="2"/>
  <c r="H683" i="2" s="1"/>
  <c r="R683" i="2" s="1"/>
  <c r="I684" i="2"/>
  <c r="I683" i="2" s="1"/>
  <c r="AK678" i="2"/>
  <c r="I681" i="2"/>
  <c r="H675" i="2"/>
  <c r="H674" i="2" s="1"/>
  <c r="H669" i="2"/>
  <c r="I669" i="2" s="1"/>
  <c r="AB669" i="2"/>
  <c r="AK668" i="2" s="1"/>
  <c r="AB667" i="2"/>
  <c r="AK666" i="2" s="1"/>
  <c r="H664" i="2"/>
  <c r="H663" i="2" s="1"/>
  <c r="H662" i="2"/>
  <c r="I662" i="2" s="1"/>
  <c r="I661" i="2" s="1"/>
  <c r="S657" i="2"/>
  <c r="AB658" i="2"/>
  <c r="AK657" i="2" s="1"/>
  <c r="I656" i="2"/>
  <c r="I655" i="2" s="1"/>
  <c r="AB656" i="2"/>
  <c r="AK655" i="2" s="1"/>
  <c r="H654" i="2"/>
  <c r="H653" i="2" s="1"/>
  <c r="T653" i="2" s="1"/>
  <c r="AB647" i="2"/>
  <c r="AK646" i="2" s="1"/>
  <c r="H647" i="2"/>
  <c r="H646" i="2" s="1"/>
  <c r="R646" i="2" s="1"/>
  <c r="AJ641" i="2"/>
  <c r="H642" i="2"/>
  <c r="H638" i="2"/>
  <c r="H637" i="2" s="1"/>
  <c r="R637" i="2" s="1"/>
  <c r="AB636" i="2"/>
  <c r="AK635" i="2" s="1"/>
  <c r="H634" i="2"/>
  <c r="H633" i="2" s="1"/>
  <c r="AB624" i="2"/>
  <c r="AK621" i="2" s="1"/>
  <c r="P621" i="2"/>
  <c r="AI621" i="2"/>
  <c r="AJ621" i="2"/>
  <c r="H622" i="2"/>
  <c r="H621" i="2" s="1"/>
  <c r="I622" i="2"/>
  <c r="I621" i="2" s="1"/>
  <c r="J621" i="2" s="1"/>
  <c r="H616" i="2"/>
  <c r="H615" i="2" s="1"/>
  <c r="T615" i="2" s="1"/>
  <c r="H612" i="2"/>
  <c r="H611" i="2" s="1"/>
  <c r="H609" i="2"/>
  <c r="H608" i="2" s="1"/>
  <c r="T608" i="2" s="1"/>
  <c r="AB607" i="2"/>
  <c r="AK606" i="2" s="1"/>
  <c r="H604" i="2"/>
  <c r="I604" i="2" s="1"/>
  <c r="AK599" i="2"/>
  <c r="AI599" i="2"/>
  <c r="AJ599" i="2"/>
  <c r="H600" i="2"/>
  <c r="H595" i="2"/>
  <c r="H594" i="2" s="1"/>
  <c r="T594" i="2" s="1"/>
  <c r="AB592" i="2"/>
  <c r="AK588" i="2" s="1"/>
  <c r="H592" i="2"/>
  <c r="I592" i="2" s="1"/>
  <c r="H589" i="2"/>
  <c r="I586" i="2"/>
  <c r="I585" i="2" s="1"/>
  <c r="I584" i="2"/>
  <c r="I583" i="2" s="1"/>
  <c r="I575" i="2"/>
  <c r="I574" i="2" s="1"/>
  <c r="I564" i="2"/>
  <c r="I563" i="2" s="1"/>
  <c r="J563" i="2" s="1"/>
  <c r="AI556" i="2"/>
  <c r="AB557" i="2"/>
  <c r="H551" i="2"/>
  <c r="H550" i="2" s="1"/>
  <c r="T550" i="2" s="1"/>
  <c r="I549" i="2"/>
  <c r="I548" i="2" s="1"/>
  <c r="H547" i="2"/>
  <c r="H546" i="2" s="1"/>
  <c r="T543" i="2"/>
  <c r="J543" i="2"/>
  <c r="AB544" i="2"/>
  <c r="AK543" i="2" s="1"/>
  <c r="H542" i="2"/>
  <c r="H541" i="2" s="1"/>
  <c r="R541" i="2" s="1"/>
  <c r="H539" i="2"/>
  <c r="H537" i="2"/>
  <c r="I537" i="2" s="1"/>
  <c r="AK534" i="2"/>
  <c r="AJ534" i="2"/>
  <c r="H531" i="2"/>
  <c r="H530" i="2" s="1"/>
  <c r="I531" i="2"/>
  <c r="I530" i="2" s="1"/>
  <c r="AB529" i="2"/>
  <c r="AK528" i="2" s="1"/>
  <c r="I527" i="2"/>
  <c r="I526" i="2" s="1"/>
  <c r="H525" i="2"/>
  <c r="I522" i="2"/>
  <c r="I521" i="2" s="1"/>
  <c r="H517" i="2"/>
  <c r="I515" i="2"/>
  <c r="P512" i="2"/>
  <c r="H513" i="2"/>
  <c r="H508" i="2"/>
  <c r="R508" i="2" s="1"/>
  <c r="I500" i="2"/>
  <c r="I499" i="2" s="1"/>
  <c r="U499" i="2" s="1"/>
  <c r="H498" i="2"/>
  <c r="H492" i="2"/>
  <c r="I495" i="2"/>
  <c r="AB493" i="2"/>
  <c r="AK492" i="2" s="1"/>
  <c r="H489" i="2"/>
  <c r="H488" i="2" s="1"/>
  <c r="R488" i="2" s="1"/>
  <c r="I487" i="2"/>
  <c r="I486" i="2" s="1"/>
  <c r="I483" i="2"/>
  <c r="I482" i="2" s="1"/>
  <c r="J482" i="2" s="1"/>
  <c r="I478" i="2"/>
  <c r="I477" i="2" s="1"/>
  <c r="AB475" i="2"/>
  <c r="AK472" i="2" s="1"/>
  <c r="AI472" i="2"/>
  <c r="AJ472" i="2"/>
  <c r="P472" i="2"/>
  <c r="S468" i="2"/>
  <c r="H467" i="2"/>
  <c r="H466" i="2" s="1"/>
  <c r="T466" i="2" s="1"/>
  <c r="H465" i="2"/>
  <c r="H464" i="2" s="1"/>
  <c r="I460" i="2"/>
  <c r="I459" i="2" s="1"/>
  <c r="J459" i="2" s="1"/>
  <c r="AB460" i="2"/>
  <c r="AK459" i="2" s="1"/>
  <c r="P452" i="2"/>
  <c r="H453" i="2"/>
  <c r="H452" i="2" s="1"/>
  <c r="J449" i="2"/>
  <c r="H444" i="2"/>
  <c r="I444" i="2" s="1"/>
  <c r="AI441" i="2"/>
  <c r="H442" i="2"/>
  <c r="J439" i="2"/>
  <c r="H435" i="2"/>
  <c r="H434" i="2" s="1"/>
  <c r="I431" i="2"/>
  <c r="I430" i="2" s="1"/>
  <c r="J428" i="2"/>
  <c r="AB429" i="2"/>
  <c r="AK428" i="2" s="1"/>
  <c r="H425" i="2"/>
  <c r="H424" i="2" s="1"/>
  <c r="T424" i="2" s="1"/>
  <c r="H422" i="2"/>
  <c r="H421" i="2" s="1"/>
  <c r="AB417" i="2"/>
  <c r="AK414" i="2" s="1"/>
  <c r="P414" i="2"/>
  <c r="AI414" i="2"/>
  <c r="AB411" i="2"/>
  <c r="AK410" i="2" s="1"/>
  <c r="H402" i="2"/>
  <c r="H401" i="2" s="1"/>
  <c r="T401" i="2" s="1"/>
  <c r="AI394" i="2"/>
  <c r="H389" i="2"/>
  <c r="H388" i="2" s="1"/>
  <c r="T388" i="2" s="1"/>
  <c r="H387" i="2"/>
  <c r="H386" i="2" s="1"/>
  <c r="T386" i="2" s="1"/>
  <c r="H375" i="2"/>
  <c r="I375" i="2" s="1"/>
  <c r="H371" i="2"/>
  <c r="I371" i="2" s="1"/>
  <c r="I370" i="2" s="1"/>
  <c r="H369" i="2"/>
  <c r="T366" i="2"/>
  <c r="I367" i="2"/>
  <c r="I366" i="2" s="1"/>
  <c r="J366" i="2" s="1"/>
  <c r="H362" i="2"/>
  <c r="H361" i="2" s="1"/>
  <c r="I360" i="2"/>
  <c r="I359" i="2" s="1"/>
  <c r="I355" i="2"/>
  <c r="H354" i="2"/>
  <c r="H351" i="2"/>
  <c r="H350" i="2" s="1"/>
  <c r="R350" i="2" s="1"/>
  <c r="AK343" i="2"/>
  <c r="AI343" i="2"/>
  <c r="AJ343" i="2"/>
  <c r="H342" i="2"/>
  <c r="I342" i="2" s="1"/>
  <c r="I339" i="2" s="1"/>
  <c r="P339" i="2"/>
  <c r="I336" i="2"/>
  <c r="AB331" i="2"/>
  <c r="AK328" i="2" s="1"/>
  <c r="P328" i="2"/>
  <c r="AI328" i="2"/>
  <c r="AJ328" i="2"/>
  <c r="I325" i="2"/>
  <c r="I324" i="2" s="1"/>
  <c r="S324" i="2" s="1"/>
  <c r="I320" i="2"/>
  <c r="I319" i="2" s="1"/>
  <c r="AB320" i="2"/>
  <c r="AK319" i="2" s="1"/>
  <c r="H316" i="2"/>
  <c r="H315" i="2" s="1"/>
  <c r="I313" i="2"/>
  <c r="I312" i="2" s="1"/>
  <c r="H311" i="2"/>
  <c r="H310" i="2" s="1"/>
  <c r="I311" i="2"/>
  <c r="I310" i="2" s="1"/>
  <c r="I308" i="2"/>
  <c r="AI305" i="2"/>
  <c r="AJ305" i="2"/>
  <c r="H306" i="2"/>
  <c r="I303" i="2"/>
  <c r="I302" i="2" s="1"/>
  <c r="H301" i="2"/>
  <c r="H300" i="2" s="1"/>
  <c r="T300" i="2" s="1"/>
  <c r="I299" i="2"/>
  <c r="I298" i="2" s="1"/>
  <c r="I295" i="2"/>
  <c r="AK294" i="2"/>
  <c r="AJ291" i="2"/>
  <c r="H292" i="2"/>
  <c r="I292" i="2" s="1"/>
  <c r="AJ286" i="2"/>
  <c r="H287" i="2"/>
  <c r="H286" i="2" s="1"/>
  <c r="R286" i="2" s="1"/>
  <c r="I285" i="2"/>
  <c r="I284" i="2" s="1"/>
  <c r="R280" i="2"/>
  <c r="J280" i="2"/>
  <c r="H278" i="2"/>
  <c r="I278" i="2" s="1"/>
  <c r="I277" i="2" s="1"/>
  <c r="H276" i="2"/>
  <c r="H275" i="2" s="1"/>
  <c r="T275" i="2" s="1"/>
  <c r="AB274" i="2"/>
  <c r="AK273" i="2" s="1"/>
  <c r="I269" i="2"/>
  <c r="I268" i="2" s="1"/>
  <c r="J268" i="2" s="1"/>
  <c r="I262" i="2"/>
  <c r="I261" i="2" s="1"/>
  <c r="S261" i="2" s="1"/>
  <c r="AK261" i="2"/>
  <c r="AB258" i="2"/>
  <c r="AK257" i="2" s="1"/>
  <c r="I255" i="2"/>
  <c r="I254" i="2" s="1"/>
  <c r="S254" i="2" s="1"/>
  <c r="H253" i="2"/>
  <c r="H252" i="2" s="1"/>
  <c r="T252" i="2" s="1"/>
  <c r="I251" i="2"/>
  <c r="I250" i="2" s="1"/>
  <c r="H246" i="2"/>
  <c r="H245" i="2" s="1"/>
  <c r="T245" i="2" s="1"/>
  <c r="I241" i="2"/>
  <c r="I238" i="2" s="1"/>
  <c r="AB239" i="2"/>
  <c r="AK238" i="2" s="1"/>
  <c r="T235" i="2"/>
  <c r="J235" i="2"/>
  <c r="AB236" i="2"/>
  <c r="AK235" i="2" s="1"/>
  <c r="H232" i="2"/>
  <c r="H230" i="2" s="1"/>
  <c r="T230" i="2" s="1"/>
  <c r="H229" i="2"/>
  <c r="I229" i="2" s="1"/>
  <c r="H227" i="2"/>
  <c r="H226" i="2" s="1"/>
  <c r="AB227" i="2"/>
  <c r="AK226" i="2" s="1"/>
  <c r="AI223" i="2"/>
  <c r="H225" i="2"/>
  <c r="H223" i="2" s="1"/>
  <c r="AB224" i="2"/>
  <c r="AK223" i="2"/>
  <c r="H219" i="2"/>
  <c r="H218" i="2" s="1"/>
  <c r="R218" i="2" s="1"/>
  <c r="I215" i="2"/>
  <c r="I214" i="2" s="1"/>
  <c r="AB212" i="2"/>
  <c r="AK211" i="2" s="1"/>
  <c r="H208" i="2"/>
  <c r="H207" i="2" s="1"/>
  <c r="T207" i="2" s="1"/>
  <c r="AK203" i="2"/>
  <c r="AI203" i="2"/>
  <c r="AJ203" i="2"/>
  <c r="I202" i="2"/>
  <c r="P197" i="2"/>
  <c r="AK197" i="2"/>
  <c r="I200" i="2"/>
  <c r="I198" i="2"/>
  <c r="I197" i="2" s="1"/>
  <c r="H197" i="2"/>
  <c r="AI197" i="2"/>
  <c r="AJ197" i="2"/>
  <c r="P191" i="2"/>
  <c r="H193" i="2"/>
  <c r="I193" i="2" s="1"/>
  <c r="H192" i="2"/>
  <c r="AB189" i="2"/>
  <c r="AJ186" i="2"/>
  <c r="I187" i="2"/>
  <c r="I186" i="2" s="1"/>
  <c r="H186" i="2"/>
  <c r="I183" i="2"/>
  <c r="I182" i="2" s="1"/>
  <c r="H178" i="2"/>
  <c r="H177" i="2" s="1"/>
  <c r="I176" i="2"/>
  <c r="I175" i="2" s="1"/>
  <c r="U175" i="2" s="1"/>
  <c r="I174" i="2"/>
  <c r="I173" i="2" s="1"/>
  <c r="H171" i="2"/>
  <c r="H170" i="2" s="1"/>
  <c r="H169" i="2"/>
  <c r="H168" i="2" s="1"/>
  <c r="I169" i="2"/>
  <c r="I168" i="2" s="1"/>
  <c r="AB166" i="2"/>
  <c r="H164" i="2"/>
  <c r="H161" i="2" s="1"/>
  <c r="I162" i="2"/>
  <c r="P161" i="2"/>
  <c r="AI161" i="2"/>
  <c r="I158" i="2"/>
  <c r="I157" i="2" s="1"/>
  <c r="J157" i="2" s="1"/>
  <c r="H153" i="2"/>
  <c r="H152" i="2" s="1"/>
  <c r="I153" i="2"/>
  <c r="I152" i="2" s="1"/>
  <c r="J152" i="2" s="1"/>
  <c r="H155" i="2"/>
  <c r="H154" i="2" s="1"/>
  <c r="J150" i="2"/>
  <c r="AB147" i="2"/>
  <c r="AK144" i="2"/>
  <c r="P144" i="2"/>
  <c r="AI144" i="2"/>
  <c r="H145" i="2"/>
  <c r="H144" i="2" s="1"/>
  <c r="H143" i="2"/>
  <c r="H142" i="2" s="1"/>
  <c r="AJ137" i="2"/>
  <c r="I138" i="2"/>
  <c r="I137" i="2" s="1"/>
  <c r="H137" i="2"/>
  <c r="I134" i="2"/>
  <c r="I133" i="2" s="1"/>
  <c r="S133" i="2" s="1"/>
  <c r="H129" i="2"/>
  <c r="H128" i="2" s="1"/>
  <c r="AB129" i="2"/>
  <c r="AK128" i="2" s="1"/>
  <c r="H127" i="2"/>
  <c r="H126" i="2" s="1"/>
  <c r="T126" i="2" s="1"/>
  <c r="I127" i="2"/>
  <c r="I126" i="2" s="1"/>
  <c r="AB125" i="2"/>
  <c r="AK122" i="2" s="1"/>
  <c r="AJ122" i="2"/>
  <c r="I123" i="2"/>
  <c r="H119" i="2"/>
  <c r="AK119" i="2"/>
  <c r="AJ119" i="2"/>
  <c r="P119" i="2"/>
  <c r="AI119" i="2"/>
  <c r="H117" i="2"/>
  <c r="I117" i="2" s="1"/>
  <c r="AI114" i="2"/>
  <c r="AJ114" i="2"/>
  <c r="H115" i="2"/>
  <c r="H113" i="2"/>
  <c r="H112" i="2" s="1"/>
  <c r="R112" i="2" s="1"/>
  <c r="I110" i="2"/>
  <c r="I109" i="2" s="1"/>
  <c r="AK105" i="2"/>
  <c r="H106" i="2"/>
  <c r="H105" i="2" s="1"/>
  <c r="P105" i="2"/>
  <c r="AI105" i="2"/>
  <c r="AJ105" i="2"/>
  <c r="H104" i="2"/>
  <c r="H103" i="2" s="1"/>
  <c r="R103" i="2" s="1"/>
  <c r="AB101" i="2"/>
  <c r="AK100" i="2" s="1"/>
  <c r="J100" i="2"/>
  <c r="R100" i="2"/>
  <c r="I99" i="2"/>
  <c r="I98" i="2" s="1"/>
  <c r="H95" i="2"/>
  <c r="H94" i="2" s="1"/>
  <c r="I92" i="2"/>
  <c r="I91" i="2" s="1"/>
  <c r="AB90" i="2"/>
  <c r="AK89" i="2" s="1"/>
  <c r="H88" i="2"/>
  <c r="H87" i="2" s="1"/>
  <c r="T87" i="2" s="1"/>
  <c r="AB86" i="2"/>
  <c r="AK85" i="2" s="1"/>
  <c r="AB83" i="2"/>
  <c r="AK82" i="2" s="1"/>
  <c r="H81" i="2"/>
  <c r="H80" i="2" s="1"/>
  <c r="R80" i="2" s="1"/>
  <c r="H73" i="2"/>
  <c r="I78" i="2"/>
  <c r="I76" i="2"/>
  <c r="AB74" i="2"/>
  <c r="AK73" i="2" s="1"/>
  <c r="I71" i="2"/>
  <c r="I70" i="2" s="1"/>
  <c r="J70" i="2" s="1"/>
  <c r="H68" i="2"/>
  <c r="I68" i="2" s="1"/>
  <c r="H65" i="2"/>
  <c r="I69" i="2"/>
  <c r="I66" i="2"/>
  <c r="P65" i="2"/>
  <c r="AB66" i="2"/>
  <c r="AI65" i="2"/>
  <c r="AJ65" i="2"/>
  <c r="H64" i="2"/>
  <c r="H61" i="2" s="1"/>
  <c r="I62" i="2"/>
  <c r="AI61" i="2"/>
  <c r="H60" i="2"/>
  <c r="I60" i="2" s="1"/>
  <c r="I57" i="2" s="1"/>
  <c r="AI57" i="2"/>
  <c r="H57" i="2"/>
  <c r="AB58" i="2"/>
  <c r="AK57" i="2" s="1"/>
  <c r="I53" i="2"/>
  <c r="P50" i="2"/>
  <c r="AJ50" i="2"/>
  <c r="H51" i="2"/>
  <c r="H50" i="2" s="1"/>
  <c r="R50" i="2" s="1"/>
  <c r="H48" i="2"/>
  <c r="H46" i="2"/>
  <c r="I46" i="2" s="1"/>
  <c r="H44" i="2"/>
  <c r="AK43" i="2"/>
  <c r="H42" i="2"/>
  <c r="H41" i="2" s="1"/>
  <c r="H39" i="2"/>
  <c r="I39" i="2" s="1"/>
  <c r="H37" i="2"/>
  <c r="I37" i="2"/>
  <c r="R32" i="2"/>
  <c r="I30" i="2"/>
  <c r="I29" i="2" s="1"/>
  <c r="AB28" i="2"/>
  <c r="AK27" i="2" s="1"/>
  <c r="AB26" i="2"/>
  <c r="AK25" i="2" s="1"/>
  <c r="J25" i="2"/>
  <c r="I24" i="2"/>
  <c r="I23" i="2" s="1"/>
  <c r="H21" i="2"/>
  <c r="H20" i="2" s="1"/>
  <c r="H19" i="2"/>
  <c r="H18" i="2" s="1"/>
  <c r="H16" i="2"/>
  <c r="I16" i="2" s="1"/>
  <c r="AI13" i="2"/>
  <c r="AJ13" i="2"/>
  <c r="H14" i="2"/>
  <c r="I50" i="8"/>
  <c r="I48" i="8"/>
  <c r="I26" i="8"/>
  <c r="I28" i="8"/>
  <c r="I35" i="8"/>
  <c r="I39" i="8"/>
  <c r="I46" i="8"/>
  <c r="I29" i="8"/>
  <c r="I36" i="8"/>
  <c r="I43" i="8"/>
  <c r="I47" i="8"/>
  <c r="I49" i="8"/>
  <c r="I23" i="8"/>
  <c r="I30" i="8"/>
  <c r="I37" i="8"/>
  <c r="I44" i="8"/>
  <c r="I51" i="8"/>
  <c r="I22" i="8"/>
  <c r="I19" i="8"/>
  <c r="I58" i="8"/>
  <c r="I68" i="8"/>
  <c r="I67" i="8"/>
  <c r="I63" i="8"/>
  <c r="I60" i="8"/>
  <c r="I57" i="8"/>
  <c r="I56" i="8"/>
  <c r="I86" i="8"/>
  <c r="I84" i="8"/>
  <c r="I78" i="8"/>
  <c r="I76" i="8"/>
  <c r="I85" i="8"/>
  <c r="I83" i="8"/>
  <c r="I80" i="8"/>
  <c r="I79" i="8"/>
  <c r="I73" i="8"/>
  <c r="I72" i="8"/>
  <c r="I93" i="8"/>
  <c r="I92" i="8"/>
  <c r="I91" i="8"/>
  <c r="I112" i="8"/>
  <c r="I106" i="8"/>
  <c r="I104" i="8"/>
  <c r="I114" i="8"/>
  <c r="I110" i="8"/>
  <c r="I107" i="8"/>
  <c r="I105" i="8"/>
  <c r="I100" i="8"/>
  <c r="I99" i="8"/>
  <c r="I96" i="8"/>
  <c r="I129" i="8"/>
  <c r="I128" i="8"/>
  <c r="I127" i="8"/>
  <c r="I146" i="8"/>
  <c r="I144" i="8"/>
  <c r="I142" i="8"/>
  <c r="I141" i="8"/>
  <c r="I140" i="8"/>
  <c r="I139" i="8"/>
  <c r="I137" i="8"/>
  <c r="I136" i="8"/>
  <c r="I135" i="8"/>
  <c r="I152" i="8"/>
  <c r="I151" i="8"/>
  <c r="I153" i="8"/>
  <c r="I150" i="8"/>
  <c r="H105" i="5"/>
  <c r="I105" i="5" s="1"/>
  <c r="H97" i="5"/>
  <c r="H96" i="5" s="1"/>
  <c r="H94" i="5"/>
  <c r="H93" i="5" s="1"/>
  <c r="X93" i="5" s="1"/>
  <c r="AI90" i="5"/>
  <c r="AI81" i="5"/>
  <c r="AI76" i="5"/>
  <c r="AJ76" i="5"/>
  <c r="H63" i="5"/>
  <c r="I63" i="5" s="1"/>
  <c r="H41" i="5"/>
  <c r="I34" i="5"/>
  <c r="I33" i="5" s="1"/>
  <c r="H32" i="5"/>
  <c r="I32" i="5" s="1"/>
  <c r="H24" i="5"/>
  <c r="H17" i="5"/>
  <c r="P15" i="5"/>
  <c r="I94" i="5"/>
  <c r="I93" i="5" s="1"/>
  <c r="J93" i="5" s="1"/>
  <c r="P90" i="5"/>
  <c r="H86" i="5"/>
  <c r="I86" i="5" s="1"/>
  <c r="H82" i="5"/>
  <c r="I82" i="5" s="1"/>
  <c r="H78" i="5"/>
  <c r="I78" i="5" s="1"/>
  <c r="H77" i="5"/>
  <c r="I77" i="5" s="1"/>
  <c r="P76" i="5"/>
  <c r="H65" i="5"/>
  <c r="AI64" i="5"/>
  <c r="AJ64" i="5"/>
  <c r="H62" i="5"/>
  <c r="I62" i="5" s="1"/>
  <c r="H59" i="5"/>
  <c r="I59" i="5" s="1"/>
  <c r="H57" i="5"/>
  <c r="H55" i="5"/>
  <c r="I55" i="5" s="1"/>
  <c r="AM53" i="5"/>
  <c r="H51" i="5"/>
  <c r="I51" i="5" s="1"/>
  <c r="P48" i="5"/>
  <c r="H49" i="5"/>
  <c r="I49" i="5" s="1"/>
  <c r="H47" i="5"/>
  <c r="I47" i="5" s="1"/>
  <c r="I46" i="5" s="1"/>
  <c r="U46" i="5" s="1"/>
  <c r="H45" i="5"/>
  <c r="H44" i="5" s="1"/>
  <c r="H43" i="5"/>
  <c r="I43" i="5" s="1"/>
  <c r="P40" i="5"/>
  <c r="H39" i="5"/>
  <c r="I39" i="5" s="1"/>
  <c r="P35" i="5"/>
  <c r="AI35" i="5"/>
  <c r="AM36" i="5"/>
  <c r="I26" i="5"/>
  <c r="I24" i="5"/>
  <c r="H19" i="5"/>
  <c r="I17" i="5"/>
  <c r="H16" i="5"/>
  <c r="H15" i="5" s="1"/>
  <c r="R15" i="5" s="1"/>
  <c r="I14" i="5"/>
  <c r="I13" i="5" s="1"/>
  <c r="S13" i="5" s="1"/>
  <c r="I101" i="8"/>
  <c r="I108" i="8"/>
  <c r="I115" i="8"/>
  <c r="I116" i="8"/>
  <c r="I113" i="8"/>
  <c r="I102" i="8"/>
  <c r="I109" i="8"/>
  <c r="I111" i="8"/>
  <c r="I138" i="8"/>
  <c r="I145" i="8"/>
  <c r="I143" i="8"/>
  <c r="I89" i="8"/>
  <c r="F165" i="8"/>
  <c r="I61" i="8"/>
  <c r="I65" i="8"/>
  <c r="I55" i="8"/>
  <c r="I62" i="8"/>
  <c r="I59" i="8"/>
  <c r="I64" i="8"/>
  <c r="L99" i="5"/>
  <c r="H104" i="5"/>
  <c r="H101" i="5"/>
  <c r="I101" i="5" s="1"/>
  <c r="I100" i="5" s="1"/>
  <c r="S100" i="5" s="1"/>
  <c r="I97" i="5"/>
  <c r="I96" i="5" s="1"/>
  <c r="H92" i="5"/>
  <c r="I92" i="5" s="1"/>
  <c r="H91" i="5"/>
  <c r="I89" i="5"/>
  <c r="I88" i="5" s="1"/>
  <c r="H84" i="5"/>
  <c r="I84" i="5" s="1"/>
  <c r="AJ81" i="5"/>
  <c r="P81" i="5"/>
  <c r="H79" i="5"/>
  <c r="I79" i="5" s="1"/>
  <c r="H74" i="5"/>
  <c r="I74" i="5" s="1"/>
  <c r="I73" i="5" s="1"/>
  <c r="H72" i="5"/>
  <c r="I72" i="5" s="1"/>
  <c r="I71" i="5" s="1"/>
  <c r="U71" i="5" s="1"/>
  <c r="P64" i="5"/>
  <c r="H70" i="5"/>
  <c r="I70" i="5" s="1"/>
  <c r="H69" i="5"/>
  <c r="I69" i="5" s="1"/>
  <c r="H67" i="5"/>
  <c r="I67" i="5" s="1"/>
  <c r="I65" i="5"/>
  <c r="AB62" i="5"/>
  <c r="AK48" i="5" s="1"/>
  <c r="H60" i="5"/>
  <c r="I60" i="5" s="1"/>
  <c r="AJ48" i="5"/>
  <c r="AI48" i="5"/>
  <c r="I57" i="5"/>
  <c r="AB45" i="5"/>
  <c r="AK44" i="5" s="1"/>
  <c r="H40" i="5"/>
  <c r="T40" i="5" s="1"/>
  <c r="AI40" i="5"/>
  <c r="I41" i="5"/>
  <c r="AJ35" i="5"/>
  <c r="H37" i="5"/>
  <c r="I37" i="5" s="1"/>
  <c r="I36" i="5"/>
  <c r="AB32" i="5"/>
  <c r="H30" i="5"/>
  <c r="I30" i="5" s="1"/>
  <c r="AJ18" i="5"/>
  <c r="H28" i="5"/>
  <c r="I28" i="5" s="1"/>
  <c r="AB28" i="5"/>
  <c r="AB26" i="5"/>
  <c r="P18" i="5"/>
  <c r="AB24" i="5"/>
  <c r="H22" i="5"/>
  <c r="I22" i="5" s="1"/>
  <c r="H21" i="5"/>
  <c r="I21" i="5" s="1"/>
  <c r="I19" i="5"/>
  <c r="AB19" i="5"/>
  <c r="AI18" i="5"/>
  <c r="AK15" i="5"/>
  <c r="L15" i="5"/>
  <c r="L12" i="5" s="1"/>
  <c r="I16" i="5"/>
  <c r="I15" i="5" s="1"/>
  <c r="S15" i="5" s="1"/>
  <c r="C27" i="6"/>
  <c r="C28" i="6"/>
  <c r="F28" i="6" s="1"/>
  <c r="L772" i="2"/>
  <c r="L433" i="2"/>
  <c r="L217" i="2"/>
  <c r="L49" i="2"/>
  <c r="H165" i="8"/>
  <c r="W48" i="5"/>
  <c r="S48" i="5"/>
  <c r="I95" i="5"/>
  <c r="W96" i="5"/>
  <c r="U96" i="5"/>
  <c r="S96" i="5"/>
  <c r="W100" i="5"/>
  <c r="U100" i="5"/>
  <c r="R13" i="5"/>
  <c r="W35" i="5"/>
  <c r="S35" i="5"/>
  <c r="U13" i="5"/>
  <c r="W13" i="5"/>
  <c r="U81" i="5"/>
  <c r="W81" i="5"/>
  <c r="W15" i="5"/>
  <c r="U15" i="5"/>
  <c r="S40" i="5"/>
  <c r="W40" i="5"/>
  <c r="T44" i="5"/>
  <c r="W44" i="5"/>
  <c r="S44" i="5"/>
  <c r="S46" i="5"/>
  <c r="W46" i="5"/>
  <c r="W71" i="5"/>
  <c r="S71" i="5"/>
  <c r="S73" i="5"/>
  <c r="W73" i="5"/>
  <c r="U73" i="5"/>
  <c r="W76" i="5"/>
  <c r="U76" i="5"/>
  <c r="S88" i="5"/>
  <c r="W88" i="5"/>
  <c r="U88" i="5"/>
  <c r="S33" i="5"/>
  <c r="W33" i="5"/>
  <c r="U33" i="5"/>
  <c r="AK76" i="5"/>
  <c r="W93" i="5"/>
  <c r="U93" i="5"/>
  <c r="S93" i="5"/>
  <c r="R96" i="5"/>
  <c r="H95" i="5"/>
  <c r="J95" i="5" s="1"/>
  <c r="J96" i="5"/>
  <c r="AB43" i="5"/>
  <c r="AB67" i="5"/>
  <c r="AB70" i="5"/>
  <c r="H73" i="5"/>
  <c r="AB84" i="5"/>
  <c r="AB97" i="5"/>
  <c r="AK96" i="5" s="1"/>
  <c r="F14" i="6"/>
  <c r="F22" i="6" s="1"/>
  <c r="H88" i="5"/>
  <c r="H100" i="5"/>
  <c r="J33" i="5"/>
  <c r="AB91" i="5"/>
  <c r="AK90" i="5" s="1"/>
  <c r="AB104" i="5"/>
  <c r="AK103" i="5" s="1"/>
  <c r="AB21" i="5"/>
  <c r="AB41" i="5"/>
  <c r="AB65" i="5"/>
  <c r="AB69" i="5"/>
  <c r="AB82" i="5"/>
  <c r="AB86" i="5"/>
  <c r="Z106" i="5"/>
  <c r="AB14" i="5"/>
  <c r="AB37" i="5"/>
  <c r="AK35" i="5" s="1"/>
  <c r="AA106" i="5"/>
  <c r="U23" i="2"/>
  <c r="S23" i="2"/>
  <c r="W23" i="2"/>
  <c r="J23" i="2"/>
  <c r="S29" i="2"/>
  <c r="W29" i="2"/>
  <c r="U29" i="2"/>
  <c r="W47" i="2"/>
  <c r="S47" i="2"/>
  <c r="W61" i="2"/>
  <c r="S61" i="2"/>
  <c r="W65" i="2"/>
  <c r="S65" i="2"/>
  <c r="W85" i="2"/>
  <c r="U85" i="2"/>
  <c r="S85" i="2"/>
  <c r="T105" i="2"/>
  <c r="T152" i="2"/>
  <c r="R154" i="2"/>
  <c r="W161" i="2"/>
  <c r="U161" i="2"/>
  <c r="S197" i="2"/>
  <c r="W197" i="2"/>
  <c r="U197" i="2"/>
  <c r="S87" i="2"/>
  <c r="W87" i="2"/>
  <c r="R119" i="2"/>
  <c r="W128" i="2"/>
  <c r="S128" i="2"/>
  <c r="W150" i="2"/>
  <c r="U150" i="2"/>
  <c r="S150" i="2"/>
  <c r="S152" i="2"/>
  <c r="W152" i="2"/>
  <c r="R157" i="2"/>
  <c r="W179" i="2"/>
  <c r="J179" i="2"/>
  <c r="U179" i="2"/>
  <c r="S179" i="2"/>
  <c r="W194" i="2"/>
  <c r="J194" i="2"/>
  <c r="U194" i="2"/>
  <c r="S194" i="2"/>
  <c r="T197" i="2"/>
  <c r="J197" i="2"/>
  <c r="L72" i="2"/>
  <c r="J89" i="2"/>
  <c r="W100" i="2"/>
  <c r="U100" i="2"/>
  <c r="S100" i="2"/>
  <c r="I122" i="2"/>
  <c r="W157" i="2"/>
  <c r="U157" i="2"/>
  <c r="S157" i="2"/>
  <c r="L160" i="2"/>
  <c r="W25" i="2"/>
  <c r="U25" i="2"/>
  <c r="S25" i="2"/>
  <c r="R41" i="2"/>
  <c r="W43" i="2"/>
  <c r="S43" i="2"/>
  <c r="S109" i="2"/>
  <c r="W109" i="2"/>
  <c r="U109" i="2"/>
  <c r="W130" i="2"/>
  <c r="J130" i="2"/>
  <c r="U130" i="2"/>
  <c r="S130" i="2"/>
  <c r="T144" i="2"/>
  <c r="R168" i="2"/>
  <c r="J168" i="2"/>
  <c r="T170" i="2"/>
  <c r="S182" i="2"/>
  <c r="W182" i="2"/>
  <c r="U182" i="2"/>
  <c r="U186" i="2"/>
  <c r="S186" i="2"/>
  <c r="W186" i="2"/>
  <c r="R18" i="2"/>
  <c r="W32" i="2"/>
  <c r="U32" i="2"/>
  <c r="S32" i="2"/>
  <c r="U80" i="2"/>
  <c r="W80" i="2"/>
  <c r="W89" i="2"/>
  <c r="U89" i="2"/>
  <c r="S89" i="2"/>
  <c r="U103" i="2"/>
  <c r="W103" i="2"/>
  <c r="U168" i="2"/>
  <c r="S168" i="2"/>
  <c r="W168" i="2"/>
  <c r="J173" i="2"/>
  <c r="T173" i="2"/>
  <c r="L185" i="2"/>
  <c r="R186" i="2"/>
  <c r="J186" i="2"/>
  <c r="T20" i="2"/>
  <c r="W70" i="2"/>
  <c r="U70" i="2"/>
  <c r="S70" i="2"/>
  <c r="R73" i="2"/>
  <c r="R94" i="2"/>
  <c r="U112" i="2"/>
  <c r="W112" i="2"/>
  <c r="W133" i="2"/>
  <c r="U133" i="2"/>
  <c r="U137" i="2"/>
  <c r="S137" i="2"/>
  <c r="W137" i="2"/>
  <c r="W173" i="2"/>
  <c r="U173" i="2"/>
  <c r="S173" i="2"/>
  <c r="U191" i="2"/>
  <c r="W191" i="2"/>
  <c r="S214" i="2"/>
  <c r="W214" i="2"/>
  <c r="U214" i="2"/>
  <c r="W20" i="2"/>
  <c r="S20" i="2"/>
  <c r="W27" i="2"/>
  <c r="J27" i="2"/>
  <c r="U27" i="2"/>
  <c r="S27" i="2"/>
  <c r="R57" i="2"/>
  <c r="W73" i="2"/>
  <c r="U73" i="2"/>
  <c r="U91" i="2"/>
  <c r="S91" i="2"/>
  <c r="W91" i="2"/>
  <c r="J91" i="2"/>
  <c r="S98" i="2"/>
  <c r="W98" i="2"/>
  <c r="U98" i="2"/>
  <c r="U126" i="2"/>
  <c r="S126" i="2"/>
  <c r="W126" i="2"/>
  <c r="J126" i="2"/>
  <c r="L136" i="2"/>
  <c r="R137" i="2"/>
  <c r="H136" i="2"/>
  <c r="J137" i="2"/>
  <c r="R142" i="2"/>
  <c r="S175" i="2"/>
  <c r="W175" i="2"/>
  <c r="J175" i="2"/>
  <c r="R55" i="2"/>
  <c r="W57" i="2"/>
  <c r="U57" i="2"/>
  <c r="W82" i="2"/>
  <c r="U82" i="2"/>
  <c r="S82" i="2"/>
  <c r="J85" i="2"/>
  <c r="T85" i="2"/>
  <c r="L97" i="2"/>
  <c r="U142" i="2"/>
  <c r="W142" i="2"/>
  <c r="S148" i="2"/>
  <c r="W148" i="2"/>
  <c r="U148" i="2"/>
  <c r="W177" i="2"/>
  <c r="S177" i="2"/>
  <c r="AB178" i="2"/>
  <c r="AK177" i="2" s="1"/>
  <c r="AB193" i="2"/>
  <c r="W277" i="2"/>
  <c r="U277" i="2"/>
  <c r="W280" i="2"/>
  <c r="S280" i="2"/>
  <c r="AB301" i="2"/>
  <c r="AK300" i="2" s="1"/>
  <c r="I306" i="2"/>
  <c r="I305" i="2" s="1"/>
  <c r="H305" i="2"/>
  <c r="J319" i="2"/>
  <c r="T319" i="2"/>
  <c r="W348" i="2"/>
  <c r="U348" i="2"/>
  <c r="S348" i="2"/>
  <c r="W655" i="2"/>
  <c r="U655" i="2"/>
  <c r="S655" i="2"/>
  <c r="I19" i="2"/>
  <c r="I18" i="2" s="1"/>
  <c r="T25" i="2"/>
  <c r="I42" i="2"/>
  <c r="I41" i="2" s="1"/>
  <c r="J41" i="2" s="1"/>
  <c r="I56" i="2"/>
  <c r="I55" i="2" s="1"/>
  <c r="J55" i="2" s="1"/>
  <c r="T65" i="2"/>
  <c r="T82" i="2"/>
  <c r="I95" i="2"/>
  <c r="I94" i="2" s="1"/>
  <c r="J94" i="2" s="1"/>
  <c r="I106" i="2"/>
  <c r="I105" i="2" s="1"/>
  <c r="I120" i="2"/>
  <c r="I119" i="2" s="1"/>
  <c r="T128" i="2"/>
  <c r="I145" i="2"/>
  <c r="I144" i="2" s="1"/>
  <c r="J144" i="2" s="1"/>
  <c r="I155" i="2"/>
  <c r="I154" i="2" s="1"/>
  <c r="I171" i="2"/>
  <c r="I170" i="2" s="1"/>
  <c r="T177" i="2"/>
  <c r="I204" i="2"/>
  <c r="H210" i="2"/>
  <c r="H209" i="2" s="1"/>
  <c r="R214" i="2"/>
  <c r="J214" i="2"/>
  <c r="H221" i="2"/>
  <c r="H220" i="2" s="1"/>
  <c r="I232" i="2"/>
  <c r="AB232" i="2"/>
  <c r="AK230" i="2" s="1"/>
  <c r="W254" i="2"/>
  <c r="U254" i="2"/>
  <c r="J257" i="2"/>
  <c r="R257" i="2"/>
  <c r="S277" i="2"/>
  <c r="L283" i="2"/>
  <c r="J284" i="2"/>
  <c r="R284" i="2"/>
  <c r="I287" i="2"/>
  <c r="I286" i="2" s="1"/>
  <c r="AB287" i="2"/>
  <c r="AK286" i="2" s="1"/>
  <c r="W319" i="2"/>
  <c r="U319" i="2"/>
  <c r="S319" i="2"/>
  <c r="I351" i="2"/>
  <c r="I350" i="2" s="1"/>
  <c r="AB351" i="2"/>
  <c r="AK350" i="2" s="1"/>
  <c r="I377" i="2"/>
  <c r="AB377" i="2"/>
  <c r="AK374" i="2" s="1"/>
  <c r="AM391" i="2"/>
  <c r="H391" i="2"/>
  <c r="I595" i="2"/>
  <c r="I594" i="2" s="1"/>
  <c r="AB595" i="2"/>
  <c r="AK594" i="2" s="1"/>
  <c r="I634" i="2"/>
  <c r="I633" i="2" s="1"/>
  <c r="AB634" i="2"/>
  <c r="AK633" i="2" s="1"/>
  <c r="J29" i="2"/>
  <c r="T89" i="2"/>
  <c r="J98" i="2"/>
  <c r="J109" i="2"/>
  <c r="J122" i="2"/>
  <c r="J133" i="2"/>
  <c r="J148" i="2"/>
  <c r="T150" i="2"/>
  <c r="J182" i="2"/>
  <c r="I210" i="2"/>
  <c r="I209" i="2" s="1"/>
  <c r="I221" i="2"/>
  <c r="I220" i="2" s="1"/>
  <c r="W235" i="2"/>
  <c r="S235" i="2"/>
  <c r="R238" i="2"/>
  <c r="S245" i="2"/>
  <c r="W257" i="2"/>
  <c r="U257" i="2"/>
  <c r="S257" i="2"/>
  <c r="U268" i="2"/>
  <c r="S268" i="2"/>
  <c r="U280" i="2"/>
  <c r="W284" i="2"/>
  <c r="U284" i="2"/>
  <c r="S284" i="2"/>
  <c r="W302" i="2"/>
  <c r="U302" i="2"/>
  <c r="I322" i="2"/>
  <c r="I321" i="2" s="1"/>
  <c r="AB322" i="2"/>
  <c r="AK321" i="2" s="1"/>
  <c r="H329" i="2"/>
  <c r="L353" i="2"/>
  <c r="R354" i="2"/>
  <c r="J359" i="2"/>
  <c r="R359" i="2"/>
  <c r="W401" i="2"/>
  <c r="S401" i="2"/>
  <c r="AM437" i="2"/>
  <c r="H437" i="2"/>
  <c r="H436" i="2" s="1"/>
  <c r="C18" i="3"/>
  <c r="I225" i="2"/>
  <c r="I223" i="2" s="1"/>
  <c r="T226" i="2"/>
  <c r="W233" i="2"/>
  <c r="U233" i="2"/>
  <c r="W238" i="2"/>
  <c r="U238" i="2"/>
  <c r="I249" i="2"/>
  <c r="I248" i="2" s="1"/>
  <c r="H248" i="2"/>
  <c r="W261" i="2"/>
  <c r="U261" i="2"/>
  <c r="I272" i="2"/>
  <c r="I271" i="2" s="1"/>
  <c r="H271" i="2"/>
  <c r="W359" i="2"/>
  <c r="U359" i="2"/>
  <c r="S359" i="2"/>
  <c r="AB16" i="2"/>
  <c r="AK13" i="2" s="1"/>
  <c r="AB39" i="2"/>
  <c r="AK36" i="2" s="1"/>
  <c r="AB53" i="2"/>
  <c r="AK50" i="2" s="1"/>
  <c r="AB68" i="2"/>
  <c r="AK65" i="2" s="1"/>
  <c r="AB92" i="2"/>
  <c r="AK91" i="2" s="1"/>
  <c r="H97" i="2"/>
  <c r="AB104" i="2"/>
  <c r="AK103" i="2" s="1"/>
  <c r="AB117" i="2"/>
  <c r="AK114" i="2" s="1"/>
  <c r="AB143" i="2"/>
  <c r="AK142" i="2" s="1"/>
  <c r="AB153" i="2"/>
  <c r="AK152" i="2" s="1"/>
  <c r="AB169" i="2"/>
  <c r="AK168" i="2" s="1"/>
  <c r="AB192" i="2"/>
  <c r="AK191" i="2" s="1"/>
  <c r="P203" i="2"/>
  <c r="H206" i="2"/>
  <c r="H203" i="2" s="1"/>
  <c r="I208" i="2"/>
  <c r="I207" i="2" s="1"/>
  <c r="J250" i="2"/>
  <c r="T250" i="2"/>
  <c r="L260" i="2"/>
  <c r="J273" i="2"/>
  <c r="T273" i="2"/>
  <c r="S302" i="2"/>
  <c r="R310" i="2"/>
  <c r="J310" i="2"/>
  <c r="S310" i="2"/>
  <c r="W310" i="2"/>
  <c r="W324" i="2"/>
  <c r="U324" i="2"/>
  <c r="T361" i="2"/>
  <c r="S361" i="2"/>
  <c r="W361" i="2"/>
  <c r="I435" i="2"/>
  <c r="I434" i="2" s="1"/>
  <c r="AB435" i="2"/>
  <c r="AK434" i="2" s="1"/>
  <c r="AM463" i="2"/>
  <c r="H463" i="2"/>
  <c r="C20" i="3"/>
  <c r="AB24" i="2"/>
  <c r="AK23" i="2" s="1"/>
  <c r="AB64" i="2"/>
  <c r="AK61" i="2" s="1"/>
  <c r="AB81" i="2"/>
  <c r="AK80" i="2" s="1"/>
  <c r="AB113" i="2"/>
  <c r="AK112" i="2" s="1"/>
  <c r="AB127" i="2"/>
  <c r="AK126" i="2" s="1"/>
  <c r="AB138" i="2"/>
  <c r="AK137" i="2" s="1"/>
  <c r="AB164" i="2"/>
  <c r="AK161" i="2" s="1"/>
  <c r="AB176" i="2"/>
  <c r="AK175" i="2" s="1"/>
  <c r="AB187" i="2"/>
  <c r="AK186" i="2" s="1"/>
  <c r="S233" i="2"/>
  <c r="U235" i="2"/>
  <c r="W245" i="2"/>
  <c r="W250" i="2"/>
  <c r="U250" i="2"/>
  <c r="S250" i="2"/>
  <c r="W268" i="2"/>
  <c r="W273" i="2"/>
  <c r="U273" i="2"/>
  <c r="S273" i="2"/>
  <c r="H294" i="2"/>
  <c r="I297" i="2"/>
  <c r="I294" i="2" s="1"/>
  <c r="W312" i="2"/>
  <c r="U312" i="2"/>
  <c r="S312" i="2"/>
  <c r="R333" i="2"/>
  <c r="J333" i="2"/>
  <c r="S333" i="2"/>
  <c r="W333" i="2"/>
  <c r="I335" i="2"/>
  <c r="H344" i="2"/>
  <c r="W364" i="2"/>
  <c r="U364" i="2"/>
  <c r="S364" i="2"/>
  <c r="H382" i="2"/>
  <c r="H385" i="2"/>
  <c r="C27" i="3"/>
  <c r="Z1023" i="2"/>
  <c r="I276" i="2"/>
  <c r="I275" i="2" s="1"/>
  <c r="AB276" i="2"/>
  <c r="AK275" i="2" s="1"/>
  <c r="J298" i="2"/>
  <c r="T298" i="2"/>
  <c r="S315" i="2"/>
  <c r="I369" i="2"/>
  <c r="I368" i="2" s="1"/>
  <c r="H368" i="2"/>
  <c r="H353" i="2" s="1"/>
  <c r="W370" i="2"/>
  <c r="U370" i="2"/>
  <c r="S370" i="2"/>
  <c r="I380" i="2"/>
  <c r="I379" i="2" s="1"/>
  <c r="J379" i="2" s="1"/>
  <c r="AB380" i="2"/>
  <c r="AK379" i="2" s="1"/>
  <c r="AM420" i="2"/>
  <c r="H420" i="2"/>
  <c r="C28" i="3"/>
  <c r="F28" i="3" s="1"/>
  <c r="AA1023" i="2"/>
  <c r="U211" i="2"/>
  <c r="S211" i="2"/>
  <c r="I219" i="2"/>
  <c r="I218" i="2" s="1"/>
  <c r="AB219" i="2"/>
  <c r="AK218" i="2" s="1"/>
  <c r="I230" i="2"/>
  <c r="J230" i="2" s="1"/>
  <c r="W243" i="2"/>
  <c r="U243" i="2"/>
  <c r="S243" i="2"/>
  <c r="I253" i="2"/>
  <c r="I252" i="2" s="1"/>
  <c r="AB253" i="2"/>
  <c r="AK252" i="2" s="1"/>
  <c r="W266" i="2"/>
  <c r="U266" i="2"/>
  <c r="S266" i="2"/>
  <c r="W298" i="2"/>
  <c r="U298" i="2"/>
  <c r="S298" i="2"/>
  <c r="I318" i="2"/>
  <c r="I317" i="2" s="1"/>
  <c r="H317" i="2"/>
  <c r="I338" i="2"/>
  <c r="AB338" i="2"/>
  <c r="AK335" i="2" s="1"/>
  <c r="U366" i="2"/>
  <c r="S366" i="2"/>
  <c r="I374" i="2"/>
  <c r="W479" i="2"/>
  <c r="J479" i="2"/>
  <c r="U479" i="2"/>
  <c r="S479" i="2"/>
  <c r="T421" i="2"/>
  <c r="W449" i="2"/>
  <c r="U449" i="2"/>
  <c r="S449" i="2"/>
  <c r="R452" i="2"/>
  <c r="T464" i="2"/>
  <c r="H497" i="2"/>
  <c r="I498" i="2"/>
  <c r="I497" i="2" s="1"/>
  <c r="S583" i="2"/>
  <c r="W583" i="2"/>
  <c r="U583" i="2"/>
  <c r="W585" i="2"/>
  <c r="J585" i="2"/>
  <c r="U585" i="2"/>
  <c r="S585" i="2"/>
  <c r="H233" i="2"/>
  <c r="H254" i="2"/>
  <c r="H277" i="2"/>
  <c r="I293" i="2"/>
  <c r="H302" i="2"/>
  <c r="H324" i="2"/>
  <c r="H339" i="2"/>
  <c r="I357" i="2"/>
  <c r="I354" i="2" s="1"/>
  <c r="H397" i="2"/>
  <c r="W406" i="2"/>
  <c r="S406" i="2"/>
  <c r="S410" i="2"/>
  <c r="W421" i="2"/>
  <c r="S421" i="2"/>
  <c r="W428" i="2"/>
  <c r="U428" i="2"/>
  <c r="S428" i="2"/>
  <c r="W452" i="2"/>
  <c r="U452" i="2"/>
  <c r="U459" i="2"/>
  <c r="S459" i="2"/>
  <c r="W464" i="2"/>
  <c r="S464" i="2"/>
  <c r="T546" i="2"/>
  <c r="L577" i="2"/>
  <c r="U646" i="2"/>
  <c r="W646" i="2"/>
  <c r="I675" i="2"/>
  <c r="I674" i="2" s="1"/>
  <c r="AB675" i="2"/>
  <c r="AK674" i="2" s="1"/>
  <c r="H243" i="2"/>
  <c r="H266" i="2"/>
  <c r="H312" i="2"/>
  <c r="H335" i="2"/>
  <c r="H364" i="2"/>
  <c r="H374" i="2"/>
  <c r="T408" i="2"/>
  <c r="J408" i="2"/>
  <c r="R430" i="2"/>
  <c r="J430" i="2"/>
  <c r="H473" i="2"/>
  <c r="J486" i="2"/>
  <c r="T486" i="2"/>
  <c r="AB507" i="2"/>
  <c r="AK506" i="2" s="1"/>
  <c r="S524" i="2"/>
  <c r="W524" i="2"/>
  <c r="AB246" i="2"/>
  <c r="AK245" i="2" s="1"/>
  <c r="H261" i="2"/>
  <c r="AB269" i="2"/>
  <c r="AK268" i="2" s="1"/>
  <c r="AB292" i="2"/>
  <c r="AK291" i="2" s="1"/>
  <c r="AB316" i="2"/>
  <c r="AK315" i="2" s="1"/>
  <c r="AB342" i="2"/>
  <c r="AK339" i="2" s="1"/>
  <c r="H348" i="2"/>
  <c r="AB355" i="2"/>
  <c r="AK354" i="2" s="1"/>
  <c r="AB367" i="2"/>
  <c r="AK366" i="2" s="1"/>
  <c r="H370" i="2"/>
  <c r="S408" i="2"/>
  <c r="W408" i="2"/>
  <c r="I425" i="2"/>
  <c r="I424" i="2" s="1"/>
  <c r="AB425" i="2"/>
  <c r="AK424" i="2" s="1"/>
  <c r="S430" i="2"/>
  <c r="W430" i="2"/>
  <c r="I446" i="2"/>
  <c r="I445" i="2" s="1"/>
  <c r="AB446" i="2"/>
  <c r="AK445" i="2" s="1"/>
  <c r="W459" i="2"/>
  <c r="I467" i="2"/>
  <c r="I466" i="2" s="1"/>
  <c r="AB467" i="2"/>
  <c r="AK466" i="2" s="1"/>
  <c r="S482" i="2"/>
  <c r="H485" i="2"/>
  <c r="W486" i="2"/>
  <c r="U486" i="2"/>
  <c r="S486" i="2"/>
  <c r="H400" i="2"/>
  <c r="H399" i="2" s="1"/>
  <c r="H405" i="2"/>
  <c r="H404" i="2" s="1"/>
  <c r="W410" i="2"/>
  <c r="H415" i="2"/>
  <c r="H414" i="2" s="1"/>
  <c r="W439" i="2"/>
  <c r="U439" i="2"/>
  <c r="S439" i="2"/>
  <c r="L451" i="2"/>
  <c r="R468" i="2"/>
  <c r="J468" i="2"/>
  <c r="R477" i="2"/>
  <c r="J477" i="2"/>
  <c r="AB503" i="2"/>
  <c r="AK502" i="2" s="1"/>
  <c r="S572" i="2"/>
  <c r="W572" i="2"/>
  <c r="U572" i="2"/>
  <c r="I387" i="2"/>
  <c r="I386" i="2" s="1"/>
  <c r="J386" i="2" s="1"/>
  <c r="L393" i="2"/>
  <c r="AB400" i="2"/>
  <c r="AK399" i="2" s="1"/>
  <c r="H427" i="2"/>
  <c r="H426" i="2" s="1"/>
  <c r="I442" i="2"/>
  <c r="H448" i="2"/>
  <c r="H447" i="2" s="1"/>
  <c r="W457" i="2"/>
  <c r="J457" i="2"/>
  <c r="U457" i="2"/>
  <c r="S457" i="2"/>
  <c r="W468" i="2"/>
  <c r="U468" i="2"/>
  <c r="S477" i="2"/>
  <c r="W477" i="2"/>
  <c r="W482" i="2"/>
  <c r="I489" i="2"/>
  <c r="I488" i="2" s="1"/>
  <c r="AB489" i="2"/>
  <c r="AK488" i="2" s="1"/>
  <c r="R492" i="2"/>
  <c r="AI534" i="2"/>
  <c r="W541" i="2"/>
  <c r="U541" i="2"/>
  <c r="AB402" i="2"/>
  <c r="AK401" i="2" s="1"/>
  <c r="J406" i="2"/>
  <c r="T406" i="2"/>
  <c r="U408" i="2"/>
  <c r="J410" i="2"/>
  <c r="I427" i="2"/>
  <c r="I426" i="2" s="1"/>
  <c r="U430" i="2"/>
  <c r="R434" i="2"/>
  <c r="I492" i="2"/>
  <c r="W526" i="2"/>
  <c r="U526" i="2"/>
  <c r="I781" i="2"/>
  <c r="I780" i="2" s="1"/>
  <c r="AB781" i="2"/>
  <c r="AK780" i="2" s="1"/>
  <c r="AB422" i="2"/>
  <c r="AK421" i="2" s="1"/>
  <c r="R439" i="2"/>
  <c r="AB444" i="2"/>
  <c r="AK441" i="2" s="1"/>
  <c r="AB453" i="2"/>
  <c r="AK452" i="2" s="1"/>
  <c r="AB465" i="2"/>
  <c r="AK464" i="2" s="1"/>
  <c r="AB487" i="2"/>
  <c r="AK486" i="2" s="1"/>
  <c r="J499" i="2"/>
  <c r="AB515" i="2"/>
  <c r="H520" i="2"/>
  <c r="H519" i="2" s="1"/>
  <c r="J526" i="2"/>
  <c r="T526" i="2"/>
  <c r="H553" i="2"/>
  <c r="H552" i="2" s="1"/>
  <c r="H569" i="2"/>
  <c r="H568" i="2" s="1"/>
  <c r="J574" i="2"/>
  <c r="AB586" i="2"/>
  <c r="AK585" i="2" s="1"/>
  <c r="AB649" i="2"/>
  <c r="AK648" i="2" s="1"/>
  <c r="I513" i="2"/>
  <c r="AB513" i="2"/>
  <c r="W528" i="2"/>
  <c r="R530" i="2"/>
  <c r="J530" i="2"/>
  <c r="S546" i="2"/>
  <c r="W546" i="2"/>
  <c r="R563" i="2"/>
  <c r="W563" i="2"/>
  <c r="S563" i="2"/>
  <c r="W574" i="2"/>
  <c r="U574" i="2"/>
  <c r="R578" i="2"/>
  <c r="S606" i="2"/>
  <c r="AB616" i="2"/>
  <c r="AK615" i="2" s="1"/>
  <c r="I616" i="2"/>
  <c r="I615" i="2" s="1"/>
  <c r="AB638" i="2"/>
  <c r="AK637" i="2" s="1"/>
  <c r="I638" i="2"/>
  <c r="I637" i="2" s="1"/>
  <c r="I642" i="2"/>
  <c r="AB642" i="2"/>
  <c r="AK641" i="2" s="1"/>
  <c r="AM761" i="2"/>
  <c r="H761" i="2"/>
  <c r="T428" i="2"/>
  <c r="T449" i="2"/>
  <c r="S499" i="2"/>
  <c r="H505" i="2"/>
  <c r="H504" i="2" s="1"/>
  <c r="S508" i="2"/>
  <c r="L512" i="2"/>
  <c r="L511" i="2" s="1"/>
  <c r="J521" i="2"/>
  <c r="S526" i="2"/>
  <c r="L533" i="2"/>
  <c r="I539" i="2"/>
  <c r="J548" i="2"/>
  <c r="T548" i="2"/>
  <c r="I579" i="2"/>
  <c r="I578" i="2" s="1"/>
  <c r="P588" i="2"/>
  <c r="I590" i="2"/>
  <c r="I597" i="2"/>
  <c r="I596" i="2" s="1"/>
  <c r="I600" i="2"/>
  <c r="AM602" i="2"/>
  <c r="H602" i="2"/>
  <c r="T611" i="2"/>
  <c r="H644" i="2"/>
  <c r="I644" i="2" s="1"/>
  <c r="W732" i="2"/>
  <c r="U732" i="2"/>
  <c r="S732" i="2"/>
  <c r="W521" i="2"/>
  <c r="U521" i="2"/>
  <c r="S521" i="2"/>
  <c r="S530" i="2"/>
  <c r="W530" i="2"/>
  <c r="W548" i="2"/>
  <c r="S548" i="2"/>
  <c r="I571" i="2"/>
  <c r="I570" i="2" s="1"/>
  <c r="H570" i="2"/>
  <c r="I581" i="2"/>
  <c r="I580" i="2" s="1"/>
  <c r="H580" i="2"/>
  <c r="H617" i="2"/>
  <c r="I618" i="2"/>
  <c r="I617" i="2" s="1"/>
  <c r="AM627" i="2"/>
  <c r="H627" i="2"/>
  <c r="H626" i="2" s="1"/>
  <c r="H629" i="2"/>
  <c r="T631" i="2"/>
  <c r="U508" i="2"/>
  <c r="J528" i="2"/>
  <c r="U530" i="2"/>
  <c r="AB542" i="2"/>
  <c r="AK541" i="2" s="1"/>
  <c r="U543" i="2"/>
  <c r="H559" i="2"/>
  <c r="H556" i="2" s="1"/>
  <c r="T572" i="2"/>
  <c r="J572" i="2"/>
  <c r="S574" i="2"/>
  <c r="R583" i="2"/>
  <c r="J583" i="2"/>
  <c r="I612" i="2"/>
  <c r="I611" i="2" s="1"/>
  <c r="J611" i="2" s="1"/>
  <c r="AB612" i="2"/>
  <c r="AK611" i="2" s="1"/>
  <c r="T613" i="2"/>
  <c r="W621" i="2"/>
  <c r="W499" i="2"/>
  <c r="H503" i="2"/>
  <c r="H502" i="2" s="1"/>
  <c r="H507" i="2"/>
  <c r="H506" i="2" s="1"/>
  <c r="I517" i="2"/>
  <c r="AB517" i="2"/>
  <c r="T521" i="2"/>
  <c r="U548" i="2"/>
  <c r="I551" i="2"/>
  <c r="I550" i="2" s="1"/>
  <c r="AB551" i="2"/>
  <c r="AK550" i="2" s="1"/>
  <c r="I559" i="2"/>
  <c r="I556" i="2" s="1"/>
  <c r="I566" i="2"/>
  <c r="I565" i="2" s="1"/>
  <c r="AB566" i="2"/>
  <c r="AK565" i="2" s="1"/>
  <c r="J594" i="2"/>
  <c r="L598" i="2"/>
  <c r="J633" i="2"/>
  <c r="T633" i="2"/>
  <c r="AM652" i="2"/>
  <c r="H652" i="2"/>
  <c r="L660" i="2"/>
  <c r="W666" i="2"/>
  <c r="U666" i="2"/>
  <c r="W706" i="2"/>
  <c r="U706" i="2"/>
  <c r="S706" i="2"/>
  <c r="W683" i="2"/>
  <c r="U683" i="2"/>
  <c r="S683" i="2"/>
  <c r="AM739" i="2"/>
  <c r="H739" i="2"/>
  <c r="AB522" i="2"/>
  <c r="AK521" i="2" s="1"/>
  <c r="AB559" i="2"/>
  <c r="AK556" i="2" s="1"/>
  <c r="P599" i="2"/>
  <c r="I602" i="2"/>
  <c r="W606" i="2"/>
  <c r="AM679" i="2"/>
  <c r="H679" i="2"/>
  <c r="U685" i="2"/>
  <c r="J685" i="2"/>
  <c r="W685" i="2"/>
  <c r="R663" i="2"/>
  <c r="I614" i="2"/>
  <c r="I613" i="2" s="1"/>
  <c r="J613" i="2" s="1"/>
  <c r="R621" i="2"/>
  <c r="I632" i="2"/>
  <c r="I631" i="2" s="1"/>
  <c r="AB632" i="2"/>
  <c r="AK631" i="2" s="1"/>
  <c r="I664" i="2"/>
  <c r="I663" i="2" s="1"/>
  <c r="AB664" i="2"/>
  <c r="AK663" i="2" s="1"/>
  <c r="S685" i="2"/>
  <c r="L677" i="2"/>
  <c r="AM691" i="2"/>
  <c r="H691" i="2"/>
  <c r="R694" i="2"/>
  <c r="J694" i="2"/>
  <c r="J635" i="2"/>
  <c r="T635" i="2"/>
  <c r="H649" i="2"/>
  <c r="H648" i="2" s="1"/>
  <c r="I654" i="2"/>
  <c r="I653" i="2" s="1"/>
  <c r="AB654" i="2"/>
  <c r="AK653" i="2" s="1"/>
  <c r="J657" i="2"/>
  <c r="R666" i="2"/>
  <c r="J666" i="2"/>
  <c r="H671" i="2"/>
  <c r="H668" i="2" s="1"/>
  <c r="W672" i="2"/>
  <c r="U672" i="2"/>
  <c r="S672" i="2"/>
  <c r="U736" i="2"/>
  <c r="S736" i="2"/>
  <c r="J736" i="2"/>
  <c r="W736" i="2"/>
  <c r="S775" i="2"/>
  <c r="W775" i="2"/>
  <c r="U775" i="2"/>
  <c r="J606" i="2"/>
  <c r="I609" i="2"/>
  <c r="I608" i="2" s="1"/>
  <c r="AB609" i="2"/>
  <c r="AK608" i="2" s="1"/>
  <c r="W635" i="2"/>
  <c r="U635" i="2"/>
  <c r="J655" i="2"/>
  <c r="T655" i="2"/>
  <c r="W657" i="2"/>
  <c r="U657" i="2"/>
  <c r="R674" i="2"/>
  <c r="J674" i="2"/>
  <c r="AK708" i="2"/>
  <c r="L721" i="2"/>
  <c r="W729" i="2"/>
  <c r="S729" i="2"/>
  <c r="U729" i="2"/>
  <c r="I695" i="2"/>
  <c r="I694" i="2" s="1"/>
  <c r="I725" i="2"/>
  <c r="I722" i="2" s="1"/>
  <c r="T732" i="2"/>
  <c r="J732" i="2"/>
  <c r="AB759" i="2"/>
  <c r="AK758" i="2" s="1"/>
  <c r="W767" i="2"/>
  <c r="J767" i="2"/>
  <c r="U767" i="2"/>
  <c r="S767" i="2"/>
  <c r="H775" i="2"/>
  <c r="H785" i="2"/>
  <c r="H772" i="2" s="1"/>
  <c r="W812" i="2"/>
  <c r="J812" i="2"/>
  <c r="U812" i="2"/>
  <c r="J875" i="2"/>
  <c r="T875" i="2"/>
  <c r="AB924" i="2"/>
  <c r="AK923" i="2" s="1"/>
  <c r="I924" i="2"/>
  <c r="I923" i="2" s="1"/>
  <c r="W926" i="2"/>
  <c r="S926" i="2"/>
  <c r="R742" i="2"/>
  <c r="J742" i="2"/>
  <c r="I783" i="2"/>
  <c r="I782" i="2" s="1"/>
  <c r="H782" i="2"/>
  <c r="I840" i="2"/>
  <c r="I839" i="2" s="1"/>
  <c r="H839" i="2"/>
  <c r="W864" i="2"/>
  <c r="S864" i="2"/>
  <c r="U864" i="2"/>
  <c r="S1020" i="2"/>
  <c r="W1020" i="2"/>
  <c r="U1020" i="2"/>
  <c r="I701" i="2"/>
  <c r="I711" i="2"/>
  <c r="I708" i="2" s="1"/>
  <c r="H717" i="2"/>
  <c r="S742" i="2"/>
  <c r="W742" i="2"/>
  <c r="I770" i="2"/>
  <c r="I769" i="2" s="1"/>
  <c r="AB770" i="2"/>
  <c r="AK769" i="2" s="1"/>
  <c r="U808" i="2"/>
  <c r="S808" i="2"/>
  <c r="W808" i="2"/>
  <c r="S899" i="2"/>
  <c r="W899" i="2"/>
  <c r="W908" i="2"/>
  <c r="J997" i="2"/>
  <c r="T997" i="2"/>
  <c r="H672" i="2"/>
  <c r="J683" i="2"/>
  <c r="I693" i="2"/>
  <c r="I692" i="2" s="1"/>
  <c r="AB693" i="2"/>
  <c r="AK692" i="2" s="1"/>
  <c r="H698" i="2"/>
  <c r="H728" i="2"/>
  <c r="H727" i="2" s="1"/>
  <c r="U751" i="2"/>
  <c r="S751" i="2"/>
  <c r="T979" i="2"/>
  <c r="J979" i="2"/>
  <c r="H689" i="2"/>
  <c r="I704" i="2"/>
  <c r="I728" i="2"/>
  <c r="I727" i="2" s="1"/>
  <c r="J729" i="2"/>
  <c r="T729" i="2"/>
  <c r="U742" i="2"/>
  <c r="L741" i="2"/>
  <c r="W778" i="2"/>
  <c r="J778" i="2"/>
  <c r="U778" i="2"/>
  <c r="S778" i="2"/>
  <c r="T791" i="2"/>
  <c r="AB695" i="2"/>
  <c r="AK694" i="2" s="1"/>
  <c r="J706" i="2"/>
  <c r="AB725" i="2"/>
  <c r="AK722" i="2" s="1"/>
  <c r="W734" i="2"/>
  <c r="I747" i="2"/>
  <c r="I744" i="2" s="1"/>
  <c r="AB747" i="2"/>
  <c r="AK744" i="2" s="1"/>
  <c r="W751" i="2"/>
  <c r="J755" i="2"/>
  <c r="T755" i="2"/>
  <c r="U852" i="2"/>
  <c r="S852" i="2"/>
  <c r="W852" i="2"/>
  <c r="J854" i="2"/>
  <c r="T854" i="2"/>
  <c r="AM886" i="2"/>
  <c r="H886" i="2"/>
  <c r="H713" i="2"/>
  <c r="I719" i="2"/>
  <c r="I718" i="2" s="1"/>
  <c r="J718" i="2" s="1"/>
  <c r="AB719" i="2"/>
  <c r="AK718" i="2" s="1"/>
  <c r="H754" i="2"/>
  <c r="W755" i="2"/>
  <c r="U755" i="2"/>
  <c r="S755" i="2"/>
  <c r="H766" i="2"/>
  <c r="U773" i="2"/>
  <c r="S773" i="2"/>
  <c r="AB823" i="2"/>
  <c r="AK822" i="2" s="1"/>
  <c r="I823" i="2"/>
  <c r="I822" i="2" s="1"/>
  <c r="J822" i="2" s="1"/>
  <c r="AB756" i="2"/>
  <c r="AK755" i="2" s="1"/>
  <c r="AB768" i="2"/>
  <c r="AK767" i="2" s="1"/>
  <c r="I792" i="2"/>
  <c r="I791" i="2" s="1"/>
  <c r="J791" i="2" s="1"/>
  <c r="T817" i="2"/>
  <c r="I876" i="2"/>
  <c r="I875" i="2" s="1"/>
  <c r="I984" i="2"/>
  <c r="I983" i="2" s="1"/>
  <c r="H983" i="2"/>
  <c r="H744" i="2"/>
  <c r="AB786" i="2"/>
  <c r="AB789" i="2"/>
  <c r="S793" i="2"/>
  <c r="W793" i="2"/>
  <c r="U815" i="2"/>
  <c r="S815" i="2"/>
  <c r="W815" i="2"/>
  <c r="W817" i="2"/>
  <c r="S817" i="2"/>
  <c r="U841" i="2"/>
  <c r="S841" i="2"/>
  <c r="W841" i="2"/>
  <c r="W854" i="2"/>
  <c r="S854" i="2"/>
  <c r="S883" i="2"/>
  <c r="U883" i="2"/>
  <c r="S906" i="2"/>
  <c r="J906" i="2"/>
  <c r="U906" i="2"/>
  <c r="AM911" i="2"/>
  <c r="H911" i="2"/>
  <c r="S1009" i="2"/>
  <c r="W1009" i="2"/>
  <c r="U1009" i="2"/>
  <c r="AB811" i="2"/>
  <c r="AK810" i="2" s="1"/>
  <c r="I811" i="2"/>
  <c r="I810" i="2" s="1"/>
  <c r="AB844" i="2"/>
  <c r="AK843" i="2" s="1"/>
  <c r="I844" i="2"/>
  <c r="I843" i="2" s="1"/>
  <c r="U854" i="2"/>
  <c r="W856" i="2"/>
  <c r="S856" i="2"/>
  <c r="W871" i="2"/>
  <c r="J871" i="2"/>
  <c r="U871" i="2"/>
  <c r="S871" i="2"/>
  <c r="U877" i="2"/>
  <c r="S877" i="2"/>
  <c r="W877" i="2"/>
  <c r="H890" i="2"/>
  <c r="I890" i="2" s="1"/>
  <c r="T894" i="2"/>
  <c r="R958" i="2"/>
  <c r="AB796" i="2"/>
  <c r="AK795" i="2" s="1"/>
  <c r="I796" i="2"/>
  <c r="I795" i="2" s="1"/>
  <c r="W824" i="2"/>
  <c r="U824" i="2"/>
  <c r="L882" i="2"/>
  <c r="U892" i="2"/>
  <c r="S892" i="2"/>
  <c r="W892" i="2"/>
  <c r="J892" i="2"/>
  <c r="AB895" i="2"/>
  <c r="AK894" i="2" s="1"/>
  <c r="I895" i="2"/>
  <c r="I894" i="2" s="1"/>
  <c r="J894" i="2" s="1"/>
  <c r="W1012" i="2"/>
  <c r="U1012" i="2"/>
  <c r="U826" i="2"/>
  <c r="S826" i="2"/>
  <c r="W826" i="2"/>
  <c r="R830" i="2"/>
  <c r="I861" i="2"/>
  <c r="I860" i="2" s="1"/>
  <c r="H860" i="2"/>
  <c r="R879" i="2"/>
  <c r="AB915" i="2"/>
  <c r="AK914" i="2" s="1"/>
  <c r="I915" i="2"/>
  <c r="I914" i="2" s="1"/>
  <c r="J914" i="2" s="1"/>
  <c r="U916" i="2"/>
  <c r="S916" i="2"/>
  <c r="J916" i="2"/>
  <c r="W916" i="2"/>
  <c r="I920" i="2"/>
  <c r="I919" i="2" s="1"/>
  <c r="H919" i="2"/>
  <c r="U944" i="2"/>
  <c r="W944" i="2"/>
  <c r="R965" i="2"/>
  <c r="S1012" i="2"/>
  <c r="S799" i="2"/>
  <c r="U799" i="2"/>
  <c r="I802" i="2"/>
  <c r="H806" i="2"/>
  <c r="I806" i="2" s="1"/>
  <c r="U830" i="2"/>
  <c r="W830" i="2"/>
  <c r="AK847" i="2"/>
  <c r="R864" i="2"/>
  <c r="H863" i="2"/>
  <c r="J864" i="2"/>
  <c r="AB880" i="2"/>
  <c r="AK879" i="2" s="1"/>
  <c r="I880" i="2"/>
  <c r="I879" i="2" s="1"/>
  <c r="J879" i="2" s="1"/>
  <c r="W896" i="2"/>
  <c r="U896" i="2"/>
  <c r="L955" i="2"/>
  <c r="H973" i="2"/>
  <c r="J808" i="2"/>
  <c r="I838" i="2"/>
  <c r="I837" i="2" s="1"/>
  <c r="J841" i="2"/>
  <c r="I848" i="2"/>
  <c r="I847" i="2" s="1"/>
  <c r="I859" i="2"/>
  <c r="I858" i="2" s="1"/>
  <c r="W948" i="2"/>
  <c r="S948" i="2"/>
  <c r="T950" i="2"/>
  <c r="J950" i="2"/>
  <c r="U952" i="2"/>
  <c r="I958" i="2"/>
  <c r="T981" i="2"/>
  <c r="I982" i="2"/>
  <c r="I981" i="2" s="1"/>
  <c r="L986" i="2"/>
  <c r="I990" i="2"/>
  <c r="AB990" i="2"/>
  <c r="I995" i="2"/>
  <c r="I994" i="2" s="1"/>
  <c r="H994" i="2"/>
  <c r="I1000" i="2"/>
  <c r="I999" i="2" s="1"/>
  <c r="J999" i="2" s="1"/>
  <c r="U1003" i="2"/>
  <c r="S1003" i="2"/>
  <c r="W1018" i="2"/>
  <c r="U1018" i="2"/>
  <c r="S1018" i="2"/>
  <c r="AB792" i="2"/>
  <c r="AK791" i="2" s="1"/>
  <c r="AB802" i="2"/>
  <c r="AB806" i="2"/>
  <c r="J826" i="2"/>
  <c r="J852" i="2"/>
  <c r="AB876" i="2"/>
  <c r="AK875" i="2" s="1"/>
  <c r="T932" i="2"/>
  <c r="I933" i="2"/>
  <c r="I932" i="2" s="1"/>
  <c r="S950" i="2"/>
  <c r="W950" i="2"/>
  <c r="AK958" i="2"/>
  <c r="J1012" i="2"/>
  <c r="R1020" i="2"/>
  <c r="J1020" i="2"/>
  <c r="AB872" i="2"/>
  <c r="AK871" i="2" s="1"/>
  <c r="I938" i="2"/>
  <c r="AB938" i="2"/>
  <c r="W967" i="2"/>
  <c r="L1006" i="2"/>
  <c r="AB794" i="2"/>
  <c r="AK793" i="2" s="1"/>
  <c r="AB809" i="2"/>
  <c r="AK808" i="2" s="1"/>
  <c r="AB831" i="2"/>
  <c r="AK830" i="2" s="1"/>
  <c r="AB842" i="2"/>
  <c r="AK841" i="2" s="1"/>
  <c r="AB893" i="2"/>
  <c r="AK892" i="2" s="1"/>
  <c r="H896" i="2"/>
  <c r="AB904" i="2"/>
  <c r="AK901" i="2" s="1"/>
  <c r="J921" i="2"/>
  <c r="H935" i="2"/>
  <c r="H947" i="2"/>
  <c r="H957" i="2"/>
  <c r="J974" i="2"/>
  <c r="S992" i="2"/>
  <c r="W1007" i="2"/>
  <c r="U1007" i="2"/>
  <c r="S1007" i="2"/>
  <c r="AB804" i="2"/>
  <c r="AB816" i="2"/>
  <c r="AK815" i="2" s="1"/>
  <c r="AB853" i="2"/>
  <c r="AK852" i="2" s="1"/>
  <c r="AB888" i="2"/>
  <c r="AK885" i="2" s="1"/>
  <c r="AB900" i="2"/>
  <c r="AK899" i="2" s="1"/>
  <c r="AB907" i="2"/>
  <c r="AK906" i="2" s="1"/>
  <c r="AB928" i="2"/>
  <c r="AK926" i="2" s="1"/>
  <c r="U950" i="2"/>
  <c r="I966" i="2"/>
  <c r="I965" i="2" s="1"/>
  <c r="J965" i="2" s="1"/>
  <c r="H970" i="2"/>
  <c r="H969" i="2" s="1"/>
  <c r="W979" i="2"/>
  <c r="W997" i="2"/>
  <c r="S997" i="2"/>
  <c r="R1009" i="2"/>
  <c r="J1009" i="2"/>
  <c r="L926" i="2"/>
  <c r="L913" i="2" s="1"/>
  <c r="I942" i="2"/>
  <c r="AB942" i="2"/>
  <c r="AB945" i="2"/>
  <c r="AK944" i="2" s="1"/>
  <c r="J948" i="2"/>
  <c r="T948" i="2"/>
  <c r="J967" i="2"/>
  <c r="I975" i="2"/>
  <c r="I974" i="2" s="1"/>
  <c r="AB975" i="2"/>
  <c r="AK974" i="2" s="1"/>
  <c r="I988" i="2"/>
  <c r="U997" i="2"/>
  <c r="T999" i="2"/>
  <c r="W1001" i="2"/>
  <c r="J1003" i="2"/>
  <c r="H1017" i="2"/>
  <c r="I1017" i="2" s="1"/>
  <c r="S921" i="2"/>
  <c r="W921" i="2"/>
  <c r="J923" i="2"/>
  <c r="T923" i="2"/>
  <c r="AK987" i="2"/>
  <c r="W992" i="2"/>
  <c r="R1007" i="2"/>
  <c r="T974" i="2"/>
  <c r="F15" i="3"/>
  <c r="F22" i="3" s="1"/>
  <c r="H1018" i="2"/>
  <c r="H1014" i="2" l="1"/>
  <c r="I1014" i="2"/>
  <c r="H987" i="2"/>
  <c r="I970" i="2"/>
  <c r="I969" i="2" s="1"/>
  <c r="I953" i="2"/>
  <c r="I952" i="2" s="1"/>
  <c r="I945" i="2"/>
  <c r="I944" i="2" s="1"/>
  <c r="AK937" i="2"/>
  <c r="T926" i="2"/>
  <c r="I928" i="2"/>
  <c r="I926" i="2" s="1"/>
  <c r="U926" i="2" s="1"/>
  <c r="I909" i="2"/>
  <c r="I908" i="2" s="1"/>
  <c r="U908" i="2" s="1"/>
  <c r="H908" i="2"/>
  <c r="I904" i="2"/>
  <c r="I901" i="2" s="1"/>
  <c r="J901" i="2" s="1"/>
  <c r="I900" i="2"/>
  <c r="I899" i="2" s="1"/>
  <c r="I874" i="2"/>
  <c r="I873" i="2" s="1"/>
  <c r="T873" i="2"/>
  <c r="J873" i="2"/>
  <c r="I857" i="2"/>
  <c r="I856" i="2" s="1"/>
  <c r="U856" i="2" s="1"/>
  <c r="H856" i="2"/>
  <c r="I831" i="2"/>
  <c r="I830" i="2" s="1"/>
  <c r="U817" i="2"/>
  <c r="J817" i="2"/>
  <c r="R799" i="2"/>
  <c r="J799" i="2"/>
  <c r="I794" i="2"/>
  <c r="I793" i="2" s="1"/>
  <c r="I785" i="2"/>
  <c r="I772" i="2"/>
  <c r="I759" i="2"/>
  <c r="I758" i="2" s="1"/>
  <c r="U758" i="2" s="1"/>
  <c r="J734" i="2"/>
  <c r="H722" i="2"/>
  <c r="R722" i="2" s="1"/>
  <c r="J701" i="2"/>
  <c r="I671" i="2"/>
  <c r="I668" i="2"/>
  <c r="H661" i="2"/>
  <c r="I647" i="2"/>
  <c r="I646" i="2" s="1"/>
  <c r="S621" i="2"/>
  <c r="H599" i="2"/>
  <c r="H588" i="2"/>
  <c r="T588" i="2" s="1"/>
  <c r="C21" i="3"/>
  <c r="I589" i="2"/>
  <c r="I588" i="2"/>
  <c r="I553" i="2"/>
  <c r="I552" i="2" s="1"/>
  <c r="I547" i="2"/>
  <c r="I546" i="2" s="1"/>
  <c r="I542" i="2"/>
  <c r="I541" i="2" s="1"/>
  <c r="I534" i="2"/>
  <c r="H534" i="2"/>
  <c r="I525" i="2"/>
  <c r="I524" i="2" s="1"/>
  <c r="U524" i="2" s="1"/>
  <c r="H524" i="2"/>
  <c r="I520" i="2"/>
  <c r="I519" i="2" s="1"/>
  <c r="H512" i="2"/>
  <c r="R512" i="2" s="1"/>
  <c r="H511" i="2"/>
  <c r="AK512" i="2"/>
  <c r="J508" i="2"/>
  <c r="I507" i="2"/>
  <c r="I506" i="2" s="1"/>
  <c r="U482" i="2"/>
  <c r="I465" i="2"/>
  <c r="I464" i="2" s="1"/>
  <c r="I453" i="2"/>
  <c r="I452" i="2" s="1"/>
  <c r="H441" i="2"/>
  <c r="T441" i="2" s="1"/>
  <c r="I441" i="2"/>
  <c r="J441" i="2" s="1"/>
  <c r="H433" i="2"/>
  <c r="I437" i="2"/>
  <c r="I436" i="2" s="1"/>
  <c r="I422" i="2"/>
  <c r="I421" i="2" s="1"/>
  <c r="I402" i="2"/>
  <c r="I401" i="2" s="1"/>
  <c r="I400" i="2"/>
  <c r="I399" i="2" s="1"/>
  <c r="I389" i="2"/>
  <c r="I388" i="2" s="1"/>
  <c r="W388" i="2"/>
  <c r="U388" i="2"/>
  <c r="J388" i="2"/>
  <c r="I362" i="2"/>
  <c r="I361" i="2" s="1"/>
  <c r="I316" i="2"/>
  <c r="I315" i="2" s="1"/>
  <c r="U315" i="2" s="1"/>
  <c r="T315" i="2"/>
  <c r="J315" i="2"/>
  <c r="I301" i="2"/>
  <c r="I300" i="2" s="1"/>
  <c r="H291" i="2"/>
  <c r="R291" i="2" s="1"/>
  <c r="I291" i="2"/>
  <c r="S291" i="2" s="1"/>
  <c r="I260" i="2"/>
  <c r="I246" i="2"/>
  <c r="I245" i="2" s="1"/>
  <c r="S238" i="2"/>
  <c r="J238" i="2"/>
  <c r="I227" i="2"/>
  <c r="I226" i="2" s="1"/>
  <c r="J226" i="2" s="1"/>
  <c r="H191" i="2"/>
  <c r="R191" i="2" s="1"/>
  <c r="I192" i="2"/>
  <c r="I191" i="2" s="1"/>
  <c r="I178" i="2"/>
  <c r="I177" i="2" s="1"/>
  <c r="U177" i="2" s="1"/>
  <c r="R161" i="2"/>
  <c r="H160" i="2"/>
  <c r="I164" i="2"/>
  <c r="I161" i="2" s="1"/>
  <c r="U152" i="2"/>
  <c r="I143" i="2"/>
  <c r="I142" i="2" s="1"/>
  <c r="I129" i="2"/>
  <c r="I128" i="2" s="1"/>
  <c r="H114" i="2"/>
  <c r="R114" i="2" s="1"/>
  <c r="I115" i="2"/>
  <c r="I114" i="2" s="1"/>
  <c r="I111" i="2" s="1"/>
  <c r="I113" i="2"/>
  <c r="I112" i="2" s="1"/>
  <c r="S112" i="2" s="1"/>
  <c r="H111" i="2"/>
  <c r="I104" i="2"/>
  <c r="I103" i="2" s="1"/>
  <c r="H72" i="2"/>
  <c r="I88" i="2"/>
  <c r="I87" i="2" s="1"/>
  <c r="I81" i="2"/>
  <c r="I80" i="2" s="1"/>
  <c r="I73" i="2"/>
  <c r="J73" i="2"/>
  <c r="S73" i="2"/>
  <c r="I72" i="2"/>
  <c r="J72" i="2" s="1"/>
  <c r="I65" i="2"/>
  <c r="T61" i="2"/>
  <c r="H49" i="2"/>
  <c r="I64" i="2"/>
  <c r="I61" i="2" s="1"/>
  <c r="J57" i="2"/>
  <c r="S57" i="2"/>
  <c r="I51" i="2"/>
  <c r="I50" i="2" s="1"/>
  <c r="J50" i="2" s="1"/>
  <c r="I48" i="2"/>
  <c r="I47" i="2" s="1"/>
  <c r="U47" i="2" s="1"/>
  <c r="H47" i="2"/>
  <c r="H43" i="2"/>
  <c r="T43" i="2" s="1"/>
  <c r="I44" i="2"/>
  <c r="I43" i="2" s="1"/>
  <c r="I36" i="2"/>
  <c r="H36" i="2"/>
  <c r="I21" i="2"/>
  <c r="I20" i="2" s="1"/>
  <c r="H13" i="2"/>
  <c r="I14" i="2"/>
  <c r="I13" i="2" s="1"/>
  <c r="J13" i="2" s="1"/>
  <c r="H103" i="5"/>
  <c r="X103" i="5" s="1"/>
  <c r="H46" i="5"/>
  <c r="I40" i="5"/>
  <c r="I104" i="5"/>
  <c r="I103" i="5" s="1"/>
  <c r="I99" i="5" s="1"/>
  <c r="I81" i="5"/>
  <c r="S81" i="5" s="1"/>
  <c r="H81" i="5"/>
  <c r="J81" i="5" s="1"/>
  <c r="H76" i="5"/>
  <c r="R76" i="5" s="1"/>
  <c r="H71" i="5"/>
  <c r="T71" i="5" s="1"/>
  <c r="H48" i="5"/>
  <c r="T48" i="5" s="1"/>
  <c r="I45" i="5"/>
  <c r="I44" i="5" s="1"/>
  <c r="C21" i="6"/>
  <c r="U40" i="5"/>
  <c r="J40" i="5"/>
  <c r="AK18" i="5"/>
  <c r="J15" i="5"/>
  <c r="J13" i="5"/>
  <c r="I165" i="8"/>
  <c r="I166" i="8" s="1"/>
  <c r="G6" i="1" s="1"/>
  <c r="J6" i="1" s="1"/>
  <c r="H90" i="5"/>
  <c r="X90" i="5" s="1"/>
  <c r="I91" i="5"/>
  <c r="I90" i="5" s="1"/>
  <c r="AK81" i="5"/>
  <c r="I76" i="5"/>
  <c r="I64" i="5"/>
  <c r="U64" i="5" s="1"/>
  <c r="H64" i="5"/>
  <c r="AK64" i="5"/>
  <c r="I48" i="5"/>
  <c r="H35" i="5"/>
  <c r="I35" i="5"/>
  <c r="U35" i="5" s="1"/>
  <c r="H18" i="5"/>
  <c r="R18" i="5" s="1"/>
  <c r="I18" i="5"/>
  <c r="R100" i="5"/>
  <c r="H99" i="5"/>
  <c r="J100" i="5"/>
  <c r="J71" i="5"/>
  <c r="AK40" i="5"/>
  <c r="J88" i="5"/>
  <c r="V88" i="5"/>
  <c r="C18" i="6" s="1"/>
  <c r="T46" i="5"/>
  <c r="J46" i="5"/>
  <c r="W90" i="5"/>
  <c r="U90" i="5"/>
  <c r="S90" i="5"/>
  <c r="S64" i="5"/>
  <c r="W64" i="5"/>
  <c r="AB106" i="5"/>
  <c r="AK13" i="5"/>
  <c r="T73" i="5"/>
  <c r="J73" i="5"/>
  <c r="W103" i="5"/>
  <c r="U103" i="5"/>
  <c r="S103" i="5"/>
  <c r="S18" i="5"/>
  <c r="W18" i="5"/>
  <c r="U18" i="5"/>
  <c r="R599" i="2"/>
  <c r="H598" i="2"/>
  <c r="S556" i="2"/>
  <c r="W556" i="2"/>
  <c r="U556" i="2"/>
  <c r="J668" i="2"/>
  <c r="T668" i="2"/>
  <c r="U722" i="2"/>
  <c r="S722" i="2"/>
  <c r="W722" i="2"/>
  <c r="J722" i="2"/>
  <c r="U588" i="2"/>
  <c r="W588" i="2"/>
  <c r="S588" i="2"/>
  <c r="U1014" i="2"/>
  <c r="S1014" i="2"/>
  <c r="W1014" i="2"/>
  <c r="I1006" i="2"/>
  <c r="W668" i="2"/>
  <c r="U668" i="2"/>
  <c r="S668" i="2"/>
  <c r="U291" i="2"/>
  <c r="W291" i="2"/>
  <c r="W294" i="2"/>
  <c r="U294" i="2"/>
  <c r="S294" i="2"/>
  <c r="J744" i="2"/>
  <c r="R744" i="2"/>
  <c r="J570" i="2"/>
  <c r="T570" i="2"/>
  <c r="I761" i="2"/>
  <c r="I760" i="2" s="1"/>
  <c r="H760" i="2"/>
  <c r="U519" i="2"/>
  <c r="W519" i="2"/>
  <c r="S519" i="2"/>
  <c r="W426" i="2"/>
  <c r="U426" i="2"/>
  <c r="S426" i="2"/>
  <c r="U969" i="2"/>
  <c r="S969" i="2"/>
  <c r="W969" i="2"/>
  <c r="W875" i="2"/>
  <c r="U875" i="2"/>
  <c r="S875" i="2"/>
  <c r="W727" i="2"/>
  <c r="U727" i="2"/>
  <c r="S727" i="2"/>
  <c r="U708" i="2"/>
  <c r="W708" i="2"/>
  <c r="S708" i="2"/>
  <c r="W617" i="2"/>
  <c r="U617" i="2"/>
  <c r="S617" i="2"/>
  <c r="S637" i="2"/>
  <c r="W637" i="2"/>
  <c r="U637" i="2"/>
  <c r="J637" i="2"/>
  <c r="S497" i="2"/>
  <c r="W497" i="2"/>
  <c r="U497" i="2"/>
  <c r="W114" i="2"/>
  <c r="U114" i="2"/>
  <c r="I957" i="2"/>
  <c r="I956" i="2" s="1"/>
  <c r="H956" i="2"/>
  <c r="H801" i="2"/>
  <c r="R727" i="2"/>
  <c r="J727" i="2"/>
  <c r="W782" i="2"/>
  <c r="U782" i="2"/>
  <c r="S782" i="2"/>
  <c r="W923" i="2"/>
  <c r="S923" i="2"/>
  <c r="U923" i="2"/>
  <c r="R775" i="2"/>
  <c r="J775" i="2"/>
  <c r="J661" i="2"/>
  <c r="R661" i="2"/>
  <c r="H660" i="2"/>
  <c r="J617" i="2"/>
  <c r="R617" i="2"/>
  <c r="I505" i="2"/>
  <c r="I504" i="2" s="1"/>
  <c r="J504" i="2" s="1"/>
  <c r="I415" i="2"/>
  <c r="I414" i="2" s="1"/>
  <c r="J374" i="2"/>
  <c r="R374" i="2"/>
  <c r="U674" i="2"/>
  <c r="S674" i="2"/>
  <c r="W674" i="2"/>
  <c r="J497" i="2"/>
  <c r="R497" i="2"/>
  <c r="W374" i="2"/>
  <c r="U374" i="2"/>
  <c r="S374" i="2"/>
  <c r="H381" i="2"/>
  <c r="I382" i="2"/>
  <c r="I381" i="2" s="1"/>
  <c r="U434" i="2"/>
  <c r="S434" i="2"/>
  <c r="J434" i="2"/>
  <c r="W434" i="2"/>
  <c r="S248" i="2"/>
  <c r="W248" i="2"/>
  <c r="U248" i="2"/>
  <c r="U321" i="2"/>
  <c r="S321" i="2"/>
  <c r="W321" i="2"/>
  <c r="J321" i="2"/>
  <c r="S119" i="2"/>
  <c r="W119" i="2"/>
  <c r="U119" i="2"/>
  <c r="S18" i="2"/>
  <c r="W18" i="2"/>
  <c r="U18" i="2"/>
  <c r="J772" i="2"/>
  <c r="U769" i="2"/>
  <c r="S769" i="2"/>
  <c r="W769" i="2"/>
  <c r="T447" i="2"/>
  <c r="J896" i="2"/>
  <c r="T896" i="2"/>
  <c r="T1014" i="2"/>
  <c r="J1014" i="2"/>
  <c r="H1006" i="2"/>
  <c r="J1006" i="2" s="1"/>
  <c r="S858" i="2"/>
  <c r="U858" i="2"/>
  <c r="J858" i="2"/>
  <c r="W858" i="2"/>
  <c r="J782" i="2"/>
  <c r="T782" i="2"/>
  <c r="U663" i="2"/>
  <c r="S663" i="2"/>
  <c r="W663" i="2"/>
  <c r="I739" i="2"/>
  <c r="I738" i="2" s="1"/>
  <c r="I721" i="2" s="1"/>
  <c r="H738" i="2"/>
  <c r="H721" i="2" s="1"/>
  <c r="T504" i="2"/>
  <c r="W506" i="2"/>
  <c r="U506" i="2"/>
  <c r="S506" i="2"/>
  <c r="H394" i="2"/>
  <c r="I397" i="2"/>
  <c r="I394" i="2" s="1"/>
  <c r="I947" i="2"/>
  <c r="I946" i="2" s="1"/>
  <c r="H946" i="2"/>
  <c r="I937" i="2"/>
  <c r="W958" i="2"/>
  <c r="S958" i="2"/>
  <c r="U958" i="2"/>
  <c r="U718" i="2"/>
  <c r="S718" i="2"/>
  <c r="W718" i="2"/>
  <c r="J708" i="2"/>
  <c r="I698" i="2"/>
  <c r="I697" i="2" s="1"/>
  <c r="H697" i="2"/>
  <c r="I717" i="2"/>
  <c r="I716" i="2" s="1"/>
  <c r="H716" i="2"/>
  <c r="H690" i="2"/>
  <c r="I691" i="2"/>
  <c r="I690" i="2" s="1"/>
  <c r="U631" i="2"/>
  <c r="S631" i="2"/>
  <c r="W631" i="2"/>
  <c r="J663" i="2"/>
  <c r="W661" i="2"/>
  <c r="U661" i="2"/>
  <c r="I660" i="2"/>
  <c r="S661" i="2"/>
  <c r="J580" i="2"/>
  <c r="R580" i="2"/>
  <c r="I599" i="2"/>
  <c r="J599" i="2" s="1"/>
  <c r="S615" i="2"/>
  <c r="W615" i="2"/>
  <c r="U615" i="2"/>
  <c r="J615" i="2"/>
  <c r="I569" i="2"/>
  <c r="I568" i="2" s="1"/>
  <c r="J568" i="2" s="1"/>
  <c r="U488" i="2"/>
  <c r="S488" i="2"/>
  <c r="W488" i="2"/>
  <c r="J488" i="2"/>
  <c r="I405" i="2"/>
  <c r="I404" i="2" s="1"/>
  <c r="J404" i="2" s="1"/>
  <c r="U445" i="2"/>
  <c r="S445" i="2"/>
  <c r="W445" i="2"/>
  <c r="J445" i="2"/>
  <c r="J370" i="2"/>
  <c r="R370" i="2"/>
  <c r="J261" i="2"/>
  <c r="R261" i="2"/>
  <c r="H260" i="2"/>
  <c r="J260" i="2" s="1"/>
  <c r="J364" i="2"/>
  <c r="T364" i="2"/>
  <c r="J339" i="2"/>
  <c r="T339" i="2"/>
  <c r="J368" i="2"/>
  <c r="T368" i="2"/>
  <c r="U275" i="2"/>
  <c r="S275" i="2"/>
  <c r="W275" i="2"/>
  <c r="J275" i="2"/>
  <c r="I206" i="2"/>
  <c r="W226" i="2"/>
  <c r="U226" i="2"/>
  <c r="S226" i="2"/>
  <c r="J271" i="2"/>
  <c r="T271" i="2"/>
  <c r="I237" i="2"/>
  <c r="J209" i="2"/>
  <c r="T209" i="2"/>
  <c r="S105" i="2"/>
  <c r="W105" i="2"/>
  <c r="U105" i="2"/>
  <c r="W50" i="2"/>
  <c r="U50" i="2"/>
  <c r="S50" i="2"/>
  <c r="W994" i="2"/>
  <c r="U994" i="2"/>
  <c r="S994" i="2"/>
  <c r="I886" i="2"/>
  <c r="I885" i="2" s="1"/>
  <c r="H885" i="2"/>
  <c r="U692" i="2"/>
  <c r="S692" i="2"/>
  <c r="W692" i="2"/>
  <c r="J692" i="2"/>
  <c r="J839" i="2"/>
  <c r="H829" i="2"/>
  <c r="T839" i="2"/>
  <c r="T568" i="2"/>
  <c r="S534" i="2"/>
  <c r="I533" i="2"/>
  <c r="W534" i="2"/>
  <c r="U534" i="2"/>
  <c r="H972" i="2"/>
  <c r="I973" i="2"/>
  <c r="I972" i="2" s="1"/>
  <c r="S983" i="2"/>
  <c r="W983" i="2"/>
  <c r="U983" i="2"/>
  <c r="U981" i="2"/>
  <c r="S981" i="2"/>
  <c r="W981" i="2"/>
  <c r="U919" i="2"/>
  <c r="W919" i="2"/>
  <c r="S919" i="2"/>
  <c r="S795" i="2"/>
  <c r="W795" i="2"/>
  <c r="J795" i="2"/>
  <c r="U795" i="2"/>
  <c r="H753" i="2"/>
  <c r="I754" i="2"/>
  <c r="I753" i="2" s="1"/>
  <c r="J785" i="2"/>
  <c r="T785" i="2"/>
  <c r="R519" i="2"/>
  <c r="J519" i="2"/>
  <c r="J426" i="2"/>
  <c r="T426" i="2"/>
  <c r="J233" i="2"/>
  <c r="T233" i="2"/>
  <c r="H384" i="2"/>
  <c r="I385" i="2"/>
  <c r="I384" i="2" s="1"/>
  <c r="J248" i="2"/>
  <c r="T248" i="2"/>
  <c r="I391" i="2"/>
  <c r="I390" i="2" s="1"/>
  <c r="H390" i="2"/>
  <c r="S847" i="2"/>
  <c r="I846" i="2"/>
  <c r="U847" i="2"/>
  <c r="J847" i="2"/>
  <c r="W847" i="2"/>
  <c r="S999" i="2"/>
  <c r="W999" i="2"/>
  <c r="U999" i="2"/>
  <c r="S879" i="2"/>
  <c r="W879" i="2"/>
  <c r="U879" i="2"/>
  <c r="J860" i="2"/>
  <c r="R860" i="2"/>
  <c r="I987" i="2"/>
  <c r="I935" i="2"/>
  <c r="I934" i="2" s="1"/>
  <c r="H934" i="2"/>
  <c r="AK801" i="2"/>
  <c r="J994" i="2"/>
  <c r="T994" i="2"/>
  <c r="S837" i="2"/>
  <c r="U837" i="2"/>
  <c r="J837" i="2"/>
  <c r="W837" i="2"/>
  <c r="W860" i="2"/>
  <c r="U860" i="2"/>
  <c r="S860" i="2"/>
  <c r="J958" i="2"/>
  <c r="AK785" i="2"/>
  <c r="W791" i="2"/>
  <c r="U791" i="2"/>
  <c r="S791" i="2"/>
  <c r="I713" i="2"/>
  <c r="I712" i="2" s="1"/>
  <c r="I700" i="2" s="1"/>
  <c r="H712" i="2"/>
  <c r="I863" i="2"/>
  <c r="J863" i="2" s="1"/>
  <c r="U694" i="2"/>
  <c r="W694" i="2"/>
  <c r="S694" i="2"/>
  <c r="H641" i="2"/>
  <c r="U653" i="2"/>
  <c r="S653" i="2"/>
  <c r="J653" i="2"/>
  <c r="W653" i="2"/>
  <c r="I652" i="2"/>
  <c r="I651" i="2" s="1"/>
  <c r="H651" i="2"/>
  <c r="U565" i="2"/>
  <c r="S565" i="2"/>
  <c r="J565" i="2"/>
  <c r="W565" i="2"/>
  <c r="J631" i="2"/>
  <c r="W580" i="2"/>
  <c r="U580" i="2"/>
  <c r="S580" i="2"/>
  <c r="S596" i="2"/>
  <c r="W596" i="2"/>
  <c r="U596" i="2"/>
  <c r="J596" i="2"/>
  <c r="U780" i="2"/>
  <c r="S780" i="2"/>
  <c r="W780" i="2"/>
  <c r="J780" i="2"/>
  <c r="I503" i="2"/>
  <c r="I502" i="2" s="1"/>
  <c r="J502" i="2" s="1"/>
  <c r="I485" i="2"/>
  <c r="I484" i="2" s="1"/>
  <c r="H484" i="2"/>
  <c r="I473" i="2"/>
  <c r="I472" i="2" s="1"/>
  <c r="H472" i="2"/>
  <c r="J335" i="2"/>
  <c r="R335" i="2"/>
  <c r="R324" i="2"/>
  <c r="J324" i="2"/>
  <c r="W230" i="2"/>
  <c r="U230" i="2"/>
  <c r="S230" i="2"/>
  <c r="I420" i="2"/>
  <c r="I419" i="2" s="1"/>
  <c r="H419" i="2"/>
  <c r="S368" i="2"/>
  <c r="W368" i="2"/>
  <c r="U368" i="2"/>
  <c r="S207" i="2"/>
  <c r="W207" i="2"/>
  <c r="U207" i="2"/>
  <c r="J207" i="2"/>
  <c r="S271" i="2"/>
  <c r="W271" i="2"/>
  <c r="U271" i="2"/>
  <c r="J223" i="2"/>
  <c r="R223" i="2"/>
  <c r="U286" i="2"/>
  <c r="S286" i="2"/>
  <c r="W286" i="2"/>
  <c r="J286" i="2"/>
  <c r="I203" i="2"/>
  <c r="J203" i="2" s="1"/>
  <c r="S94" i="2"/>
  <c r="W94" i="2"/>
  <c r="U94" i="2"/>
  <c r="R305" i="2"/>
  <c r="H304" i="2"/>
  <c r="J305" i="2"/>
  <c r="S122" i="2"/>
  <c r="W122" i="2"/>
  <c r="U122" i="2"/>
  <c r="J119" i="2"/>
  <c r="W633" i="2"/>
  <c r="S633" i="2"/>
  <c r="U633" i="2"/>
  <c r="U354" i="2"/>
  <c r="S354" i="2"/>
  <c r="I353" i="2"/>
  <c r="J353" i="2" s="1"/>
  <c r="W354" i="2"/>
  <c r="J354" i="2"/>
  <c r="S305" i="2"/>
  <c r="I304" i="2"/>
  <c r="W305" i="2"/>
  <c r="U305" i="2"/>
  <c r="I35" i="2"/>
  <c r="W36" i="2"/>
  <c r="U36" i="2"/>
  <c r="S36" i="2"/>
  <c r="J105" i="2"/>
  <c r="U932" i="2"/>
  <c r="W932" i="2"/>
  <c r="S932" i="2"/>
  <c r="R414" i="2"/>
  <c r="H413" i="2"/>
  <c r="J414" i="2"/>
  <c r="J312" i="2"/>
  <c r="T312" i="2"/>
  <c r="W339" i="2"/>
  <c r="U339" i="2"/>
  <c r="S339" i="2"/>
  <c r="T203" i="2"/>
  <c r="W974" i="2"/>
  <c r="U974" i="2"/>
  <c r="S974" i="2"/>
  <c r="T969" i="2"/>
  <c r="J969" i="2"/>
  <c r="I801" i="2"/>
  <c r="S914" i="2"/>
  <c r="W914" i="2"/>
  <c r="U914" i="2"/>
  <c r="J932" i="2"/>
  <c r="S843" i="2"/>
  <c r="W843" i="2"/>
  <c r="J843" i="2"/>
  <c r="U843" i="2"/>
  <c r="R983" i="2"/>
  <c r="J983" i="2"/>
  <c r="J769" i="2"/>
  <c r="W839" i="2"/>
  <c r="U839" i="2"/>
  <c r="S839" i="2"/>
  <c r="J506" i="2"/>
  <c r="T506" i="2"/>
  <c r="R556" i="2"/>
  <c r="H555" i="2"/>
  <c r="J556" i="2"/>
  <c r="I629" i="2"/>
  <c r="I628" i="2" s="1"/>
  <c r="H628" i="2"/>
  <c r="W570" i="2"/>
  <c r="U570" i="2"/>
  <c r="S570" i="2"/>
  <c r="R552" i="2"/>
  <c r="J552" i="2"/>
  <c r="S441" i="2"/>
  <c r="W441" i="2"/>
  <c r="U441" i="2"/>
  <c r="J348" i="2"/>
  <c r="T348" i="2"/>
  <c r="J266" i="2"/>
  <c r="R266" i="2"/>
  <c r="I344" i="2"/>
  <c r="I343" i="2" s="1"/>
  <c r="H343" i="2"/>
  <c r="R436" i="2"/>
  <c r="J436" i="2"/>
  <c r="W220" i="2"/>
  <c r="U220" i="2"/>
  <c r="S220" i="2"/>
  <c r="S170" i="2"/>
  <c r="W170" i="2"/>
  <c r="U170" i="2"/>
  <c r="J18" i="2"/>
  <c r="I12" i="2"/>
  <c r="W13" i="2"/>
  <c r="U13" i="2"/>
  <c r="S13" i="2"/>
  <c r="I463" i="2"/>
  <c r="I462" i="2" s="1"/>
  <c r="H462" i="2"/>
  <c r="W209" i="2"/>
  <c r="U209" i="2"/>
  <c r="S209" i="2"/>
  <c r="U594" i="2"/>
  <c r="S594" i="2"/>
  <c r="W594" i="2"/>
  <c r="S154" i="2"/>
  <c r="W154" i="2"/>
  <c r="U154" i="2"/>
  <c r="S55" i="2"/>
  <c r="W55" i="2"/>
  <c r="U55" i="2"/>
  <c r="U300" i="2"/>
  <c r="S300" i="2"/>
  <c r="W300" i="2"/>
  <c r="J300" i="2"/>
  <c r="I136" i="2"/>
  <c r="J136" i="2" s="1"/>
  <c r="I911" i="2"/>
  <c r="I910" i="2" s="1"/>
  <c r="H910" i="2"/>
  <c r="H765" i="2"/>
  <c r="H741" i="2" s="1"/>
  <c r="I766" i="2"/>
  <c r="I765" i="2" s="1"/>
  <c r="I689" i="2"/>
  <c r="I688" i="2" s="1"/>
  <c r="H688" i="2"/>
  <c r="S701" i="2"/>
  <c r="W701" i="2"/>
  <c r="U701" i="2"/>
  <c r="T648" i="2"/>
  <c r="W399" i="2"/>
  <c r="U399" i="2"/>
  <c r="S399" i="2"/>
  <c r="J302" i="2"/>
  <c r="T302" i="2"/>
  <c r="S965" i="2"/>
  <c r="W965" i="2"/>
  <c r="U965" i="2"/>
  <c r="S894" i="2"/>
  <c r="W894" i="2"/>
  <c r="U894" i="2"/>
  <c r="J672" i="2"/>
  <c r="T672" i="2"/>
  <c r="W744" i="2"/>
  <c r="U744" i="2"/>
  <c r="S744" i="2"/>
  <c r="W613" i="2"/>
  <c r="U613" i="2"/>
  <c r="S613" i="2"/>
  <c r="U550" i="2"/>
  <c r="S550" i="2"/>
  <c r="J550" i="2"/>
  <c r="W550" i="2"/>
  <c r="T502" i="2"/>
  <c r="R626" i="2"/>
  <c r="I577" i="2"/>
  <c r="U578" i="2"/>
  <c r="W578" i="2"/>
  <c r="S578" i="2"/>
  <c r="U552" i="2"/>
  <c r="W552" i="2"/>
  <c r="S552" i="2"/>
  <c r="I512" i="2"/>
  <c r="U492" i="2"/>
  <c r="S492" i="2"/>
  <c r="J492" i="2"/>
  <c r="W492" i="2"/>
  <c r="S386" i="2"/>
  <c r="W386" i="2"/>
  <c r="U386" i="2"/>
  <c r="T404" i="2"/>
  <c r="U424" i="2"/>
  <c r="S424" i="2"/>
  <c r="W424" i="2"/>
  <c r="J424" i="2"/>
  <c r="J243" i="2"/>
  <c r="H237" i="2"/>
  <c r="R243" i="2"/>
  <c r="W436" i="2"/>
  <c r="U436" i="2"/>
  <c r="S436" i="2"/>
  <c r="R277" i="2"/>
  <c r="J277" i="2"/>
  <c r="J317" i="2"/>
  <c r="T317" i="2"/>
  <c r="U218" i="2"/>
  <c r="S218" i="2"/>
  <c r="I217" i="2"/>
  <c r="J218" i="2"/>
  <c r="W218" i="2"/>
  <c r="U379" i="2"/>
  <c r="S379" i="2"/>
  <c r="W379" i="2"/>
  <c r="W335" i="2"/>
  <c r="U335" i="2"/>
  <c r="S335" i="2"/>
  <c r="U350" i="2"/>
  <c r="S350" i="2"/>
  <c r="W350" i="2"/>
  <c r="J350" i="2"/>
  <c r="W223" i="2"/>
  <c r="U223" i="2"/>
  <c r="S223" i="2"/>
  <c r="J1018" i="2"/>
  <c r="T1018" i="2"/>
  <c r="R919" i="2"/>
  <c r="H913" i="2"/>
  <c r="J919" i="2"/>
  <c r="W901" i="2"/>
  <c r="S901" i="2"/>
  <c r="U901" i="2"/>
  <c r="S810" i="2"/>
  <c r="W810" i="2"/>
  <c r="U810" i="2"/>
  <c r="J981" i="2"/>
  <c r="S822" i="2"/>
  <c r="W822" i="2"/>
  <c r="U822" i="2"/>
  <c r="H846" i="2"/>
  <c r="J810" i="2"/>
  <c r="W785" i="2"/>
  <c r="U785" i="2"/>
  <c r="S785" i="2"/>
  <c r="S758" i="2"/>
  <c r="W758" i="2"/>
  <c r="U608" i="2"/>
  <c r="S608" i="2"/>
  <c r="J608" i="2"/>
  <c r="W608" i="2"/>
  <c r="I627" i="2"/>
  <c r="I626" i="2" s="1"/>
  <c r="J626" i="2" s="1"/>
  <c r="H678" i="2"/>
  <c r="I679" i="2"/>
  <c r="I678" i="2" s="1"/>
  <c r="U611" i="2"/>
  <c r="S611" i="2"/>
  <c r="W611" i="2"/>
  <c r="I641" i="2"/>
  <c r="I649" i="2"/>
  <c r="I648" i="2" s="1"/>
  <c r="J648" i="2" s="1"/>
  <c r="I448" i="2"/>
  <c r="I447" i="2" s="1"/>
  <c r="J447" i="2" s="1"/>
  <c r="H491" i="2"/>
  <c r="J399" i="2"/>
  <c r="R399" i="2"/>
  <c r="U466" i="2"/>
  <c r="S466" i="2"/>
  <c r="W466" i="2"/>
  <c r="J466" i="2"/>
  <c r="H217" i="2"/>
  <c r="R254" i="2"/>
  <c r="J254" i="2"/>
  <c r="S317" i="2"/>
  <c r="W317" i="2"/>
  <c r="U317" i="2"/>
  <c r="U252" i="2"/>
  <c r="S252" i="2"/>
  <c r="W252" i="2"/>
  <c r="J252" i="2"/>
  <c r="J294" i="2"/>
  <c r="T294" i="2"/>
  <c r="I329" i="2"/>
  <c r="I328" i="2" s="1"/>
  <c r="H328" i="2"/>
  <c r="J578" i="2"/>
  <c r="R220" i="2"/>
  <c r="J220" i="2"/>
  <c r="S144" i="2"/>
  <c r="W144" i="2"/>
  <c r="U144" i="2"/>
  <c r="S41" i="2"/>
  <c r="W41" i="2"/>
  <c r="U41" i="2"/>
  <c r="H283" i="2"/>
  <c r="AB1023" i="2"/>
  <c r="H185" i="2"/>
  <c r="J170" i="2"/>
  <c r="J154" i="2"/>
  <c r="R987" i="2" l="1"/>
  <c r="H986" i="2"/>
  <c r="S952" i="2"/>
  <c r="J952" i="2"/>
  <c r="S944" i="2"/>
  <c r="J944" i="2"/>
  <c r="J926" i="2"/>
  <c r="T908" i="2"/>
  <c r="J908" i="2"/>
  <c r="J899" i="2"/>
  <c r="U899" i="2"/>
  <c r="S873" i="2"/>
  <c r="U873" i="2"/>
  <c r="J856" i="2"/>
  <c r="T856" i="2"/>
  <c r="J846" i="2"/>
  <c r="J830" i="2"/>
  <c r="S830" i="2"/>
  <c r="I829" i="2"/>
  <c r="J829" i="2" s="1"/>
  <c r="J793" i="2"/>
  <c r="U793" i="2"/>
  <c r="J758" i="2"/>
  <c r="S646" i="2"/>
  <c r="J646" i="2"/>
  <c r="J588" i="2"/>
  <c r="H577" i="2"/>
  <c r="J577" i="2" s="1"/>
  <c r="U546" i="2"/>
  <c r="J546" i="2"/>
  <c r="J541" i="2"/>
  <c r="S541" i="2"/>
  <c r="R534" i="2"/>
  <c r="H533" i="2"/>
  <c r="J533" i="2" s="1"/>
  <c r="J534" i="2"/>
  <c r="J524" i="2"/>
  <c r="T524" i="2"/>
  <c r="I491" i="2"/>
  <c r="J464" i="2"/>
  <c r="U464" i="2"/>
  <c r="S452" i="2"/>
  <c r="J452" i="2"/>
  <c r="J421" i="2"/>
  <c r="U421" i="2"/>
  <c r="J401" i="2"/>
  <c r="U401" i="2"/>
  <c r="H373" i="2"/>
  <c r="U361" i="2"/>
  <c r="J361" i="2"/>
  <c r="I283" i="2"/>
  <c r="J283" i="2" s="1"/>
  <c r="J291" i="2"/>
  <c r="J245" i="2"/>
  <c r="U245" i="2"/>
  <c r="J237" i="2"/>
  <c r="J191" i="2"/>
  <c r="S191" i="2"/>
  <c r="J177" i="2"/>
  <c r="S161" i="2"/>
  <c r="J161" i="2"/>
  <c r="I160" i="2"/>
  <c r="J160" i="2" s="1"/>
  <c r="J142" i="2"/>
  <c r="S142" i="2"/>
  <c r="U128" i="2"/>
  <c r="J128" i="2"/>
  <c r="J111" i="2"/>
  <c r="J114" i="2"/>
  <c r="S114" i="2"/>
  <c r="J112" i="2"/>
  <c r="I97" i="2"/>
  <c r="J97" i="2" s="1"/>
  <c r="S103" i="2"/>
  <c r="J103" i="2"/>
  <c r="J87" i="2"/>
  <c r="U87" i="2"/>
  <c r="J80" i="2"/>
  <c r="S80" i="2"/>
  <c r="J65" i="2"/>
  <c r="U65" i="2"/>
  <c r="U61" i="2"/>
  <c r="J61" i="2"/>
  <c r="I49" i="2"/>
  <c r="J49" i="2" s="1"/>
  <c r="T47" i="2"/>
  <c r="J47" i="2"/>
  <c r="U43" i="2"/>
  <c r="J43" i="2"/>
  <c r="R36" i="2"/>
  <c r="H35" i="2"/>
  <c r="J35" i="2" s="1"/>
  <c r="J36" i="2"/>
  <c r="U20" i="2"/>
  <c r="J20" i="2"/>
  <c r="R13" i="2"/>
  <c r="H12" i="2"/>
  <c r="J12" i="2" s="1"/>
  <c r="C20" i="6"/>
  <c r="J103" i="5"/>
  <c r="J99" i="5"/>
  <c r="J90" i="5"/>
  <c r="R81" i="5"/>
  <c r="C14" i="6"/>
  <c r="H12" i="5"/>
  <c r="J44" i="5"/>
  <c r="U44" i="5"/>
  <c r="J18" i="5"/>
  <c r="J76" i="5"/>
  <c r="S76" i="5"/>
  <c r="C15" i="6" s="1"/>
  <c r="T64" i="5"/>
  <c r="J64" i="5"/>
  <c r="U48" i="5"/>
  <c r="J48" i="5"/>
  <c r="I12" i="5"/>
  <c r="T35" i="5"/>
  <c r="J35" i="5"/>
  <c r="C19" i="6"/>
  <c r="J217" i="2"/>
  <c r="S484" i="2"/>
  <c r="W484" i="2"/>
  <c r="U484" i="2"/>
  <c r="R641" i="2"/>
  <c r="J641" i="2"/>
  <c r="H640" i="2"/>
  <c r="W937" i="2"/>
  <c r="S937" i="2"/>
  <c r="I936" i="2"/>
  <c r="U937" i="2"/>
  <c r="J937" i="2"/>
  <c r="U641" i="2"/>
  <c r="S641" i="2"/>
  <c r="I640" i="2"/>
  <c r="W641" i="2"/>
  <c r="J462" i="2"/>
  <c r="T462" i="2"/>
  <c r="H451" i="2"/>
  <c r="J628" i="2"/>
  <c r="T628" i="2"/>
  <c r="H620" i="2"/>
  <c r="W203" i="2"/>
  <c r="U203" i="2"/>
  <c r="S203" i="2"/>
  <c r="I185" i="2"/>
  <c r="J185" i="2" s="1"/>
  <c r="U502" i="2"/>
  <c r="S502" i="2"/>
  <c r="W502" i="2"/>
  <c r="S987" i="2"/>
  <c r="W987" i="2"/>
  <c r="I986" i="2"/>
  <c r="U987" i="2"/>
  <c r="J987" i="2"/>
  <c r="J946" i="2"/>
  <c r="T946" i="2"/>
  <c r="H936" i="2"/>
  <c r="I413" i="2"/>
  <c r="J413" i="2" s="1"/>
  <c r="W414" i="2"/>
  <c r="U414" i="2"/>
  <c r="S414" i="2"/>
  <c r="S626" i="2"/>
  <c r="U626" i="2"/>
  <c r="W626" i="2"/>
  <c r="I620" i="2"/>
  <c r="U512" i="2"/>
  <c r="S512" i="2"/>
  <c r="I511" i="2"/>
  <c r="J511" i="2" s="1"/>
  <c r="W512" i="2"/>
  <c r="J512" i="2"/>
  <c r="W934" i="2"/>
  <c r="S934" i="2"/>
  <c r="U934" i="2"/>
  <c r="I433" i="2"/>
  <c r="J433" i="2" s="1"/>
  <c r="R328" i="2"/>
  <c r="H327" i="2"/>
  <c r="J328" i="2"/>
  <c r="S328" i="2"/>
  <c r="I327" i="2"/>
  <c r="W328" i="2"/>
  <c r="U328" i="2"/>
  <c r="T688" i="2"/>
  <c r="J688" i="2"/>
  <c r="S462" i="2"/>
  <c r="W462" i="2"/>
  <c r="U462" i="2"/>
  <c r="I451" i="2"/>
  <c r="W628" i="2"/>
  <c r="U628" i="2"/>
  <c r="S628" i="2"/>
  <c r="J651" i="2"/>
  <c r="T651" i="2"/>
  <c r="U568" i="2"/>
  <c r="W568" i="2"/>
  <c r="S568" i="2"/>
  <c r="S690" i="2"/>
  <c r="W690" i="2"/>
  <c r="U690" i="2"/>
  <c r="W946" i="2"/>
  <c r="U946" i="2"/>
  <c r="S946" i="2"/>
  <c r="U504" i="2"/>
  <c r="W504" i="2"/>
  <c r="S504" i="2"/>
  <c r="J801" i="2"/>
  <c r="R801" i="2"/>
  <c r="H798" i="2"/>
  <c r="I555" i="2"/>
  <c r="J555" i="2" s="1"/>
  <c r="W697" i="2"/>
  <c r="U697" i="2"/>
  <c r="S697" i="2"/>
  <c r="S688" i="2"/>
  <c r="U688" i="2"/>
  <c r="W688" i="2"/>
  <c r="J343" i="2"/>
  <c r="T343" i="2"/>
  <c r="W651" i="2"/>
  <c r="U651" i="2"/>
  <c r="S651" i="2"/>
  <c r="W384" i="2"/>
  <c r="U384" i="2"/>
  <c r="S384" i="2"/>
  <c r="J690" i="2"/>
  <c r="T690" i="2"/>
  <c r="W394" i="2"/>
  <c r="I393" i="2"/>
  <c r="U394" i="2"/>
  <c r="S394" i="2"/>
  <c r="R738" i="2"/>
  <c r="J738" i="2"/>
  <c r="S381" i="2"/>
  <c r="W381" i="2"/>
  <c r="U381" i="2"/>
  <c r="R956" i="2"/>
  <c r="C14" i="3" s="1"/>
  <c r="H955" i="2"/>
  <c r="J956" i="2"/>
  <c r="U390" i="2"/>
  <c r="S390" i="2"/>
  <c r="W390" i="2"/>
  <c r="S765" i="2"/>
  <c r="W765" i="2"/>
  <c r="U765" i="2"/>
  <c r="S343" i="2"/>
  <c r="W343" i="2"/>
  <c r="U343" i="2"/>
  <c r="I913" i="2"/>
  <c r="J913" i="2" s="1"/>
  <c r="J304" i="2"/>
  <c r="R419" i="2"/>
  <c r="J419" i="2"/>
  <c r="J384" i="2"/>
  <c r="T384" i="2"/>
  <c r="J885" i="2"/>
  <c r="R885" i="2"/>
  <c r="H882" i="2"/>
  <c r="J721" i="2"/>
  <c r="J394" i="2"/>
  <c r="R394" i="2"/>
  <c r="H393" i="2"/>
  <c r="S738" i="2"/>
  <c r="W738" i="2"/>
  <c r="U738" i="2"/>
  <c r="J381" i="2"/>
  <c r="T381" i="2"/>
  <c r="I955" i="2"/>
  <c r="W956" i="2"/>
  <c r="U956" i="2"/>
  <c r="S956" i="2"/>
  <c r="J760" i="2"/>
  <c r="T760" i="2"/>
  <c r="W678" i="2"/>
  <c r="U678" i="2"/>
  <c r="S678" i="2"/>
  <c r="I677" i="2"/>
  <c r="J765" i="2"/>
  <c r="T765" i="2"/>
  <c r="S419" i="2"/>
  <c r="W419" i="2"/>
  <c r="U419" i="2"/>
  <c r="R472" i="2"/>
  <c r="H471" i="2"/>
  <c r="J472" i="2"/>
  <c r="S753" i="2"/>
  <c r="W753" i="2"/>
  <c r="U753" i="2"/>
  <c r="S972" i="2"/>
  <c r="W972" i="2"/>
  <c r="U972" i="2"/>
  <c r="W885" i="2"/>
  <c r="U885" i="2"/>
  <c r="S885" i="2"/>
  <c r="I882" i="2"/>
  <c r="W404" i="2"/>
  <c r="U404" i="2"/>
  <c r="S404" i="2"/>
  <c r="J716" i="2"/>
  <c r="T716" i="2"/>
  <c r="I373" i="2"/>
  <c r="J373" i="2" s="1"/>
  <c r="J660" i="2"/>
  <c r="W760" i="2"/>
  <c r="U760" i="2"/>
  <c r="S760" i="2"/>
  <c r="S648" i="2"/>
  <c r="W648" i="2"/>
  <c r="U648" i="2"/>
  <c r="J491" i="2"/>
  <c r="J678" i="2"/>
  <c r="R678" i="2"/>
  <c r="H677" i="2"/>
  <c r="R910" i="2"/>
  <c r="J910" i="2"/>
  <c r="S472" i="2"/>
  <c r="I471" i="2"/>
  <c r="W472" i="2"/>
  <c r="U472" i="2"/>
  <c r="J712" i="2"/>
  <c r="T712" i="2"/>
  <c r="H700" i="2"/>
  <c r="J700" i="2" s="1"/>
  <c r="J753" i="2"/>
  <c r="T753" i="2"/>
  <c r="J972" i="2"/>
  <c r="T972" i="2"/>
  <c r="C16" i="3" s="1"/>
  <c r="S716" i="2"/>
  <c r="W716" i="2"/>
  <c r="U716" i="2"/>
  <c r="I741" i="2"/>
  <c r="J741" i="2" s="1"/>
  <c r="W447" i="2"/>
  <c r="U447" i="2"/>
  <c r="S447" i="2"/>
  <c r="S910" i="2"/>
  <c r="W910" i="2"/>
  <c r="U910" i="2"/>
  <c r="W801" i="2"/>
  <c r="U801" i="2"/>
  <c r="S801" i="2"/>
  <c r="I798" i="2"/>
  <c r="J484" i="2"/>
  <c r="T484" i="2"/>
  <c r="W712" i="2"/>
  <c r="U712" i="2"/>
  <c r="S712" i="2"/>
  <c r="J934" i="2"/>
  <c r="T934" i="2"/>
  <c r="J390" i="2"/>
  <c r="R390" i="2"/>
  <c r="S599" i="2"/>
  <c r="W599" i="2"/>
  <c r="U599" i="2"/>
  <c r="I598" i="2"/>
  <c r="J598" i="2" s="1"/>
  <c r="R697" i="2"/>
  <c r="J697" i="2"/>
  <c r="J986" i="2" l="1"/>
  <c r="J677" i="2"/>
  <c r="J620" i="2"/>
  <c r="C19" i="3"/>
  <c r="C15" i="3"/>
  <c r="J393" i="2"/>
  <c r="C17" i="3"/>
  <c r="C16" i="6"/>
  <c r="J12" i="5"/>
  <c r="C17" i="6"/>
  <c r="J106" i="5"/>
  <c r="J451" i="2"/>
  <c r="J955" i="2"/>
  <c r="J882" i="2"/>
  <c r="J327" i="2"/>
  <c r="J798" i="2"/>
  <c r="J640" i="2"/>
  <c r="J471" i="2"/>
  <c r="J936" i="2"/>
  <c r="C22" i="3" l="1"/>
  <c r="H27" i="4" s="1"/>
  <c r="I27" i="4" s="1"/>
  <c r="F29" i="4" s="1"/>
  <c r="C22" i="6"/>
  <c r="H27" i="7" s="1"/>
  <c r="I27" i="7" s="1"/>
  <c r="F29" i="7" s="1"/>
  <c r="I22" i="3" l="1"/>
  <c r="H35" i="4"/>
  <c r="I35" i="4" s="1"/>
  <c r="I41" i="4" s="1"/>
  <c r="I24" i="3" s="1"/>
  <c r="C29" i="3" s="1"/>
  <c r="F29" i="3" s="1"/>
  <c r="I22" i="6"/>
  <c r="H35" i="7"/>
  <c r="I35" i="7" s="1"/>
  <c r="I41" i="7" s="1"/>
  <c r="I24" i="6" l="1"/>
  <c r="C29" i="6" s="1"/>
  <c r="F29" i="6" s="1"/>
  <c r="I28" i="3"/>
  <c r="I29" i="3" s="1"/>
  <c r="G9" i="1" s="1"/>
  <c r="J9" i="1" s="1"/>
  <c r="I28" i="6" l="1"/>
  <c r="I29" i="6" s="1"/>
  <c r="G4" i="1" s="1"/>
  <c r="J4" i="1" s="1"/>
  <c r="G11" i="1" l="1"/>
  <c r="J11"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<sst xmlns="http://schemas.openxmlformats.org/spreadsheetml/2006/main" count="14125" uniqueCount="2322">
  <si>
    <t>2. FVE, elektro, osvětlení</t>
  </si>
  <si>
    <t>4. Vnitřní práce, povrchy</t>
  </si>
  <si>
    <t>3. ZTI, plyn, vytápění - kotle, ohřev TV</t>
  </si>
  <si>
    <t>1. DOTACE OP - Zateplení - úspora emisí CO2 - obalové konstrukce</t>
  </si>
  <si>
    <t>celkem cena s DPH</t>
  </si>
  <si>
    <t>Stavební rozpočet</t>
  </si>
  <si>
    <t>Název stavby:</t>
  </si>
  <si>
    <t>Snížení energetické náročnosti Administrativního objektu SSLK, Sosnová u ČL</t>
  </si>
  <si>
    <t>Doba výstavby:</t>
  </si>
  <si>
    <t>Objednatel:</t>
  </si>
  <si>
    <t>SS LK</t>
  </si>
  <si>
    <t>Druh stavby:</t>
  </si>
  <si>
    <t>04 - vnitřní práce a konstrukce - stavební část, stav rozpracovanosti k 20.3.2022</t>
  </si>
  <si>
    <t>Začátek výstavby:</t>
  </si>
  <si>
    <t>Projektant:</t>
  </si>
  <si>
    <t>Ing. Kateřina Tokarová, ČKAIT 0010456</t>
  </si>
  <si>
    <t>Lokalita:</t>
  </si>
  <si>
    <t>areál SSLK Sosnová</t>
  </si>
  <si>
    <t>Konec výstavby:</t>
  </si>
  <si>
    <t>Zhotovitel:</t>
  </si>
  <si>
    <t>není znám</t>
  </si>
  <si>
    <t>JKSO:</t>
  </si>
  <si>
    <t>Zpracováno dne:</t>
  </si>
  <si>
    <t>Zpracoval:</t>
  </si>
  <si>
    <t>Ing. Jiří Tokar</t>
  </si>
  <si>
    <t>Č</t>
  </si>
  <si>
    <t>Objekt</t>
  </si>
  <si>
    <t>Kód</t>
  </si>
  <si>
    <t>Zkrácený popis</t>
  </si>
  <si>
    <t>M.j.</t>
  </si>
  <si>
    <t>Množství</t>
  </si>
  <si>
    <t>Jednot.</t>
  </si>
  <si>
    <t>Náklady (Kč)</t>
  </si>
  <si>
    <t>Hmotnost (t)</t>
  </si>
  <si>
    <t>Cenová</t>
  </si>
  <si>
    <t xml:space="preserve"> </t>
  </si>
  <si>
    <t>Rozměry</t>
  </si>
  <si>
    <t>cena (Kč)</t>
  </si>
  <si>
    <t>Dodávka</t>
  </si>
  <si>
    <t>Montáž</t>
  </si>
  <si>
    <t>Celkem</t>
  </si>
  <si>
    <t>soustava</t>
  </si>
  <si>
    <t>Přesuny</t>
  </si>
  <si>
    <t>Typ skupiny</t>
  </si>
  <si>
    <t>HSV mat</t>
  </si>
  <si>
    <t>HSV prac</t>
  </si>
  <si>
    <t>PSV mat</t>
  </si>
  <si>
    <t>PSV prac</t>
  </si>
  <si>
    <t>Mont mat</t>
  </si>
  <si>
    <t>Mont prac</t>
  </si>
  <si>
    <t>Ostatní mat.</t>
  </si>
  <si>
    <t>1.01</t>
  </si>
  <si>
    <t>61</t>
  </si>
  <si>
    <t>Úprava povrchů vnitřní</t>
  </si>
  <si>
    <t>HS</t>
  </si>
  <si>
    <t>1</t>
  </si>
  <si>
    <t>612100031RAA</t>
  </si>
  <si>
    <t>Oprava omítek stěn vnitřních vápenocem. štukových</t>
  </si>
  <si>
    <t>m2</t>
  </si>
  <si>
    <t>3</t>
  </si>
  <si>
    <t>61_</t>
  </si>
  <si>
    <t>6_</t>
  </si>
  <si>
    <t>1.01_</t>
  </si>
  <si>
    <t>RTS komentář:</t>
  </si>
  <si>
    <t>V položce není kalkulován poplatek za skládku pro vybouranou suť. Tyto náklady se oceňují individuálně podle místních podmínek. Orientační hmotnost vybouraných konstrukcí je 0,004 t/m2 konstrukce.</t>
  </si>
  <si>
    <t>2</t>
  </si>
  <si>
    <t>611100016RAA</t>
  </si>
  <si>
    <t>Oprava omítek stropů vnitřních cement. štukových</t>
  </si>
  <si>
    <t>63</t>
  </si>
  <si>
    <t>Podlahy a podlahové konstrukce</t>
  </si>
  <si>
    <t>632450020RA0</t>
  </si>
  <si>
    <t>Vyrovnávací potěr          tl. 20mm</t>
  </si>
  <si>
    <t>63_</t>
  </si>
  <si>
    <t>771</t>
  </si>
  <si>
    <t>Podlahy z dlaždic</t>
  </si>
  <si>
    <t>PS</t>
  </si>
  <si>
    <t>4</t>
  </si>
  <si>
    <t>771100020RAA</t>
  </si>
  <si>
    <t>771_</t>
  </si>
  <si>
    <t>77_</t>
  </si>
  <si>
    <t>776</t>
  </si>
  <si>
    <t>Podlahy povlakové</t>
  </si>
  <si>
    <t>5</t>
  </si>
  <si>
    <t>776520030RAB</t>
  </si>
  <si>
    <t>Podlaha povlaková z PVC antistatická, soklík</t>
  </si>
  <si>
    <t>776_</t>
  </si>
  <si>
    <t>783</t>
  </si>
  <si>
    <t>Nátěry</t>
  </si>
  <si>
    <t>6</t>
  </si>
  <si>
    <t>783950010RAA</t>
  </si>
  <si>
    <t>Oprava nátěrů kovových konstrukcí syntet. lakem</t>
  </si>
  <si>
    <t>783_</t>
  </si>
  <si>
    <t>78_</t>
  </si>
  <si>
    <t>784</t>
  </si>
  <si>
    <t>Malby</t>
  </si>
  <si>
    <t>7</t>
  </si>
  <si>
    <t>784450077RA0</t>
  </si>
  <si>
    <t>Malba disperzní, penetrace 1x, malba v barvě 2x</t>
  </si>
  <si>
    <t>784_</t>
  </si>
  <si>
    <t>96</t>
  </si>
  <si>
    <t>Bourání konstrukcí</t>
  </si>
  <si>
    <t>8</t>
  </si>
  <si>
    <t>968095001R00</t>
  </si>
  <si>
    <t>Bourání parapetů dřevěných š. do 25 cm</t>
  </si>
  <si>
    <t>m</t>
  </si>
  <si>
    <t>96_</t>
  </si>
  <si>
    <t>9_</t>
  </si>
  <si>
    <t>V položce není kalkulována manipulace se sutí, která se oceňuje samostatně položkami souboru 979.</t>
  </si>
  <si>
    <t>97</t>
  </si>
  <si>
    <t>Prorážení otvorů a ostatní bourací práce</t>
  </si>
  <si>
    <t>9</t>
  </si>
  <si>
    <t>973031345R00</t>
  </si>
  <si>
    <t>Vysekání kapes zeď cih. MVC pl. 0,25 m2, hl. 30 cm</t>
  </si>
  <si>
    <t>kus</t>
  </si>
  <si>
    <t>97_</t>
  </si>
  <si>
    <t>1.02</t>
  </si>
  <si>
    <t>10</t>
  </si>
  <si>
    <t>1.02_</t>
  </si>
  <si>
    <t>11</t>
  </si>
  <si>
    <t>12</t>
  </si>
  <si>
    <t>13</t>
  </si>
  <si>
    <t>14</t>
  </si>
  <si>
    <t>771570014RA0</t>
  </si>
  <si>
    <t>Dlažba z dlaždic keramických 30 x 30 cm</t>
  </si>
  <si>
    <t>15</t>
  </si>
  <si>
    <t>1.03</t>
  </si>
  <si>
    <t>16</t>
  </si>
  <si>
    <t>1.03_</t>
  </si>
  <si>
    <t>17</t>
  </si>
  <si>
    <t>18</t>
  </si>
  <si>
    <t>64</t>
  </si>
  <si>
    <t>Výplně otvorů</t>
  </si>
  <si>
    <t>19</t>
  </si>
  <si>
    <t>642202012RAD</t>
  </si>
  <si>
    <t>Zazdění dveří dvoukřídlových, omítka</t>
  </si>
  <si>
    <t>64_</t>
  </si>
  <si>
    <t>V položce není kalkulován poplatek za skládku pro vybouranou suť. Tyto náklady se oceňují individuálně podle místních podmínek. Orientační hmotnost vybouraných konstrukcí je 0,202 t/kus konstrukce.</t>
  </si>
  <si>
    <t>20</t>
  </si>
  <si>
    <t>767640122RAC</t>
  </si>
  <si>
    <t>Dveře protipožární dvoukřídlové 145 x X cm</t>
  </si>
  <si>
    <t>21</t>
  </si>
  <si>
    <t>22</t>
  </si>
  <si>
    <t>23</t>
  </si>
  <si>
    <t>776510010RA0</t>
  </si>
  <si>
    <t>Demontáž povlakových podlah z nášlapné plochy</t>
  </si>
  <si>
    <t>V položce není kalkulován poplatek za skládku pro vybouranou suť. Tyto náklady se oceňují individuálně podle místních podmínek. Orientační hmotnost vybouraných konstrukcí je 0,001 t/m2 konstrukce.</t>
  </si>
  <si>
    <t>24</t>
  </si>
  <si>
    <t>776220010RAC</t>
  </si>
  <si>
    <t>Povlaková podlaha schodišť z plastové krytiny</t>
  </si>
  <si>
    <t>25</t>
  </si>
  <si>
    <t>26</t>
  </si>
  <si>
    <t>1.04</t>
  </si>
  <si>
    <t>27</t>
  </si>
  <si>
    <t>1.04_</t>
  </si>
  <si>
    <t>28</t>
  </si>
  <si>
    <t>29</t>
  </si>
  <si>
    <t>612475221RT3</t>
  </si>
  <si>
    <t>V položce nejsou zakalkulovány náklady na pomocné lešení výšky do 1900 mm a pro zatížení do 1,5 kPa. V položce najsou zakalkulovány náklady na použití rohových lišt a armovací skelné tkaniny</t>
  </si>
  <si>
    <t>30</t>
  </si>
  <si>
    <t>31</t>
  </si>
  <si>
    <t>32</t>
  </si>
  <si>
    <t>33</t>
  </si>
  <si>
    <t>34</t>
  </si>
  <si>
    <t>35</t>
  </si>
  <si>
    <t>36</t>
  </si>
  <si>
    <t>1.05</t>
  </si>
  <si>
    <t>0</t>
  </si>
  <si>
    <t>Všeobecné konstrukce a práce</t>
  </si>
  <si>
    <t>37</t>
  </si>
  <si>
    <t>007VD</t>
  </si>
  <si>
    <t>SDK podhled svěšený</t>
  </si>
  <si>
    <t>0_</t>
  </si>
  <si>
    <t>1.05_</t>
  </si>
  <si>
    <t>38</t>
  </si>
  <si>
    <t>39</t>
  </si>
  <si>
    <t>40</t>
  </si>
  <si>
    <t>41</t>
  </si>
  <si>
    <t>42</t>
  </si>
  <si>
    <t>1.06</t>
  </si>
  <si>
    <t>43</t>
  </si>
  <si>
    <t>1.06_</t>
  </si>
  <si>
    <t>44</t>
  </si>
  <si>
    <t>45</t>
  </si>
  <si>
    <t>46</t>
  </si>
  <si>
    <t>47</t>
  </si>
  <si>
    <t>631310004RAB</t>
  </si>
  <si>
    <t>Mazanina podkladní z betonu C 8/10, tl. 15 cm</t>
  </si>
  <si>
    <t>48</t>
  </si>
  <si>
    <t>49</t>
  </si>
  <si>
    <t>781</t>
  </si>
  <si>
    <t>Obklady (keramické)</t>
  </si>
  <si>
    <t>50</t>
  </si>
  <si>
    <t>781470014RA0</t>
  </si>
  <si>
    <t>Obklad vnitřní keramický 30 x 30 cm</t>
  </si>
  <si>
    <t>781_</t>
  </si>
  <si>
    <t>51</t>
  </si>
  <si>
    <t>52</t>
  </si>
  <si>
    <t>53</t>
  </si>
  <si>
    <t>1.07</t>
  </si>
  <si>
    <t>54</t>
  </si>
  <si>
    <t>1.07_</t>
  </si>
  <si>
    <t>55</t>
  </si>
  <si>
    <t>56</t>
  </si>
  <si>
    <t>57</t>
  </si>
  <si>
    <t>58</t>
  </si>
  <si>
    <t>59</t>
  </si>
  <si>
    <t>60</t>
  </si>
  <si>
    <t>62</t>
  </si>
  <si>
    <t>1.08</t>
  </si>
  <si>
    <t>1.08_</t>
  </si>
  <si>
    <t>65</t>
  </si>
  <si>
    <t>66</t>
  </si>
  <si>
    <t>67</t>
  </si>
  <si>
    <t>68</t>
  </si>
  <si>
    <t>69</t>
  </si>
  <si>
    <t>70</t>
  </si>
  <si>
    <t>71</t>
  </si>
  <si>
    <t>72</t>
  </si>
  <si>
    <t>73</t>
  </si>
  <si>
    <t>1.09</t>
  </si>
  <si>
    <t>74</t>
  </si>
  <si>
    <t>1.09_</t>
  </si>
  <si>
    <t>75</t>
  </si>
  <si>
    <t>76</t>
  </si>
  <si>
    <t>77</t>
  </si>
  <si>
    <t>78</t>
  </si>
  <si>
    <t>642940092RAA</t>
  </si>
  <si>
    <t>Montáž dveří dvoukřídlových</t>
  </si>
  <si>
    <t>Bez dodávky dveří</t>
  </si>
  <si>
    <t>766</t>
  </si>
  <si>
    <t>Konstrukce truhlářské</t>
  </si>
  <si>
    <t>79</t>
  </si>
  <si>
    <t>766900040RAB</t>
  </si>
  <si>
    <t>Demontáž dřevěných stěn</t>
  </si>
  <si>
    <t>766_</t>
  </si>
  <si>
    <t>76_</t>
  </si>
  <si>
    <t>V položce není kalkulován poplatek za skládku pro vybouranou suť. Tyto náklady se oceňují individuálně podle místních podmínek. Orientační hmotnost vybouraných konstrukcí je 0,016 t/m2 konstrukce.</t>
  </si>
  <si>
    <t>80</t>
  </si>
  <si>
    <t>766660024RA0</t>
  </si>
  <si>
    <t>Montáž dveří dvoukřídlových šířky 145 cm</t>
  </si>
  <si>
    <t>Dodávka a montáž prahu, bez dodávky dveří.</t>
  </si>
  <si>
    <t>81</t>
  </si>
  <si>
    <t>766120110RA0</t>
  </si>
  <si>
    <t>stěny dřevěné</t>
  </si>
  <si>
    <t>82</t>
  </si>
  <si>
    <t>83</t>
  </si>
  <si>
    <t>84</t>
  </si>
  <si>
    <t>85</t>
  </si>
  <si>
    <t>86</t>
  </si>
  <si>
    <t>87</t>
  </si>
  <si>
    <t>1.10-19</t>
  </si>
  <si>
    <t>88</t>
  </si>
  <si>
    <t>1.10-19_</t>
  </si>
  <si>
    <t>89</t>
  </si>
  <si>
    <t>90</t>
  </si>
  <si>
    <t>91</t>
  </si>
  <si>
    <t>92</t>
  </si>
  <si>
    <t>93</t>
  </si>
  <si>
    <t>94</t>
  </si>
  <si>
    <t>781950020RAA</t>
  </si>
  <si>
    <t>Odsekání stávaj. obkladu vnějšího a zřízení nového výška 2 m</t>
  </si>
  <si>
    <t>95</t>
  </si>
  <si>
    <t>1.20</t>
  </si>
  <si>
    <t>98</t>
  </si>
  <si>
    <t>1.20_</t>
  </si>
  <si>
    <t>99</t>
  </si>
  <si>
    <t>100</t>
  </si>
  <si>
    <t>101</t>
  </si>
  <si>
    <t>102</t>
  </si>
  <si>
    <t>103</t>
  </si>
  <si>
    <t>104</t>
  </si>
  <si>
    <t>105</t>
  </si>
  <si>
    <t>106</t>
  </si>
  <si>
    <t>1.21</t>
  </si>
  <si>
    <t>107</t>
  </si>
  <si>
    <t>1.21_</t>
  </si>
  <si>
    <t>108</t>
  </si>
  <si>
    <t>109</t>
  </si>
  <si>
    <t>110</t>
  </si>
  <si>
    <t>111</t>
  </si>
  <si>
    <t>112</t>
  </si>
  <si>
    <t>113</t>
  </si>
  <si>
    <t>114</t>
  </si>
  <si>
    <t>115</t>
  </si>
  <si>
    <t>1.22-5</t>
  </si>
  <si>
    <t>116</t>
  </si>
  <si>
    <t>1.22-5_</t>
  </si>
  <si>
    <t>117</t>
  </si>
  <si>
    <t>118</t>
  </si>
  <si>
    <t>119</t>
  </si>
  <si>
    <t>120</t>
  </si>
  <si>
    <t>121</t>
  </si>
  <si>
    <t>122</t>
  </si>
  <si>
    <t>123</t>
  </si>
  <si>
    <t>124</t>
  </si>
  <si>
    <t>125</t>
  </si>
  <si>
    <t>2.01</t>
  </si>
  <si>
    <t>126</t>
  </si>
  <si>
    <t>2.01_</t>
  </si>
  <si>
    <t>127</t>
  </si>
  <si>
    <t>128</t>
  </si>
  <si>
    <t>129</t>
  </si>
  <si>
    <t>130</t>
  </si>
  <si>
    <t>131</t>
  </si>
  <si>
    <t>132</t>
  </si>
  <si>
    <t>133</t>
  </si>
  <si>
    <t>134</t>
  </si>
  <si>
    <t>2.02</t>
  </si>
  <si>
    <t>135</t>
  </si>
  <si>
    <t>2.02_</t>
  </si>
  <si>
    <t>136</t>
  </si>
  <si>
    <t>137</t>
  </si>
  <si>
    <t>631310131RA0</t>
  </si>
  <si>
    <t>Mazanina z betonu C 16/20, tloušťka 8 cm</t>
  </si>
  <si>
    <t>138</t>
  </si>
  <si>
    <t>139</t>
  </si>
  <si>
    <t>140</t>
  </si>
  <si>
    <t>141</t>
  </si>
  <si>
    <t>142</t>
  </si>
  <si>
    <t>143</t>
  </si>
  <si>
    <t>144</t>
  </si>
  <si>
    <t>145</t>
  </si>
  <si>
    <t>146</t>
  </si>
  <si>
    <t>2.03</t>
  </si>
  <si>
    <t>147</t>
  </si>
  <si>
    <t>2.03_</t>
  </si>
  <si>
    <t>148</t>
  </si>
  <si>
    <t>149</t>
  </si>
  <si>
    <t>150</t>
  </si>
  <si>
    <t>151</t>
  </si>
  <si>
    <t>152</t>
  </si>
  <si>
    <t>153</t>
  </si>
  <si>
    <t>154</t>
  </si>
  <si>
    <t>2.04</t>
  </si>
  <si>
    <t>155</t>
  </si>
  <si>
    <t>2.04_</t>
  </si>
  <si>
    <t>156</t>
  </si>
  <si>
    <t>157</t>
  </si>
  <si>
    <t>158</t>
  </si>
  <si>
    <t>159</t>
  </si>
  <si>
    <t>160</t>
  </si>
  <si>
    <t>161</t>
  </si>
  <si>
    <t>162</t>
  </si>
  <si>
    <t>2.05</t>
  </si>
  <si>
    <t>163</t>
  </si>
  <si>
    <t>2.05_</t>
  </si>
  <si>
    <t>164</t>
  </si>
  <si>
    <t>165</t>
  </si>
  <si>
    <t>166</t>
  </si>
  <si>
    <t>167</t>
  </si>
  <si>
    <t>168</t>
  </si>
  <si>
    <t>169</t>
  </si>
  <si>
    <t>170</t>
  </si>
  <si>
    <t>2.06</t>
  </si>
  <si>
    <t>171</t>
  </si>
  <si>
    <t>2.06_</t>
  </si>
  <si>
    <t>172</t>
  </si>
  <si>
    <t>173</t>
  </si>
  <si>
    <t>174</t>
  </si>
  <si>
    <t>175</t>
  </si>
  <si>
    <t>176</t>
  </si>
  <si>
    <t>177</t>
  </si>
  <si>
    <t>178</t>
  </si>
  <si>
    <t>2.07-27</t>
  </si>
  <si>
    <t>179</t>
  </si>
  <si>
    <t>2.07-27_</t>
  </si>
  <si>
    <t>180</t>
  </si>
  <si>
    <t>181</t>
  </si>
  <si>
    <t>182</t>
  </si>
  <si>
    <t>183</t>
  </si>
  <si>
    <t>184</t>
  </si>
  <si>
    <t>185</t>
  </si>
  <si>
    <t>186</t>
  </si>
  <si>
    <t>2.10</t>
  </si>
  <si>
    <t>187</t>
  </si>
  <si>
    <t>2.10_</t>
  </si>
  <si>
    <t>188</t>
  </si>
  <si>
    <t>189</t>
  </si>
  <si>
    <t>190</t>
  </si>
  <si>
    <t>191</t>
  </si>
  <si>
    <t>192</t>
  </si>
  <si>
    <t>193</t>
  </si>
  <si>
    <t>194</t>
  </si>
  <si>
    <t>2.11</t>
  </si>
  <si>
    <t>195</t>
  </si>
  <si>
    <t>2.11_</t>
  </si>
  <si>
    <t>196</t>
  </si>
  <si>
    <t>197</t>
  </si>
  <si>
    <t>198</t>
  </si>
  <si>
    <t>199</t>
  </si>
  <si>
    <t>200</t>
  </si>
  <si>
    <t>201</t>
  </si>
  <si>
    <t>202</t>
  </si>
  <si>
    <t>2.12</t>
  </si>
  <si>
    <t>203</t>
  </si>
  <si>
    <t>2.12_</t>
  </si>
  <si>
    <t>204</t>
  </si>
  <si>
    <t>205</t>
  </si>
  <si>
    <t>206</t>
  </si>
  <si>
    <t>207</t>
  </si>
  <si>
    <t>208</t>
  </si>
  <si>
    <t>209</t>
  </si>
  <si>
    <t>210</t>
  </si>
  <si>
    <t>2.13</t>
  </si>
  <si>
    <t>211</t>
  </si>
  <si>
    <t>2.13_</t>
  </si>
  <si>
    <t>212</t>
  </si>
  <si>
    <t>213</t>
  </si>
  <si>
    <t>214</t>
  </si>
  <si>
    <t>215</t>
  </si>
  <si>
    <t>216</t>
  </si>
  <si>
    <t>217</t>
  </si>
  <si>
    <t>218</t>
  </si>
  <si>
    <t>219</t>
  </si>
  <si>
    <t>2.14</t>
  </si>
  <si>
    <t>220</t>
  </si>
  <si>
    <t>2.14_</t>
  </si>
  <si>
    <t>221</t>
  </si>
  <si>
    <t>222</t>
  </si>
  <si>
    <t>223</t>
  </si>
  <si>
    <t>224</t>
  </si>
  <si>
    <t>225</t>
  </si>
  <si>
    <t>226</t>
  </si>
  <si>
    <t>227</t>
  </si>
  <si>
    <t>228</t>
  </si>
  <si>
    <t>2.15</t>
  </si>
  <si>
    <t>229</t>
  </si>
  <si>
    <t>2.15_</t>
  </si>
  <si>
    <t>230</t>
  </si>
  <si>
    <t>231</t>
  </si>
  <si>
    <t>232</t>
  </si>
  <si>
    <t>233</t>
  </si>
  <si>
    <t>234</t>
  </si>
  <si>
    <t>235</t>
  </si>
  <si>
    <t>236</t>
  </si>
  <si>
    <t>237</t>
  </si>
  <si>
    <t>2.16-25</t>
  </si>
  <si>
    <t>238</t>
  </si>
  <si>
    <t>2.16-25_</t>
  </si>
  <si>
    <t>239</t>
  </si>
  <si>
    <t>240</t>
  </si>
  <si>
    <t>241</t>
  </si>
  <si>
    <t>242</t>
  </si>
  <si>
    <t>243</t>
  </si>
  <si>
    <t>781475125RAA</t>
  </si>
  <si>
    <t>244</t>
  </si>
  <si>
    <t>245</t>
  </si>
  <si>
    <t>246</t>
  </si>
  <si>
    <t>2.18</t>
  </si>
  <si>
    <t>247</t>
  </si>
  <si>
    <t>2.18_</t>
  </si>
  <si>
    <t>248</t>
  </si>
  <si>
    <t>249</t>
  </si>
  <si>
    <t>250</t>
  </si>
  <si>
    <t>251</t>
  </si>
  <si>
    <t>252</t>
  </si>
  <si>
    <t>253</t>
  </si>
  <si>
    <t>254</t>
  </si>
  <si>
    <t>255</t>
  </si>
  <si>
    <t>2.19</t>
  </si>
  <si>
    <t>256</t>
  </si>
  <si>
    <t>2.19_</t>
  </si>
  <si>
    <t>257</t>
  </si>
  <si>
    <t>258</t>
  </si>
  <si>
    <t>259</t>
  </si>
  <si>
    <t>260</t>
  </si>
  <si>
    <t>261</t>
  </si>
  <si>
    <t>262</t>
  </si>
  <si>
    <t>263</t>
  </si>
  <si>
    <t>2.20</t>
  </si>
  <si>
    <t>264</t>
  </si>
  <si>
    <t>2.20_</t>
  </si>
  <si>
    <t>265</t>
  </si>
  <si>
    <t>266</t>
  </si>
  <si>
    <t>267</t>
  </si>
  <si>
    <t>268</t>
  </si>
  <si>
    <t>269</t>
  </si>
  <si>
    <t>270</t>
  </si>
  <si>
    <t>271</t>
  </si>
  <si>
    <t>2.28</t>
  </si>
  <si>
    <t>272</t>
  </si>
  <si>
    <t>2.28_</t>
  </si>
  <si>
    <t>273</t>
  </si>
  <si>
    <t>274</t>
  </si>
  <si>
    <t>275</t>
  </si>
  <si>
    <t>276</t>
  </si>
  <si>
    <t>277</t>
  </si>
  <si>
    <t>278</t>
  </si>
  <si>
    <t>3.01</t>
  </si>
  <si>
    <t>279</t>
  </si>
  <si>
    <t>3.01_</t>
  </si>
  <si>
    <t>280</t>
  </si>
  <si>
    <t>281</t>
  </si>
  <si>
    <t>282</t>
  </si>
  <si>
    <t>283</t>
  </si>
  <si>
    <t>284</t>
  </si>
  <si>
    <t>285</t>
  </si>
  <si>
    <t>286</t>
  </si>
  <si>
    <t>287</t>
  </si>
  <si>
    <t>3.02</t>
  </si>
  <si>
    <t>288</t>
  </si>
  <si>
    <t>3.02_</t>
  </si>
  <si>
    <t>289</t>
  </si>
  <si>
    <t>290</t>
  </si>
  <si>
    <t>291</t>
  </si>
  <si>
    <t>292</t>
  </si>
  <si>
    <t>293</t>
  </si>
  <si>
    <t>294</t>
  </si>
  <si>
    <t>295</t>
  </si>
  <si>
    <t>296</t>
  </si>
  <si>
    <t>3.03</t>
  </si>
  <si>
    <t>297</t>
  </si>
  <si>
    <t>3.03_</t>
  </si>
  <si>
    <t>298</t>
  </si>
  <si>
    <t>299</t>
  </si>
  <si>
    <t>300</t>
  </si>
  <si>
    <t>301</t>
  </si>
  <si>
    <t>302</t>
  </si>
  <si>
    <t>303</t>
  </si>
  <si>
    <t>304</t>
  </si>
  <si>
    <t>3.04/16</t>
  </si>
  <si>
    <t>305</t>
  </si>
  <si>
    <t>3.04/16_</t>
  </si>
  <si>
    <t>306</t>
  </si>
  <si>
    <t>307</t>
  </si>
  <si>
    <t>308</t>
  </si>
  <si>
    <t>309</t>
  </si>
  <si>
    <t>725</t>
  </si>
  <si>
    <t>Zařizovací předměty</t>
  </si>
  <si>
    <t>310</t>
  </si>
  <si>
    <t>725100005RA0</t>
  </si>
  <si>
    <t>Sprchová kabina, baterie, zápachová uzávěrka</t>
  </si>
  <si>
    <t>725_</t>
  </si>
  <si>
    <t>72_</t>
  </si>
  <si>
    <t>311</t>
  </si>
  <si>
    <t>312</t>
  </si>
  <si>
    <t>313</t>
  </si>
  <si>
    <t>314</t>
  </si>
  <si>
    <t>315</t>
  </si>
  <si>
    <t>316</t>
  </si>
  <si>
    <t>317</t>
  </si>
  <si>
    <t>3.05/16</t>
  </si>
  <si>
    <t>318</t>
  </si>
  <si>
    <t>3.05/16_</t>
  </si>
  <si>
    <t>319</t>
  </si>
  <si>
    <t>320</t>
  </si>
  <si>
    <t>321</t>
  </si>
  <si>
    <t>322</t>
  </si>
  <si>
    <t>323</t>
  </si>
  <si>
    <t>324</t>
  </si>
  <si>
    <t>325</t>
  </si>
  <si>
    <t>326</t>
  </si>
  <si>
    <t>327</t>
  </si>
  <si>
    <t>328</t>
  </si>
  <si>
    <t>3.07/19</t>
  </si>
  <si>
    <t>329</t>
  </si>
  <si>
    <t>3.07/19_</t>
  </si>
  <si>
    <t>330</t>
  </si>
  <si>
    <t>331</t>
  </si>
  <si>
    <t>332</t>
  </si>
  <si>
    <t>333</t>
  </si>
  <si>
    <t>334</t>
  </si>
  <si>
    <t>335</t>
  </si>
  <si>
    <t>336</t>
  </si>
  <si>
    <t>337</t>
  </si>
  <si>
    <t>338</t>
  </si>
  <si>
    <t>339</t>
  </si>
  <si>
    <t>340</t>
  </si>
  <si>
    <t>341</t>
  </si>
  <si>
    <t>3.08</t>
  </si>
  <si>
    <t>342</t>
  </si>
  <si>
    <t>3.08_</t>
  </si>
  <si>
    <t>343</t>
  </si>
  <si>
    <t>344</t>
  </si>
  <si>
    <t>345</t>
  </si>
  <si>
    <t>346</t>
  </si>
  <si>
    <t>347</t>
  </si>
  <si>
    <t>348</t>
  </si>
  <si>
    <t>3.09</t>
  </si>
  <si>
    <t>349</t>
  </si>
  <si>
    <t>3.09_</t>
  </si>
  <si>
    <t>350</t>
  </si>
  <si>
    <t>351</t>
  </si>
  <si>
    <t>352</t>
  </si>
  <si>
    <t>353</t>
  </si>
  <si>
    <t>354</t>
  </si>
  <si>
    <t>355</t>
  </si>
  <si>
    <t>3.10</t>
  </si>
  <si>
    <t>356</t>
  </si>
  <si>
    <t>3.10_</t>
  </si>
  <si>
    <t>357</t>
  </si>
  <si>
    <t>358</t>
  </si>
  <si>
    <t>359</t>
  </si>
  <si>
    <t>360</t>
  </si>
  <si>
    <t>361</t>
  </si>
  <si>
    <t>362</t>
  </si>
  <si>
    <t>363</t>
  </si>
  <si>
    <t>3.11/20</t>
  </si>
  <si>
    <t>364</t>
  </si>
  <si>
    <t>3.11/20_</t>
  </si>
  <si>
    <t>365</t>
  </si>
  <si>
    <t>366</t>
  </si>
  <si>
    <t>367</t>
  </si>
  <si>
    <t>368</t>
  </si>
  <si>
    <t>369</t>
  </si>
  <si>
    <t>370</t>
  </si>
  <si>
    <t>371</t>
  </si>
  <si>
    <t>372</t>
  </si>
  <si>
    <t>373</t>
  </si>
  <si>
    <t>374</t>
  </si>
  <si>
    <t>375</t>
  </si>
  <si>
    <t>376</t>
  </si>
  <si>
    <t>3.12/22</t>
  </si>
  <si>
    <t>377</t>
  </si>
  <si>
    <t>3.12/22_</t>
  </si>
  <si>
    <t>378</t>
  </si>
  <si>
    <t>379</t>
  </si>
  <si>
    <t>380</t>
  </si>
  <si>
    <t>381</t>
  </si>
  <si>
    <t>382</t>
  </si>
  <si>
    <t>383</t>
  </si>
  <si>
    <t>384</t>
  </si>
  <si>
    <t>385</t>
  </si>
  <si>
    <t>386</t>
  </si>
  <si>
    <t>3.15</t>
  </si>
  <si>
    <t>387</t>
  </si>
  <si>
    <t>3.15_</t>
  </si>
  <si>
    <t>388</t>
  </si>
  <si>
    <t>389</t>
  </si>
  <si>
    <t>390</t>
  </si>
  <si>
    <t>391</t>
  </si>
  <si>
    <t>392</t>
  </si>
  <si>
    <t>393</t>
  </si>
  <si>
    <t>394</t>
  </si>
  <si>
    <t>3.21/24</t>
  </si>
  <si>
    <t>395</t>
  </si>
  <si>
    <t>3.21/24_</t>
  </si>
  <si>
    <t>396</t>
  </si>
  <si>
    <t>397</t>
  </si>
  <si>
    <t>398</t>
  </si>
  <si>
    <t>399</t>
  </si>
  <si>
    <t>400</t>
  </si>
  <si>
    <t>401</t>
  </si>
  <si>
    <t>402</t>
  </si>
  <si>
    <t>403</t>
  </si>
  <si>
    <t>404</t>
  </si>
  <si>
    <t>405</t>
  </si>
  <si>
    <t>406</t>
  </si>
  <si>
    <t>407</t>
  </si>
  <si>
    <t>3.25</t>
  </si>
  <si>
    <t>408</t>
  </si>
  <si>
    <t>3.25_</t>
  </si>
  <si>
    <t>409</t>
  </si>
  <si>
    <t>410</t>
  </si>
  <si>
    <t>411</t>
  </si>
  <si>
    <t>412</t>
  </si>
  <si>
    <t>413</t>
  </si>
  <si>
    <t>414</t>
  </si>
  <si>
    <t>415</t>
  </si>
  <si>
    <t>3.26</t>
  </si>
  <si>
    <t>416</t>
  </si>
  <si>
    <t>3.26_</t>
  </si>
  <si>
    <t>417</t>
  </si>
  <si>
    <t>418</t>
  </si>
  <si>
    <t>419</t>
  </si>
  <si>
    <t>420</t>
  </si>
  <si>
    <t>421</t>
  </si>
  <si>
    <t>422</t>
  </si>
  <si>
    <t>Celkem:</t>
  </si>
  <si>
    <t>Poznámka:</t>
  </si>
  <si>
    <t>Krycí list rozpočtu</t>
  </si>
  <si>
    <t>IČ/DIČ:</t>
  </si>
  <si>
    <t>Položek:</t>
  </si>
  <si>
    <t>Datum:</t>
  </si>
  <si>
    <t>Rozpočtové náklady v Kč</t>
  </si>
  <si>
    <t>A</t>
  </si>
  <si>
    <t>Základní rozpočtové náklady</t>
  </si>
  <si>
    <t>B</t>
  </si>
  <si>
    <t>Doplňkové náklady</t>
  </si>
  <si>
    <t>C</t>
  </si>
  <si>
    <t>Náklady na umístění stavby (NUS)</t>
  </si>
  <si>
    <t>HSV</t>
  </si>
  <si>
    <t>Dodávky</t>
  </si>
  <si>
    <t>Práce přesčas</t>
  </si>
  <si>
    <t>Zařízení staveniště</t>
  </si>
  <si>
    <t>Bez pevné podl.</t>
  </si>
  <si>
    <t>Mimostav. doprava</t>
  </si>
  <si>
    <t>PSV</t>
  </si>
  <si>
    <t>Kulturní památka</t>
  </si>
  <si>
    <t>Územní vlivy</t>
  </si>
  <si>
    <t>Provozní vlivy</t>
  </si>
  <si>
    <t>"M"</t>
  </si>
  <si>
    <t>Ostatní</t>
  </si>
  <si>
    <t>NUS z rozpočtu</t>
  </si>
  <si>
    <t>Ostatní materiál</t>
  </si>
  <si>
    <t>Přesun hmot a sutí</t>
  </si>
  <si>
    <t>ZRN celkem</t>
  </si>
  <si>
    <t>DN celkem</t>
  </si>
  <si>
    <t>NUS celkem</t>
  </si>
  <si>
    <t>DN celkem z obj.</t>
  </si>
  <si>
    <t>NUS celkem z obj.</t>
  </si>
  <si>
    <t>ORN celkem</t>
  </si>
  <si>
    <t>ORN celkem z obj.</t>
  </si>
  <si>
    <t>Základ 0%</t>
  </si>
  <si>
    <t>Základ 15%</t>
  </si>
  <si>
    <t>DPH 15%</t>
  </si>
  <si>
    <t>Celkem bez DPH</t>
  </si>
  <si>
    <t>Základ 21%</t>
  </si>
  <si>
    <t>DPH 21%</t>
  </si>
  <si>
    <t>Celkem včetně DPH</t>
  </si>
  <si>
    <t>Projektant</t>
  </si>
  <si>
    <t>Objednatel</t>
  </si>
  <si>
    <t>Zhotovitel</t>
  </si>
  <si>
    <t>Datum, razítko a podpis</t>
  </si>
  <si>
    <t>Vedlejší a ostatní rozpočtové náklady</t>
  </si>
  <si>
    <t>Vedlejší rozpočtové náklady VRN</t>
  </si>
  <si>
    <t>Doplňkové náklady DN</t>
  </si>
  <si>
    <t>Kč</t>
  </si>
  <si>
    <t>%</t>
  </si>
  <si>
    <t>Základna</t>
  </si>
  <si>
    <t>Celkem DN</t>
  </si>
  <si>
    <t>Celkem NUS</t>
  </si>
  <si>
    <t>Celkem VRN</t>
  </si>
  <si>
    <t>Ostatní rozpočtové náklady ORN</t>
  </si>
  <si>
    <t>Ostatní rozpočtové náklady (ORN)</t>
  </si>
  <si>
    <t>Doprava materiálu</t>
  </si>
  <si>
    <t>Dokumentace skut. pr</t>
  </si>
  <si>
    <t>úpravy kolem objektu</t>
  </si>
  <si>
    <t>Demontáž antén atd</t>
  </si>
  <si>
    <t>Přeložení kabelů fas</t>
  </si>
  <si>
    <t>Sonda střechy</t>
  </si>
  <si>
    <t>Celkem ORN</t>
  </si>
  <si>
    <t>01 - obalové konstrukce nad dotaci administrativní budova</t>
  </si>
  <si>
    <t>01</t>
  </si>
  <si>
    <t>SO1 - katalogové položky</t>
  </si>
  <si>
    <t>Zdi podpěrné a volné</t>
  </si>
  <si>
    <t>311270045RAA</t>
  </si>
  <si>
    <t>m3</t>
  </si>
  <si>
    <t>31_</t>
  </si>
  <si>
    <t>3_</t>
  </si>
  <si>
    <t>01_</t>
  </si>
  <si>
    <t>612409991RT2</t>
  </si>
  <si>
    <t>Začištění omítek kolem oken,dveří apod.</t>
  </si>
  <si>
    <t>612450016RA0</t>
  </si>
  <si>
    <t>Omítka stěn vnitřní cementová štuková</t>
  </si>
  <si>
    <t>Úprava povrchů vnější</t>
  </si>
  <si>
    <t>620991121R00</t>
  </si>
  <si>
    <t>Zakrývání výplní vnějších otvorů z lešení</t>
  </si>
  <si>
    <t>62_</t>
  </si>
  <si>
    <t>Zakrývání výplní vnějších otvorů s rámy a zárubněmi, zábradlí, předmětů, oplechování apod., která se zřizují ještě před úpravami povrchu, před jejich znečištěním při úpravách povrchu nástřikem plastických (lepivých) maltovin, prováděné z lešení. Položka je určena pro zakrývání jakýmkoliv způsobem.  Množství měrných jednotek se určuje v m2 plochy kótovaných okenních otvorů, v rozměrech předmětů, konstrukcí, oplechování apod. jsou-li zcela obklopeny nástřikem. Zakrývání okrajů nastříkaných ploch a osaěmlých pásů ohraničených oplechováním, obklady, souvislým pásem oken, ochrana dlažby logií pod upravovanou stěnou apod. se určuje v ploše pruhů o šířce nejvýše 400 mm. Odkrytí je v položce započteno.</t>
  </si>
  <si>
    <t>622904112R00</t>
  </si>
  <si>
    <t>Očištění fasád tlakovou vodou složitost 1 - 2</t>
  </si>
  <si>
    <t>622315123RU1</t>
  </si>
  <si>
    <t>Položka obsahuje: nanesení lepicího tmelu na izolační desky, nalepení desek, zajištění talířovými hmoždinkami (6 ks/m2), přebroušení desek, natažení stěrky, vtlačení výztužné tkaniny (1,15 m2/m2), přehlazení stěrky, kontaktní nátěr a povrchovou úpravu omítkou. V položce je obsaženo 0,14 m rohových lišt na m2.</t>
  </si>
  <si>
    <t>622391124R00</t>
  </si>
  <si>
    <t>Příplatek za hmoždinky STR U 12 ks/m2</t>
  </si>
  <si>
    <t>Tento příplatek nelze použít k položkám 622 31-19 Zateplovací systém s pórobetonovými deskami Multipor. Tento systém je s hmoždinkami STR U zkalkulován. Příplatek se nepoužívá pro zateplovací systémy 622 3 od tloušťky 160 mm; tyto položky již hmoždinky STR U obsahují.</t>
  </si>
  <si>
    <t>622300037RAB</t>
  </si>
  <si>
    <t>KZS s polystyrenem,plocha bez otvorů,budovy nad 6m</t>
  </si>
  <si>
    <t>Osazení soklové lišty. Nalepení tepelně izolačních fasádních desek. Zajištění terčovými hmoždinkami. Vyztužení rohů lištami. Nanesení lepicí stěrky na zabroušený podklad, vlepení výztužné sklolaminátové síťoviny, zatření stěrky. Penetrační nátěr, povrchová úprava omítkou. Včetně montáže, demontáže a jednoměsíčního nájmu lešení.</t>
  </si>
  <si>
    <t>621450010RAA</t>
  </si>
  <si>
    <t>Omítka podhledů vnější cementová štuková</t>
  </si>
  <si>
    <t>641960000R00</t>
  </si>
  <si>
    <t>Těsnění spár otvorových prvků PU pěnou</t>
  </si>
  <si>
    <t>712</t>
  </si>
  <si>
    <t>Izolace střech (živičné krytiny)</t>
  </si>
  <si>
    <t>712340012RAC</t>
  </si>
  <si>
    <t>Povlaková krytina střech do 10°, přitavením, 2x</t>
  </si>
  <si>
    <t>712_</t>
  </si>
  <si>
    <t>71_</t>
  </si>
  <si>
    <t>712300030RAA</t>
  </si>
  <si>
    <t>Oprava povlakové krytiny asfaltovaným pásem</t>
  </si>
  <si>
    <t>V položce není kalkulován poplatek za skládku pro vybouranou suť. Tyto náklady se oceňují individuálně podle místních podmínek. Orientační hmotnost vybouraných konstrukcí je 0,094 t/m2 konstrukce.</t>
  </si>
  <si>
    <t>712330012RAC</t>
  </si>
  <si>
    <t>Povlaková krytina střech do 10°, do asfaltu, 2x</t>
  </si>
  <si>
    <t>713</t>
  </si>
  <si>
    <t>Izolace tepelné</t>
  </si>
  <si>
    <t>713141111R00</t>
  </si>
  <si>
    <t>Izolace tepelná střech plně lep.asfaltem, 1vrstvá</t>
  </si>
  <si>
    <t>713_</t>
  </si>
  <si>
    <t>Položka je určena pro montáž tepelné izolace střech na plný podklad přilepením zplna asfaltem. V položce není zakalkulována dodávka izolačního materiálu. Tato dodávka se oceňuje ve specifikaci. Při stanovení množství tepelné izolace se z celkového množství neodečítají otvory nebo neizolované plochy menší než 2 m2.</t>
  </si>
  <si>
    <t>713120040RAGVD</t>
  </si>
  <si>
    <t>Izolace střechy EPS 100 S Stabil tl. 220 mm, min. 20 kg/m3</t>
  </si>
  <si>
    <t>721</t>
  </si>
  <si>
    <t>Vnitřní kanalizace</t>
  </si>
  <si>
    <t>721234101RT1</t>
  </si>
  <si>
    <t>721_</t>
  </si>
  <si>
    <t>728</t>
  </si>
  <si>
    <t>Vzduchotechnika</t>
  </si>
  <si>
    <t>728212712R00</t>
  </si>
  <si>
    <t>Montáž střišky nebo hlavice plech.kruh.do d 200 mm</t>
  </si>
  <si>
    <t>728_</t>
  </si>
  <si>
    <t>764</t>
  </si>
  <si>
    <t>Konstrukce klempířské</t>
  </si>
  <si>
    <t>764900050RAA</t>
  </si>
  <si>
    <t>Demontáž oplechování parapetů</t>
  </si>
  <si>
    <t>764_</t>
  </si>
  <si>
    <t>V položce není kalkulován poplatek za skládku pro vybouranou suť. Tyto náklady se oceňují individuálně podle místních podmínek. Orientační hmotnost vybouraných konstrukcí je 0,002 t/m konstrukce.</t>
  </si>
  <si>
    <t>764928108R00</t>
  </si>
  <si>
    <t>Z+M oplech.parapetů z popl.plechu vč.rohů rš 600</t>
  </si>
  <si>
    <t>V položce je započítáno zhotovení a montáž oplechování parapetů včetně rohů, zednické výpomoci a oprava nátěru. Ocelový poplastovaný plech, správková barva (včetně příp.posypu) a vruty (popř. šrouby nebo hřebíky)  se oceňují ve specifikaci. Prořez pro ocelový poplastovaný plech se doporučuje ve výši 10 %.</t>
  </si>
  <si>
    <t>764908308RT3</t>
  </si>
  <si>
    <t>Lindab, oplechování parapetů, rš 400 mm, enkolit</t>
  </si>
  <si>
    <t>Dodávka a montáž oplechování parapetu z plechu tl. 0,6 mm s povrchovou úpravou PE, lepený enkolitem RŠ 400 mm.</t>
  </si>
  <si>
    <t>764928305R00</t>
  </si>
  <si>
    <t>Z+M oplechování zdí z poplast. plechu, rš 600 mm</t>
  </si>
  <si>
    <t>Položka je kalkulována pro oplechování zdí a nadezdívek včetně rohů. V položce je započítáno zhotovení a montáž oplechování včetně rohů, dále zednické výpomoci a oprava nátěru. Ocelový poplastovaný plech, správková barva (včetně příp.posypu) a vruty (popř. šrouby nebo hřebíky)  se oceňují ve specifikaci. Prořez pro ocelový poplastovaný plech se doporučuje ve výši 10 %.</t>
  </si>
  <si>
    <t>764904010RS1</t>
  </si>
  <si>
    <t>Tvrdé plechové tabule o rozměru 1230x2000 mm tl. 0,5 mm. Povrchová úprava PE hnědá a cihlově červená.</t>
  </si>
  <si>
    <t>764330010RAA</t>
  </si>
  <si>
    <t>Lemování zdí z Pz plechu</t>
  </si>
  <si>
    <t>764900010RAA</t>
  </si>
  <si>
    <t>Demontáž krytiny střech</t>
  </si>
  <si>
    <t>V položce není kalkulován poplatek za skládku pro vybouranou suť. Tyto náklady se oceňují individuálně podle místních podmínek. Orientační hmotnost vybouraných konstrukcí je 0,007 t/m2 konstrukce.</t>
  </si>
  <si>
    <t>764310010RAA</t>
  </si>
  <si>
    <t>Krytina střech z Pz plechu</t>
  </si>
  <si>
    <t>766601229RT1</t>
  </si>
  <si>
    <t>Těsnění oken.spáry,parapet,PT folie+PP folie+páska</t>
  </si>
  <si>
    <t>Vložení parotěsné a paropropustné fólie, těsnicí pásky pod rám a pod vnější parapet, vymezovacího provazce pod vnitřní parapet a silikonového tmelu, PU pěny.  PT = parotěsná okenní folie  (interiér);  PP = paropropustná okenní folie (exteriér)</t>
  </si>
  <si>
    <t>766601213RT2</t>
  </si>
  <si>
    <t>Těsnění okenní spáry, ostění, PT folie + PP folie</t>
  </si>
  <si>
    <t>Vložení parotěsné a paropropustné fólie, vyplnění spáry PU pěnou.  PT folie = parotěsná okenní folie (interiér) ; PP folie = paropropustná okenní folie (exteriér).</t>
  </si>
  <si>
    <t>766629302R00</t>
  </si>
  <si>
    <t>Montáž oken plastových plochy do 2,70 m2</t>
  </si>
  <si>
    <t>766629304R00</t>
  </si>
  <si>
    <t>Montáž balkónových dveří plastových</t>
  </si>
  <si>
    <t>783120010RAC</t>
  </si>
  <si>
    <t>Nátěr OK těžkých "A" syntetický</t>
  </si>
  <si>
    <t>784115412R00</t>
  </si>
  <si>
    <t>Vynikající malířská tekutá barva s vysokou bělostí, krycí schopností a otěruvzdorností k malování interiérů. Má protiplísňovou úpravu. Bez vyspravení sádrou.</t>
  </si>
  <si>
    <t>Různé dokončovací konstrukce a práce na pozemních stavbách</t>
  </si>
  <si>
    <t>952902110R00</t>
  </si>
  <si>
    <t>Čištění zametáním v místnostech a chodbách</t>
  </si>
  <si>
    <t>95_</t>
  </si>
  <si>
    <t>959791114R00</t>
  </si>
  <si>
    <t>Odvětrávací trouby z PVC, js 140 mm</t>
  </si>
  <si>
    <t>950900030RA0</t>
  </si>
  <si>
    <t>R2 Demontáž krovu s krytinou z pozinkovaného plechu</t>
  </si>
  <si>
    <t>Demontáž krovu stojaté stolice s bedněním a krytinou. V položce není kalkulován poplatek za skládku pro vybouranou suť. Tyto náklady se oceňují individuálně podle místních podmínek. Orientační hmotnost vybouraných konstrukcí je 0,063 t/m2 konstrukce. Měrnou jednotkou je metr čtvereční půdorysné plochy krovu.</t>
  </si>
  <si>
    <t>968062355R00</t>
  </si>
  <si>
    <t>Vybourání dřevěných rámů oken dvojitých pl. 2 m2</t>
  </si>
  <si>
    <t>V položce není kalkulována manipulace se sutí, která se oceňuje samostatně položkami souboru 979. V položce není zakalkulováno vyvěšení křídel. Tyto práce se oceňují samostatně položkami souboru 968 06 -11 Vyvěšení dřevěných křídel. Položka se používá pro okna dvojitá nebo zdvojená.</t>
  </si>
  <si>
    <t>968061125R00</t>
  </si>
  <si>
    <t>Vyvěšení dřevěných dveřních křídel pl. do 2 m2</t>
  </si>
  <si>
    <t>Položka obsahuje náklady na vyvěšení křídel, jejich uložení a zpětné zavěšení po provedených stavebních úpravách. Položka se používá i pro vyvěšení křídel určených k likvidaci.</t>
  </si>
  <si>
    <t>968062455R00</t>
  </si>
  <si>
    <t>Vybourání dřevěných dveřních zárubní pl. do 2 m2</t>
  </si>
  <si>
    <t>V položce není kalkulována manipulace se sutí, která se oceňuje samostatně položkami souboru 979. V položce není zakalkulováno vyvěšení dveřních křídel. Tyto práce se oceňují samostatně položkami souboru 968 06 -11 Vyvěšení dřevěných křídel.</t>
  </si>
  <si>
    <t>M21</t>
  </si>
  <si>
    <t>Elektromontáže</t>
  </si>
  <si>
    <t>MP</t>
  </si>
  <si>
    <t>210200020RA0</t>
  </si>
  <si>
    <t>Hromosvod demontáž původní fasáda a střecha</t>
  </si>
  <si>
    <t>kompl</t>
  </si>
  <si>
    <t>M21_</t>
  </si>
  <si>
    <t>OM</t>
  </si>
  <si>
    <t>001VD</t>
  </si>
  <si>
    <t>Okna plastová</t>
  </si>
  <si>
    <t>_</t>
  </si>
  <si>
    <t>558VD</t>
  </si>
  <si>
    <t>vnější roleta C80, BOX, vodící lišty, montáž a dodávka, výška 2,1 m</t>
  </si>
  <si>
    <t>ks</t>
  </si>
  <si>
    <t>559VD</t>
  </si>
  <si>
    <t>vnější roleta C80, box, C kryt, dodávka, montáž, vodící lišty, vnitřní ruční pohon klika</t>
  </si>
  <si>
    <t>Z99999_</t>
  </si>
  <si>
    <t>Z_</t>
  </si>
  <si>
    <t>05</t>
  </si>
  <si>
    <t>SO2 - vlastní položky</t>
  </si>
  <si>
    <t>642201012RA0</t>
  </si>
  <si>
    <t>Výměna dveří 2kř, zárubeň, oprava ostění, práh</t>
  </si>
  <si>
    <t>05_</t>
  </si>
  <si>
    <t>Bez dodávky dveří. V položce není kalkulován poplatek za skládku pro vybouranou suť. Tyto náklady se oceňují individuálně podle místních podmínek. Orientační hmotnost vybouraných konstrukcí je 0,203 t/kus konstrukce.</t>
  </si>
  <si>
    <t>Nezařazeno</t>
  </si>
  <si>
    <t>642940092RA0</t>
  </si>
  <si>
    <t>0011VD</t>
  </si>
  <si>
    <t>D 1 vchdové dveře hlavní hliníkový rám</t>
  </si>
  <si>
    <t>002VD</t>
  </si>
  <si>
    <t>D2 a D3 vchodové dveře 2</t>
  </si>
  <si>
    <t>Projektový rozpočet</t>
  </si>
  <si>
    <t>projekt:</t>
  </si>
  <si>
    <t>Administrativní budova - Silnice LK, objekt Sosnová 97</t>
  </si>
  <si>
    <t>vypracoval:</t>
  </si>
  <si>
    <t>Štekr</t>
  </si>
  <si>
    <t>datum:</t>
  </si>
  <si>
    <t>01/2022</t>
  </si>
  <si>
    <t>revize:</t>
  </si>
  <si>
    <t>Pozn.:</t>
  </si>
  <si>
    <t>poz.</t>
  </si>
  <si>
    <t>název položky</t>
  </si>
  <si>
    <t>jedn.</t>
  </si>
  <si>
    <t>množ.</t>
  </si>
  <si>
    <t>JC mat</t>
  </si>
  <si>
    <t>CC mat</t>
  </si>
  <si>
    <t>JC mont</t>
  </si>
  <si>
    <t>CC mont</t>
  </si>
  <si>
    <t>CC</t>
  </si>
  <si>
    <t>Dodávky, specifikace</t>
  </si>
  <si>
    <t>Rozváděč RS1 dle soupisu vývodů</t>
  </si>
  <si>
    <t>kpl</t>
  </si>
  <si>
    <t>Rozváděč RS2 dle soupisu vývodů</t>
  </si>
  <si>
    <t>Rozváděč RS3 dle soupisu vývodů</t>
  </si>
  <si>
    <t>Změna odběrného místa</t>
  </si>
  <si>
    <t>jistič 160A</t>
  </si>
  <si>
    <t>MTP 150/5, 5VA, 0,5S, úř. cejch</t>
  </si>
  <si>
    <t>Zásuvky, vypínače, parapetní kanál</t>
  </si>
  <si>
    <t>stínící kanál SK 40X33_S</t>
  </si>
  <si>
    <t>krabice přístrojová do plných stěn</t>
  </si>
  <si>
    <t>víčko pro krabice přístrojová do plných stěn</t>
  </si>
  <si>
    <t>krabice přístrojová do dutých stěn, protipožární</t>
  </si>
  <si>
    <t>STOP tlačítko (nouzové vypnutí FVE)</t>
  </si>
  <si>
    <t>krabice do fasády (ukončení kabelů pro nabíječe elektromobilů)</t>
  </si>
  <si>
    <t>Svítidla</t>
  </si>
  <si>
    <t>Kabely a kabelové soubory</t>
  </si>
  <si>
    <t>AYKY 3x95+50</t>
  </si>
  <si>
    <t>PRAFlaSafe X-J 5x16</t>
  </si>
  <si>
    <t>PRAFlaSafe X-J 5x10</t>
  </si>
  <si>
    <t>PRAFlaSafe X-J 4x10</t>
  </si>
  <si>
    <t>PRAFlaSafe X-J 5x6</t>
  </si>
  <si>
    <t>PRAFlaSafe X-J 5x2,5</t>
  </si>
  <si>
    <t>PRAFlaSafe X-J 3x2,5</t>
  </si>
  <si>
    <t>PRAFlaSafe X-J 5x1,5</t>
  </si>
  <si>
    <t>PRAFlaSafe X-J 3x1,5</t>
  </si>
  <si>
    <t>PRAFlaSafe X-O 3x1,5</t>
  </si>
  <si>
    <t>CYA 35 zž</t>
  </si>
  <si>
    <t>CYA 25 zž</t>
  </si>
  <si>
    <t>CYA 6 zž</t>
  </si>
  <si>
    <t>CYA 4 zž</t>
  </si>
  <si>
    <t>UTP kabel cat6e, vnitřní (datové zásuvky)</t>
  </si>
  <si>
    <t>FTP kabel cat6e, venkovní (data pro nabíječe)</t>
  </si>
  <si>
    <t>Kabelové trasy</t>
  </si>
  <si>
    <t>trubka ohebná D25</t>
  </si>
  <si>
    <t>flexitrubka D40</t>
  </si>
  <si>
    <t>flexitrubka D20</t>
  </si>
  <si>
    <t>Hromosvod a uzemnění</t>
  </si>
  <si>
    <t>pásek FeZn 30x4mm</t>
  </si>
  <si>
    <t>drát FeZn d=10mm, izolovaný</t>
  </si>
  <si>
    <t>vodič HVI light, buben 100m (819 125)</t>
  </si>
  <si>
    <t>drát AlMgSi d=8mm</t>
  </si>
  <si>
    <t>svorka SS</t>
  </si>
  <si>
    <t>svorka SR3a</t>
  </si>
  <si>
    <t>svorka SR2b</t>
  </si>
  <si>
    <t>podpěra vedení na ploché střechy + nástavec (vzdál. 100mm od krytiny)</t>
  </si>
  <si>
    <t>jímací tyč délky 2,5m + svorka jím. tyče (pro vodiče HVI)</t>
  </si>
  <si>
    <t>připojovací prvek pro vodič HVI light</t>
  </si>
  <si>
    <t>držák vedení pro vodič HVI light</t>
  </si>
  <si>
    <t>svorka PA pro vodič HVI light</t>
  </si>
  <si>
    <t>štítek č.1</t>
  </si>
  <si>
    <t>štítek č.2</t>
  </si>
  <si>
    <t>štítek č.3</t>
  </si>
  <si>
    <t>štítek č.4</t>
  </si>
  <si>
    <t>štítek č.5</t>
  </si>
  <si>
    <t>štítek č.6</t>
  </si>
  <si>
    <t>štítek uzemnění</t>
  </si>
  <si>
    <t>bitumenový nátěr</t>
  </si>
  <si>
    <t>kg</t>
  </si>
  <si>
    <t>Zemní práce - uzemnění</t>
  </si>
  <si>
    <t>vytýčení trasy (100m)</t>
  </si>
  <si>
    <t>výkop kabel.rýhy šířka 35/hloubka 70cm tz.4</t>
  </si>
  <si>
    <t>zához kabelové rýhy šířka 35/hloubka 70cm tz.3 se zhutněním</t>
  </si>
  <si>
    <t>provizorní úprava terénu</t>
  </si>
  <si>
    <t>řezání spáry v živici do 15cm</t>
  </si>
  <si>
    <t>bourání živičného krytu do 15 cm</t>
  </si>
  <si>
    <t>podklad komunikace ze štěrkodrti n. štěrkopísku do 50cm se zhutněním</t>
  </si>
  <si>
    <t xml:space="preserve">štěrkodrť </t>
  </si>
  <si>
    <t>podklad komunikace z OKS do 100mm/ nebo recyklát</t>
  </si>
  <si>
    <t>OKS</t>
  </si>
  <si>
    <t>kryt komunikace z ABS 50mm</t>
  </si>
  <si>
    <t>ABS</t>
  </si>
  <si>
    <t>bitumel. páska vč. aplikace</t>
  </si>
  <si>
    <t>naložení a odvoz přebytečného výkopku na skládku</t>
  </si>
  <si>
    <t>FVE</t>
  </si>
  <si>
    <t>fotovoltaický panel 320Wp, rozměr: 1700x980mm</t>
  </si>
  <si>
    <t>střídač 17,5kW AC, 2x MPPT, 200-800V</t>
  </si>
  <si>
    <t>Rozváděč RFVE-AC dle jednopolového schématu</t>
  </si>
  <si>
    <t>Rozváděč RFVE-DC dle jednopolového schématu</t>
  </si>
  <si>
    <t>Rozváděč GAK1.x dle jednopolového schématu</t>
  </si>
  <si>
    <t>svorka Dehn UNI nerez  - pospojení konstrukcí</t>
  </si>
  <si>
    <t>ekvipotenciálová svorkovnice HOP (venkovní provedení)</t>
  </si>
  <si>
    <t>kabelový žlab provedení žárový zinek 150/50 vč. víka, vč. spojek vč. přepážky vč. betonových podložek</t>
  </si>
  <si>
    <t>trubka ohebná plastová D25 vč. příchytek UV odolné</t>
  </si>
  <si>
    <t>konektory do 6mm2</t>
  </si>
  <si>
    <t>zkratovací propojky pro pojistkové spodky, ZP000 (do RIS)</t>
  </si>
  <si>
    <t>požární ucpávky EI 60 min.</t>
  </si>
  <si>
    <t>stavební přípomoce (sekání kabelových rýh, kabelové prostupy zdí)</t>
  </si>
  <si>
    <t>kabelový prostup zdí do průměru 50mm</t>
  </si>
  <si>
    <t>demontáže stávající elektroinstalace</t>
  </si>
  <si>
    <t>hod</t>
  </si>
  <si>
    <t>podružný a spojovací materiál</t>
  </si>
  <si>
    <t>PPV - podíl přidružených výkonů (% z mont)</t>
  </si>
  <si>
    <t>doprava osob, materiálu a rozvaděčů</t>
  </si>
  <si>
    <t>předávací dokumentace vč. dokumentace skutečného provedení</t>
  </si>
  <si>
    <t>recyklační poplatky za svítidla a sv. zdroje</t>
  </si>
  <si>
    <t>revize elektro</t>
  </si>
  <si>
    <t>nepředvídatelné náklady neobsažené v soupisu výkonů, čerpání na základě souhlasu technického dozoru (10% ceny zakázky)</t>
  </si>
  <si>
    <t>CELKEM s DPH 21%</t>
  </si>
  <si>
    <t>Export Komplet</t>
  </si>
  <si>
    <t>VZ</t>
  </si>
  <si>
    <t>2.0</t>
  </si>
  <si>
    <t>ZAMOK</t>
  </si>
  <si>
    <t>False</t>
  </si>
  <si>
    <t>{d35c3bd6-28d1-4dd5-bedc-7c5acabfecb7}</t>
  </si>
  <si>
    <t>0,01</t>
  </si>
  <si>
    <t>REKAPITULACE STAVBY</t>
  </si>
  <si>
    <t>v ---  níže se nacházejí doplnkové a pomocné údaje k sestavám  --- v</t>
  </si>
  <si>
    <t>0,001</t>
  </si>
  <si>
    <t>Kód:</t>
  </si>
  <si>
    <t>21-564</t>
  </si>
  <si>
    <t>Stavba:</t>
  </si>
  <si>
    <t>Rekonstrukce administrativní budovy</t>
  </si>
  <si>
    <t>KSO:</t>
  </si>
  <si>
    <t/>
  </si>
  <si>
    <t>CC-CZ:</t>
  </si>
  <si>
    <t>Místo:</t>
  </si>
  <si>
    <t>31. 1. 2022</t>
  </si>
  <si>
    <t>Zadavatel:</t>
  </si>
  <si>
    <t>IČ:</t>
  </si>
  <si>
    <t>DIČ:</t>
  </si>
  <si>
    <t>True</t>
  </si>
  <si>
    <t>Zpracovatel:</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</si>
  <si>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</si>
  <si>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</si>
  <si>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</si>
  <si>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</si>
  <si>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</si>
  <si>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</si>
  <si>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</si>
  <si>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</si>
  <si>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</si>
  <si>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</si>
  <si>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</si>
  <si>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</si>
  <si>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</si>
  <si>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</si>
  <si>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</si>
  <si>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</si>
  <si>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</si>
  <si>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</si>
  <si>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</si>
  <si>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</si>
  <si>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</si>
  <si>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</si>
  <si>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</si>
  <si>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</si>
  <si>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</si>
  <si>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</si>
  <si>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</si>
  <si>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</si>
  <si>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</si>
  <si>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</si>
  <si>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</si>
  <si>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</si>
  <si>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</si>
  <si>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</si>
  <si>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###NOIMPORT###</t>
  </si>
  <si>
    <t>IMPORT</t>
  </si>
  <si>
    <t>{00000000-0000-0000-0000-000000000000}</t>
  </si>
  <si>
    <t>/</t>
  </si>
  <si>
    <t>D14a</t>
  </si>
  <si>
    <t>Zdravotně technické instalace</t>
  </si>
  <si>
    <t>STA</t>
  </si>
  <si>
    <t>{c0ba797b-309a-4268-a8be-b03a238a9661}</t>
  </si>
  <si>
    <t>D14b</t>
  </si>
  <si>
    <t>Odběrné plynové zařízení</t>
  </si>
  <si>
    <t>{98c3b3e1-fa21-444a-84a5-f9bc3ed1af2a}</t>
  </si>
  <si>
    <t>D14c</t>
  </si>
  <si>
    <t>{3d860140-7bdf-4cbc-a0ac-94ac2b37cb84}</t>
  </si>
  <si>
    <t>D14d</t>
  </si>
  <si>
    <t>Vytápění a chlazení</t>
  </si>
  <si>
    <t>{da6ba696-9d32-4965-b666-a2380ead5ac9}</t>
  </si>
  <si>
    <t>KRYCÍ LIST SOUPISU PRACÍ</t>
  </si>
  <si>
    <t>Objekt:</t>
  </si>
  <si>
    <t>D14a - Zdravotně technické instalace</t>
  </si>
  <si>
    <t>REKAPITULACE ČLENĚNÍ SOUPISU PRACÍ</t>
  </si>
  <si>
    <t>Kód dílu - Popis</t>
  </si>
  <si>
    <t>Cena celkem [CZK]</t>
  </si>
  <si>
    <t>-1</t>
  </si>
  <si>
    <t>HSV - Práce a dodávky HSV</t>
  </si>
  <si>
    <t xml:space="preserve">    1 - Zemní práce</t>
  </si>
  <si>
    <t xml:space="preserve">    3 - Svislé a kompletní konstrukce</t>
  </si>
  <si>
    <t xml:space="preserve">    4 - Vodorovné konstrukce</t>
  </si>
  <si>
    <t xml:space="preserve">    6 - Úpravy povrchů, podlahy a osazování výplní</t>
  </si>
  <si>
    <t xml:space="preserve">    8 - Trubní vedení</t>
  </si>
  <si>
    <t xml:space="preserve">    9 - Ostatní konstrukce a práce, bourání</t>
  </si>
  <si>
    <t xml:space="preserve">    997 - Přesun sutě</t>
  </si>
  <si>
    <t xml:space="preserve">    998 - Přesun hmot</t>
  </si>
  <si>
    <t>PSV - Práce a dodávky PSV</t>
  </si>
  <si>
    <t xml:space="preserve">    721 - Zdravotechnika - vnitřní kanalizace</t>
  </si>
  <si>
    <t xml:space="preserve">    722 - Zdravotechnika - vnitřní vodovod</t>
  </si>
  <si>
    <t xml:space="preserve">    725 - Zdravotechnika - zařizovací předměty</t>
  </si>
  <si>
    <t>SOUPIS PRACÍ</t>
  </si>
  <si>
    <t>PČ</t>
  </si>
  <si>
    <t>MJ</t>
  </si>
  <si>
    <t>J.cena [CZK]</t>
  </si>
  <si>
    <t>Cenová soustava</t>
  </si>
  <si>
    <t>J. Nh [h]</t>
  </si>
  <si>
    <t>Nh celkem [h]</t>
  </si>
  <si>
    <t>J. hmotnost [t]</t>
  </si>
  <si>
    <t>Hmotnost celkem [t]</t>
  </si>
  <si>
    <t>J. suť [t]</t>
  </si>
  <si>
    <t>Suť Celkem [t]</t>
  </si>
  <si>
    <t>Náklady soupisu celkem</t>
  </si>
  <si>
    <t>Práce a dodávky HSV</t>
  </si>
  <si>
    <t>ROZPOCET</t>
  </si>
  <si>
    <t>Zemní práce</t>
  </si>
  <si>
    <t>K</t>
  </si>
  <si>
    <t>132112211</t>
  </si>
  <si>
    <t>Hloubení rýh šířky přes 800 do 2 000 mm ručně zapažených i nezapažených, s urovnáním dna do předepsaného profilu a spádu v hornině třídy těžitelnosti I skupiny 1 a 2 soudržných</t>
  </si>
  <si>
    <t>CS ÚRS 2021 01</t>
  </si>
  <si>
    <t>-2143067825</t>
  </si>
  <si>
    <t>Online PSC</t>
  </si>
  <si>
    <t>https://podminky.urs.cz/item/CS_URS_2021_01/132112211</t>
  </si>
  <si>
    <t>162351103</t>
  </si>
  <si>
    <t>Vodorovné přemístění výkopku nebo sypaniny po suchu na obvyklém dopravním prostředku, bez naložení výkopku, avšak se složením bez rozhrnutí z horniny třídy těžitelnosti I skupiny 1 až 3 na vzdálenost přes 50 do 500 m</t>
  </si>
  <si>
    <t>1744030626</t>
  </si>
  <si>
    <t>https://podminky.urs.cz/item/CS_URS_2021_01/162351103</t>
  </si>
  <si>
    <t>162751117</t>
  </si>
  <si>
    <t>Vodorovné přemístění výkopku nebo sypaniny po suchu na obvyklém dopravním prostředku, bez naložení výkopku, avšak se složením bez rozhrnutí z horniny třídy těžitelnosti I skupiny 1 až 3 na vzdálenost přes 9 000 do 10 000 m</t>
  </si>
  <si>
    <t>-1109972586</t>
  </si>
  <si>
    <t>https://podminky.urs.cz/item/CS_URS_2021_01/162751117</t>
  </si>
  <si>
    <t>162751119</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</si>
  <si>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</si>
  <si>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-58878123</t>
  </si>
  <si>
    <t>https://podminky.urs.cz/item/CS_URS_2021_01/162751119</t>
  </si>
  <si>
    <t>171201221</t>
  </si>
  <si>
    <t>Poplatek za uložení stavebního odpadu na skládce (skládkovné) zeminy a kamení zatříděného do Katalogu odpadů pod kódem 17 05 04</t>
  </si>
  <si>
    <t>t</t>
  </si>
  <si>
    <t>-395719750</t>
  </si>
  <si>
    <t>https://podminky.urs.cz/item/CS_URS_2021_01/171201221</t>
  </si>
  <si>
    <t>VV</t>
  </si>
  <si>
    <t>26,6*2,67 'Přepočtené koeficientem množství</t>
  </si>
  <si>
    <t>174111101</t>
  </si>
  <si>
    <t>Zásyp sypaninou z jakékoliv horniny ručně s uložením výkopku ve vrstvách se zhutněním jam, šachet, rýh nebo kolem objektů v těchto vykopávkách</t>
  </si>
  <si>
    <t>2085146898</t>
  </si>
  <si>
    <t>https://podminky.urs.cz/item/CS_URS_2021_01/174111101</t>
  </si>
  <si>
    <t>175151101</t>
  </si>
  <si>
    <t>Obsypání potrubí strojně sypaninou z vhodných třídy těžitelnosti I a II, skupiny 1 až 4 nebo materiálem připraveným podél výkopu ve vzdálenosti do 3 m od jeho kraje, pro jakoukoliv hloubku výkopu a míru zhutnění bez prohození sypaniny</t>
  </si>
  <si>
    <t>-2012748867</t>
  </si>
  <si>
    <t>https://podminky.urs.cz/item/CS_URS_2021_01/175151101</t>
  </si>
  <si>
    <t>M</t>
  </si>
  <si>
    <t>58343810</t>
  </si>
  <si>
    <t>kamenivo drcené hrubé frakce 4/8</t>
  </si>
  <si>
    <t>-899477784</t>
  </si>
  <si>
    <t>26,6*2 'Přepočtené koeficientem množství</t>
  </si>
  <si>
    <t>Svislé a kompletní konstrukce</t>
  </si>
  <si>
    <t>310235241</t>
  </si>
  <si>
    <t>Zazdívka otvorů ve zdivu nadzákladovém cihlami pálenými plochy do 0,0225 m2, ve zdi tl. do 300 mm</t>
  </si>
  <si>
    <t>CS ÚRS 2022 01</t>
  </si>
  <si>
    <t>225640410</t>
  </si>
  <si>
    <t>https://podminky.urs.cz/item/CS_URS_2022_01/310235241</t>
  </si>
  <si>
    <t>310236241</t>
  </si>
  <si>
    <t>Zazdívka otvorů ve zdivu nadzákladovém cihlami pálenými plochy přes 0,0225 m2 do 0,09 m2, ve zdi tl. do 300 mm</t>
  </si>
  <si>
    <t>142975374</t>
  </si>
  <si>
    <t>https://podminky.urs.cz/item/CS_URS_2022_01/310236241</t>
  </si>
  <si>
    <t>Vodorovné konstrukce</t>
  </si>
  <si>
    <t>451573111</t>
  </si>
  <si>
    <t>Lože pod potrubí, stoky a drobné objekty v otevřeném výkopu z písku a štěrkopísku do 63 mm</t>
  </si>
  <si>
    <t>-1436505277</t>
  </si>
  <si>
    <t>https://podminky.urs.cz/item/CS_URS_2021_01/451573111</t>
  </si>
  <si>
    <t>Úpravy povrchů, podlahy a osazování výplní</t>
  </si>
  <si>
    <t>612135101</t>
  </si>
  <si>
    <t>Hrubá výplň rýh maltou jakékoli šířky rýhy ve stěnách</t>
  </si>
  <si>
    <t>CS ÚRS 2021 02</t>
  </si>
  <si>
    <t>-1809092865</t>
  </si>
  <si>
    <t>https://podminky.urs.cz/item/CS_URS_2021_02/612135101</t>
  </si>
  <si>
    <t>Trubní vedení</t>
  </si>
  <si>
    <t>871211211</t>
  </si>
  <si>
    <t>Montáž vodovodního potrubí z plastů v otevřeném výkopu z polyetylenu PE 100 svařovaných elektrotvarovkou SDR 11/PN16 D 63 x 5,8 mm</t>
  </si>
  <si>
    <t>-1203237025</t>
  </si>
  <si>
    <t>https://podminky.urs.cz/item/CS_URS_2022_01/871211211</t>
  </si>
  <si>
    <t>28613173</t>
  </si>
  <si>
    <t>trubka vodovodní PE100 SDR11 se signalizační vrstvou 63x5,8mm</t>
  </si>
  <si>
    <t>-1108987589</t>
  </si>
  <si>
    <t>5,6*1,015 'Přepočtené koeficientem množství</t>
  </si>
  <si>
    <t>871265211</t>
  </si>
  <si>
    <t>Kanalizační potrubí z tvrdého PVC v otevřeném výkopu ve sklonu do 20 %, hladkého plnostěnného jednovrstvého, tuhost třídy SN 4 DN 110</t>
  </si>
  <si>
    <t>-994134398</t>
  </si>
  <si>
    <t>https://podminky.urs.cz/item/CS_URS_2022_01/871265211</t>
  </si>
  <si>
    <t>871275211</t>
  </si>
  <si>
    <t>Kanalizační potrubí z tvrdého PVC v otevřeném výkopu ve sklonu do 20 %, hladkého plnostěnného jednovrstvého, tuhost třídy SN 4 DN 125</t>
  </si>
  <si>
    <t>615289881</t>
  </si>
  <si>
    <t>https://podminky.urs.cz/item/CS_URS_2022_01/871275211</t>
  </si>
  <si>
    <t>871315211</t>
  </si>
  <si>
    <t>Kanalizační potrubí z tvrdého PVC v otevřeném výkopu ve sklonu do 20 %, hladkého plnostěnného jednovrstvého, tuhost třídy SN 4 DN 160</t>
  </si>
  <si>
    <t>-1289651717</t>
  </si>
  <si>
    <t>https://podminky.urs.cz/item/CS_URS_2022_01/871315211</t>
  </si>
  <si>
    <t>871355211</t>
  </si>
  <si>
    <t>Kanalizační potrubí z tvrdého PVC v otevřeném výkopu ve sklonu do 20 %, hladkého plnostěnného jednovrstvého, tuhost třídy SN 4 DN 200</t>
  </si>
  <si>
    <t>-1797072182</t>
  </si>
  <si>
    <t>https://podminky.urs.cz/item/CS_URS_2022_01/871355211</t>
  </si>
  <si>
    <t>871365211</t>
  </si>
  <si>
    <t>Kanalizační potrubí z tvrdého PVC v otevřeném výkopu ve sklonu do 20 %, hladkého plnostěnného jednovrstvého, tuhost třídy SN 4 DN 250</t>
  </si>
  <si>
    <t>-977458855</t>
  </si>
  <si>
    <t>https://podminky.urs.cz/item/CS_URS_2022_01/871365211</t>
  </si>
  <si>
    <t>891211322</t>
  </si>
  <si>
    <t>Montáž vodovodních armatur na potrubí šoupátek vevařovacích v otevřeném výkopu nebo v šachtách s ručním kolečkem svařovaných na tupo s PE konci SDR 11 PN16 DN 50/63</t>
  </si>
  <si>
    <t>-811083055</t>
  </si>
  <si>
    <t>https://podminky.urs.cz/item/CS_URS_2022_01/891211322</t>
  </si>
  <si>
    <t>42221147</t>
  </si>
  <si>
    <t>šoupátko s PE vevařovacími konci voda PN10 DN 50/63 PE 100</t>
  </si>
  <si>
    <t>-1610095302</t>
  </si>
  <si>
    <t>892233122</t>
  </si>
  <si>
    <t>Proplach a dezinfekce vodovodního potrubí DN od 40 do 70</t>
  </si>
  <si>
    <t>-531591993</t>
  </si>
  <si>
    <t>https://podminky.urs.cz/item/CS_URS_2021_01/892233122</t>
  </si>
  <si>
    <t>892241111</t>
  </si>
  <si>
    <t>Tlakové zkoušky vodou na potrubí DN do 80</t>
  </si>
  <si>
    <t>-1480657654</t>
  </si>
  <si>
    <t>https://podminky.urs.cz/item/CS_URS_2021_01/892241111</t>
  </si>
  <si>
    <t>892271111</t>
  </si>
  <si>
    <t>Tlakové zkoušky vodou na potrubí DN 100 nebo 125</t>
  </si>
  <si>
    <t>1405636377</t>
  </si>
  <si>
    <t>https://podminky.urs.cz/item/CS_URS_2022_01/892271111</t>
  </si>
  <si>
    <t>892351111</t>
  </si>
  <si>
    <t>Tlakové zkoušky vodou na potrubí DN 150 nebo 200</t>
  </si>
  <si>
    <t>-910623398</t>
  </si>
  <si>
    <t>https://podminky.urs.cz/item/CS_URS_2022_01/892351111</t>
  </si>
  <si>
    <t>892372111</t>
  </si>
  <si>
    <t>Tlakové zkoušky vodou zabezpečení konců potrubí při tlakových zkouškách DN do 300</t>
  </si>
  <si>
    <t>1322931880</t>
  </si>
  <si>
    <t>https://podminky.urs.cz/item/CS_URS_2022_01/892372111</t>
  </si>
  <si>
    <t>899401112</t>
  </si>
  <si>
    <t>Osazení poklopů litinových šoupátkových</t>
  </si>
  <si>
    <t>-1140155092</t>
  </si>
  <si>
    <t>https://podminky.urs.cz/item/CS_URS_2021_01/899401112</t>
  </si>
  <si>
    <t>42291352</t>
  </si>
  <si>
    <t>poklop litinový šoupátkový pro zemní supravy osazení do terénu a do vozovky</t>
  </si>
  <si>
    <t>1892231330</t>
  </si>
  <si>
    <t>Ostatní konstrukce a práce, bourání</t>
  </si>
  <si>
    <t>974031132</t>
  </si>
  <si>
    <t>Vysekání rýh ve zdivu cihelném na maltu vápennou nebo vápenocementovou do hl. 50 mm a šířky do 70 mm</t>
  </si>
  <si>
    <t>-133181643</t>
  </si>
  <si>
    <t>https://podminky.urs.cz/item/CS_URS_2022_01/974031132</t>
  </si>
  <si>
    <t>974031142</t>
  </si>
  <si>
    <t>Vysekání rýh ve zdivu cihelném na maltu vápennou nebo vápenocementovou do hl. 70 mm a šířky do 70 mm</t>
  </si>
  <si>
    <t>1283610733</t>
  </si>
  <si>
    <t>https://podminky.urs.cz/item/CS_URS_2022_01/974031142</t>
  </si>
  <si>
    <t>974031153</t>
  </si>
  <si>
    <t>Vysekání rýh ve zdivu cihelném na maltu vápennou nebo vápenocementovou do hl. 100 mm a šířky do 100 mm</t>
  </si>
  <si>
    <t>-186179163</t>
  </si>
  <si>
    <t>https://podminky.urs.cz/item/CS_URS_2022_01/974031153</t>
  </si>
  <si>
    <t>974031164</t>
  </si>
  <si>
    <t>Vysekání rýh ve zdivu cihelném na maltu vápennou nebo vápenocementovou do hl. 150 mm a šířky do 150 mm</t>
  </si>
  <si>
    <t>-1954958554</t>
  </si>
  <si>
    <t>https://podminky.urs.cz/item/CS_URS_2022_01/974031164</t>
  </si>
  <si>
    <t>977151111</t>
  </si>
  <si>
    <t>Jádrové vrty diamantovými korunkami do stavebních materiálů (železobetonu, betonu, cihel, obkladů, dlažeb, kamene) průměru do 35 mm</t>
  </si>
  <si>
    <t>-177085328</t>
  </si>
  <si>
    <t>https://podminky.urs.cz/item/CS_URS_2022_01/977151111</t>
  </si>
  <si>
    <t>977151113</t>
  </si>
  <si>
    <t>Jádrové vrty diamantovými korunkami do stavebních materiálů (železobetonu, betonu, cihel, obkladů, dlažeb, kamene) průměru přes 40 do 50 mm</t>
  </si>
  <si>
    <t>-39708549</t>
  </si>
  <si>
    <t>https://podminky.urs.cz/item/CS_URS_2022_01/977151113</t>
  </si>
  <si>
    <t>977151115</t>
  </si>
  <si>
    <t>Jádrové vrty diamantovými korunkami do stavebních materiálů (železobetonu, betonu, cihel, obkladů, dlažeb, kamene) průměru přes 60 do 70 mm</t>
  </si>
  <si>
    <t>1968570635</t>
  </si>
  <si>
    <t>https://podminky.urs.cz/item/CS_URS_2022_01/977151115</t>
  </si>
  <si>
    <t>977151116</t>
  </si>
  <si>
    <t>Jádrové vrty diamantovými korunkami do stavebních materiálů (železobetonu, betonu, cihel, obkladů, dlažeb, kamene) průměru přes 70 do 80 mm</t>
  </si>
  <si>
    <t>2054510023</t>
  </si>
  <si>
    <t>https://podminky.urs.cz/item/CS_URS_2022_01/977151116</t>
  </si>
  <si>
    <t>977151121</t>
  </si>
  <si>
    <t>Jádrové vrty diamantovými korunkami do stavebních materiálů (železobetonu, betonu, cihel, obkladů, dlažeb, kamene) průměru přes 110 do 120 mm</t>
  </si>
  <si>
    <t>867626339</t>
  </si>
  <si>
    <t>https://podminky.urs.cz/item/CS_URS_2022_01/977151121</t>
  </si>
  <si>
    <t>977151123</t>
  </si>
  <si>
    <t>Jádrové vrty diamantovými korunkami do stavebních materiálů (železobetonu, betonu, cihel, obkladů, dlažeb, kamene) průměru přes 130 do 150 mm</t>
  </si>
  <si>
    <t>1780455132</t>
  </si>
  <si>
    <t>https://podminky.urs.cz/item/CS_URS_2022_01/977151123</t>
  </si>
  <si>
    <t>977151125</t>
  </si>
  <si>
    <t>Jádrové vrty diamantovými korunkami do stavebních materiálů (železobetonu, betonu, cihel, obkladů, dlažeb, kamene) průměru přes 180 do 200 mm</t>
  </si>
  <si>
    <t>-373840729</t>
  </si>
  <si>
    <t>https://podminky.urs.cz/item/CS_URS_2022_01/977151125</t>
  </si>
  <si>
    <t>997</t>
  </si>
  <si>
    <t>Přesun sutě</t>
  </si>
  <si>
    <t>997013213</t>
  </si>
  <si>
    <t>Vnitrostaveništní doprava suti a vybouraných hmot vodorovně do 50 m svisle ručně pro budovy a haly výšky přes 9 do 12 m</t>
  </si>
  <si>
    <t>317646937</t>
  </si>
  <si>
    <t>https://podminky.urs.cz/item/CS_URS_2021_02/997013213</t>
  </si>
  <si>
    <t>997013501</t>
  </si>
  <si>
    <t>Odvoz suti a vybouraných hmot na skládku nebo meziskládku se složením, na vzdálenost do 1 km</t>
  </si>
  <si>
    <t>-1236339996</t>
  </si>
  <si>
    <t>https://podminky.urs.cz/item/CS_URS_2021_01/997013501</t>
  </si>
  <si>
    <t>997013509</t>
  </si>
  <si>
    <t>Odvoz suti a vybouraných hmot na skládku nebo meziskládku se složením, na vzdálenost Příplatek k ceně za každý další i započatý 1 km přes 1 km</t>
  </si>
  <si>
    <t>-1929345462</t>
  </si>
  <si>
    <t>https://podminky.urs.cz/item/CS_URS_2021_01/997013509</t>
  </si>
  <si>
    <t>13,437*10 'Přepočtené koeficientem množství</t>
  </si>
  <si>
    <t>997013631</t>
  </si>
  <si>
    <t>Poplatek za uložení stavebního odpadu na skládce (skládkovné) směsného stavebního a demoličního zatříděného do Katalogu odpadů pod kódem 17 09 04</t>
  </si>
  <si>
    <t>1634017204</t>
  </si>
  <si>
    <t>https://podminky.urs.cz/item/CS_URS_2021_02/997013631</t>
  </si>
  <si>
    <t>997221611</t>
  </si>
  <si>
    <t>Nakládání na dopravní prostředky pro vodorovnou dopravu suti</t>
  </si>
  <si>
    <t>-449236687</t>
  </si>
  <si>
    <t>https://podminky.urs.cz/item/CS_URS_2021_01/997221611</t>
  </si>
  <si>
    <t>998</t>
  </si>
  <si>
    <t>Přesun hmot</t>
  </si>
  <si>
    <t>998011002</t>
  </si>
  <si>
    <t>Přesun hmot pro budovy občanské výstavby, bydlení, výrobu a služby s nosnou svislou konstrukcí zděnou z cihel, tvárnic nebo kamene vodorovná dopravní vzdálenost do 100 m pro budovy výšky přes 6 do 12 m</t>
  </si>
  <si>
    <t>-1528931904</t>
  </si>
  <si>
    <t>https://podminky.urs.cz/item/CS_URS_2022_01/998011002</t>
  </si>
  <si>
    <t>998276101</t>
  </si>
  <si>
    <t>Přesun hmot pro trubní vedení hloubené z trub z plastických hmot nebo sklolaminátových pro vodovody nebo kanalizace v otevřeném výkopu dopravní vzdálenost do 15 m</t>
  </si>
  <si>
    <t>108823288</t>
  </si>
  <si>
    <t>https://podminky.urs.cz/item/CS_URS_2022_01/998276101</t>
  </si>
  <si>
    <t>Práce a dodávky PSV</t>
  </si>
  <si>
    <t>Zdravotechnika - vnitřní kanalizace</t>
  </si>
  <si>
    <t>721100911</t>
  </si>
  <si>
    <t>Opravy potrubí hrdlového zazátkování hrdla kanalizačního potrubí</t>
  </si>
  <si>
    <t>1824227577</t>
  </si>
  <si>
    <t>https://podminky.urs.cz/item/CS_URS_2022_01/721100911</t>
  </si>
  <si>
    <t>721140802</t>
  </si>
  <si>
    <t>Demontáž potrubí z litinových trub odpadních nebo dešťových do DN 100</t>
  </si>
  <si>
    <t>-1100712849</t>
  </si>
  <si>
    <t>https://podminky.urs.cz/item/CS_URS_2021_02/721140802</t>
  </si>
  <si>
    <t>28615602</t>
  </si>
  <si>
    <t>čistící tvarovka odpadní PP DN 75 pro vysoké teploty</t>
  </si>
  <si>
    <t>812272249</t>
  </si>
  <si>
    <t>28615603</t>
  </si>
  <si>
    <t>čistící tvarovka odpadní PP DN 110 pro vysoké teploty</t>
  </si>
  <si>
    <t>665072048</t>
  </si>
  <si>
    <t>721174024</t>
  </si>
  <si>
    <t>Potrubí z trub polypropylenových odpadní (svislé) DN 75</t>
  </si>
  <si>
    <t>767435734</t>
  </si>
  <si>
    <t>https://podminky.urs.cz/item/CS_URS_2022_01/721174024</t>
  </si>
  <si>
    <t>28615658</t>
  </si>
  <si>
    <t>instalační objímka pevná dvoušroubová HTPO DN 75</t>
  </si>
  <si>
    <t>602337483</t>
  </si>
  <si>
    <t>721174025</t>
  </si>
  <si>
    <t>Potrubí z trub polypropylenových odpadní (svislé) DN 110</t>
  </si>
  <si>
    <t>2045967571</t>
  </si>
  <si>
    <t>https://podminky.urs.cz/item/CS_URS_2022_01/721174025</t>
  </si>
  <si>
    <t>28615659</t>
  </si>
  <si>
    <t>instalační objímka pevná dvoušroubová HTPO DN 110</t>
  </si>
  <si>
    <t>1920632592</t>
  </si>
  <si>
    <t>7211740421</t>
  </si>
  <si>
    <t>Potrubí z trub polypropylenových připojovací DN 32</t>
  </si>
  <si>
    <t>607275707</t>
  </si>
  <si>
    <t>28615655</t>
  </si>
  <si>
    <t>instalační objímka pevná dvoušroubová HTPO DN 32</t>
  </si>
  <si>
    <t>1248676075</t>
  </si>
  <si>
    <t>721174042</t>
  </si>
  <si>
    <t>Potrubí z trub polypropylenových připojovací DN 40</t>
  </si>
  <si>
    <t>1973008942</t>
  </si>
  <si>
    <t>https://podminky.urs.cz/item/CS_URS_2022_01/721174042</t>
  </si>
  <si>
    <t>28615656</t>
  </si>
  <si>
    <t>instalační objímka pevná dvoušroubová HTPO DN 40</t>
  </si>
  <si>
    <t>-9529530</t>
  </si>
  <si>
    <t>721174043</t>
  </si>
  <si>
    <t>Potrubí z trub polypropylenových připojovací DN 50</t>
  </si>
  <si>
    <t>-1899984841</t>
  </si>
  <si>
    <t>https://podminky.urs.cz/item/CS_URS_2021_01/721174043</t>
  </si>
  <si>
    <t>28615657</t>
  </si>
  <si>
    <t>instalační objímka pevná dvoušroubová HTPO DN 50</t>
  </si>
  <si>
    <t>1119057120</t>
  </si>
  <si>
    <t>721174044</t>
  </si>
  <si>
    <t>Potrubí z trub polypropylenových připojovací DN 75</t>
  </si>
  <si>
    <t>-771858884</t>
  </si>
  <si>
    <t>https://podminky.urs.cz/item/CS_URS_2022_01/721174044</t>
  </si>
  <si>
    <t>1572808073</t>
  </si>
  <si>
    <t>721174045</t>
  </si>
  <si>
    <t>Potrubí z trub polypropylenových připojovací DN 110</t>
  </si>
  <si>
    <t>436249806</t>
  </si>
  <si>
    <t>https://podminky.urs.cz/item/CS_URS_2021_01/721174045</t>
  </si>
  <si>
    <t>-960358384</t>
  </si>
  <si>
    <t>721194105</t>
  </si>
  <si>
    <t>Vyměření přípojek na potrubí vyvedení a upevnění odpadních výpustek DN 50</t>
  </si>
  <si>
    <t>970681219</t>
  </si>
  <si>
    <t>https://podminky.urs.cz/item/CS_URS_2021_01/721194105</t>
  </si>
  <si>
    <t>721194109</t>
  </si>
  <si>
    <t>Vyměření přípojek na potrubí vyvedení a upevnění odpadních výpustek DN 110</t>
  </si>
  <si>
    <t>-1834505634</t>
  </si>
  <si>
    <t>https://podminky.urs.cz/item/CS_URS_2021_01/721194109</t>
  </si>
  <si>
    <t>721211421</t>
  </si>
  <si>
    <t>Podlahové vpusti se svislým odtokem DN 50/75/110 mřížka nerez 115x115</t>
  </si>
  <si>
    <t>1382721087</t>
  </si>
  <si>
    <t>https://podminky.urs.cz/item/CS_URS_2022_01/721211421</t>
  </si>
  <si>
    <t>7212121282</t>
  </si>
  <si>
    <t>Separátory tuků o objemu 60l _x000D_
pro vnitřní použití z nerezové ocel, včetně víka s těsněním, uzavřený se 4 přezkami a 2 vertikálními příčkami pro oddělování tuku a kalu _x000D_
Vstup a výstup DN50</t>
  </si>
  <si>
    <t>314093906</t>
  </si>
  <si>
    <t>721229111</t>
  </si>
  <si>
    <t>Zápachové uzávěrky montáž zápachových uzávěrek ostatních typů do DN 50</t>
  </si>
  <si>
    <t>-548164428</t>
  </si>
  <si>
    <t>https://podminky.urs.cz/item/CS_URS_2021_01/721229111</t>
  </si>
  <si>
    <t>48481003</t>
  </si>
  <si>
    <t>sifon pro odvod kondenzátu</t>
  </si>
  <si>
    <t>-599698833</t>
  </si>
  <si>
    <t>721233112</t>
  </si>
  <si>
    <t>Střešní vtoky (vpusti) polypropylenové (PP) pro ploché střechy s odtokem svislým DN 110</t>
  </si>
  <si>
    <t>-1673398507</t>
  </si>
  <si>
    <t>https://podminky.urs.cz/item/CS_URS_2022_01/721233112</t>
  </si>
  <si>
    <t>721273153</t>
  </si>
  <si>
    <t>Ventilační hlavice z polypropylenu (PP) DN 110</t>
  </si>
  <si>
    <t>-162758365</t>
  </si>
  <si>
    <t>https://podminky.urs.cz/item/CS_URS_2021_01/721273153</t>
  </si>
  <si>
    <t>727212115</t>
  </si>
  <si>
    <t>Protipožární trubní ucpávky plastového potrubí prostup stěnou tloušťky 100 mm požární odolnost EI 90-120 D 75</t>
  </si>
  <si>
    <t>-542584495</t>
  </si>
  <si>
    <t>https://podminky.urs.cz/item/CS_URS_2022_01/727212115</t>
  </si>
  <si>
    <t>727212117</t>
  </si>
  <si>
    <t>Protipožární trubní ucpávky plastového potrubí prostup stěnou tloušťky 100 mm požární odolnost EI 90-120 D 110</t>
  </si>
  <si>
    <t>1518133671</t>
  </si>
  <si>
    <t>https://podminky.urs.cz/item/CS_URS_2022_01/727212117</t>
  </si>
  <si>
    <t>721290111</t>
  </si>
  <si>
    <t>Zkouška těsnosti kanalizace v objektech vodou do DN 125</t>
  </si>
  <si>
    <t>754105002</t>
  </si>
  <si>
    <t>https://podminky.urs.cz/item/CS_URS_2021_02/721290111</t>
  </si>
  <si>
    <t>721290822</t>
  </si>
  <si>
    <t>Vnitrostaveništní přemístění vybouraných (demontovaných) hmot vnitřní kanalizace vodorovně do 100 m v objektech výšky přes 6 do 12 m</t>
  </si>
  <si>
    <t>-415689109</t>
  </si>
  <si>
    <t>https://podminky.urs.cz/item/CS_URS_2022_01/721290822</t>
  </si>
  <si>
    <t>998721102</t>
  </si>
  <si>
    <t>Přesun hmot pro vnitřní kanalizace stanovený z hmotnosti přesunovaného materiálu vodorovná dopravní vzdálenost do 50 m v objektech výšky přes 6 do 12 m</t>
  </si>
  <si>
    <t>-1346110480</t>
  </si>
  <si>
    <t>https://podminky.urs.cz/item/CS_URS_2022_01/998721102</t>
  </si>
  <si>
    <t>998721181</t>
  </si>
  <si>
    <t>Přesun hmot pro vnitřní kanalizace stanovený z hmotnosti přesunovaného materiálu Příplatek k ceně za přesun prováděný bez použití mechanizace pro jakoukoliv výšku objektu</t>
  </si>
  <si>
    <t>1770899306</t>
  </si>
  <si>
    <t>https://podminky.urs.cz/item/CS_URS_2022_01/998721181</t>
  </si>
  <si>
    <t>722</t>
  </si>
  <si>
    <t>Zdravotechnika - vnitřní vodovod</t>
  </si>
  <si>
    <t>722130232</t>
  </si>
  <si>
    <t>Potrubí z ocelových trubek pozinkovaných závitových svařovaných běžných DN 20</t>
  </si>
  <si>
    <t>-1767780007</t>
  </si>
  <si>
    <t>https://podminky.urs.cz/item/CS_URS_2021_02/722130232</t>
  </si>
  <si>
    <t>42390133</t>
  </si>
  <si>
    <t>objímka potrubí jednošroubová M8 20–23 1/2"</t>
  </si>
  <si>
    <t>-1840634076</t>
  </si>
  <si>
    <t>722130234</t>
  </si>
  <si>
    <t>Potrubí z ocelových trubek pozinkovaných závitových svařovaných běžných DN 32</t>
  </si>
  <si>
    <t>541444817</t>
  </si>
  <si>
    <t>https://podminky.urs.cz/item/CS_URS_2021_02/722130234</t>
  </si>
  <si>
    <t>42390135</t>
  </si>
  <si>
    <t>objímka potrubí jednošroubová M8 31–38 1"</t>
  </si>
  <si>
    <t>2021121868</t>
  </si>
  <si>
    <t>722130236</t>
  </si>
  <si>
    <t>Potrubí z ocelových trubek pozinkovaných závitových svařovaných běžných DN 50</t>
  </si>
  <si>
    <t>2129674752</t>
  </si>
  <si>
    <t>https://podminky.urs.cz/item/CS_URS_2022_01/722130236</t>
  </si>
  <si>
    <t>722130238</t>
  </si>
  <si>
    <t>Potrubí z ocelových trubek pozinkovaných závitových svařovaných běžných DN 80</t>
  </si>
  <si>
    <t>485549916</t>
  </si>
  <si>
    <t>https://podminky.urs.cz/item/CS_URS_2022_01/722130238</t>
  </si>
  <si>
    <t>722130802</t>
  </si>
  <si>
    <t>Demontáž potrubí z ocelových trubek pozinkovaných závitových přes 25 do DN 40</t>
  </si>
  <si>
    <t>1192057386</t>
  </si>
  <si>
    <t>https://podminky.urs.cz/item/CS_URS_2022_01/722130802</t>
  </si>
  <si>
    <t>722174002</t>
  </si>
  <si>
    <t>Potrubí z plastových trubek z polypropylenu PPR svařovaných polyfúzně PN 16 (SDR 7,4) D 20 x 2,8</t>
  </si>
  <si>
    <t>-844201497</t>
  </si>
  <si>
    <t>https://podminky.urs.cz/item/CS_URS_2021_02/722174002</t>
  </si>
  <si>
    <t>42390145</t>
  </si>
  <si>
    <t>objímka potrubí dvoušroubová M8 40–46 5/4"</t>
  </si>
  <si>
    <t>-1860291062</t>
  </si>
  <si>
    <t>722174003</t>
  </si>
  <si>
    <t>Potrubí z plastových trubek z polypropylenu PPR svařovaných polyfúzně PN 16 (SDR 7,4) D 25 x 3,5</t>
  </si>
  <si>
    <t>-235743114</t>
  </si>
  <si>
    <t>https://podminky.urs.cz/item/CS_URS_2021_02/722174003</t>
  </si>
  <si>
    <t>42390146</t>
  </si>
  <si>
    <t>objímka potrubí dvoušroubová M8 48–53 6/4"</t>
  </si>
  <si>
    <t>-1640901215</t>
  </si>
  <si>
    <t>42390148</t>
  </si>
  <si>
    <t>objímka potrubí dvoušroubová M8/M10 60–64 2"</t>
  </si>
  <si>
    <t>1778118452</t>
  </si>
  <si>
    <t>722174004</t>
  </si>
  <si>
    <t>Potrubí z plastových trubek z polypropylenu PPR svařovaných polyfúzně PN 16 (SDR 7,4) D 32 x 4,4</t>
  </si>
  <si>
    <t>1449496579</t>
  </si>
  <si>
    <t>https://podminky.urs.cz/item/CS_URS_2021_02/722174004</t>
  </si>
  <si>
    <t>42390147</t>
  </si>
  <si>
    <t>objímka potrubí dvoušroubová M8/M10 54–59</t>
  </si>
  <si>
    <t>-1037125817</t>
  </si>
  <si>
    <t>42390151</t>
  </si>
  <si>
    <t>objímka potrubí dvoušroubová M8/M10 81 - 86</t>
  </si>
  <si>
    <t>1379707756</t>
  </si>
  <si>
    <t>722174005</t>
  </si>
  <si>
    <t>Potrubí z plastových trubek z polypropylenu PPR svařovaných polyfúzně PN 16 (SDR 7,4) D 40 x 5,5</t>
  </si>
  <si>
    <t>-2036749926</t>
  </si>
  <si>
    <t>https://podminky.urs.cz/item/CS_URS_2021_02/722174005</t>
  </si>
  <si>
    <t>42390149</t>
  </si>
  <si>
    <t>objímka potrubí dvoušroubová M8/M10 67-71</t>
  </si>
  <si>
    <t>-1092492297</t>
  </si>
  <si>
    <t>42390153</t>
  </si>
  <si>
    <t>objímka potrubí dvoušroubová M8/M10 95–103</t>
  </si>
  <si>
    <t>-1674122766</t>
  </si>
  <si>
    <t>722174006</t>
  </si>
  <si>
    <t>Potrubí z plastových trubek z polypropylenu PPR svařovaných polyfúzně PN 16 (SDR 7,4) D 50 x 6,9</t>
  </si>
  <si>
    <t>590597947</t>
  </si>
  <si>
    <t>https://podminky.urs.cz/item/CS_URS_2021_02/722174006</t>
  </si>
  <si>
    <t>42390150</t>
  </si>
  <si>
    <t>objímka potrubí dvoušroubová M8/M10 78-78 2 1/2"</t>
  </si>
  <si>
    <t>1229948214</t>
  </si>
  <si>
    <t>722174007</t>
  </si>
  <si>
    <t>Potrubí z plastových trubek z polypropylenu PPR svařovaných polyfúzně PN 16 (SDR 7,4) D 63 x 8,6</t>
  </si>
  <si>
    <t>-789422819</t>
  </si>
  <si>
    <t>https://podminky.urs.cz/item/CS_URS_2021_02/722174007</t>
  </si>
  <si>
    <t>42390152</t>
  </si>
  <si>
    <t>objímka potrubí dvoušroubová M8/M10 87-92 3"</t>
  </si>
  <si>
    <t>-837937082</t>
  </si>
  <si>
    <t>722174008</t>
  </si>
  <si>
    <t>Potrubí z plastových trubek z polypropylenu PPR svařovaných polyfúzně PN 16 (SDR 7,4) D 75 x 10,3</t>
  </si>
  <si>
    <t>-875768399</t>
  </si>
  <si>
    <t>https://podminky.urs.cz/item/CS_URS_2022_01/722174008</t>
  </si>
  <si>
    <t>1169138054</t>
  </si>
  <si>
    <t>722181231</t>
  </si>
  <si>
    <t>Ochrana potrubí termoizolačními trubicemi z pěnového polyetylenu PE přilepenými v příčných a podélných spojích, tloušťky izolace přes 9 do 13 mm, vnitřního průměru izolace DN do 22 mm</t>
  </si>
  <si>
    <t>930528839</t>
  </si>
  <si>
    <t>https://podminky.urs.cz/item/CS_URS_2022_01/722181231</t>
  </si>
  <si>
    <t>722181232</t>
  </si>
  <si>
    <t>Ochrana potrubí termoizolačními trubicemi z pěnového polyetylenu PE přilepenými v příčných a podélných spojích, tloušťky izolace přes 9 do 13 mm, vnitřního průměru izolace DN přes 22 do 45 mm</t>
  </si>
  <si>
    <t>-1483790089</t>
  </si>
  <si>
    <t>https://podminky.urs.cz/item/CS_URS_2022_01/722181232</t>
  </si>
  <si>
    <t>722181233</t>
  </si>
  <si>
    <t>Ochrana potrubí termoizolačními trubicemi z pěnového polyetylenu PE přilepenými v příčných a podélných spojích, tloušťky izolace přes 9 do 13 mm, vnitřního průměru izolace DN přes 45 do 63 mm</t>
  </si>
  <si>
    <t>-562596569</t>
  </si>
  <si>
    <t>https://podminky.urs.cz/item/CS_URS_2022_01/722181233</t>
  </si>
  <si>
    <t>722181234</t>
  </si>
  <si>
    <t>Ochrana potrubí termoizolačními trubicemi z pěnového polyetylenu PE přilepenými v příčných a podélných spojích, tloušťky izolace přes 9 do 13 mm, vnitřního průměru izolace DN přes 63 do 89 mm</t>
  </si>
  <si>
    <t>-705812991</t>
  </si>
  <si>
    <t>https://podminky.urs.cz/item/CS_URS_2022_01/722181234</t>
  </si>
  <si>
    <t>722181242</t>
  </si>
  <si>
    <t>Ochrana potrubí termoizolačními trubicemi z pěnového polyetylenu PE přilepenými v příčných a podélných spojích, tloušťky izolace přes 13 do 20 mm, vnitřního průměru izolace DN přes 22 do 45 mm</t>
  </si>
  <si>
    <t>1367394654</t>
  </si>
  <si>
    <t>https://podminky.urs.cz/item/CS_URS_2022_01/722181242</t>
  </si>
  <si>
    <t>722181252</t>
  </si>
  <si>
    <t>Ochrana potrubí termoizolačními trubicemi z pěnového polyetylenu PE přilepenými v příčných a podélných spojích, tloušťky izolace přes 20 do 25 mm, vnitřního průměru izolace DN přes 22 do 45 mm</t>
  </si>
  <si>
    <t>-134632134</t>
  </si>
  <si>
    <t>https://podminky.urs.cz/item/CS_URS_2022_01/722181252</t>
  </si>
  <si>
    <t>722190401</t>
  </si>
  <si>
    <t>Zřízení přípojek na potrubí vyvedení a upevnění výpustek do DN 25</t>
  </si>
  <si>
    <t>1018699154</t>
  </si>
  <si>
    <t>https://podminky.urs.cz/item/CS_URS_2021_02/722190401</t>
  </si>
  <si>
    <t>722221135</t>
  </si>
  <si>
    <t>Armatury s jedním závitem ventily výtokové G 3/4"</t>
  </si>
  <si>
    <t>soubor</t>
  </si>
  <si>
    <t>569472745</t>
  </si>
  <si>
    <t>https://podminky.urs.cz/item/CS_URS_2021_02/722221135</t>
  </si>
  <si>
    <t>722231074</t>
  </si>
  <si>
    <t>Armatury se dvěma závity ventily zpětné mosazné PN 10 do 110°C G 1"</t>
  </si>
  <si>
    <t>1573981858</t>
  </si>
  <si>
    <t>https://podminky.urs.cz/item/CS_URS_2021_02/722231074</t>
  </si>
  <si>
    <t>722231077</t>
  </si>
  <si>
    <t>Armatury se dvěma závity ventily zpětné mosazné PN 10 do 110°C G 2"</t>
  </si>
  <si>
    <t>-969668135</t>
  </si>
  <si>
    <t>https://podminky.urs.cz/item/CS_URS_2021_02/722231077</t>
  </si>
  <si>
    <t>722231221</t>
  </si>
  <si>
    <t>Armatury se dvěma závity ventily pojistné k bojleru mosazné PN 6 do 100°C G 1/2"</t>
  </si>
  <si>
    <t>88769288</t>
  </si>
  <si>
    <t>https://podminky.urs.cz/item/CS_URS_2022_01/722231221</t>
  </si>
  <si>
    <t>722232045</t>
  </si>
  <si>
    <t>Armatury se dvěma závity kulové kohouty PN 42 do 185 °C přímé vnitřní závit G 1"</t>
  </si>
  <si>
    <t>-837689478</t>
  </si>
  <si>
    <t>https://podminky.urs.cz/item/CS_URS_2021_02/722232045</t>
  </si>
  <si>
    <t>722232048</t>
  </si>
  <si>
    <t>Armatury se dvěma závity kulové kohouty PN 42 do 185 °C přímé vnitřní závit G 2"</t>
  </si>
  <si>
    <t>491657992</t>
  </si>
  <si>
    <t>https://podminky.urs.cz/item/CS_URS_2021_02/722232048</t>
  </si>
  <si>
    <t>722232063</t>
  </si>
  <si>
    <t>Armatury se dvěma závity kulové kohouty PN 42 do 185 °C přímé vnitřní závit s vypouštěním G 1"</t>
  </si>
  <si>
    <t>-1750176524</t>
  </si>
  <si>
    <t>https://podminky.urs.cz/item/CS_URS_2021_02/722232063</t>
  </si>
  <si>
    <t>724231127</t>
  </si>
  <si>
    <t>Příslušenství domovních vodáren měřicí manometr s membránou</t>
  </si>
  <si>
    <t>-984643086</t>
  </si>
  <si>
    <t>https://podminky.urs.cz/item/CS_URS_2021_02/724231127</t>
  </si>
  <si>
    <t>722250101</t>
  </si>
  <si>
    <t>Požární příslušenství a armatury hydrantové ventily s hadicovou přípojkou G 1"</t>
  </si>
  <si>
    <t>-140696230</t>
  </si>
  <si>
    <t>https://podminky.urs.cz/item/CS_URS_2021_02/722250101</t>
  </si>
  <si>
    <t>72225013R</t>
  </si>
  <si>
    <t>Požární příslušenství a armatury hydrantový systém s tvarově stálou hadicí celoplechový D 19 x 30 m (do stěny i na stěnu)</t>
  </si>
  <si>
    <t>2112881723</t>
  </si>
  <si>
    <t>722290215</t>
  </si>
  <si>
    <t>Zkoušky, proplach a desinfekce vodovodního potrubí zkoušky těsnosti vodovodního potrubí hrdlového nebo přírubového do DN 100</t>
  </si>
  <si>
    <t>756151265</t>
  </si>
  <si>
    <t>https://podminky.urs.cz/item/CS_URS_2022_01/722290215</t>
  </si>
  <si>
    <t>722290226</t>
  </si>
  <si>
    <t>Zkoušky, proplach a desinfekce vodovodního potrubí zkoušky těsnosti vodovodního potrubí závitového do DN 50</t>
  </si>
  <si>
    <t>1872505458</t>
  </si>
  <si>
    <t>https://podminky.urs.cz/item/CS_URS_2021_02/722290226</t>
  </si>
  <si>
    <t>722290234</t>
  </si>
  <si>
    <t>Zkoušky, proplach a desinfekce vodovodního potrubí proplach a desinfekce vodovodního potrubí do DN 80</t>
  </si>
  <si>
    <t>-370872056</t>
  </si>
  <si>
    <t>https://podminky.urs.cz/item/CS_URS_2021_02/722290234</t>
  </si>
  <si>
    <t>722290822</t>
  </si>
  <si>
    <t>Vnitrostaveništní přemístění vybouraných (demontovaných) hmot vnitřní vodovod vodorovně do 100 m v objektech výšky přes 6 do 12 m</t>
  </si>
  <si>
    <t>718679246</t>
  </si>
  <si>
    <t>https://podminky.urs.cz/item/CS_URS_2022_01/722290822</t>
  </si>
  <si>
    <t>998722102</t>
  </si>
  <si>
    <t>Přesun hmot pro vnitřní vodovod stanovený z hmotnosti přesunovaného materiálu vodorovná dopravní vzdálenost do 50 m v objektech výšky přes 6 do 12 m</t>
  </si>
  <si>
    <t>1428063437</t>
  </si>
  <si>
    <t>https://podminky.urs.cz/item/CS_URS_2022_01/998722102</t>
  </si>
  <si>
    <t>998722181</t>
  </si>
  <si>
    <t>Přesun hmot pro vnitřní vodovod stanovený z hmotnosti přesunovaného materiálu Příplatek k ceně za přesun prováděný bez použití mechanizace pro jakoukoliv výšku objektu</t>
  </si>
  <si>
    <t>-721827452</t>
  </si>
  <si>
    <t>https://podminky.urs.cz/item/CS_URS_2022_01/998722181</t>
  </si>
  <si>
    <t>Zdravotechnika - zařizovací předměty</t>
  </si>
  <si>
    <t>725110814</t>
  </si>
  <si>
    <t>Demontáž klozetů kombi</t>
  </si>
  <si>
    <t>2056178974</t>
  </si>
  <si>
    <t>https://podminky.urs.cz/item/CS_URS_2022_01/725110814</t>
  </si>
  <si>
    <t>725112171</t>
  </si>
  <si>
    <t>Zařízení záchodů kombi klozety s hlubokým splachováním odpad vodorovný</t>
  </si>
  <si>
    <t>1039019424</t>
  </si>
  <si>
    <t>https://podminky.urs.cz/item/CS_URS_2022_01/725112171</t>
  </si>
  <si>
    <t>725121527</t>
  </si>
  <si>
    <t>Pisoárové záchodky keramické automatické s integrovaným napájecím zdrojem</t>
  </si>
  <si>
    <t>1679393259</t>
  </si>
  <si>
    <t>https://podminky.urs.cz/item/CS_URS_2022_01/725121527</t>
  </si>
  <si>
    <t>725122817</t>
  </si>
  <si>
    <t>Demontáž pisoárů bez nádrže s rohovým ventilem s 1 záchodkem</t>
  </si>
  <si>
    <t>-1037583615</t>
  </si>
  <si>
    <t>https://podminky.urs.cz/item/CS_URS_2022_01/725122817</t>
  </si>
  <si>
    <t>725210821</t>
  </si>
  <si>
    <t>Demontáž umyvadel bez výtokových armatur umyvadel</t>
  </si>
  <si>
    <t>-1715620619</t>
  </si>
  <si>
    <t>https://podminky.urs.cz/item/CS_URS_2022_01/725210821</t>
  </si>
  <si>
    <t>725211603</t>
  </si>
  <si>
    <t>Umyvadla keramická bílá bez výtokových armatur připevněná na stěnu šrouby bez sloupu nebo krytu na sifon, šířka umyvadla 600 mm</t>
  </si>
  <si>
    <t>727147360</t>
  </si>
  <si>
    <t>https://podminky.urs.cz/item/CS_URS_2022_01/725211603</t>
  </si>
  <si>
    <t>725240812</t>
  </si>
  <si>
    <t>Demontáž sprchových kabin a vaniček bez výtokových armatur vaniček</t>
  </si>
  <si>
    <t>64113507</t>
  </si>
  <si>
    <t>https://podminky.urs.cz/item/CS_URS_2022_01/725240812</t>
  </si>
  <si>
    <t>725311121</t>
  </si>
  <si>
    <t>Dřezy bez výtokových armatur jednoduché se zápachovou uzávěrkou nerezové s odkapávací plochou 560x480 mm a miskou</t>
  </si>
  <si>
    <t>-651313921</t>
  </si>
  <si>
    <t>https://podminky.urs.cz/item/CS_URS_2022_01/725311121</t>
  </si>
  <si>
    <t>725331111</t>
  </si>
  <si>
    <t>Výlevky bez výtokových armatur a splachovací nádrže keramické se sklopnou plastovou mřížkou 425 mm</t>
  </si>
  <si>
    <t>-1233339109</t>
  </si>
  <si>
    <t>https://podminky.urs.cz/item/CS_URS_2022_01/725331111</t>
  </si>
  <si>
    <t>725530826</t>
  </si>
  <si>
    <t>Demontáž elektrických zásobníkových ohřívačů vody akumulačních do 800 l</t>
  </si>
  <si>
    <t>3410793</t>
  </si>
  <si>
    <t>https://podminky.urs.cz/item/CS_URS_2022_01/725530826</t>
  </si>
  <si>
    <t>725532102</t>
  </si>
  <si>
    <t>Elektrické ohřívače zásobníkové beztlakové přepadové akumulační s pojistným ventilem závěsné svislé objem nádrže (příkon) 15 l (2,0 kW); včetně pojistné armatury</t>
  </si>
  <si>
    <t>89595853</t>
  </si>
  <si>
    <t>https://podminky.urs.cz/item/CS_URS_2022_01/725532102</t>
  </si>
  <si>
    <t>7255321021</t>
  </si>
  <si>
    <t>Elektrické ohřívače zásobníkové tlakové přepadové akumulační s pojistným ventilem závěsné svislé objem nádrže (příkon) 15 l (2,0 kW)</t>
  </si>
  <si>
    <t>2008296617</t>
  </si>
  <si>
    <t>7255321241</t>
  </si>
  <si>
    <t>Elektrické ohřívače zásobníkové beztlakové přepadové akumulační s pojistným ventilem závěsné svislé objem nádrže (příkon) 160 l (2/6 kW)</t>
  </si>
  <si>
    <t>1039476210</t>
  </si>
  <si>
    <t>7255322201</t>
  </si>
  <si>
    <t>Elektrické ohřívače zásobníkové beztlakové přepadové akumulační s pojistným ventilem závěsné vodorovné objem nádrže (příkon) 200 l (2/6 kW)</t>
  </si>
  <si>
    <t>-1730347742</t>
  </si>
  <si>
    <t>725590812</t>
  </si>
  <si>
    <t>Vnitrostaveništní přemístění vybouraných (demontovaných) hmot zařizovacích předmětů vodorovně do 100 m v objektech výšky přes 6 do 12 m</t>
  </si>
  <si>
    <t>-1000045759</t>
  </si>
  <si>
    <t>https://podminky.urs.cz/item/CS_URS_2022_01/725590812</t>
  </si>
  <si>
    <t>725813111</t>
  </si>
  <si>
    <t>Ventily rohové bez připojovací trubičky nebo flexi hadičky G 1/2"</t>
  </si>
  <si>
    <t>1886181560</t>
  </si>
  <si>
    <t>https://podminky.urs.cz/item/CS_URS_2021_02/725813111</t>
  </si>
  <si>
    <t>725813112</t>
  </si>
  <si>
    <t>Ventily rohové bez připojovací trubičky nebo flexi hadičky pračkové G 3/4"</t>
  </si>
  <si>
    <t>2035637440</t>
  </si>
  <si>
    <t>https://podminky.urs.cz/item/CS_URS_2021_02/725813112</t>
  </si>
  <si>
    <t>725820801</t>
  </si>
  <si>
    <t>Demontáž baterií nástěnných do G 3/4</t>
  </si>
  <si>
    <t>50919380</t>
  </si>
  <si>
    <t>https://podminky.urs.cz/item/CS_URS_2022_01/725820801</t>
  </si>
  <si>
    <t>725821312</t>
  </si>
  <si>
    <t>Baterie dřezové nástěnné pákové s otáčivým kulatým ústím a délkou ramínka 300 mm</t>
  </si>
  <si>
    <t>645064778</t>
  </si>
  <si>
    <t>https://podminky.urs.cz/item/CS_URS_2022_01/725821312</t>
  </si>
  <si>
    <t>725822613</t>
  </si>
  <si>
    <t>Baterie umyvadlové stojánkové pákové s výpustí</t>
  </si>
  <si>
    <t>-876806749</t>
  </si>
  <si>
    <t>https://podminky.urs.cz/item/CS_URS_2022_01/725822613</t>
  </si>
  <si>
    <t>725840850</t>
  </si>
  <si>
    <t>Demontáž baterií sprchových diferenciálních do G 3/4 x 1</t>
  </si>
  <si>
    <t>-1975646165</t>
  </si>
  <si>
    <t>https://podminky.urs.cz/item/CS_URS_2022_01/725840850</t>
  </si>
  <si>
    <t>725841333</t>
  </si>
  <si>
    <t>Baterie sprchové podomítkové (zápustné) s přepínačem a pevnou sprchou</t>
  </si>
  <si>
    <t>510786289</t>
  </si>
  <si>
    <t>https://podminky.urs.cz/item/CS_URS_2021_02/725841333</t>
  </si>
  <si>
    <t>725851315</t>
  </si>
  <si>
    <t>Ventily odpadní pro zařizovací předměty dřezové s přepadem G 6/4"</t>
  </si>
  <si>
    <t>-1955456294</t>
  </si>
  <si>
    <t>https://podminky.urs.cz/item/CS_URS_2021_02/725851315</t>
  </si>
  <si>
    <t>725860811</t>
  </si>
  <si>
    <t>Demontáž zápachových uzávěrek pro zařizovací předměty jednoduchých</t>
  </si>
  <si>
    <t>-1483912423</t>
  </si>
  <si>
    <t>https://podminky.urs.cz/item/CS_URS_2022_01/725860811</t>
  </si>
  <si>
    <t>725861102</t>
  </si>
  <si>
    <t>Zápachové uzávěrky zařizovacích předmětů pro umyvadla DN 40</t>
  </si>
  <si>
    <t>1606585461</t>
  </si>
  <si>
    <t>https://podminky.urs.cz/item/CS_URS_2021_02/725861102</t>
  </si>
  <si>
    <t>725861312</t>
  </si>
  <si>
    <t>Zápachové uzávěrky zařizovacích předmětů pro umyvadla podomítkové DN 40/50</t>
  </si>
  <si>
    <t>631502227</t>
  </si>
  <si>
    <t>https://podminky.urs.cz/item/CS_URS_2021_02/725861312</t>
  </si>
  <si>
    <t>725862103</t>
  </si>
  <si>
    <t>Zápachové uzávěrky zařizovacích předmětů pro dřezy DN 40/50</t>
  </si>
  <si>
    <t>1774061945</t>
  </si>
  <si>
    <t>https://podminky.urs.cz/item/CS_URS_2022_01/725862103</t>
  </si>
  <si>
    <t>725980123</t>
  </si>
  <si>
    <t>Dvířka 30/30</t>
  </si>
  <si>
    <t>384214649</t>
  </si>
  <si>
    <t>https://podminky.urs.cz/item/CS_URS_2021_02/725980123</t>
  </si>
  <si>
    <t>998725102</t>
  </si>
  <si>
    <t>Přesun hmot pro zařizovací předměty stanovený z hmotnosti přesunovaného materiálu vodorovná dopravní vzdálenost do 50 m v objektech výšky přes 6 do 12 m</t>
  </si>
  <si>
    <t>-2089531440</t>
  </si>
  <si>
    <t>https://podminky.urs.cz/item/CS_URS_2022_01/998725102</t>
  </si>
  <si>
    <t>998725181</t>
  </si>
  <si>
    <t>Přesun hmot pro zařizovací předměty stanovený z hmotnosti přesunovaného materiálu Příplatek k cenám za přesun prováděný bez použití mechanizace pro jakoukoliv výšku objektu</t>
  </si>
  <si>
    <t>-1685019281</t>
  </si>
  <si>
    <t>https://podminky.urs.cz/item/CS_URS_2022_01/998725181</t>
  </si>
  <si>
    <t>D14b - Odběrné plynové zařízení</t>
  </si>
  <si>
    <t xml:space="preserve">    723 - Zdravotechnika - vnitřní plynovod</t>
  </si>
  <si>
    <t>VRN - Vedlejší rozpočtové náklady</t>
  </si>
  <si>
    <t xml:space="preserve">    VRN4 - Inženýrská činnost</t>
  </si>
  <si>
    <t>-483340854</t>
  </si>
  <si>
    <t>https://podminky.urs.cz/item/CS_URS_2021_02/310235241</t>
  </si>
  <si>
    <t>231162277</t>
  </si>
  <si>
    <t>-1888424558</t>
  </si>
  <si>
    <t>https://podminky.urs.cz/item/CS_URS_2021_02/974031132</t>
  </si>
  <si>
    <t>493254082</t>
  </si>
  <si>
    <t>https://podminky.urs.cz/item/CS_URS_2021_02/977151113</t>
  </si>
  <si>
    <t>997013214</t>
  </si>
  <si>
    <t>Vnitrostaveništní doprava suti a vybouraných hmot vodorovně do 50 m svisle ručně pro budovy a haly výšky přes 12 do 15 m</t>
  </si>
  <si>
    <t>1783863090</t>
  </si>
  <si>
    <t>https://podminky.urs.cz/item/CS_URS_2021_02/997013214</t>
  </si>
  <si>
    <t>29134496</t>
  </si>
  <si>
    <t>-1855919993</t>
  </si>
  <si>
    <t>0,349*10 'Přepočtené koeficientem množství</t>
  </si>
  <si>
    <t>-1759172348</t>
  </si>
  <si>
    <t>2048214989</t>
  </si>
  <si>
    <t>650194855</t>
  </si>
  <si>
    <t>https://podminky.urs.cz/item/CS_URS_2021_02/998011002</t>
  </si>
  <si>
    <t>723</t>
  </si>
  <si>
    <t>Zdravotechnika - vnitřní plynovod</t>
  </si>
  <si>
    <t>723111304</t>
  </si>
  <si>
    <t>Potrubí z ocelových trubek závitových černých spojovaných lisováním PN 0,5 do 70°C DN 25</t>
  </si>
  <si>
    <t>-27962984</t>
  </si>
  <si>
    <t>https://podminky.urs.cz/item/CS_URS_2021_02/723111304</t>
  </si>
  <si>
    <t>42390143</t>
  </si>
  <si>
    <t>objímka potrubí dvoušroubová M8 25–30 3/4"</t>
  </si>
  <si>
    <t>-731628085</t>
  </si>
  <si>
    <t>723111305</t>
  </si>
  <si>
    <t>Potrubí z ocelových trubek závitových černých spojovaných lisováním PN 0,5 do 70°C DN 32</t>
  </si>
  <si>
    <t>647260184</t>
  </si>
  <si>
    <t>https://podminky.urs.cz/item/CS_URS_2021_02/723111305</t>
  </si>
  <si>
    <t>42390144</t>
  </si>
  <si>
    <t>objímka potrubí dvoušroubová M8 31–38 1"</t>
  </si>
  <si>
    <t>-932853413</t>
  </si>
  <si>
    <t>723111306</t>
  </si>
  <si>
    <t>Potrubí z ocelových trubek závitových černých spojovaných lisováním PN 0,5 do 70°C DN 40</t>
  </si>
  <si>
    <t>293021308</t>
  </si>
  <si>
    <t>https://podminky.urs.cz/item/CS_URS_2021_02/723111306</t>
  </si>
  <si>
    <t>1589412741</t>
  </si>
  <si>
    <t>723120805</t>
  </si>
  <si>
    <t>Demontáž potrubí svařovaného z ocelových trubek závitových přes 25 do DN 50</t>
  </si>
  <si>
    <t>-739340403</t>
  </si>
  <si>
    <t>https://podminky.urs.cz/item/CS_URS_2021_02/723120805</t>
  </si>
  <si>
    <t>723190901</t>
  </si>
  <si>
    <t>Opravy plynovodního potrubí uzavření nebo otevření potrubí</t>
  </si>
  <si>
    <t>-1330154984</t>
  </si>
  <si>
    <t>https://podminky.urs.cz/item/CS_URS_2021_02/723190901</t>
  </si>
  <si>
    <t>723190907</t>
  </si>
  <si>
    <t>Opravy plynovodního potrubí odvzdušnění a napuštění potrubí</t>
  </si>
  <si>
    <t>-713591027</t>
  </si>
  <si>
    <t>https://podminky.urs.cz/item/CS_URS_2021_02/723190907</t>
  </si>
  <si>
    <t>723190909</t>
  </si>
  <si>
    <t>Opravy plynovodního potrubí neúřední zkouška těsnosti dosavadního potrubí</t>
  </si>
  <si>
    <t>-849505850</t>
  </si>
  <si>
    <t>https://podminky.urs.cz/item/CS_URS_2021_02/723190909</t>
  </si>
  <si>
    <t>723231164</t>
  </si>
  <si>
    <t>Armatury se dvěma závity kohouty kulové PN 42 do 185°C plnoprůtokové vnitřní závit těžká řada G 1"</t>
  </si>
  <si>
    <t>-1873140715</t>
  </si>
  <si>
    <t>https://podminky.urs.cz/item/CS_URS_2021_02/723231164</t>
  </si>
  <si>
    <t>55128033</t>
  </si>
  <si>
    <t>tlakoměr radiální D 60mm zadní napojení 1/4" MR 63, 0-4bar</t>
  </si>
  <si>
    <t>1024</t>
  </si>
  <si>
    <t>332334759</t>
  </si>
  <si>
    <t>42277800</t>
  </si>
  <si>
    <t>přípojka tlakoměrová nátrubková M20x1,5/M20x1,5mm</t>
  </si>
  <si>
    <t>-2122275009</t>
  </si>
  <si>
    <t>998723102</t>
  </si>
  <si>
    <t>Přesun hmot pro vnitřní plynovod stanovený z hmotnosti přesunovaného materiálu vodorovná dopravní vzdálenost do 50 m v objektech výšky přes 6 do 12 m</t>
  </si>
  <si>
    <t>867807649</t>
  </si>
  <si>
    <t>https://podminky.urs.cz/item/CS_URS_2021_02/998723102</t>
  </si>
  <si>
    <t>998723181</t>
  </si>
  <si>
    <t>Přesun hmot pro vnitřní plynovod stanovený z hmotnosti přesunovaného materiálu Příplatek k ceně za přesun prováděný bez použití mechanizace pro jakoukoliv výšku objektu</t>
  </si>
  <si>
    <t>-487079368</t>
  </si>
  <si>
    <t>https://podminky.urs.cz/item/CS_URS_2021_02/998723181</t>
  </si>
  <si>
    <t>VRN</t>
  </si>
  <si>
    <t>Vedlejší rozpočtové náklady</t>
  </si>
  <si>
    <t>VRN4</t>
  </si>
  <si>
    <t>Inženýrská činnost</t>
  </si>
  <si>
    <t>043114000</t>
  </si>
  <si>
    <t>Zkoušky tlakové</t>
  </si>
  <si>
    <t>600643947</t>
  </si>
  <si>
    <t>https://podminky.urs.cz/item/CS_URS_2021_01/043114000</t>
  </si>
  <si>
    <t>044002000</t>
  </si>
  <si>
    <t>Revize</t>
  </si>
  <si>
    <t>-1400901526</t>
  </si>
  <si>
    <t>https://podminky.urs.cz/item/CS_URS_2021_01/044002000</t>
  </si>
  <si>
    <t>D14c - Vzduchotechnika</t>
  </si>
  <si>
    <t xml:space="preserve">    751 - Vzduchotechnika</t>
  </si>
  <si>
    <t>70446284</t>
  </si>
  <si>
    <t>568612406</t>
  </si>
  <si>
    <t>310236251</t>
  </si>
  <si>
    <t>Zazdívka otvorů ve zdivu nadzákladovém cihlami pálenými plochy přes 0,0225 m2 do 0,09 m2, ve zdi tl. přes 300 do 450 mm</t>
  </si>
  <si>
    <t>1889361364</t>
  </si>
  <si>
    <t>https://podminky.urs.cz/item/CS_URS_2022_01/310236251</t>
  </si>
  <si>
    <t>310237251</t>
  </si>
  <si>
    <t>Zazdívka otvorů ve zdivu nadzákladovém cihlami pálenými plochy přes 0,09 m2 do 0,25 m2, ve zdi tl. přes 300 do 450 mm</t>
  </si>
  <si>
    <t>723858107</t>
  </si>
  <si>
    <t>https://podminky.urs.cz/item/CS_URS_2022_01/310237251</t>
  </si>
  <si>
    <t>971033351</t>
  </si>
  <si>
    <t>Vybourání otvorů ve zdivu základovém nebo nadzákladovém z cihel, tvárnic, příčkovek z cihel pálených na maltu vápennou nebo vápenocementovou plochy do 0,09 m2, tl. do 450 mm</t>
  </si>
  <si>
    <t>28375890</t>
  </si>
  <si>
    <t>https://podminky.urs.cz/item/CS_URS_2022_01/971033351</t>
  </si>
  <si>
    <t>971033451</t>
  </si>
  <si>
    <t>Vybourání otvorů ve zdivu základovém nebo nadzákladovém z cihel, tvárnic, příčkovek z cihel pálených na maltu vápennou nebo vápenocementovou plochy do 0,25 m2, tl. do 450 mm</t>
  </si>
  <si>
    <t>-6731817</t>
  </si>
  <si>
    <t>https://podminky.urs.cz/item/CS_URS_2022_01/971033451</t>
  </si>
  <si>
    <t>977151122</t>
  </si>
  <si>
    <t>Jádrové vrty diamantovými korunkami do stavebních materiálů (železobetonu, betonu, cihel, obkladů, dlažeb, kamene) průměru přes 120 do 130 mm</t>
  </si>
  <si>
    <t>2132072769</t>
  </si>
  <si>
    <t>https://podminky.urs.cz/item/CS_URS_2021_02/977151122</t>
  </si>
  <si>
    <t>977151124</t>
  </si>
  <si>
    <t>Jádrové vrty diamantovými korunkami do stavebních materiálů (železobetonu, betonu, cihel, obkladů, dlažeb, kamene) průměru přes 150 do 180 mm</t>
  </si>
  <si>
    <t>-357780025</t>
  </si>
  <si>
    <t>977151126</t>
  </si>
  <si>
    <t>Jádrové vrty diamantovými korunkami do stavebních materiálů (železobetonu, betonu, cihel, obkladů, dlažeb, kamene) průměru přes 200 do 225 mm</t>
  </si>
  <si>
    <t>-1642118364</t>
  </si>
  <si>
    <t>https://podminky.urs.cz/item/CS_URS_2022_01/977151126</t>
  </si>
  <si>
    <t>-1647532440</t>
  </si>
  <si>
    <t>https://podminky.urs.cz/item/CS_URS_2022_01/997013213</t>
  </si>
  <si>
    <t>835230113</t>
  </si>
  <si>
    <t>1396993980</t>
  </si>
  <si>
    <t>0,92*10 'Přepočtené koeficientem množství</t>
  </si>
  <si>
    <t>1928140042</t>
  </si>
  <si>
    <t>1182289527</t>
  </si>
  <si>
    <t>43018172</t>
  </si>
  <si>
    <t>751</t>
  </si>
  <si>
    <t>751111052</t>
  </si>
  <si>
    <t>Montáž ventilátoru axiálního nízkotlakého podhledového, průměru přes 100 do 200 mm</t>
  </si>
  <si>
    <t>500251574</t>
  </si>
  <si>
    <t>https://podminky.urs.cz/item/CS_URS_2021_02/751111052</t>
  </si>
  <si>
    <t>42914501</t>
  </si>
  <si>
    <t>ventilátor axiální tichý malý plastový IP45 výkon 8-13W D 100mm</t>
  </si>
  <si>
    <t>-621277558</t>
  </si>
  <si>
    <t>751377041</t>
  </si>
  <si>
    <t>Montáž odsávacích stropů, zákrytů odsávacího zákrytu (digestoř) průmyslového závěsného, průřezu do 1,5 m2</t>
  </si>
  <si>
    <t>889660501</t>
  </si>
  <si>
    <t>https://podminky.urs.cz/item/CS_URS_2022_01/751377041</t>
  </si>
  <si>
    <t>751398041</t>
  </si>
  <si>
    <t>Montáž ostatních zařízení protidešťové žaluzie nebo žaluziové klapky na kruhové potrubí, průměru do 300 mm</t>
  </si>
  <si>
    <t>-134368025</t>
  </si>
  <si>
    <t>https://podminky.urs.cz/item/CS_URS_2021_02/751398041</t>
  </si>
  <si>
    <t>42972901</t>
  </si>
  <si>
    <t>žaluzie protidešťová plastová s pevnými lamelami, pro potrubí D 160mm</t>
  </si>
  <si>
    <t>21904614</t>
  </si>
  <si>
    <t>429729011</t>
  </si>
  <si>
    <t>-445686802</t>
  </si>
  <si>
    <t>751398051</t>
  </si>
  <si>
    <t>Montáž ostatních zařízení protidešťové žaluzie nebo žaluziové klapky na čtyřhranné potrubí, průřezu do 0,150 m2</t>
  </si>
  <si>
    <t>1187369680</t>
  </si>
  <si>
    <t>https://podminky.urs.cz/item/CS_URS_2022_01/751398051</t>
  </si>
  <si>
    <t>429729131</t>
  </si>
  <si>
    <t>žaluzie protidešťová s pevnými lamelami, pozink, pro potrubí 160x160mm</t>
  </si>
  <si>
    <t>577366873</t>
  </si>
  <si>
    <t>429729132</t>
  </si>
  <si>
    <t>-317683105</t>
  </si>
  <si>
    <t>751537112</t>
  </si>
  <si>
    <t>Montáž potrubí ohebného kruhového izolovaného minerální vatou z Al laminátu, průměru přes 100 do 200 mm</t>
  </si>
  <si>
    <t>-1985561375</t>
  </si>
  <si>
    <t>https://podminky.urs.cz/item/CS_URS_2022_01/751537112</t>
  </si>
  <si>
    <t>42981956</t>
  </si>
  <si>
    <t>hadice ohebná z Al laminátu vyztužená drátem s tepelnou a zvukovou izolací, délka 10m, D 127mm</t>
  </si>
  <si>
    <t>-1905822241</t>
  </si>
  <si>
    <t>42981957</t>
  </si>
  <si>
    <t>hadice ohebná z Al laminátu vyztužená drátem s tepelnou a zvukovou izolací, délka 10m, D 152mm</t>
  </si>
  <si>
    <t>571595440</t>
  </si>
  <si>
    <t>751537113</t>
  </si>
  <si>
    <t>Montáž potrubí ohebného kruhového izolovaného minerální vatou z Al laminátu, průměru přes 200 do 300 mm</t>
  </si>
  <si>
    <t>-1840658741</t>
  </si>
  <si>
    <t>https://podminky.urs.cz/item/CS_URS_2022_01/751537113</t>
  </si>
  <si>
    <t>42981960</t>
  </si>
  <si>
    <t>hadice ohebná z Al laminátu vyztužená drátem s tepelnou a zvukovou izolací, délka 10m, D 203mm</t>
  </si>
  <si>
    <t>1902197880</t>
  </si>
  <si>
    <t>751572102</t>
  </si>
  <si>
    <t>Závěs kruhového potrubí pomocí objímky, kotvené do betonu průměru potrubí přes 100 do 200 mm</t>
  </si>
  <si>
    <t>-970232667</t>
  </si>
  <si>
    <t>https://podminky.urs.cz/item/CS_URS_2021_02/751572102</t>
  </si>
  <si>
    <t>751572103</t>
  </si>
  <si>
    <t>Závěs kruhového potrubí pomocí objímky, kotvené do betonu průměru potrubí přes 200 do 300 mm</t>
  </si>
  <si>
    <t>1153362112</t>
  </si>
  <si>
    <t>https://podminky.urs.cz/item/CS_URS_2022_01/751572103</t>
  </si>
  <si>
    <t>751581311</t>
  </si>
  <si>
    <t>Protipožární ochrana vzduchotechnického potrubí prostup čtyřhranného potrubí stěnou, průřezu potrubí do 0,01 m2</t>
  </si>
  <si>
    <t>-1549164069</t>
  </si>
  <si>
    <t>https://podminky.urs.cz/item/CS_URS_2022_01/751581311</t>
  </si>
  <si>
    <t>751581352</t>
  </si>
  <si>
    <t>Protipožární ochrana vzduchotechnického potrubí prostup kruhového potrubí stěnou, průměru potrubí přes 100 do 200 mm</t>
  </si>
  <si>
    <t>1152261090</t>
  </si>
  <si>
    <t>https://podminky.urs.cz/item/CS_URS_2021_02/751581352</t>
  </si>
  <si>
    <t>751691111</t>
  </si>
  <si>
    <t>Zaregulování systému vzduchotechnického zařízení za 1 koncový (distribuční) prvek</t>
  </si>
  <si>
    <t>-691494688</t>
  </si>
  <si>
    <t>https://podminky.urs.cz/item/CS_URS_2021_01/751691111</t>
  </si>
  <si>
    <t>998751101</t>
  </si>
  <si>
    <t>Přesun hmot pro vzduchotechniku stanovený z hmotnosti přesunovaného materiálu vodorovná dopravní vzdálenost do 100 m v objektech výšky do 12 m</t>
  </si>
  <si>
    <t>-187239045</t>
  </si>
  <si>
    <t>https://podminky.urs.cz/item/CS_URS_2021_01/998751101</t>
  </si>
  <si>
    <t>998751181</t>
  </si>
  <si>
    <t>Přesun hmot pro vzduchotechniku stanovený z hmotnosti přesunovaného materiálu Příplatek k cenám za přesun prováděný bez použití mechanizace pro jakoukoliv výšku objektu</t>
  </si>
  <si>
    <t>1008015033</t>
  </si>
  <si>
    <t>https://podminky.urs.cz/item/CS_URS_2021_01/998751181</t>
  </si>
  <si>
    <t>D14d - Vytápění a chlazení</t>
  </si>
  <si>
    <t xml:space="preserve">    731 - Ústřední vytápění - kotelny</t>
  </si>
  <si>
    <t xml:space="preserve">    732 - Ústřední vytápění - strojovny</t>
  </si>
  <si>
    <t xml:space="preserve">    733 - Ústřední vytápění - rozvodné potrubí</t>
  </si>
  <si>
    <t xml:space="preserve">    734 - Ústřední vytápění - armatury</t>
  </si>
  <si>
    <t xml:space="preserve">    735 - Ústřední vytápění - otopná tělesa</t>
  </si>
  <si>
    <t>-1702111914</t>
  </si>
  <si>
    <t>-602456842</t>
  </si>
  <si>
    <t>631312141</t>
  </si>
  <si>
    <t>Doplnění dosavadních mazanin prostým betonem s dodáním hmot, bez potěru, plochy jednotlivě rýh v dosavadních mazaninách</t>
  </si>
  <si>
    <t>-337412529</t>
  </si>
  <si>
    <t>https://podminky.urs.cz/item/CS_URS_2022_01/631312141</t>
  </si>
  <si>
    <t>965042141</t>
  </si>
  <si>
    <t>Bourání mazanin betonových nebo z litého asfaltu tl. do 100 mm, plochy přes 4 m2</t>
  </si>
  <si>
    <t>-1949768087</t>
  </si>
  <si>
    <t>https://podminky.urs.cz/item/CS_URS_2022_01/965042141</t>
  </si>
  <si>
    <t>1144988199</t>
  </si>
  <si>
    <t>206677964</t>
  </si>
  <si>
    <t>https://podminky.urs.cz/item/CS_URS_2021_02/977151116</t>
  </si>
  <si>
    <t>997013211</t>
  </si>
  <si>
    <t>Vnitrostaveništní doprava suti a vybouraných hmot vodorovně do 50 m svisle ručně pro budovy a haly výšky do 6 m</t>
  </si>
  <si>
    <t>-2003852058</t>
  </si>
  <si>
    <t>https://podminky.urs.cz/item/CS_URS_2021_02/997013211</t>
  </si>
  <si>
    <t>523415685</t>
  </si>
  <si>
    <t>-488750149</t>
  </si>
  <si>
    <t>24,422*10 'Přepočtené koeficientem množství</t>
  </si>
  <si>
    <t>-840543181</t>
  </si>
  <si>
    <t>-1272222206</t>
  </si>
  <si>
    <t>-330667556</t>
  </si>
  <si>
    <t>731</t>
  </si>
  <si>
    <t>Ústřední vytápění - kotelny</t>
  </si>
  <si>
    <t>731200825</t>
  </si>
  <si>
    <t>Demontáž kotlů ocelových na kapalná nebo plynná paliva, o výkonu přes 25 do 40 kW</t>
  </si>
  <si>
    <t>-490021009</t>
  </si>
  <si>
    <t>https://podminky.urs.cz/item/CS_URS_2022_01/731200825</t>
  </si>
  <si>
    <t>731244494</t>
  </si>
  <si>
    <t>Kotle ocelové teplovodní plynové závěsné kondenzační montáž kotlů kondenzačních ostatních typů o výkonu přes 28 do 50 kW</t>
  </si>
  <si>
    <t>1986732581</t>
  </si>
  <si>
    <t>https://podminky.urs.cz/item/CS_URS_2022_01/731244494</t>
  </si>
  <si>
    <t>484176471</t>
  </si>
  <si>
    <t>kotel ocelový plynový kondenzační závěsný pro vytápění 30kW</t>
  </si>
  <si>
    <t>1955680678</t>
  </si>
  <si>
    <t>731810311</t>
  </si>
  <si>
    <t>Nucené odtahy spalin od kondenzačních kotlů soustředným potrubím vedeným vodorovně vnější stěnou, průměru 60/100 mm</t>
  </si>
  <si>
    <t>-917780571</t>
  </si>
  <si>
    <t>https://podminky.urs.cz/item/CS_URS_2022_01/731810311</t>
  </si>
  <si>
    <t>731810322</t>
  </si>
  <si>
    <t>Nucené odtahy spalin od kondenzačních kotlů soustředným potrubím vedeným svisle plochou střechou, průměru 80/125 mm</t>
  </si>
  <si>
    <t>-610650202</t>
  </si>
  <si>
    <t>https://podminky.urs.cz/item/CS_URS_2022_01/731810322</t>
  </si>
  <si>
    <t>731810342</t>
  </si>
  <si>
    <t>Nucené odtahy spalin od kondenzačních kotlů prodloužení soustředného potrubí, průměru 80/125 mm</t>
  </si>
  <si>
    <t>-78969646</t>
  </si>
  <si>
    <t>https://podminky.urs.cz/item/CS_URS_2022_01/731810342</t>
  </si>
  <si>
    <t>731890802</t>
  </si>
  <si>
    <t>Vnitrostaveništní přemístění vybouraných (demontovaných) hmot kotelen vodorovně do 100 m umístěných ve výšce (hloubce) přes 6 do 12 m</t>
  </si>
  <si>
    <t>-716446904</t>
  </si>
  <si>
    <t>https://podminky.urs.cz/item/CS_URS_2021_02/731890802</t>
  </si>
  <si>
    <t>998731102</t>
  </si>
  <si>
    <t>Přesun hmot pro kotelny stanovený z hmotnosti přesunovaného materiálu vodorovná dopravní vzdálenost do 50 m v objektech výšky přes 6 do 12 m</t>
  </si>
  <si>
    <t>117004588</t>
  </si>
  <si>
    <t>https://podminky.urs.cz/item/CS_URS_2021_02/998731102</t>
  </si>
  <si>
    <t>998731181</t>
  </si>
  <si>
    <t>Přesun hmot pro kotelny stanovený z hmotnosti přesunovaného materiálu Příplatek k cenám za přesun prováděný bez použití mechanizace pro jakoukoliv výšku objektu</t>
  </si>
  <si>
    <t>1873356213</t>
  </si>
  <si>
    <t>https://podminky.urs.cz/item/CS_URS_2021_02/998731181</t>
  </si>
  <si>
    <t>732</t>
  </si>
  <si>
    <t>Ústřední vytápění - strojovny</t>
  </si>
  <si>
    <t>722232502</t>
  </si>
  <si>
    <t>Armatury se dvěma závity potrubní oddělovače vnější závit PN 10 do 65 °C G 3/4"</t>
  </si>
  <si>
    <t>-2076941553</t>
  </si>
  <si>
    <t>https://podminky.urs.cz/item/CS_URS_2021_02/722232502</t>
  </si>
  <si>
    <t>722262212</t>
  </si>
  <si>
    <t>Vodoměry pro vodu do 40°C závitové horizontální jednovtokové suchoběžné G 1/2" x 110 mm Qn 1,5</t>
  </si>
  <si>
    <t>951506196</t>
  </si>
  <si>
    <t>https://podminky.urs.cz/item/CS_URS_2021_02/722262212</t>
  </si>
  <si>
    <t>732113117</t>
  </si>
  <si>
    <t>Rozdělovače a sběrače hydraulické vyrovnávače dynamických tlaků závitové PN 6 (průtok Q m3/h) G 6/4 (2,5 m3/h)</t>
  </si>
  <si>
    <t>-111857147</t>
  </si>
  <si>
    <t>https://podminky.urs.cz/item/CS_URS_2022_01/732113117</t>
  </si>
  <si>
    <t>7323111144</t>
  </si>
  <si>
    <t>Demineralizační sada, obsahuje patronu s kapacitou 1400 l x 11,4°dH, náhradní náplň, připojovací sadu s měřičem vodivosti, elektronický vodoměr, izolaci a konzolu na stěnu</t>
  </si>
  <si>
    <t>-1115057404</t>
  </si>
  <si>
    <t>7323111143</t>
  </si>
  <si>
    <t xml:space="preserve">Zapůjčení demineralizační patrony P62 pro prvotní napuštění </t>
  </si>
  <si>
    <t>-268409271</t>
  </si>
  <si>
    <t>732331621</t>
  </si>
  <si>
    <t>Nádoby expanzní tlakové pro topné a chladicí soustavy s membránou bez pojistného ventilu se závitovým připojením PN 0,6 o objemu 200 l</t>
  </si>
  <si>
    <t>2008578343</t>
  </si>
  <si>
    <t>https://podminky.urs.cz/item/CS_URS_2022_01/732331621</t>
  </si>
  <si>
    <t>7324211334</t>
  </si>
  <si>
    <t xml:space="preserve">Kotlový displej </t>
  </si>
  <si>
    <t>-1010939993</t>
  </si>
  <si>
    <t>https://podminky.urs.cz/item/CS_URS_2021_02/7324211334</t>
  </si>
  <si>
    <t>7324211336</t>
  </si>
  <si>
    <t>Kaskádový modul _x000D_
pro 2 kotle, vč. čidla do THR, řízení 2 okruhů ÚT</t>
  </si>
  <si>
    <t>411376192</t>
  </si>
  <si>
    <t>7324211337</t>
  </si>
  <si>
    <t>Modul pro směšovaný okruh (230V), včetně teplotního čidla</t>
  </si>
  <si>
    <t>1457921103</t>
  </si>
  <si>
    <t>1*2 'Přepočtené koeficientem množství</t>
  </si>
  <si>
    <t>732421414</t>
  </si>
  <si>
    <t>Čerpadla teplovodní závitová mokroběžná oběhová pro teplovodní vytápění (elektronicky řízená) PN 10, do 110°C DN přípojky/dopravní výška H (m) - čerpací výkon Q (m3/h) DN 25 / do 6,0 m / 4,0 m3/h</t>
  </si>
  <si>
    <t>-908681492</t>
  </si>
  <si>
    <t>https://podminky.urs.cz/item/CS_URS_2021_02/732421414</t>
  </si>
  <si>
    <t>732421475</t>
  </si>
  <si>
    <t>Čerpadla teplovodní závitová mokroběžná oběhová pro teplovodní vytápění (elektronicky řízená) PN 10, do 110°C DN přípojky/dopravní výška H (m) - čerpací výkon Q (m3/h) DN 32 / do 11,0 m / 11,0 m3/h</t>
  </si>
  <si>
    <t>216978785</t>
  </si>
  <si>
    <t>https://podminky.urs.cz/item/CS_URS_2021_02/732421475</t>
  </si>
  <si>
    <t>998732102</t>
  </si>
  <si>
    <t>Přesun hmot pro strojovny stanovený z hmotnosti přesunovaného materiálu vodorovná dopravní vzdálenost do 50 m v objektech výšky přes 6 do 12 m</t>
  </si>
  <si>
    <t>1292906935</t>
  </si>
  <si>
    <t>https://podminky.urs.cz/item/CS_URS_2022_01/998732102</t>
  </si>
  <si>
    <t>998732181</t>
  </si>
  <si>
    <t>Přesun hmot pro strojovny stanovený z hmotnosti přesunovaného materiálu Příplatek k cenám za přesun prováděný bez použití mechanizace pro jakoukoliv výšku objektu</t>
  </si>
  <si>
    <t>-1845025886</t>
  </si>
  <si>
    <t>https://podminky.urs.cz/item/CS_URS_2022_01/998732181</t>
  </si>
  <si>
    <t>733</t>
  </si>
  <si>
    <t>Ústřední vytápění - rozvodné potrubí</t>
  </si>
  <si>
    <t>733120815</t>
  </si>
  <si>
    <t>Demontáž potrubí z trubek ocelových hladkých Ø do 38</t>
  </si>
  <si>
    <t>991442177</t>
  </si>
  <si>
    <t>https://podminky.urs.cz/item/CS_URS_2021_02/733120815</t>
  </si>
  <si>
    <t>733223301</t>
  </si>
  <si>
    <t>Potrubí z trubek měděných tvrdých spojovaných lisováním PN 16, T= +110°C Ø 15/1</t>
  </si>
  <si>
    <t>-1430835879</t>
  </si>
  <si>
    <t>733223302</t>
  </si>
  <si>
    <t>Potrubí z trubek měděných tvrdých spojovaných lisováním PN 16, T= +110°C Ø 18/1</t>
  </si>
  <si>
    <t>537867613</t>
  </si>
  <si>
    <t>https://podminky.urs.cz/item/CS_URS_2021_02/733223302</t>
  </si>
  <si>
    <t>733223303</t>
  </si>
  <si>
    <t>Potrubí z trubek měděných tvrdých spojovaných lisováním PN 16, T= +110°C Ø 22/1</t>
  </si>
  <si>
    <t>-1712486201</t>
  </si>
  <si>
    <t>https://podminky.urs.cz/item/CS_URS_2021_02/733223303</t>
  </si>
  <si>
    <t>733223304</t>
  </si>
  <si>
    <t>Potrubí z trubek měděných tvrdých spojovaných lisováním PN 16, T= +110°C Ø 28/1,5</t>
  </si>
  <si>
    <t>-704243456</t>
  </si>
  <si>
    <t>https://podminky.urs.cz/item/CS_URS_2021_02/733223304</t>
  </si>
  <si>
    <t>-248904650</t>
  </si>
  <si>
    <t>733223305</t>
  </si>
  <si>
    <t>Potrubí z trubek měděných tvrdých spojovaných lisováním PN 16, T= +110°C Ø 35/1,5</t>
  </si>
  <si>
    <t>1456628975</t>
  </si>
  <si>
    <t>https://podminky.urs.cz/item/CS_URS_2021_02/733223305</t>
  </si>
  <si>
    <t>-2106331258</t>
  </si>
  <si>
    <t>733223306</t>
  </si>
  <si>
    <t>Potrubí z trubek měděných tvrdých spojovaných lisováním PN 16, T= +110°C Ø 42/1,5</t>
  </si>
  <si>
    <t>-269530739</t>
  </si>
  <si>
    <t>https://podminky.urs.cz/item/CS_URS_2021_02/733223306</t>
  </si>
  <si>
    <t>-1478461182</t>
  </si>
  <si>
    <t>7332233011</t>
  </si>
  <si>
    <t>Ochrana potrubí termoizolačními trubicemi z pěnového polyetylenu PE přilepenými v příčných a podélných spojích, tloušťky izolace přes 20 do 25 mm, vnitřního průměru izolace DN přes 15 do 22 mm</t>
  </si>
  <si>
    <t>835837437</t>
  </si>
  <si>
    <t>7332233041</t>
  </si>
  <si>
    <t>-907994419</t>
  </si>
  <si>
    <t>733291101</t>
  </si>
  <si>
    <t>Zkoušky těsnosti potrubí z trubek měděných Ø do 35/1,5</t>
  </si>
  <si>
    <t>1131611992</t>
  </si>
  <si>
    <t>https://podminky.urs.cz/item/CS_URS_2022_01/733291101</t>
  </si>
  <si>
    <t>733291102</t>
  </si>
  <si>
    <t>Zkoušky těsnosti potrubí z trubek měděných Ø přes 35/1,5 do 64/2,0</t>
  </si>
  <si>
    <t>189910394</t>
  </si>
  <si>
    <t>https://podminky.urs.cz/item/CS_URS_2022_01/733291102</t>
  </si>
  <si>
    <t>733292904</t>
  </si>
  <si>
    <t>Opravy rozvodů potrubí z trubek měděných zaslepení potrubí Ø 22/1,5</t>
  </si>
  <si>
    <t>1019770595</t>
  </si>
  <si>
    <t>https://podminky.urs.cz/item/CS_URS_2022_01/733292904</t>
  </si>
  <si>
    <t>733292905</t>
  </si>
  <si>
    <t>Opravy rozvodů potrubí z trubek měděných zaslepení potrubí Ø 28/1,5</t>
  </si>
  <si>
    <t>-1661398859</t>
  </si>
  <si>
    <t>https://podminky.urs.cz/item/CS_URS_2022_01/733292905</t>
  </si>
  <si>
    <t>733390104</t>
  </si>
  <si>
    <t>Ochrana potrubí primárních okruhů tepelných čerpadel tepelně izolačními trubicemi ze syntetického kaučuku lepenými v příčných a podélných spojích, tloušťky izolace 13 mm, průměru Ø do 38 mm</t>
  </si>
  <si>
    <t>23460426</t>
  </si>
  <si>
    <t>https://podminky.urs.cz/item/CS_URS_2022_01/733390104</t>
  </si>
  <si>
    <t>733224207</t>
  </si>
  <si>
    <t>Potrubí z trubek měděných Příplatek k cenám za potrubí vedené v kotelnách a strojovnách Ø 42/1,5</t>
  </si>
  <si>
    <t>-1276710379</t>
  </si>
  <si>
    <t>https://podminky.urs.cz/item/CS_URS_2021_02/733224207</t>
  </si>
  <si>
    <t>733890803</t>
  </si>
  <si>
    <t>Vnitrostaveništní přemístění vybouraných (demontovaných) hmot rozvodů potrubí vodorovně do 100 m v objektech výšky přes 6 do 24 m</t>
  </si>
  <si>
    <t>224423726</t>
  </si>
  <si>
    <t>https://podminky.urs.cz/item/CS_URS_2021_02/733890803</t>
  </si>
  <si>
    <t>998733102</t>
  </si>
  <si>
    <t>Přesun hmot pro rozvody potrubí stanovený z hmotnosti přesunovaného materiálu vodorovná dopravní vzdálenost do 50 m v objektech výšky přes 6 do 12 m</t>
  </si>
  <si>
    <t>1234924350</t>
  </si>
  <si>
    <t>https://podminky.urs.cz/item/CS_URS_2022_01/998733102</t>
  </si>
  <si>
    <t>998733181</t>
  </si>
  <si>
    <t>Přesun hmot pro rozvody potrubí stanovený z hmotnosti přesunovaného materiálu Příplatek k cenám za přesun prováděný bez použití mechanizace pro jakoukoliv výšku objektu</t>
  </si>
  <si>
    <t>-1797590399</t>
  </si>
  <si>
    <t>https://podminky.urs.cz/item/CS_URS_2022_01/998733181</t>
  </si>
  <si>
    <t>734</t>
  </si>
  <si>
    <t>Ústřední vytápění - armatury</t>
  </si>
  <si>
    <t>734163444</t>
  </si>
  <si>
    <t>Filtry z uhlíkové oceli s čístícím víkem nebo vypouštěcí zátkou PN 40 do 400°C DN 32</t>
  </si>
  <si>
    <t>1648731282</t>
  </si>
  <si>
    <t>https://podminky.urs.cz/item/CS_URS_2022_01/734163444</t>
  </si>
  <si>
    <t>734221532</t>
  </si>
  <si>
    <t>Ventily regulační závitové termostatické, bez hlavice ovládání PN 16 do 110°C rohové jednoregulační G 1/2</t>
  </si>
  <si>
    <t>-1303617385</t>
  </si>
  <si>
    <t>https://podminky.urs.cz/item/CS_URS_2021_01/734221532</t>
  </si>
  <si>
    <t>734221686</t>
  </si>
  <si>
    <t>Ventily regulační závitové hlavice termostatické, pro ovládání ventilů PN 10 do 110°C voskové otopných těles VK</t>
  </si>
  <si>
    <t>-313075112</t>
  </si>
  <si>
    <t>https://podminky.urs.cz/item/CS_URS_2021_01/734221686</t>
  </si>
  <si>
    <t>734242414</t>
  </si>
  <si>
    <t>Ventily zpětné závitové PN 16 do 110°C přímé G 1</t>
  </si>
  <si>
    <t>-929894079</t>
  </si>
  <si>
    <t>https://podminky.urs.cz/item/CS_URS_2022_01/734242414</t>
  </si>
  <si>
    <t>734242415</t>
  </si>
  <si>
    <t>Ventily zpětné závitové PN 16 do 110°C přímé G 5/4</t>
  </si>
  <si>
    <t>385439141</t>
  </si>
  <si>
    <t>https://podminky.urs.cz/item/CS_URS_2022_01/734242415</t>
  </si>
  <si>
    <t>7342512123</t>
  </si>
  <si>
    <t>Sada pro připojení expanzní nádoby na kotel, vč. vypouštění, 1"</t>
  </si>
  <si>
    <t>1588483385</t>
  </si>
  <si>
    <t>734261406</t>
  </si>
  <si>
    <t>Šroubení připojovací armatury radiátorů VK PN 10 do 110°C, regulační uzavíratelné přímé G 1/2 x 18</t>
  </si>
  <si>
    <t>824064151</t>
  </si>
  <si>
    <t>https://podminky.urs.cz/item/CS_URS_2021_01/734261406</t>
  </si>
  <si>
    <t>734271145</t>
  </si>
  <si>
    <t>Šoupátka uzavírací závitová PN 16 do 80°C G 1</t>
  </si>
  <si>
    <t>-359299821</t>
  </si>
  <si>
    <t>https://podminky.urs.cz/item/CS_URS_2021_02/734271145</t>
  </si>
  <si>
    <t>734271147</t>
  </si>
  <si>
    <t>Šoupátka uzavírací závitová PN 16 do 80°C G 6/4</t>
  </si>
  <si>
    <t>1611774592</t>
  </si>
  <si>
    <t>https://podminky.urs.cz/item/CS_URS_2021_02/734271147</t>
  </si>
  <si>
    <t>734291123</t>
  </si>
  <si>
    <t>Ostatní armatury kohouty plnicí a vypouštěcí PN 10 do 90°C G 1/2</t>
  </si>
  <si>
    <t>-1566201703</t>
  </si>
  <si>
    <t>https://podminky.urs.cz/item/CS_URS_2021_02/734291123</t>
  </si>
  <si>
    <t>7342913161</t>
  </si>
  <si>
    <t>Odlučovač nečistot a vzduchu absorpční přímý G 6/4" PN 10 do 120°C s vnitřními závity; včetně izolace</t>
  </si>
  <si>
    <t>-443161398</t>
  </si>
  <si>
    <t>https://podminky.urs.cz/item/CS_URS_2022_01/7342913161</t>
  </si>
  <si>
    <t>734295022</t>
  </si>
  <si>
    <t>Směšovací armatury otopných a chladících systémů ventily závitové PN 10 T= 120°C třícestné se servomotorem G 1</t>
  </si>
  <si>
    <t>1643921191</t>
  </si>
  <si>
    <t>https://podminky.urs.cz/item/CS_URS_2022_01/734295022</t>
  </si>
  <si>
    <t>734295023</t>
  </si>
  <si>
    <t>Směšovací armatury otopných a chladících systémů ventily závitové PN 10 T= 120°C třícestné se servomotorem G 5/4</t>
  </si>
  <si>
    <t>-749287298</t>
  </si>
  <si>
    <t>https://podminky.urs.cz/item/CS_URS_2022_01/734295023</t>
  </si>
  <si>
    <t>7342952651</t>
  </si>
  <si>
    <t>Ekvitermní regulátor (24V), včetně venkovního čidla</t>
  </si>
  <si>
    <t>-694946533</t>
  </si>
  <si>
    <t>734411101</t>
  </si>
  <si>
    <t>Teploměry technické s pevným stonkem a jímkou zadní připojení (axiální) průměr 63 mm délka stonku 50 mm</t>
  </si>
  <si>
    <t>-565833337</t>
  </si>
  <si>
    <t>https://podminky.urs.cz/item/CS_URS_2021_01/734411101</t>
  </si>
  <si>
    <t>734421101</t>
  </si>
  <si>
    <t>Tlakoměry s pevným stonkem a zpětnou klapkou spodní připojení (radiální) tlaku 0–16 bar průměru 50 mm</t>
  </si>
  <si>
    <t>-1178003175</t>
  </si>
  <si>
    <t>https://podminky.urs.cz/item/CS_URS_2021_01/734421101</t>
  </si>
  <si>
    <t>998734102</t>
  </si>
  <si>
    <t>Přesun hmot pro armatury stanovený z hmotnosti přesunovaného materiálu vodorovná dopravní vzdálenost do 50 m v objektech výšky přes 6 do 12 m</t>
  </si>
  <si>
    <t>-275536223</t>
  </si>
  <si>
    <t>https://podminky.urs.cz/item/CS_URS_2022_01/998734102</t>
  </si>
  <si>
    <t>998734181</t>
  </si>
  <si>
    <t>Přesun hmot pro armatury stanovený z hmotnosti přesunovaného materiálu Příplatek k cenám za přesun prováděný bez použití mechanizace pro jakoukoliv výšku objektu</t>
  </si>
  <si>
    <t>-1068211291</t>
  </si>
  <si>
    <t>https://podminky.urs.cz/item/CS_URS_2022_01/998734181</t>
  </si>
  <si>
    <t>735</t>
  </si>
  <si>
    <t>Ústřední vytápění - otopná tělesa</t>
  </si>
  <si>
    <t>735000912</t>
  </si>
  <si>
    <t>Regulace otopného systému při opravách vyregulování dvojregulačních ventilů a kohoutů s termostatickým ovládáním</t>
  </si>
  <si>
    <t>-331227145</t>
  </si>
  <si>
    <t>https://podminky.urs.cz/item/CS_URS_2021_01/735000912</t>
  </si>
  <si>
    <t>735121810</t>
  </si>
  <si>
    <t>Demontáž otopných těles ocelových článkových</t>
  </si>
  <si>
    <t>-1053161834</t>
  </si>
  <si>
    <t>https://podminky.urs.cz/item/CS_URS_2022_01/735121810</t>
  </si>
  <si>
    <t>735152472</t>
  </si>
  <si>
    <t>Otopná tělesa panelová VK dvoudesková PN 1,0 MPa, T do 110°C s jednou přídavnou přestupní plochou výšky tělesa 600 mm stavební délky / výkonu 500 mm / 644 W</t>
  </si>
  <si>
    <t>-2602256</t>
  </si>
  <si>
    <t>https://podminky.urs.cz/item/CS_URS_2022_01/735152472</t>
  </si>
  <si>
    <t>735152474</t>
  </si>
  <si>
    <t>Otopná tělesa panelová VK dvoudesková PN 1,0 MPa, T do 110°C s jednou přídavnou přestupní plochou výšky tělesa 600 mm stavební délky / výkonu 700 mm / 902 W</t>
  </si>
  <si>
    <t>-1458221319</t>
  </si>
  <si>
    <t>https://podminky.urs.cz/item/CS_URS_2022_01/735152474</t>
  </si>
  <si>
    <t>735152475</t>
  </si>
  <si>
    <t>Otopná tělesa panelová VK dvoudesková PN 1,0 MPa, T do 110°C s jednou přídavnou přestupní plochou výšky tělesa 600 mm stavební délky / výkonu 800 mm / 1030 W</t>
  </si>
  <si>
    <t>-1957537064</t>
  </si>
  <si>
    <t>https://podminky.urs.cz/item/CS_URS_2022_01/735152475</t>
  </si>
  <si>
    <t>735152476</t>
  </si>
  <si>
    <t>Otopná tělesa panelová VK dvoudesková PN 1,0 MPa, T do 110°C s jednou přídavnou přestupní plochou výšky tělesa 600 mm stavební délky / výkonu 900 mm / 1159 W</t>
  </si>
  <si>
    <t>-342298218</t>
  </si>
  <si>
    <t>https://podminky.urs.cz/item/CS_URS_2022_01/735152476</t>
  </si>
  <si>
    <t>735152477</t>
  </si>
  <si>
    <t>Otopná tělesa panelová VK dvoudesková PN 1,0 MPa, T do 110°C s jednou přídavnou přestupní plochou výšky tělesa 600 mm stavební délky / výkonu 1000 mm / 1288 W</t>
  </si>
  <si>
    <t>461511313</t>
  </si>
  <si>
    <t>https://podminky.urs.cz/item/CS_URS_2022_01/735152477</t>
  </si>
  <si>
    <t>735152597</t>
  </si>
  <si>
    <t>Otopná tělesa panelová VK dvoudesková PN 1,0 MPa, T do 110°C se dvěma přídavnými přestupními plochami výšky tělesa 900 mm stavební délky / výkonu 1000 mm / 2313 W</t>
  </si>
  <si>
    <t>219034645</t>
  </si>
  <si>
    <t>https://podminky.urs.cz/item/CS_URS_2022_01/735152597</t>
  </si>
  <si>
    <t>7351642612</t>
  </si>
  <si>
    <t>Otopná tělesa trubková přímotopná na stěnu výšky tělesa 1495 mm, délky 450 mm pro kombinované vytápění s elektrickým topným tělesem s termostatem 400 Wattů</t>
  </si>
  <si>
    <t>-1131793707</t>
  </si>
  <si>
    <t>735890802</t>
  </si>
  <si>
    <t>Vnitrostaveništní přemístění vybouraných (demontovaných) hmot otopných těles vodorovně do 100 m v objektech výšky přes 6 do 12 m</t>
  </si>
  <si>
    <t>-950262894</t>
  </si>
  <si>
    <t>https://podminky.urs.cz/item/CS_URS_2022_01/735890802</t>
  </si>
  <si>
    <t>998735102</t>
  </si>
  <si>
    <t>Přesun hmot pro otopná tělesa stanovený z hmotnosti přesunovaného materiálu vodorovná dopravní vzdálenost do 50 m v objektech výšky přes 6 do 12 m</t>
  </si>
  <si>
    <t>-416947204</t>
  </si>
  <si>
    <t>https://podminky.urs.cz/item/CS_URS_2022_01/998735102</t>
  </si>
  <si>
    <t>998735181</t>
  </si>
  <si>
    <t>Přesun hmot pro otopná tělesa stanovený z hmotnosti přesunovaného materiálu Příplatek k cenám za přesun prováděný bez použití mechanizace pro jakoukoliv výšku objektu</t>
  </si>
  <si>
    <t>-73649509</t>
  </si>
  <si>
    <t>https://podminky.urs.cz/item/CS_URS_2022_01/998735181</t>
  </si>
  <si>
    <t>Zdivo z tvárnic POROBETON pero-drážka, tloušťka 30 cm</t>
  </si>
  <si>
    <t>Vtok střešní  pro plochou střechu</t>
  </si>
  <si>
    <t>zásuvka jednonásobná, 230V/16A, šedá</t>
  </si>
  <si>
    <t>zásuvka dvojnásobná, 230V/16A, šedá</t>
  </si>
  <si>
    <t>zásuvka jednonásobná, 230V/16A, hnědá + svodič tř.D</t>
  </si>
  <si>
    <t>zásuvka jednonásobná, 230V/16A, hnědá</t>
  </si>
  <si>
    <t>zásuvka jednonásobná, 230V/16A, montáž na povrch, šedá + svodič tř.D</t>
  </si>
  <si>
    <t>spínač ř.1, šedá</t>
  </si>
  <si>
    <t>spínač ř.5, šedá</t>
  </si>
  <si>
    <t>rámeček  jednonásobný, šedá</t>
  </si>
  <si>
    <t>rámeček dvojnásobný horizontální, šedá</t>
  </si>
  <si>
    <t>rámeček  čtyřnásobný horizontální, šedá</t>
  </si>
  <si>
    <t>rámeček  pětinásobný horizontální, šedá</t>
  </si>
  <si>
    <t>zásuvka 230V/16A, modul 45 Mosaic červená (0 771 41)</t>
  </si>
  <si>
    <t>zásuvka 230V/16A, modul 45 + svodič tř.D  Mosaic červená (S 771 41)</t>
  </si>
  <si>
    <t>zásuvka 230V/16A, modul 45 bílá (0 771 40)</t>
  </si>
  <si>
    <t>parapetní kanál, např.  PK 120x55 D_HD</t>
  </si>
  <si>
    <t>kryt spojovací  8472_HB</t>
  </si>
  <si>
    <t>kryt koncový  8471_HB</t>
  </si>
  <si>
    <t>podlahový box pro 1x zásuvka 230V/16A a 1x datová zásuvka (0 540 10 + 0 540 00)</t>
  </si>
  <si>
    <t>podlahová krabice, 16 modulů, vč. příslušenství (0 880 70 + 0 880 73 + 0 880 72 + 0 880 71 + 0 896 69)</t>
  </si>
  <si>
    <t>zásuvka datová, modul 45(0 765 51)</t>
  </si>
  <si>
    <t>dvojzásuvka datová, montáž do zdi Jack RJ 45-8 Cat. 6, vč. krytu a příslušenství</t>
  </si>
  <si>
    <t>spínač 3-pólový 25A/400V, IP65 BW 325 W/TPN</t>
  </si>
  <si>
    <t>spínač 3-pólový 40A/400V, IP6 BW 340 W/TPN</t>
  </si>
  <si>
    <t>dvoutlačítkový vypínač technologie kuchyně XAL-D213</t>
  </si>
  <si>
    <t>pohybové čidlo stropní, 360°, interierové IR28B+ Profi</t>
  </si>
  <si>
    <t>"A1" - přisazené LED svítidlo, 617x160mm, 2000lm, 18W, 4000K, IP20  EEL (159-0001)</t>
  </si>
  <si>
    <t>"A2" - přisazené LED svítidlo, 1225x160mm, 4000lm, 36W, 4000K, IP20 EEL (159-0050)</t>
  </si>
  <si>
    <t>"B" - přisazené panelové LED svítidlo, 1200x300mm, 3800lm, 48W, 4000K, IP20 QUADRA Long (135-0350)</t>
  </si>
  <si>
    <t>"C1" - přisazené kruhové LED svítidlo, ø400mm, 1680lm, 24W, 4000K, IP41LENS 24W (133-0024)</t>
  </si>
  <si>
    <t>"C1N" - přisazené kruhové LED svítidlo, ø400mm, 1680lm, 24W, 4000K, IP41, nouzový modul autonomnost 1 hod. LENS 24W NM (133-0054)</t>
  </si>
  <si>
    <t>"C2" - přisazené kruhové LED svítidlo, ø500mm, 2520lm, 36W, 4000K, IP41 LENS 36W (133-0026)</t>
  </si>
  <si>
    <t>"C2N" - přisazené kruhové LED svítidlo, ø500mm, 2520lm, 36W, 4000K, IP41, nouzový modul autonomnost 1 hod. 36W NM (133-0056)</t>
  </si>
  <si>
    <t>"C3" - přisazené kruhové LED svítidlo, ø800mm, 5760lm, 72W, 4000K, IP41LENS Tricolor R72W (133-0044)</t>
  </si>
  <si>
    <t>"D1" - LED svítidlo, 1200x80mm, 4000lm, 40W, 4000K, IP65 DUSTER (160-0167)</t>
  </si>
  <si>
    <t>"D2" - LED svítidlo, 1200x80mm, 4800lm, 48W, 4000K, IP65 DUSTER (160-0166)</t>
  </si>
  <si>
    <t>"N1" - nouzové LED svítidlo přisazené, optika ulička, 270lm, 3W/1,5h, IP40, autotestCOR</t>
  </si>
  <si>
    <t>"N2" - nouzové LED svítidlo přisazené, optika otevřený prostor, 270lm, 3W/1,5h, IP40, autotestOS</t>
  </si>
  <si>
    <t>"N3" - nouzové LED svítidlo s piktogramem, dohled 26m, 210lm, 5W/1,5h, IP40, autotest  EMERGENCY PIKTO selftest f316</t>
  </si>
  <si>
    <t>"VO" - LED svítidlo venkovního osvětlení, příruba, montáž na fasádu, optika ulice, 3102lm, 19W, 4000K, IP6519W 4000K ME STR</t>
  </si>
  <si>
    <t>drátěný kabelový žlab š.250mm, v.50mm, s přepážkou, zavěšení na šroubovice pod strop, vč. příslušenství, M2 250/50 GZ + KPZM 50 + PZM 250 + šroubovice M8</t>
  </si>
  <si>
    <t>drátěný kabelový žlab š.150mm, v.50mm, zavěšení na šroubovice pod strop, vč. příslušenství M2 150/50 GZ + PZM 150 + šroubovice M8</t>
  </si>
  <si>
    <t>svorka zkušební 549001</t>
  </si>
  <si>
    <t xml:space="preserve">stavebnice konstukcí z Al profilů pod fotovoltaické panely na rovné střechy, sklon 35° vč. kotevního a těsnícího materiálu, záruka min. 5 let </t>
  </si>
  <si>
    <t>vodič FS 4mm2/1500V, UV odolný</t>
  </si>
  <si>
    <t>vodič FS 6mm2/1500V, UV odolný</t>
  </si>
  <si>
    <t>krabice 025 L - prázdná</t>
  </si>
  <si>
    <t>příchytky do podhledu OG (SVAZKOVÝ DRŽÁK KOVOVÝ)</t>
  </si>
  <si>
    <t>Vyrovnání podkladu samoniv.hmotou v int.</t>
  </si>
  <si>
    <t>Vyrovnání podkladu samoniv.hmotou  v int.</t>
  </si>
  <si>
    <t>Omítka vnitřních stěn váp. sádr. dvouvrstvá</t>
  </si>
  <si>
    <t xml:space="preserve">Systémové řešení - penetrace,  nivelační hmota </t>
  </si>
  <si>
    <t>Omítka vnitřních stěn  váp. sádr. dvouvrstvá</t>
  </si>
  <si>
    <t>Obkladačky na lepící tmel , podklad izolován hmotou , plocha spárována hmotou , spára podlaha - stěna těsněna páskou  a pružnou hmotou . Pro vlhké prostředí (koupelny, WC).</t>
  </si>
  <si>
    <t>Obkladačky na lepící tmel , podklad izolován hmotou  plocha spárována hmotou , spára podlaha - stěna těsněna páskou a pružnou hmotou . Pro vlhké prostředí (koupelny, WC).</t>
  </si>
  <si>
    <t>Obkladačky na lepící tmel, podklad izolován hmotou  WP, plocha spárována hmotou , spára podlaha - stěna těsněna páskou  a pružnou hmotou. Pro vlhké prostředí (koupelny, WC).</t>
  </si>
  <si>
    <t>Obklad vnitřní keram.,izolace ,nad 30 x 30 cm</t>
  </si>
  <si>
    <t>Dlažba podl. vnitřní keram.,izolace ,nad 30 x 30 cm</t>
  </si>
  <si>
    <t>Obklad vnitřní keram.,izolace, nad 30 x 30 cm</t>
  </si>
  <si>
    <t>Dlažba podl. vnitřní keram.,izolace, nad 30 x 30 cm</t>
  </si>
  <si>
    <t>Obklad vnitřní keram.,izolace,nad 30 x 30 cm</t>
  </si>
  <si>
    <t>Dlažba podl. vnitřní keram.,izolace,nad 30 x 30 cm</t>
  </si>
  <si>
    <t xml:space="preserve">RTS I </t>
  </si>
  <si>
    <t>RTS I</t>
  </si>
  <si>
    <t>Zateplovací systém ETICS, sokl, EPS-P 120 mm</t>
  </si>
  <si>
    <t>Zateplovací systém ETICS, EPS-P140</t>
  </si>
  <si>
    <t>FEZN + plast. povlak, zastřešení hladkými plechy, do 30°</t>
  </si>
  <si>
    <t>Malba tekutá profi, bílá, bez penetrace, 2 x</t>
  </si>
  <si>
    <t xml:space="preserve">sazba DPH </t>
  </si>
  <si>
    <t>Administrativní budova Sosnová 97 - celková modernizace a snížení energetické náročnosti 20220515</t>
  </si>
  <si>
    <t>bez DPH</t>
  </si>
  <si>
    <t xml:space="preserve">celkem </t>
  </si>
  <si>
    <t>Podmínky platnosti výkazu výměr a rozpočtu projektanta:
Rozpočet je zpracován na základě projektu DSP, jedná se o předběžný rozpočet - stanovení rámce investičního záměru.
Ve výkazu výměr v uvedených výměrách nejsou zohledněny prořezy, přesahy jednotlivých materiálů a vrstev a konkrétní dostupné výrobky na trhu.
Zhotovitel stavby je zodpovědný za stanovení správných výměr objektu a
za objednání správného množství materiálu při uzavření smlouvy o dílo na provedení stavebních prací.
Nejsou zohledněny velikosti dodávaných balení jednotlivých výrobků a stavebních materiálů
Výkaz výměr neslouží pro objednání stavebního materiálu a výrobu stavebních konstrukcí.
Výroba kompletačních konstrukcí  (klempířských, zámečnických, truhlářských a tesařských, elektro) a výplní stavebních otvorů musí být provedena na základě vlastního zaměření a zpracované výrobní dokumentace dodavatelem.	
Další zpracovatel výkazu výměr je odpovědný za kontrolu funkčnosti výpočtových vztahů a vzorců v elektronickém 
tabulkovém dokumentu, funkčnost dokumentace je vyzkoušena na software MS OFFICE EXCEL 2020.
Pokud jsou ve výkazu výměr uvedeny nějaké konkrétní výrobky, jedná se čistě o příklady možného technického řešení - uvedením výrobku jsou nastaveny požadované technické parametry, které může zhotovitel stavby splnit jiným výrobkem.
Otvorové výplně musí být naceněny podle podrobné specifikace uvedené v souboru - výkresu Výpis otvorových výplní, který je součástí zadávací dokumentace, kde jednotlivé jednotkové ceny za m2 musí být z individuálního nacenění přepsány do XLS Slepého rozpočtu. Případné konstrukce, které nejsou obsaženy ve výkazu výměr a je nutné provést jejich realizaci jako součást díla, nemohou být pokrytím nákladů požadovány po projektantovi, neboť se jedná o součást investičního záměru, projektant nepředpokládá výši těchto nákladů nad 5%. Zhotovitel rozpočtu prohlašuje, že není nijak obchodně and provizně motivován v návrhu a podporování konkrétních výrobků v projektové dokumentaci a rozpočtu.</t>
  </si>
  <si>
    <t>Podmínky platnosti výkazu výměr a rozpočtu projektanta:</t>
  </si>
  <si>
    <t>Rozpočet je zpracován na základě projektu DSP, jedná se o předběžný rozpočet - stanovení rámce investičního záměru.</t>
  </si>
  <si>
    <t>Ve výkazu výměr v uvedených výměrách nejsou zohledněny prořezy, přesahy jednotlivých materiálů a vrstev a konkrétní dostupné výrobky na trhu.</t>
  </si>
  <si>
    <t>Zhotovitel stavby je zodpovědný za stanovení správných výměr objektu a</t>
  </si>
  <si>
    <t>za objednání správného množství materiálu při uzavření smlouvy o dílo na provedení stavebních prací.</t>
  </si>
  <si>
    <t>Nejsou zohledněny velikosti dodávaných balení jednotlivých výrobků a stavebních materiálů</t>
  </si>
  <si>
    <t>Výkaz výměr neslouží pro objednání stavebního materiálu a výrobu stavebních konstrukcí.</t>
  </si>
  <si>
    <t>Výroba kompletačních konstrukcí  (klempířských, zámečnických, truhlářských a tesařských, elektro) a výplní stavebních otvorů musí být provedena na základě vlastního zaměření a zpracované výrobní dokumentace dodavatelem.</t>
  </si>
  <si>
    <t xml:space="preserve">Další zpracovatel výkazu výměr je odpovědný za kontrolu funkčnosti výpočtových vztahů a vzorců v elektronickém </t>
  </si>
  <si>
    <t>tabulkovém dokumentu, funkčnost dokumentace je vyzkoušena na software MS OFFICE EXCEL 2020.</t>
  </si>
  <si>
    <t>Pokud jsou ve výkazu výměr uvedeny nějaké konkrétní výrobky, jedná se čistě o příklady možného technického řešení - uvedením výrobku jsou nastaveny požadované technické parametry, které může zhotovitel stavby splnit jiným výrobkem.</t>
  </si>
  <si>
    <t>Otvorové výplně musí být naceněny podle podrobné specifikace uvedené v souboru - výkresu Výpis otvorových výplní, který je součástí zadávací dokumentace, kde jednotlivé jednotkové ceny za m2 musí být z individuálního nacenění přepsány do XLS Slepého rozpočtu. Případné konstrukce, které nejsou obsaženy ve výkazu výměr a je nutné provést jejich realizaci jako součást díla, nemohou být pokrytím nákladů požadovány po projektantovi, neboť se jedná o součást investičního záměru, projektant nepředpokládá výši těchto nákladů nad 5%. Zhotovitel rozpočtu prohlašuje, že není nijak obchodně and provizně motivován v návrhu a podporování konkrétních výrobků v projektové dokumentaci a rozpočtu.</t>
  </si>
  <si>
    <t>Vysvětlivky:</t>
  </si>
  <si>
    <t>Žlutá pole - k vyplnění zhotovitele, který se uchází o zakázku (vyplnění ceny)</t>
  </si>
  <si>
    <t>Zelené tučné písmo - řádky uznatelné k dotaci</t>
  </si>
  <si>
    <t>Uchazeč:</t>
  </si>
  <si>
    <t>Návod na vyplnění</t>
  </si>
  <si>
    <t>Měnit lze pouze buňky se žlutým podbarvením!_x000D_
_x000D_
1) v Rekapitulaci stavby vyplňte údaje o Uchazeči (přenesou se do ostatních sestav i v jiných listech)_x000D_
_x000D_
2) na vybraných listech vyplňte v sestavě Soupis prací ceny u položek</t>
  </si>
  <si>
    <t>Vyplň údaj</t>
  </si>
  <si>
    <t>Podmínky platnosti výkazu výměr a rozpočtu projektanta:
Rozpočet a výkaz výměr je zpracován na základě projektu DSP, jedná se o předběžný rozpočet - stanovení rámce investičního záměru.
Ve výkazu výměr v uvedených výměrách nejsou zohledněny dostupné velikosti balení, prořezy, přesahy jednotlivých materiálů a vrstev a konkrétní dostupné výrobky na trhu.
Zhotovitel stavby je zodpovědný za stanovení správných výměr objektu a
za objednání správného množství materiálu při uzavření smlouvy o dílo na provedení stavebních prací.
Nejsou zohledněny velikosti dodávaných balení jednotlivých výrobků a stavebních materiálů
Výkaz výměr neslouží pro objednání stavebního materiálu a výrobu stavebních konstrukcí.
Výroba kompletačních konstrukcí  (klempířských, zámečnických, truhlářských a tesařských, elektro) a výplní stavebních otvorů musí být provedena na základě vlastního zaměření a zpracované výrobní dokumentace dodavatelem.	
Ve výkazu výměr není obsaženo zajištění rohů atik z vnější strany dle statického návrhu, neboť podrobné posouzení musí být provedeno z lešení.
Další zpracovatel výkazu výměr je odpovědný za kontrolu funkčnosti výpočtových vztahů a vzorců v elektronickém 
tabulkovém dokumentu, funkčnost dokumentace je vyzkoušena na software MS OFFICE EXCEL 2020.
Pokud jsou ve výkazu výměr uvedeny nějaké konkrétní výrobky, jedná se čistě o příklady možného technického řešení - uvedením výrobku jsou nastaveny požadované technické parametry, které může zhotovitel stavby splnit jiným výrobkem.
Otvorové výplně musí být naceněny podle podrobné specifikace uvedené v souboru - výkresu Výpis otvorových výplní, který je součástí zadávací dokumentace, kde jednotlivé jednotkové ceny za m2 musí být z individuálního nacenění přepsány do XLS Slepého rozpočtu.
Případné konstrukce, které nejsou obsaženy ve výkazu výměr a je nutné provést jejich realizaci jako součást díla nemohou být pokrytím nákladů nákladů požadovány po projektantovi, neboť se jedná o součást investičního záměru, projektant nepředpokládá výši těchto nákladů nad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</si>
</sst>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 &quot;Kč&quot;"/>
    <numFmt numFmtId="166" formatCode="#,##0.00%"/>
    <numFmt numFmtId="167" formatCode="dd\.mm\.yyyy"/>
    <numFmt numFmtId="168" formatCode="#,##0.00000"/>
    <numFmt numFmtId="169" formatCode="#,##0.000"/>
  </numFmts>
  <fonts count="86" x14ac:knownFonts="1">
    <font>
      <sz val="11"/>
      <color theme="1"/>
      <name val="Calibri"/>
      <family val="2"/>
      <charset val="238"/>
      <scheme val="minor"/>
    </font>
    <font>
      <b/>
      <sz val="11"/>
      <color theme="1"/>
      <name val="Calibri"/>
      <family val="2"/>
      <charset val="238"/>
      <scheme val="minor"/>
    </font>
    <font>
      <b/>
      <sz val="11"/>
      <color rgb="FF92D050"/>
      <name val="Calibri"/>
      <family val="2"/>
      <charset val="238"/>
      <scheme val="minor"/>
    </font>
    <font>
      <sz val="11"/>
      <color rgb="FF92D050"/>
      <name val="Calibri"/>
      <family val="2"/>
      <charset val="238"/>
      <scheme val="minor"/>
    </font>
    <font>
      <b/>
      <sz val="11"/>
      <name val="Calibri"/>
      <family val="2"/>
      <charset val="238"/>
      <scheme val="minor"/>
    </font>
    <font>
      <sz val="11"/>
      <color theme="1"/>
      <name val="Calibri"/>
      <family val="2"/>
      <charset val="238"/>
      <scheme val="minor"/>
    </font>
    <font>
      <sz val="11"/>
      <color rgb="FFFF0000"/>
      <name val="Calibri"/>
      <family val="2"/>
      <charset val="238"/>
      <scheme val="minor"/>
    </font>
    <font>
      <sz val="10"/>
      <name val="Arial"/>
      <family val="2"/>
      <charset val="238"/>
    </font>
    <font>
      <sz val="18"/>
      <color indexed="8"/>
      <name val="Arial"/>
      <family val="2"/>
      <charset val="238"/>
    </font>
    <font>
      <sz val="10"/>
      <color indexed="8"/>
      <name val="Arial"/>
      <family val="2"/>
      <charset val="238"/>
    </font>
    <font>
      <b/>
      <sz val="10"/>
      <color indexed="8"/>
      <name val="Arial"/>
      <family val="2"/>
      <charset val="238"/>
    </font>
    <font>
      <sz val="10"/>
      <color indexed="61"/>
      <name val="Arial"/>
      <family val="2"/>
      <charset val="238"/>
    </font>
    <font>
      <i/>
      <sz val="10"/>
      <color indexed="60"/>
      <name val="Arial"/>
      <family val="2"/>
      <charset val="238"/>
    </font>
    <font>
      <i/>
      <sz val="8"/>
      <color indexed="8"/>
      <name val="Arial"/>
      <family val="2"/>
      <charset val="238"/>
    </font>
    <font>
      <sz val="24"/>
      <color indexed="8"/>
      <name val="Arial"/>
      <family val="2"/>
      <charset val="238"/>
    </font>
    <font>
      <b/>
      <sz val="18"/>
      <color indexed="8"/>
      <name val="Arial"/>
      <family val="2"/>
      <charset val="238"/>
    </font>
    <font>
      <b/>
      <sz val="20"/>
      <color indexed="8"/>
      <name val="Arial"/>
      <family val="2"/>
      <charset val="238"/>
    </font>
    <font>
      <b/>
      <sz val="11"/>
      <color indexed="8"/>
      <name val="Arial"/>
      <family val="2"/>
      <charset val="238"/>
    </font>
    <font>
      <b/>
      <sz val="12"/>
      <color indexed="8"/>
      <name val="Arial"/>
      <family val="2"/>
      <charset val="238"/>
    </font>
    <font>
      <sz val="12"/>
      <color indexed="8"/>
      <name val="Arial"/>
      <family val="2"/>
      <charset val="238"/>
    </font>
    <font>
      <sz val="10"/>
      <name val="Arial CE"/>
      <charset val="238"/>
    </font>
    <font>
      <b/>
      <sz val="12"/>
      <name val="Verdana"/>
      <family val="2"/>
    </font>
    <font>
      <sz val="9"/>
      <name val="Verdana"/>
      <family val="2"/>
    </font>
    <font>
      <b/>
      <i/>
      <sz val="9"/>
      <name val="Verdana"/>
      <family val="2"/>
    </font>
    <font>
      <b/>
      <sz val="14"/>
      <name val="Verdana"/>
      <family val="2"/>
    </font>
    <font>
      <b/>
      <sz val="12"/>
      <name val="Arial"/>
      <family val="2"/>
      <charset val="238"/>
    </font>
    <font>
      <sz val="12"/>
      <name val="Arial"/>
      <family val="2"/>
      <charset val="238"/>
    </font>
    <font>
      <sz val="12"/>
      <color rgb="FFFF0000"/>
      <name val="Arial"/>
      <family val="2"/>
      <charset val="238"/>
    </font>
    <font>
      <b/>
      <sz val="10"/>
      <name val="Arial"/>
      <family val="2"/>
      <charset val="238"/>
    </font>
    <font>
      <sz val="10"/>
      <color rgb="FFFF0000"/>
      <name val="Arial"/>
      <family val="2"/>
      <charset val="238"/>
    </font>
    <font>
      <b/>
      <sz val="12"/>
      <name val="Arial CE"/>
      <family val="2"/>
      <charset val="238"/>
    </font>
    <font>
      <b/>
      <sz val="10"/>
      <name val="Arial CE"/>
      <family val="2"/>
      <charset val="238"/>
    </font>
    <font>
      <sz val="12"/>
      <name val="Arial CE"/>
      <family val="2"/>
      <charset val="238"/>
    </font>
    <font>
      <sz val="12"/>
      <name val="Arial CE"/>
      <charset val="238"/>
    </font>
    <font>
      <b/>
      <sz val="11"/>
      <name val="Arial"/>
      <family val="2"/>
      <charset val="238"/>
    </font>
    <font>
      <sz val="10"/>
      <name val="Tahoma"/>
      <family val="2"/>
      <charset val="238"/>
    </font>
    <font>
      <sz val="11"/>
      <name val="Arial"/>
      <family val="2"/>
      <charset val="238"/>
    </font>
    <font>
      <u/>
      <sz val="11"/>
      <color theme="10"/>
      <name val="Calibri"/>
      <family val="2"/>
      <charset val="238"/>
      <scheme val="minor"/>
    </font>
    <font>
      <sz val="8"/>
      <name val="Arial CE"/>
      <family val="2"/>
    </font>
    <font>
      <sz val="8"/>
      <color rgb="FFFFFFFF"/>
      <name val="Arial CE"/>
    </font>
    <font>
      <b/>
      <sz val="14"/>
      <name val="Arial CE"/>
    </font>
    <font>
      <sz val="8"/>
      <color rgb="FF3366FF"/>
      <name val="Arial CE"/>
    </font>
    <font>
      <sz val="10"/>
      <color rgb="FF969696"/>
      <name val="Arial CE"/>
    </font>
    <font>
      <sz val="10"/>
      <name val="Arial CE"/>
    </font>
    <font>
      <b/>
      <sz val="11"/>
      <name val="Arial CE"/>
    </font>
    <font>
      <b/>
      <sz val="10"/>
      <name val="Arial CE"/>
    </font>
    <font>
      <b/>
      <sz val="10"/>
      <color rgb="FF969696"/>
      <name val="Arial CE"/>
    </font>
    <font>
      <b/>
      <sz val="12"/>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amily val="1"/>
      <charset val="2"/>
    </font>
    <font>
      <sz val="11"/>
      <name val="Arial CE"/>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12"/>
      <color rgb="FF003366"/>
      <name val="Arial CE"/>
    </font>
    <font>
      <sz val="10"/>
      <color rgb="FF003366"/>
      <name val="Arial CE"/>
    </font>
    <font>
      <sz val="8"/>
      <color rgb="FF960000"/>
      <name val="Arial CE"/>
    </font>
    <font>
      <b/>
      <sz val="8"/>
      <name val="Arial CE"/>
    </font>
    <font>
      <sz val="8"/>
      <color rgb="FF003366"/>
      <name val="Arial CE"/>
    </font>
    <font>
      <sz val="7"/>
      <color rgb="FF979797"/>
      <name val="Arial CE"/>
    </font>
    <font>
      <i/>
      <u/>
      <sz val="7"/>
      <color rgb="FF979797"/>
      <name val="Calibri"/>
      <family val="2"/>
      <charset val="238"/>
      <scheme val="minor"/>
    </font>
    <font>
      <sz val="8"/>
      <color rgb="FF505050"/>
      <name val="Arial CE"/>
    </font>
    <font>
      <sz val="7"/>
      <color rgb="FF969696"/>
      <name val="Arial CE"/>
    </font>
    <font>
      <i/>
      <sz val="9"/>
      <color rgb="FF0000FF"/>
      <name val="Arial CE"/>
    </font>
    <font>
      <i/>
      <sz val="8"/>
      <color rgb="FF0000FF"/>
      <name val="Arial CE"/>
    </font>
    <font>
      <b/>
      <sz val="11"/>
      <color rgb="FFFF0000"/>
      <name val="Calibri"/>
      <family val="2"/>
      <charset val="238"/>
      <scheme val="minor"/>
    </font>
    <font>
      <b/>
      <sz val="11"/>
      <color theme="0"/>
      <name val="Calibri"/>
      <family val="2"/>
      <charset val="238"/>
      <scheme val="minor"/>
    </font>
    <font>
      <sz val="11"/>
      <color theme="0"/>
      <name val="Calibri"/>
      <family val="2"/>
      <charset val="238"/>
      <scheme val="minor"/>
    </font>
    <font>
      <b/>
      <sz val="10"/>
      <color rgb="FF00B050"/>
      <name val="Arial"/>
      <family val="2"/>
      <charset val="238"/>
    </font>
    <font>
      <b/>
      <sz val="12"/>
      <color rgb="FF00B050"/>
      <name val="Arial CE"/>
      <family val="2"/>
      <charset val="238"/>
    </font>
    <font>
      <b/>
      <sz val="12"/>
      <color rgb="FF00B050"/>
      <name val="Arial CE"/>
      <charset val="238"/>
    </font>
    <font>
      <b/>
      <sz val="11"/>
      <color rgb="FF00B050"/>
      <name val="Calibri"/>
      <family val="2"/>
      <charset val="238"/>
      <scheme val="minor"/>
    </font>
    <font>
      <b/>
      <sz val="10"/>
      <color rgb="FF00B050"/>
      <name val="Arial CE"/>
      <charset val="238"/>
    </font>
    <font>
      <b/>
      <sz val="11"/>
      <color rgb="FF00B050"/>
      <name val="Arial CE"/>
      <family val="2"/>
      <charset val="238"/>
    </font>
    <font>
      <b/>
      <sz val="11"/>
      <color rgb="FF00B050"/>
      <name val="Arial CE"/>
      <charset val="238"/>
    </font>
    <font>
      <b/>
      <sz val="6"/>
      <color theme="1"/>
      <name val="Calibri"/>
      <family val="2"/>
      <charset val="238"/>
      <scheme val="minor"/>
    </font>
    <font>
      <sz val="6"/>
      <color theme="1"/>
      <name val="Calibri"/>
      <family val="2"/>
      <charset val="238"/>
      <scheme val="minor"/>
    </font>
    <font>
      <b/>
      <sz val="12"/>
      <color rgb="FF969696"/>
      <name val="Arial CE"/>
    </font>
    <font>
      <b/>
      <sz val="8"/>
      <color rgb="FF969696"/>
      <name val="Arial CE"/>
    </font>
  </fonts>
  <fills count="11">
    <fill>
      <patternFill patternType="none"/>
    </fill>
    <fill>
      <patternFill patternType="gray125"/>
    </fill>
    <fill>
      <patternFill patternType="solid">
        <fgColor theme="0" tint="-0.249977111117893"/>
        <bgColor indexed="64"/>
      </patternFill>
    </fill>
    <fill>
      <patternFill patternType="solid">
        <fgColor indexed="22"/>
        <bgColor indexed="9"/>
      </patternFill>
    </fill>
    <fill>
      <patternFill patternType="solid">
        <fgColor indexed="13"/>
        <bgColor indexed="64"/>
      </patternFill>
    </fill>
    <fill>
      <patternFill patternType="solid">
        <fgColor rgb="FFBEBEBE"/>
      </patternFill>
    </fill>
    <fill>
      <patternFill patternType="solid">
        <fgColor rgb="FFD2D2D2"/>
      </patternFill>
    </fill>
    <fill>
      <patternFill patternType="solid">
        <fgColor rgb="FFFFFFCC"/>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s>
  <borders count="7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8">
    <xf numFmtId="0" fontId="0" fillId="0" borderId="0"/>
    <xf numFmtId="0" fontId="7" fillId="0" borderId="0"/>
    <xf numFmtId="0" fontId="20" fillId="0" borderId="0"/>
    <xf numFmtId="0" fontId="7" fillId="0" borderId="0"/>
    <xf numFmtId="0" fontId="5" fillId="0" borderId="0"/>
    <xf numFmtId="0" fontId="35" fillId="0" borderId="0"/>
    <xf numFmtId="0" fontId="37" fillId="0" borderId="0" applyNumberFormat="0" applyFill="0" applyBorder="0" applyAlignment="0" applyProtection="0"/>
    <xf numFmtId="0" fontId="38" fillId="0" borderId="0"/>
  </cellStyleXfs>
  <cellXfs count="454">
    <xf numFmtId="0" fontId="0" fillId="0" borderId="0" xfId="0"/>
    <xf numFmtId="0" fontId="1" fillId="0" borderId="0" xfId="0" applyFont="1"/>
    <xf numFmtId="0" fontId="3" fillId="0" borderId="0" xfId="0" applyFont="1"/>
    <xf numFmtId="0" fontId="4" fillId="0" borderId="0" xfId="0" applyFont="1"/>
    <xf numFmtId="0" fontId="1" fillId="2" borderId="0" xfId="0" applyFont="1" applyFill="1"/>
    <xf numFmtId="0" fontId="9" fillId="0" borderId="0" xfId="1" applyFont="1" applyAlignment="1">
      <alignment vertical="center"/>
    </xf>
    <xf numFmtId="0" fontId="9" fillId="0" borderId="5" xfId="1" applyFont="1" applyBorder="1" applyAlignment="1">
      <alignment vertical="center"/>
    </xf>
    <xf numFmtId="49" fontId="10" fillId="0" borderId="10" xfId="1" applyNumberFormat="1" applyFont="1" applyBorder="1" applyAlignment="1">
      <alignment horizontal="left" vertical="center"/>
    </xf>
    <xf numFmtId="49" fontId="10" fillId="0" borderId="11" xfId="1" applyNumberFormat="1" applyFont="1" applyBorder="1" applyAlignment="1">
      <alignment horizontal="left" vertical="center"/>
    </xf>
    <xf numFmtId="49" fontId="10" fillId="0" borderId="11" xfId="1" applyNumberFormat="1" applyFont="1" applyBorder="1" applyAlignment="1">
      <alignment horizontal="center" vertical="center"/>
    </xf>
    <xf numFmtId="49" fontId="10" fillId="0" borderId="12" xfId="1" applyNumberFormat="1" applyFont="1" applyBorder="1" applyAlignment="1">
      <alignment horizontal="center" vertical="center"/>
    </xf>
    <xf numFmtId="49" fontId="10" fillId="0" borderId="16" xfId="1" applyNumberFormat="1" applyFont="1" applyBorder="1" applyAlignment="1">
      <alignment horizontal="center" vertical="center"/>
    </xf>
    <xf numFmtId="0" fontId="9" fillId="0" borderId="17" xfId="1" applyFont="1" applyBorder="1" applyAlignment="1">
      <alignment vertical="center"/>
    </xf>
    <xf numFmtId="49" fontId="9" fillId="0" borderId="18" xfId="1" applyNumberFormat="1" applyFont="1" applyBorder="1" applyAlignment="1">
      <alignment horizontal="left" vertical="center"/>
    </xf>
    <xf numFmtId="49" fontId="9" fillId="0" borderId="19" xfId="1" applyNumberFormat="1" applyFont="1" applyBorder="1" applyAlignment="1">
      <alignment horizontal="left" vertical="center"/>
    </xf>
    <xf numFmtId="49" fontId="10" fillId="0" borderId="19" xfId="1" applyNumberFormat="1" applyFont="1" applyBorder="1" applyAlignment="1">
      <alignment horizontal="left" vertical="center"/>
    </xf>
    <xf numFmtId="49" fontId="10" fillId="0" borderId="20" xfId="1" applyNumberFormat="1" applyFont="1" applyBorder="1" applyAlignment="1">
      <alignment horizontal="right" vertical="center"/>
    </xf>
    <xf numFmtId="49" fontId="10" fillId="0" borderId="21" xfId="1" applyNumberFormat="1" applyFont="1" applyBorder="1" applyAlignment="1">
      <alignment horizontal="center" vertical="center"/>
    </xf>
    <xf numFmtId="49" fontId="10" fillId="0" borderId="22" xfId="1" applyNumberFormat="1" applyFont="1" applyBorder="1" applyAlignment="1">
      <alignment horizontal="center" vertical="center"/>
    </xf>
    <xf numFmtId="49" fontId="10" fillId="0" borderId="23" xfId="1" applyNumberFormat="1" applyFont="1" applyBorder="1" applyAlignment="1">
      <alignment horizontal="center" vertical="center"/>
    </xf>
    <xf numFmtId="49" fontId="10" fillId="0" borderId="24" xfId="1" applyNumberFormat="1" applyFont="1" applyBorder="1" applyAlignment="1">
      <alignment horizontal="center" vertical="center"/>
    </xf>
    <xf numFmtId="49" fontId="10" fillId="3" borderId="0" xfId="1" applyNumberFormat="1" applyFont="1" applyFill="1" applyAlignment="1">
      <alignment horizontal="right" vertical="center"/>
    </xf>
    <xf numFmtId="49" fontId="9" fillId="3" borderId="25" xfId="1" applyNumberFormat="1" applyFont="1" applyFill="1" applyBorder="1" applyAlignment="1">
      <alignment horizontal="left" vertical="center"/>
    </xf>
    <xf numFmtId="49" fontId="10" fillId="3" borderId="25" xfId="1" applyNumberFormat="1" applyFont="1" applyFill="1" applyBorder="1" applyAlignment="1">
      <alignment horizontal="left" vertical="center"/>
    </xf>
    <xf numFmtId="4" fontId="10" fillId="3" borderId="25" xfId="1" applyNumberFormat="1" applyFont="1" applyFill="1" applyBorder="1" applyAlignment="1">
      <alignment horizontal="right" vertical="center"/>
    </xf>
    <xf numFmtId="49" fontId="10" fillId="3" borderId="25" xfId="1" applyNumberFormat="1" applyFont="1" applyFill="1" applyBorder="1" applyAlignment="1">
      <alignment horizontal="right" vertical="center"/>
    </xf>
    <xf numFmtId="49" fontId="9" fillId="3" borderId="0" xfId="1" applyNumberFormat="1" applyFont="1" applyFill="1" applyAlignment="1">
      <alignment horizontal="left" vertical="center"/>
    </xf>
    <xf numFmtId="49" fontId="10" fillId="3" borderId="0" xfId="1" applyNumberFormat="1" applyFont="1" applyFill="1" applyAlignment="1">
      <alignment horizontal="left" vertical="center"/>
    </xf>
    <xf numFmtId="4" fontId="10" fillId="3" borderId="0" xfId="1" applyNumberFormat="1" applyFont="1" applyFill="1" applyAlignment="1">
      <alignment horizontal="right" vertical="center"/>
    </xf>
    <xf numFmtId="49" fontId="11" fillId="0" borderId="0" xfId="1" applyNumberFormat="1" applyFont="1" applyAlignment="1">
      <alignment horizontal="left" vertical="center"/>
    </xf>
    <xf numFmtId="4" fontId="11" fillId="0" borderId="0" xfId="1" applyNumberFormat="1" applyFont="1" applyAlignment="1">
      <alignment horizontal="right" vertical="center"/>
    </xf>
    <xf numFmtId="49" fontId="11" fillId="0" borderId="0" xfId="1" applyNumberFormat="1" applyFont="1" applyAlignment="1">
      <alignment horizontal="right" vertical="center"/>
    </xf>
    <xf numFmtId="4" fontId="9" fillId="0" borderId="0" xfId="1" applyNumberFormat="1" applyFont="1" applyAlignment="1">
      <alignment horizontal="right" vertical="center"/>
    </xf>
    <xf numFmtId="49" fontId="9" fillId="0" borderId="0" xfId="1" applyNumberFormat="1" applyFont="1" applyAlignment="1">
      <alignment horizontal="right" vertical="center"/>
    </xf>
    <xf numFmtId="49" fontId="12" fillId="0" borderId="0" xfId="1" applyNumberFormat="1" applyFont="1" applyAlignment="1">
      <alignment horizontal="right" vertical="top"/>
    </xf>
    <xf numFmtId="0" fontId="9" fillId="0" borderId="1" xfId="1" applyFont="1" applyBorder="1" applyAlignment="1">
      <alignment vertical="center"/>
    </xf>
    <xf numFmtId="49" fontId="12" fillId="0" borderId="1" xfId="1" applyNumberFormat="1" applyFont="1" applyBorder="1" applyAlignment="1">
      <alignment horizontal="right" vertical="top"/>
    </xf>
    <xf numFmtId="0" fontId="9" fillId="0" borderId="3" xfId="1" applyFont="1" applyBorder="1" applyAlignment="1">
      <alignment vertical="center"/>
    </xf>
    <xf numFmtId="4" fontId="10" fillId="0" borderId="3" xfId="1" applyNumberFormat="1" applyFont="1" applyBorder="1" applyAlignment="1">
      <alignment horizontal="right" vertical="center"/>
    </xf>
    <xf numFmtId="4" fontId="10" fillId="0" borderId="0" xfId="1" applyNumberFormat="1" applyFont="1" applyAlignment="1">
      <alignment horizontal="right" vertical="center"/>
    </xf>
    <xf numFmtId="49" fontId="13" fillId="0" borderId="0" xfId="1" applyNumberFormat="1" applyFont="1" applyAlignment="1">
      <alignment horizontal="left" vertical="center"/>
    </xf>
    <xf numFmtId="49" fontId="16" fillId="3" borderId="29" xfId="1" applyNumberFormat="1" applyFont="1" applyFill="1" applyBorder="1" applyAlignment="1">
      <alignment horizontal="center" vertical="center"/>
    </xf>
    <xf numFmtId="49" fontId="18" fillId="0" borderId="32" xfId="1" applyNumberFormat="1" applyFont="1" applyBorder="1" applyAlignment="1">
      <alignment horizontal="left" vertical="center"/>
    </xf>
    <xf numFmtId="49" fontId="19" fillId="0" borderId="29" xfId="1" applyNumberFormat="1" applyFont="1" applyBorder="1" applyAlignment="1">
      <alignment horizontal="left" vertical="center"/>
    </xf>
    <xf numFmtId="4" fontId="19" fillId="0" borderId="29" xfId="1" applyNumberFormat="1" applyFont="1" applyBorder="1" applyAlignment="1">
      <alignment horizontal="right" vertical="center"/>
    </xf>
    <xf numFmtId="49" fontId="18" fillId="0" borderId="33" xfId="1" applyNumberFormat="1" applyFont="1" applyBorder="1" applyAlignment="1">
      <alignment horizontal="left" vertical="center"/>
    </xf>
    <xf numFmtId="49" fontId="19" fillId="0" borderId="29" xfId="1" applyNumberFormat="1" applyFont="1" applyBorder="1" applyAlignment="1">
      <alignment horizontal="right" vertical="center"/>
    </xf>
    <xf numFmtId="0" fontId="9" fillId="0" borderId="4" xfId="1" applyFont="1" applyBorder="1" applyAlignment="1">
      <alignment vertical="center"/>
    </xf>
    <xf numFmtId="4" fontId="19" fillId="0" borderId="22" xfId="1" applyNumberFormat="1" applyFont="1" applyBorder="1" applyAlignment="1">
      <alignment horizontal="right" vertical="center"/>
    </xf>
    <xf numFmtId="0" fontId="9" fillId="0" borderId="34" xfId="1" applyFont="1" applyBorder="1" applyAlignment="1">
      <alignment vertical="center"/>
    </xf>
    <xf numFmtId="0" fontId="9" fillId="0" borderId="6" xfId="1" applyFont="1" applyBorder="1" applyAlignment="1">
      <alignment vertical="center"/>
    </xf>
    <xf numFmtId="4" fontId="18" fillId="3" borderId="31" xfId="1" applyNumberFormat="1" applyFont="1" applyFill="1" applyBorder="1" applyAlignment="1">
      <alignment horizontal="right" vertical="center"/>
    </xf>
    <xf numFmtId="0" fontId="9" fillId="0" borderId="26" xfId="1" applyFont="1" applyBorder="1" applyAlignment="1">
      <alignment vertical="center"/>
    </xf>
    <xf numFmtId="0" fontId="9" fillId="0" borderId="35" xfId="1" applyFont="1" applyBorder="1" applyAlignment="1">
      <alignment vertical="center"/>
    </xf>
    <xf numFmtId="49" fontId="13" fillId="0" borderId="25" xfId="1" applyNumberFormat="1" applyFont="1" applyBorder="1" applyAlignment="1">
      <alignment horizontal="left" vertical="center"/>
    </xf>
    <xf numFmtId="0" fontId="9" fillId="0" borderId="25" xfId="1" applyFont="1" applyBorder="1" applyAlignment="1">
      <alignment vertical="center"/>
    </xf>
    <xf numFmtId="0" fontId="9" fillId="0" borderId="8" xfId="1" applyFont="1" applyBorder="1" applyAlignment="1">
      <alignment vertical="center"/>
    </xf>
    <xf numFmtId="49" fontId="10" fillId="0" borderId="41" xfId="1" applyNumberFormat="1" applyFont="1" applyBorder="1" applyAlignment="1">
      <alignment horizontal="right" vertical="center"/>
    </xf>
    <xf numFmtId="4" fontId="9" fillId="0" borderId="29" xfId="1" applyNumberFormat="1" applyFont="1" applyBorder="1" applyAlignment="1">
      <alignment horizontal="right" vertical="center"/>
    </xf>
    <xf numFmtId="49" fontId="9" fillId="0" borderId="29" xfId="1" applyNumberFormat="1" applyFont="1" applyBorder="1" applyAlignment="1">
      <alignment horizontal="left" vertical="center"/>
    </xf>
    <xf numFmtId="4" fontId="9" fillId="0" borderId="22" xfId="1" applyNumberFormat="1" applyFont="1" applyBorder="1" applyAlignment="1">
      <alignment horizontal="right" vertical="center"/>
    </xf>
    <xf numFmtId="49" fontId="9" fillId="0" borderId="22" xfId="1" applyNumberFormat="1" applyFont="1" applyBorder="1" applyAlignment="1">
      <alignment horizontal="left" vertical="center"/>
    </xf>
    <xf numFmtId="49" fontId="10" fillId="0" borderId="47" xfId="1" applyNumberFormat="1" applyFont="1" applyBorder="1" applyAlignment="1">
      <alignment horizontal="left" vertical="center"/>
    </xf>
    <xf numFmtId="49" fontId="10" fillId="0" borderId="47" xfId="1" applyNumberFormat="1" applyFont="1" applyBorder="1" applyAlignment="1">
      <alignment horizontal="right" vertical="center"/>
    </xf>
    <xf numFmtId="4" fontId="10" fillId="0" borderId="47" xfId="1" applyNumberFormat="1" applyFont="1" applyBorder="1" applyAlignment="1">
      <alignment horizontal="right" vertical="center"/>
    </xf>
    <xf numFmtId="0" fontId="9" fillId="0" borderId="45" xfId="1" applyFont="1" applyBorder="1" applyAlignment="1">
      <alignment vertical="center"/>
    </xf>
    <xf numFmtId="0" fontId="21" fillId="0" borderId="0" xfId="2" applyFont="1" applyAlignment="1">
      <alignment horizontal="left"/>
    </xf>
    <xf numFmtId="0" fontId="22" fillId="0" borderId="0" xfId="2" applyFont="1"/>
    <xf numFmtId="0" fontId="20" fillId="0" borderId="0" xfId="2" applyAlignment="1">
      <alignment horizontal="center"/>
    </xf>
    <xf numFmtId="0" fontId="20" fillId="0" borderId="0" xfId="2"/>
    <xf numFmtId="0" fontId="23" fillId="0" borderId="0" xfId="2" applyFont="1" applyAlignment="1">
      <alignment horizontal="left"/>
    </xf>
    <xf numFmtId="0" fontId="24" fillId="0" borderId="0" xfId="2" applyFont="1"/>
    <xf numFmtId="0" fontId="25" fillId="0" borderId="0" xfId="3" applyFont="1"/>
    <xf numFmtId="0" fontId="25" fillId="0" borderId="0" xfId="2" applyFont="1"/>
    <xf numFmtId="0" fontId="26" fillId="0" borderId="0" xfId="3" applyFont="1"/>
    <xf numFmtId="49" fontId="26" fillId="0" borderId="0" xfId="3" applyNumberFormat="1" applyFont="1"/>
    <xf numFmtId="0" fontId="26" fillId="0" borderId="0" xfId="3" applyFont="1" applyAlignment="1">
      <alignment horizontal="left"/>
    </xf>
    <xf numFmtId="0" fontId="25" fillId="0" borderId="0" xfId="3" applyFont="1" applyAlignment="1">
      <alignment vertical="center"/>
    </xf>
    <xf numFmtId="0" fontId="27" fillId="0" borderId="0" xfId="3" applyFont="1" applyAlignment="1">
      <alignment horizontal="left" wrapText="1"/>
    </xf>
    <xf numFmtId="1" fontId="22" fillId="0" borderId="0" xfId="2" applyNumberFormat="1" applyFont="1" applyAlignment="1">
      <alignment horizontal="center"/>
    </xf>
    <xf numFmtId="0" fontId="22" fillId="0" borderId="0" xfId="2" applyFont="1" applyAlignment="1">
      <alignment horizontal="center"/>
    </xf>
    <xf numFmtId="0" fontId="28" fillId="0" borderId="0" xfId="3" applyFont="1" applyAlignment="1">
      <alignment vertical="center"/>
    </xf>
    <xf numFmtId="0" fontId="29" fillId="0" borderId="0" xfId="3" applyFont="1" applyAlignment="1">
      <alignment horizontal="left" wrapText="1"/>
    </xf>
    <xf numFmtId="0" fontId="30" fillId="0" borderId="29" xfId="2" applyFont="1" applyBorder="1" applyAlignment="1">
      <alignment horizontal="center" vertical="center" wrapText="1"/>
    </xf>
    <xf numFmtId="0" fontId="31" fillId="0" borderId="29" xfId="2" applyFont="1" applyBorder="1" applyAlignment="1">
      <alignment vertical="center" wrapText="1"/>
    </xf>
    <xf numFmtId="0" fontId="31" fillId="0" borderId="29" xfId="2" applyFont="1" applyBorder="1" applyAlignment="1">
      <alignment horizontal="center" vertical="center" wrapText="1"/>
    </xf>
    <xf numFmtId="0" fontId="5" fillId="0" borderId="29" xfId="4" applyBorder="1"/>
    <xf numFmtId="0" fontId="32" fillId="0" borderId="29" xfId="2" applyFont="1" applyBorder="1" applyAlignment="1">
      <alignment horizontal="center" vertical="center" wrapText="1"/>
    </xf>
    <xf numFmtId="0" fontId="25" fillId="4" borderId="29" xfId="2" applyFont="1" applyFill="1" applyBorder="1" applyAlignment="1">
      <alignment wrapText="1"/>
    </xf>
    <xf numFmtId="0" fontId="33" fillId="0" borderId="29" xfId="2" applyFont="1" applyBorder="1" applyAlignment="1">
      <alignment horizontal="center" wrapText="1"/>
    </xf>
    <xf numFmtId="1" fontId="33" fillId="0" borderId="29" xfId="2" applyNumberFormat="1" applyFont="1" applyBorder="1" applyAlignment="1">
      <alignment vertical="center" wrapText="1"/>
    </xf>
    <xf numFmtId="0" fontId="33" fillId="0" borderId="29" xfId="2" applyFont="1" applyBorder="1" applyAlignment="1">
      <alignment horizontal="center" vertical="center" wrapText="1"/>
    </xf>
    <xf numFmtId="49" fontId="20" fillId="0" borderId="0" xfId="2" applyNumberFormat="1" applyAlignment="1">
      <alignment horizontal="center"/>
    </xf>
    <xf numFmtId="49" fontId="20" fillId="0" borderId="0" xfId="2" applyNumberFormat="1"/>
    <xf numFmtId="0" fontId="33" fillId="0" borderId="0" xfId="2" applyFont="1" applyAlignment="1">
      <alignment horizontal="center" wrapText="1"/>
    </xf>
    <xf numFmtId="0" fontId="34" fillId="4" borderId="29" xfId="2" applyFont="1" applyFill="1" applyBorder="1"/>
    <xf numFmtId="0" fontId="35" fillId="0" borderId="29" xfId="5" applyBorder="1" applyAlignment="1">
      <alignment horizontal="left"/>
    </xf>
    <xf numFmtId="0" fontId="25" fillId="0" borderId="29" xfId="2" applyFont="1" applyBorder="1"/>
    <xf numFmtId="0" fontId="36" fillId="0" borderId="29" xfId="2" applyFont="1" applyBorder="1" applyAlignment="1">
      <alignment horizontal="center" vertical="center"/>
    </xf>
    <xf numFmtId="164" fontId="36" fillId="0" borderId="29" xfId="2" applyNumberFormat="1" applyFont="1" applyBorder="1" applyAlignment="1">
      <alignment horizontal="center" vertical="center"/>
    </xf>
    <xf numFmtId="165" fontId="34" fillId="0" borderId="29" xfId="2" applyNumberFormat="1" applyFont="1" applyBorder="1" applyAlignment="1">
      <alignment horizontal="center" vertical="center"/>
    </xf>
    <xf numFmtId="164" fontId="36" fillId="0" borderId="29" xfId="2" applyNumberFormat="1" applyFont="1" applyBorder="1" applyAlignment="1">
      <alignment horizontal="center" vertical="center" wrapText="1"/>
    </xf>
    <xf numFmtId="0" fontId="39" fillId="0" borderId="0" xfId="7" applyFont="1" applyAlignment="1">
      <alignment horizontal="left" vertical="center"/>
    </xf>
    <xf numFmtId="0" fontId="38" fillId="0" borderId="0" xfId="7" applyAlignment="1">
      <alignment horizontal="left" vertical="center"/>
    </xf>
    <xf numFmtId="0" fontId="38" fillId="0" borderId="48" xfId="7" applyBorder="1"/>
    <xf numFmtId="0" fontId="38" fillId="0" borderId="49" xfId="7" applyBorder="1"/>
    <xf numFmtId="0" fontId="38" fillId="0" borderId="50" xfId="7" applyBorder="1"/>
    <xf numFmtId="0" fontId="40" fillId="0" borderId="0" xfId="7" applyFont="1" applyAlignment="1">
      <alignment horizontal="left" vertical="center"/>
    </xf>
    <xf numFmtId="0" fontId="41" fillId="0" borderId="0" xfId="7" applyFont="1" applyAlignment="1">
      <alignment horizontal="left" vertical="center"/>
    </xf>
    <xf numFmtId="0" fontId="42" fillId="0" borderId="0" xfId="7" applyFont="1" applyAlignment="1">
      <alignment horizontal="left" vertical="top"/>
    </xf>
    <xf numFmtId="0" fontId="44" fillId="0" borderId="0" xfId="7" applyFont="1" applyAlignment="1">
      <alignment horizontal="left" vertical="top"/>
    </xf>
    <xf numFmtId="0" fontId="38" fillId="0" borderId="51" xfId="7" applyBorder="1"/>
    <xf numFmtId="0" fontId="38" fillId="0" borderId="50" xfId="7" applyBorder="1" applyAlignment="1">
      <alignment vertical="center"/>
    </xf>
    <xf numFmtId="0" fontId="45" fillId="0" borderId="52" xfId="7" applyFont="1" applyBorder="1" applyAlignment="1">
      <alignment horizontal="left" vertical="center"/>
    </xf>
    <xf numFmtId="0" fontId="42" fillId="0" borderId="50" xfId="7" applyFont="1" applyBorder="1" applyAlignment="1">
      <alignment vertical="center"/>
    </xf>
    <xf numFmtId="0" fontId="38" fillId="5" borderId="0" xfId="7" applyFill="1" applyAlignment="1">
      <alignment vertical="center"/>
    </xf>
    <xf numFmtId="0" fontId="47" fillId="5" borderId="53" xfId="7" applyFont="1" applyFill="1" applyBorder="1" applyAlignment="1">
      <alignment horizontal="left" vertical="center"/>
    </xf>
    <xf numFmtId="0" fontId="47" fillId="5" borderId="54" xfId="7" applyFont="1" applyFill="1" applyBorder="1" applyAlignment="1">
      <alignment horizontal="center" vertical="center"/>
    </xf>
    <xf numFmtId="0" fontId="38" fillId="0" borderId="56" xfId="7" applyBorder="1" applyAlignment="1">
      <alignment vertical="center"/>
    </xf>
    <xf numFmtId="0" fontId="38" fillId="0" borderId="57" xfId="7" applyBorder="1" applyAlignment="1">
      <alignment vertical="center"/>
    </xf>
    <xf numFmtId="0" fontId="38" fillId="0" borderId="48" xfId="7" applyBorder="1" applyAlignment="1">
      <alignment vertical="center"/>
    </xf>
    <xf numFmtId="0" fontId="38" fillId="0" borderId="49" xfId="7" applyBorder="1" applyAlignment="1">
      <alignment vertical="center"/>
    </xf>
    <xf numFmtId="0" fontId="43" fillId="0" borderId="50" xfId="7" applyFont="1" applyBorder="1" applyAlignment="1">
      <alignment vertical="center"/>
    </xf>
    <xf numFmtId="0" fontId="44" fillId="0" borderId="50" xfId="7" applyFont="1" applyBorder="1" applyAlignment="1">
      <alignment vertical="center"/>
    </xf>
    <xf numFmtId="0" fontId="44" fillId="0" borderId="0" xfId="7" applyFont="1" applyAlignment="1">
      <alignment horizontal="left" vertical="center"/>
    </xf>
    <xf numFmtId="0" fontId="45" fillId="0" borderId="0" xfId="7" applyFont="1" applyAlignment="1">
      <alignment vertical="center"/>
    </xf>
    <xf numFmtId="0" fontId="38" fillId="0" borderId="59" xfId="7" applyBorder="1" applyAlignment="1">
      <alignment vertical="center"/>
    </xf>
    <xf numFmtId="0" fontId="38" fillId="0" borderId="60" xfId="7" applyBorder="1" applyAlignment="1">
      <alignment vertical="center"/>
    </xf>
    <xf numFmtId="0" fontId="38" fillId="0" borderId="62" xfId="7" applyBorder="1" applyAlignment="1">
      <alignment vertical="center"/>
    </xf>
    <xf numFmtId="0" fontId="38" fillId="6" borderId="54" xfId="7" applyFill="1" applyBorder="1" applyAlignment="1">
      <alignment vertical="center"/>
    </xf>
    <xf numFmtId="0" fontId="50" fillId="6" borderId="55" xfId="7" applyFont="1" applyFill="1" applyBorder="1" applyAlignment="1">
      <alignment horizontal="center" vertical="center"/>
    </xf>
    <xf numFmtId="0" fontId="51" fillId="0" borderId="63" xfId="7" applyFont="1" applyBorder="1" applyAlignment="1">
      <alignment horizontal="center" vertical="center" wrapText="1"/>
    </xf>
    <xf numFmtId="0" fontId="51" fillId="0" borderId="64" xfId="7" applyFont="1" applyBorder="1" applyAlignment="1">
      <alignment horizontal="center" vertical="center" wrapText="1"/>
    </xf>
    <xf numFmtId="0" fontId="51" fillId="0" borderId="65" xfId="7" applyFont="1" applyBorder="1" applyAlignment="1">
      <alignment horizontal="center" vertical="center" wrapText="1"/>
    </xf>
    <xf numFmtId="0" fontId="38" fillId="0" borderId="58" xfId="7" applyBorder="1" applyAlignment="1">
      <alignment vertical="center"/>
    </xf>
    <xf numFmtId="0" fontId="47" fillId="0" borderId="0" xfId="7" applyFont="1" applyAlignment="1">
      <alignment vertical="center"/>
    </xf>
    <xf numFmtId="0" fontId="47" fillId="0" borderId="50" xfId="7" applyFont="1" applyBorder="1" applyAlignment="1">
      <alignment vertical="center"/>
    </xf>
    <xf numFmtId="0" fontId="52" fillId="0" borderId="0" xfId="7" applyFont="1" applyAlignment="1">
      <alignment horizontal="left" vertical="center"/>
    </xf>
    <xf numFmtId="0" fontId="52" fillId="0" borderId="0" xfId="7" applyFont="1" applyAlignment="1">
      <alignment vertical="center"/>
    </xf>
    <xf numFmtId="0" fontId="47" fillId="0" borderId="0" xfId="7" applyFont="1" applyAlignment="1">
      <alignment horizontal="center" vertical="center"/>
    </xf>
    <xf numFmtId="4" fontId="48" fillId="0" borderId="61" xfId="7" applyNumberFormat="1" applyFont="1" applyBorder="1" applyAlignment="1">
      <alignment vertical="center"/>
    </xf>
    <xf numFmtId="4" fontId="48" fillId="0" borderId="0" xfId="7" applyNumberFormat="1" applyFont="1" applyAlignment="1">
      <alignment vertical="center"/>
    </xf>
    <xf numFmtId="168" fontId="48" fillId="0" borderId="0" xfId="7" applyNumberFormat="1" applyFont="1" applyAlignment="1">
      <alignment vertical="center"/>
    </xf>
    <xf numFmtId="4" fontId="48" fillId="0" borderId="62" xfId="7" applyNumberFormat="1" applyFont="1" applyBorder="1" applyAlignment="1">
      <alignment vertical="center"/>
    </xf>
    <xf numFmtId="0" fontId="47" fillId="0" borderId="0" xfId="7" applyFont="1" applyAlignment="1">
      <alignment horizontal="left" vertical="center"/>
    </xf>
    <xf numFmtId="0" fontId="53" fillId="0" borderId="0" xfId="7" applyFont="1" applyAlignment="1">
      <alignment horizontal="left" vertical="center"/>
    </xf>
    <xf numFmtId="0" fontId="54" fillId="0" borderId="0" xfId="6" applyFont="1" applyAlignment="1">
      <alignment horizontal="center" vertical="center"/>
    </xf>
    <xf numFmtId="0" fontId="55" fillId="0" borderId="50" xfId="7" applyFont="1" applyBorder="1" applyAlignment="1">
      <alignment vertical="center"/>
    </xf>
    <xf numFmtId="0" fontId="56" fillId="0" borderId="0" xfId="7" applyFont="1" applyAlignment="1">
      <alignment vertical="center"/>
    </xf>
    <xf numFmtId="0" fontId="44" fillId="0" borderId="0" xfId="7" applyFont="1" applyAlignment="1">
      <alignment horizontal="center" vertical="center"/>
    </xf>
    <xf numFmtId="4" fontId="58" fillId="0" borderId="61" xfId="7" applyNumberFormat="1" applyFont="1" applyBorder="1" applyAlignment="1">
      <alignment vertical="center"/>
    </xf>
    <xf numFmtId="4" fontId="58" fillId="0" borderId="0" xfId="7" applyNumberFormat="1" applyFont="1" applyAlignment="1">
      <alignment vertical="center"/>
    </xf>
    <xf numFmtId="168" fontId="58" fillId="0" borderId="0" xfId="7" applyNumberFormat="1" applyFont="1" applyAlignment="1">
      <alignment vertical="center"/>
    </xf>
    <xf numFmtId="4" fontId="58" fillId="0" borderId="62" xfId="7" applyNumberFormat="1" applyFont="1" applyBorder="1" applyAlignment="1">
      <alignment vertical="center"/>
    </xf>
    <xf numFmtId="0" fontId="55" fillId="0" borderId="0" xfId="7" applyFont="1" applyAlignment="1">
      <alignment vertical="center"/>
    </xf>
    <xf numFmtId="0" fontId="55" fillId="0" borderId="0" xfId="7" applyFont="1" applyAlignment="1">
      <alignment horizontal="left" vertical="center"/>
    </xf>
    <xf numFmtId="4" fontId="58" fillId="0" borderId="66" xfId="7" applyNumberFormat="1" applyFont="1" applyBorder="1" applyAlignment="1">
      <alignment vertical="center"/>
    </xf>
    <xf numFmtId="4" fontId="58" fillId="0" borderId="67" xfId="7" applyNumberFormat="1" applyFont="1" applyBorder="1" applyAlignment="1">
      <alignment vertical="center"/>
    </xf>
    <xf numFmtId="168" fontId="58" fillId="0" borderId="67" xfId="7" applyNumberFormat="1" applyFont="1" applyBorder="1" applyAlignment="1">
      <alignment vertical="center"/>
    </xf>
    <xf numFmtId="4" fontId="58" fillId="0" borderId="68" xfId="7" applyNumberFormat="1" applyFont="1" applyBorder="1" applyAlignment="1">
      <alignment vertical="center"/>
    </xf>
    <xf numFmtId="0" fontId="59" fillId="0" borderId="0" xfId="7" applyFont="1" applyAlignment="1">
      <alignment horizontal="left" vertical="center"/>
    </xf>
    <xf numFmtId="0" fontId="38" fillId="0" borderId="0" xfId="7" applyAlignment="1">
      <alignment vertical="center" wrapText="1"/>
    </xf>
    <xf numFmtId="0" fontId="38" fillId="0" borderId="50" xfId="7" applyBorder="1" applyAlignment="1">
      <alignment vertical="center" wrapText="1"/>
    </xf>
    <xf numFmtId="0" fontId="45" fillId="0" borderId="0" xfId="7" applyFont="1" applyAlignment="1">
      <alignment horizontal="left" vertical="center"/>
    </xf>
    <xf numFmtId="4" fontId="42" fillId="0" borderId="0" xfId="7" applyNumberFormat="1" applyFont="1" applyAlignment="1">
      <alignment vertical="center"/>
    </xf>
    <xf numFmtId="166" fontId="42" fillId="0" borderId="0" xfId="7" applyNumberFormat="1" applyFont="1" applyAlignment="1">
      <alignment horizontal="right" vertical="center"/>
    </xf>
    <xf numFmtId="0" fontId="38" fillId="6" borderId="0" xfId="7" applyFill="1" applyAlignment="1">
      <alignment vertical="center"/>
    </xf>
    <xf numFmtId="0" fontId="47" fillId="6" borderId="53" xfId="7" applyFont="1" applyFill="1" applyBorder="1" applyAlignment="1">
      <alignment horizontal="left" vertical="center"/>
    </xf>
    <xf numFmtId="0" fontId="47" fillId="6" borderId="54" xfId="7" applyFont="1" applyFill="1" applyBorder="1" applyAlignment="1">
      <alignment horizontal="right" vertical="center"/>
    </xf>
    <xf numFmtId="0" fontId="47" fillId="6" borderId="54" xfId="7" applyFont="1" applyFill="1" applyBorder="1" applyAlignment="1">
      <alignment horizontal="center" vertical="center"/>
    </xf>
    <xf numFmtId="4" fontId="47" fillId="6" borderId="54" xfId="7" applyNumberFormat="1" applyFont="1" applyFill="1" applyBorder="1" applyAlignment="1">
      <alignment vertical="center"/>
    </xf>
    <xf numFmtId="0" fontId="38" fillId="6" borderId="55" xfId="7" applyFill="1" applyBorder="1" applyAlignment="1">
      <alignment vertical="center"/>
    </xf>
    <xf numFmtId="0" fontId="50" fillId="6" borderId="0" xfId="7" applyFont="1" applyFill="1" applyAlignment="1">
      <alignment horizontal="left" vertical="center"/>
    </xf>
    <xf numFmtId="0" fontId="50" fillId="6" borderId="0" xfId="7" applyFont="1" applyFill="1" applyAlignment="1">
      <alignment horizontal="right" vertical="center"/>
    </xf>
    <xf numFmtId="0" fontId="60" fillId="0" borderId="0" xfId="7" applyFont="1" applyAlignment="1">
      <alignment horizontal="left" vertical="center"/>
    </xf>
    <xf numFmtId="0" fontId="61" fillId="0" borderId="0" xfId="7" applyFont="1" applyAlignment="1">
      <alignment vertical="center"/>
    </xf>
    <xf numFmtId="0" fontId="61" fillId="0" borderId="50" xfId="7" applyFont="1" applyBorder="1" applyAlignment="1">
      <alignment vertical="center"/>
    </xf>
    <xf numFmtId="0" fontId="61" fillId="0" borderId="67" xfId="7" applyFont="1" applyBorder="1" applyAlignment="1">
      <alignment horizontal="left" vertical="center"/>
    </xf>
    <xf numFmtId="0" fontId="61" fillId="0" borderId="67" xfId="7" applyFont="1" applyBorder="1" applyAlignment="1">
      <alignment vertical="center"/>
    </xf>
    <xf numFmtId="4" fontId="61" fillId="0" borderId="67" xfId="7" applyNumberFormat="1" applyFont="1" applyBorder="1" applyAlignment="1">
      <alignment vertical="center"/>
    </xf>
    <xf numFmtId="0" fontId="62" fillId="0" borderId="0" xfId="7" applyFont="1" applyAlignment="1">
      <alignment vertical="center"/>
    </xf>
    <xf numFmtId="0" fontId="62" fillId="0" borderId="50" xfId="7" applyFont="1" applyBorder="1" applyAlignment="1">
      <alignment vertical="center"/>
    </xf>
    <xf numFmtId="0" fontId="62" fillId="0" borderId="67" xfId="7" applyFont="1" applyBorder="1" applyAlignment="1">
      <alignment horizontal="left" vertical="center"/>
    </xf>
    <xf numFmtId="0" fontId="62" fillId="0" borderId="67" xfId="7" applyFont="1" applyBorder="1" applyAlignment="1">
      <alignment vertical="center"/>
    </xf>
    <xf numFmtId="4" fontId="62" fillId="0" borderId="67" xfId="7" applyNumberFormat="1" applyFont="1" applyBorder="1" applyAlignment="1">
      <alignment vertical="center"/>
    </xf>
    <xf numFmtId="0" fontId="38" fillId="0" borderId="0" xfId="7" applyAlignment="1">
      <alignment horizontal="center" vertical="center" wrapText="1"/>
    </xf>
    <xf numFmtId="0" fontId="38" fillId="0" borderId="50" xfId="7" applyBorder="1" applyAlignment="1">
      <alignment horizontal="center" vertical="center" wrapText="1"/>
    </xf>
    <xf numFmtId="0" fontId="50" fillId="6" borderId="63" xfId="7" applyFont="1" applyFill="1" applyBorder="1" applyAlignment="1">
      <alignment horizontal="center" vertical="center" wrapText="1"/>
    </xf>
    <xf numFmtId="0" fontId="50" fillId="6" borderId="64" xfId="7" applyFont="1" applyFill="1" applyBorder="1" applyAlignment="1">
      <alignment horizontal="center" vertical="center" wrapText="1"/>
    </xf>
    <xf numFmtId="0" fontId="50" fillId="6" borderId="65" xfId="7" applyFont="1" applyFill="1" applyBorder="1" applyAlignment="1">
      <alignment horizontal="center" vertical="center" wrapText="1"/>
    </xf>
    <xf numFmtId="4" fontId="52" fillId="0" borderId="0" xfId="7" applyNumberFormat="1" applyFont="1"/>
    <xf numFmtId="168" fontId="63" fillId="0" borderId="59" xfId="7" applyNumberFormat="1" applyFont="1" applyBorder="1"/>
    <xf numFmtId="168" fontId="63" fillId="0" borderId="60" xfId="7" applyNumberFormat="1" applyFont="1" applyBorder="1"/>
    <xf numFmtId="4" fontId="64" fillId="0" borderId="0" xfId="7" applyNumberFormat="1" applyFont="1" applyAlignment="1">
      <alignment vertical="center"/>
    </xf>
    <xf numFmtId="0" fontId="65" fillId="0" borderId="0" xfId="7" applyFont="1"/>
    <xf numFmtId="0" fontId="65" fillId="0" borderId="50" xfId="7" applyFont="1" applyBorder="1"/>
    <xf numFmtId="0" fontId="65" fillId="0" borderId="0" xfId="7" applyFont="1" applyAlignment="1">
      <alignment horizontal="left"/>
    </xf>
    <xf numFmtId="0" fontId="61" fillId="0" borderId="0" xfId="7" applyFont="1" applyAlignment="1">
      <alignment horizontal="left"/>
    </xf>
    <xf numFmtId="4" fontId="61" fillId="0" borderId="0" xfId="7" applyNumberFormat="1" applyFont="1"/>
    <xf numFmtId="0" fontId="65" fillId="0" borderId="61" xfId="7" applyFont="1" applyBorder="1"/>
    <xf numFmtId="168" fontId="65" fillId="0" borderId="0" xfId="7" applyNumberFormat="1" applyFont="1"/>
    <xf numFmtId="168" fontId="65" fillId="0" borderId="62" xfId="7" applyNumberFormat="1" applyFont="1" applyBorder="1"/>
    <xf numFmtId="0" fontId="65" fillId="0" borderId="0" xfId="7" applyFont="1" applyAlignment="1">
      <alignment horizontal="center"/>
    </xf>
    <xf numFmtId="4" fontId="65" fillId="0" borderId="0" xfId="7" applyNumberFormat="1" applyFont="1" applyAlignment="1">
      <alignment vertical="center"/>
    </xf>
    <xf numFmtId="0" fontId="62" fillId="0" borderId="0" xfId="7" applyFont="1" applyAlignment="1">
      <alignment horizontal="left"/>
    </xf>
    <xf numFmtId="4" fontId="62" fillId="0" borderId="0" xfId="7" applyNumberFormat="1" applyFont="1"/>
    <xf numFmtId="0" fontId="50" fillId="0" borderId="69" xfId="7" applyFont="1" applyBorder="1" applyAlignment="1">
      <alignment horizontal="center" vertical="center"/>
    </xf>
    <xf numFmtId="49" fontId="50" fillId="0" borderId="69" xfId="7" applyNumberFormat="1" applyFont="1" applyBorder="1" applyAlignment="1">
      <alignment horizontal="left" vertical="center" wrapText="1"/>
    </xf>
    <xf numFmtId="0" fontId="50" fillId="0" borderId="69" xfId="7" applyFont="1" applyBorder="1" applyAlignment="1">
      <alignment horizontal="left" vertical="center" wrapText="1"/>
    </xf>
    <xf numFmtId="0" fontId="50" fillId="0" borderId="69" xfId="7" applyFont="1" applyBorder="1" applyAlignment="1">
      <alignment horizontal="center" vertical="center" wrapText="1"/>
    </xf>
    <xf numFmtId="169" fontId="50" fillId="0" borderId="69" xfId="7" applyNumberFormat="1" applyFont="1" applyBorder="1" applyAlignment="1">
      <alignment vertical="center"/>
    </xf>
    <xf numFmtId="4" fontId="50" fillId="0" borderId="69" xfId="7" applyNumberFormat="1" applyFont="1" applyBorder="1" applyAlignment="1">
      <alignment vertical="center"/>
    </xf>
    <xf numFmtId="0" fontId="51" fillId="0" borderId="0" xfId="7" applyFont="1" applyAlignment="1">
      <alignment horizontal="center" vertical="center"/>
    </xf>
    <xf numFmtId="168" fontId="51" fillId="0" borderId="0" xfId="7" applyNumberFormat="1" applyFont="1" applyAlignment="1">
      <alignment vertical="center"/>
    </xf>
    <xf numFmtId="168" fontId="51" fillId="0" borderId="62" xfId="7" applyNumberFormat="1" applyFont="1" applyBorder="1" applyAlignment="1">
      <alignment vertical="center"/>
    </xf>
    <xf numFmtId="0" fontId="50" fillId="0" borderId="0" xfId="7" applyFont="1" applyAlignment="1">
      <alignment horizontal="left" vertical="center"/>
    </xf>
    <xf numFmtId="4" fontId="38" fillId="0" borderId="0" xfId="7" applyNumberFormat="1" applyAlignment="1">
      <alignment vertical="center"/>
    </xf>
    <xf numFmtId="0" fontId="66" fillId="0" borderId="0" xfId="7" applyFont="1" applyAlignment="1">
      <alignment horizontal="left" vertical="center"/>
    </xf>
    <xf numFmtId="0" fontId="67" fillId="0" borderId="0" xfId="6" applyFont="1" applyAlignment="1" applyProtection="1">
      <alignment vertical="center" wrapText="1"/>
    </xf>
    <xf numFmtId="0" fontId="38" fillId="0" borderId="61" xfId="7" applyBorder="1" applyAlignment="1">
      <alignment vertical="center"/>
    </xf>
    <xf numFmtId="0" fontId="68" fillId="0" borderId="0" xfId="7" applyFont="1" applyAlignment="1">
      <alignment vertical="center"/>
    </xf>
    <xf numFmtId="0" fontId="68" fillId="0" borderId="50" xfId="7" applyFont="1" applyBorder="1" applyAlignment="1">
      <alignment vertical="center"/>
    </xf>
    <xf numFmtId="0" fontId="69" fillId="0" borderId="0" xfId="7" applyFont="1" applyAlignment="1">
      <alignment horizontal="left" vertical="center"/>
    </xf>
    <xf numFmtId="0" fontId="68" fillId="0" borderId="0" xfId="7" applyFont="1" applyAlignment="1">
      <alignment horizontal="left" vertical="center" wrapText="1"/>
    </xf>
    <xf numFmtId="169" fontId="68" fillId="0" borderId="0" xfId="7" applyNumberFormat="1" applyFont="1" applyAlignment="1">
      <alignment vertical="center"/>
    </xf>
    <xf numFmtId="0" fontId="68" fillId="0" borderId="61" xfId="7" applyFont="1" applyBorder="1" applyAlignment="1">
      <alignment vertical="center"/>
    </xf>
    <xf numFmtId="0" fontId="68" fillId="0" borderId="62" xfId="7" applyFont="1" applyBorder="1" applyAlignment="1">
      <alignment vertical="center"/>
    </xf>
    <xf numFmtId="0" fontId="68" fillId="0" borderId="0" xfId="7" applyFont="1" applyAlignment="1">
      <alignment horizontal="left" vertical="center"/>
    </xf>
    <xf numFmtId="0" fontId="70" fillId="0" borderId="69" xfId="7" applyFont="1" applyBorder="1" applyAlignment="1">
      <alignment horizontal="center" vertical="center"/>
    </xf>
    <xf numFmtId="49" fontId="70" fillId="0" borderId="69" xfId="7" applyNumberFormat="1" applyFont="1" applyBorder="1" applyAlignment="1">
      <alignment horizontal="left" vertical="center" wrapText="1"/>
    </xf>
    <xf numFmtId="0" fontId="70" fillId="0" borderId="69" xfId="7" applyFont="1" applyBorder="1" applyAlignment="1">
      <alignment horizontal="left" vertical="center" wrapText="1"/>
    </xf>
    <xf numFmtId="0" fontId="70" fillId="0" borderId="69" xfId="7" applyFont="1" applyBorder="1" applyAlignment="1">
      <alignment horizontal="center" vertical="center" wrapText="1"/>
    </xf>
    <xf numFmtId="169" fontId="70" fillId="0" borderId="69" xfId="7" applyNumberFormat="1" applyFont="1" applyBorder="1" applyAlignment="1">
      <alignment vertical="center"/>
    </xf>
    <xf numFmtId="4" fontId="70" fillId="0" borderId="69" xfId="7" applyNumberFormat="1" applyFont="1" applyBorder="1" applyAlignment="1">
      <alignment vertical="center"/>
    </xf>
    <xf numFmtId="0" fontId="71" fillId="0" borderId="50" xfId="7" applyFont="1" applyBorder="1" applyAlignment="1">
      <alignment vertical="center"/>
    </xf>
    <xf numFmtId="0" fontId="70" fillId="0" borderId="0" xfId="7" applyFont="1" applyAlignment="1">
      <alignment horizontal="center" vertical="center"/>
    </xf>
    <xf numFmtId="0" fontId="38" fillId="0" borderId="66" xfId="7" applyBorder="1" applyAlignment="1">
      <alignment vertical="center"/>
    </xf>
    <xf numFmtId="0" fontId="38" fillId="0" borderId="67" xfId="7" applyBorder="1" applyAlignment="1">
      <alignment vertical="center"/>
    </xf>
    <xf numFmtId="0" fontId="38" fillId="0" borderId="68" xfId="7" applyBorder="1" applyAlignment="1">
      <alignment vertical="center"/>
    </xf>
    <xf numFmtId="0" fontId="6" fillId="0" borderId="0" xfId="0" applyFont="1"/>
    <xf numFmtId="0" fontId="72" fillId="0" borderId="0" xfId="0" applyFont="1"/>
    <xf numFmtId="0" fontId="12" fillId="0" borderId="0" xfId="1" applyFont="1" applyAlignment="1">
      <alignment horizontal="left" vertical="top" wrapText="1"/>
    </xf>
    <xf numFmtId="0" fontId="12" fillId="0" borderId="0" xfId="1" applyFont="1" applyAlignment="1">
      <alignment horizontal="left" vertical="top"/>
    </xf>
    <xf numFmtId="0" fontId="57" fillId="0" borderId="0" xfId="7" applyFont="1" applyAlignment="1">
      <alignment vertical="center"/>
    </xf>
    <xf numFmtId="4" fontId="52" fillId="0" borderId="0" xfId="7" applyNumberFormat="1" applyFont="1" applyAlignment="1">
      <alignment vertical="center"/>
    </xf>
    <xf numFmtId="167" fontId="43" fillId="0" borderId="0" xfId="7" applyNumberFormat="1" applyFont="1" applyAlignment="1">
      <alignment horizontal="left" vertical="center"/>
    </xf>
    <xf numFmtId="0" fontId="43" fillId="0" borderId="0" xfId="7" applyFont="1" applyAlignment="1">
      <alignment vertical="center"/>
    </xf>
    <xf numFmtId="0" fontId="49" fillId="0" borderId="0" xfId="7" applyFont="1" applyAlignment="1">
      <alignment horizontal="left" vertical="center"/>
    </xf>
    <xf numFmtId="0" fontId="42" fillId="0" borderId="0" xfId="7" applyFont="1" applyAlignment="1">
      <alignment vertical="center"/>
    </xf>
    <xf numFmtId="0" fontId="38" fillId="5" borderId="54" xfId="7" applyFill="1" applyBorder="1" applyAlignment="1">
      <alignment vertical="center"/>
    </xf>
    <xf numFmtId="0" fontId="44" fillId="0" borderId="0" xfId="7" applyFont="1" applyAlignment="1">
      <alignment vertical="center"/>
    </xf>
    <xf numFmtId="0" fontId="38" fillId="0" borderId="0" xfId="7"/>
    <xf numFmtId="0" fontId="43" fillId="0" borderId="0" xfId="7" applyFont="1" applyAlignment="1">
      <alignment horizontal="left" vertical="center"/>
    </xf>
    <xf numFmtId="0" fontId="43" fillId="0" borderId="0" xfId="7" applyFont="1" applyAlignment="1">
      <alignment horizontal="left" vertical="center" wrapText="1"/>
    </xf>
    <xf numFmtId="0" fontId="38" fillId="0" borderId="52" xfId="7" applyBorder="1" applyAlignment="1">
      <alignment vertical="center"/>
    </xf>
    <xf numFmtId="0" fontId="42" fillId="0" borderId="0" xfId="7" applyFont="1" applyAlignment="1">
      <alignment horizontal="right" vertical="center"/>
    </xf>
    <xf numFmtId="0" fontId="38" fillId="0" borderId="0" xfId="7" applyAlignment="1">
      <alignment vertical="center"/>
    </xf>
    <xf numFmtId="0" fontId="42" fillId="0" borderId="0" xfId="7" applyFont="1" applyAlignment="1">
      <alignment horizontal="left" vertical="center"/>
    </xf>
    <xf numFmtId="49" fontId="11" fillId="0" borderId="0" xfId="1" applyNumberFormat="1" applyFont="1" applyAlignment="1">
      <alignment horizontal="center" vertical="center"/>
    </xf>
    <xf numFmtId="49" fontId="75" fillId="0" borderId="0" xfId="1" applyNumberFormat="1" applyFont="1" applyAlignment="1">
      <alignment horizontal="left" vertical="center"/>
    </xf>
    <xf numFmtId="4" fontId="75" fillId="0" borderId="0" xfId="1" applyNumberFormat="1" applyFont="1" applyAlignment="1">
      <alignment horizontal="right" vertical="center"/>
    </xf>
    <xf numFmtId="49" fontId="75" fillId="0" borderId="0" xfId="1" applyNumberFormat="1" applyFont="1" applyAlignment="1">
      <alignment horizontal="right" vertical="center"/>
    </xf>
    <xf numFmtId="0" fontId="75" fillId="0" borderId="0" xfId="1" applyFont="1" applyAlignment="1">
      <alignment vertical="center"/>
    </xf>
    <xf numFmtId="49" fontId="75" fillId="3" borderId="0" xfId="1" applyNumberFormat="1" applyFont="1" applyFill="1" applyAlignment="1">
      <alignment horizontal="right" vertical="center"/>
    </xf>
    <xf numFmtId="0" fontId="76" fillId="0" borderId="29" xfId="2" applyFont="1" applyBorder="1" applyAlignment="1">
      <alignment horizontal="center" vertical="center" wrapText="1"/>
    </xf>
    <xf numFmtId="1" fontId="77" fillId="0" borderId="29" xfId="2" applyNumberFormat="1" applyFont="1" applyBorder="1" applyAlignment="1">
      <alignment vertical="center" wrapText="1"/>
    </xf>
    <xf numFmtId="0" fontId="77" fillId="0" borderId="29" xfId="2" applyFont="1" applyBorder="1" applyAlignment="1">
      <alignment horizontal="center" vertical="center" wrapText="1"/>
    </xf>
    <xf numFmtId="0" fontId="78" fillId="0" borderId="29" xfId="4" applyFont="1" applyBorder="1"/>
    <xf numFmtId="0" fontId="79" fillId="0" borderId="0" xfId="2" applyFont="1" applyAlignment="1">
      <alignment horizontal="center"/>
    </xf>
    <xf numFmtId="0" fontId="79" fillId="0" borderId="0" xfId="2" applyFont="1"/>
    <xf numFmtId="0" fontId="80" fillId="0" borderId="29" xfId="2" applyFont="1" applyBorder="1" applyAlignment="1">
      <alignment horizontal="center" vertical="center" wrapText="1"/>
    </xf>
    <xf numFmtId="1" fontId="81" fillId="0" borderId="29" xfId="2" applyNumberFormat="1" applyFont="1" applyBorder="1" applyAlignment="1">
      <alignment vertical="center" wrapText="1"/>
    </xf>
    <xf numFmtId="0" fontId="81" fillId="0" borderId="29" xfId="2" applyFont="1" applyBorder="1" applyAlignment="1">
      <alignment horizontal="center" vertical="center" wrapText="1"/>
    </xf>
    <xf numFmtId="0" fontId="81" fillId="0" borderId="0" xfId="2" applyFont="1" applyAlignment="1">
      <alignment horizontal="center"/>
    </xf>
    <xf numFmtId="0" fontId="81" fillId="0" borderId="0" xfId="2" applyFont="1"/>
    <xf numFmtId="0" fontId="73" fillId="0" borderId="0" xfId="0" applyFont="1"/>
    <xf numFmtId="0" fontId="74" fillId="0" borderId="0" xfId="0" applyFont="1"/>
    <xf numFmtId="0" fontId="1" fillId="2" borderId="36" xfId="0" applyFont="1" applyFill="1" applyBorder="1"/>
    <xf numFmtId="0" fontId="1" fillId="2" borderId="25" xfId="0" applyFont="1" applyFill="1" applyBorder="1"/>
    <xf numFmtId="0" fontId="1" fillId="2" borderId="37" xfId="0" applyFont="1" applyFill="1" applyBorder="1"/>
    <xf numFmtId="0" fontId="1" fillId="0" borderId="17" xfId="0" applyFont="1" applyBorder="1"/>
    <xf numFmtId="0" fontId="1" fillId="0" borderId="0" xfId="0" applyFont="1" applyBorder="1"/>
    <xf numFmtId="0" fontId="4" fillId="0" borderId="0" xfId="0" applyFont="1" applyBorder="1"/>
    <xf numFmtId="0" fontId="1" fillId="0" borderId="38" xfId="0" applyFont="1" applyBorder="1"/>
    <xf numFmtId="0" fontId="0" fillId="0" borderId="39" xfId="0" applyBorder="1"/>
    <xf numFmtId="0" fontId="0" fillId="0" borderId="8" xfId="0" applyBorder="1"/>
    <xf numFmtId="0" fontId="1" fillId="0" borderId="8" xfId="0" applyFont="1" applyBorder="1"/>
    <xf numFmtId="4" fontId="1" fillId="0" borderId="8" xfId="0" applyNumberFormat="1" applyFont="1" applyBorder="1"/>
    <xf numFmtId="4" fontId="1" fillId="0" borderId="40" xfId="0" applyNumberFormat="1" applyFont="1" applyBorder="1"/>
    <xf numFmtId="9" fontId="1" fillId="0" borderId="0" xfId="0" applyNumberFormat="1" applyFont="1" applyBorder="1"/>
    <xf numFmtId="0" fontId="4" fillId="0" borderId="36" xfId="0" applyFont="1" applyBorder="1"/>
    <xf numFmtId="0" fontId="4" fillId="0" borderId="25" xfId="0" applyFont="1" applyBorder="1"/>
    <xf numFmtId="9" fontId="4" fillId="0" borderId="25" xfId="0" applyNumberFormat="1" applyFont="1" applyBorder="1"/>
    <xf numFmtId="0" fontId="4" fillId="0" borderId="37" xfId="0" applyFont="1" applyBorder="1"/>
    <xf numFmtId="0" fontId="3" fillId="0" borderId="39" xfId="0" applyFont="1" applyBorder="1"/>
    <xf numFmtId="0" fontId="3" fillId="0" borderId="8" xfId="0" applyFont="1" applyBorder="1"/>
    <xf numFmtId="4" fontId="0" fillId="0" borderId="8" xfId="0" applyNumberFormat="1" applyBorder="1"/>
    <xf numFmtId="4" fontId="0" fillId="0" borderId="40" xfId="0" applyNumberFormat="1" applyBorder="1"/>
    <xf numFmtId="4" fontId="0" fillId="0" borderId="37" xfId="0" applyNumberFormat="1" applyBorder="1"/>
    <xf numFmtId="0" fontId="2" fillId="0" borderId="39" xfId="0" applyFont="1" applyBorder="1"/>
    <xf numFmtId="0" fontId="73" fillId="0" borderId="25" xfId="0" applyFont="1" applyBorder="1"/>
    <xf numFmtId="0" fontId="74" fillId="0" borderId="8" xfId="0" applyFont="1" applyBorder="1"/>
    <xf numFmtId="0" fontId="1" fillId="0" borderId="36" xfId="0" applyFont="1" applyBorder="1"/>
    <xf numFmtId="0" fontId="0" fillId="0" borderId="25" xfId="0" applyBorder="1"/>
    <xf numFmtId="4" fontId="0" fillId="0" borderId="25" xfId="0" applyNumberFormat="1" applyBorder="1"/>
    <xf numFmtId="0" fontId="74" fillId="0" borderId="25" xfId="0" applyFont="1" applyBorder="1"/>
    <xf numFmtId="4" fontId="9" fillId="8" borderId="29" xfId="1" applyNumberFormat="1" applyFont="1" applyFill="1" applyBorder="1" applyAlignment="1">
      <alignment horizontal="right" vertical="center"/>
    </xf>
    <xf numFmtId="4" fontId="9" fillId="8" borderId="22" xfId="1" applyNumberFormat="1" applyFont="1" applyFill="1" applyBorder="1" applyAlignment="1">
      <alignment horizontal="right" vertical="center"/>
    </xf>
    <xf numFmtId="4" fontId="75" fillId="8" borderId="0" xfId="1" applyNumberFormat="1" applyFont="1" applyFill="1" applyAlignment="1">
      <alignment horizontal="right" vertical="center"/>
    </xf>
    <xf numFmtId="0" fontId="5" fillId="8" borderId="29" xfId="4" applyFill="1" applyBorder="1"/>
    <xf numFmtId="0" fontId="78" fillId="8" borderId="29" xfId="4" applyFont="1" applyFill="1" applyBorder="1"/>
    <xf numFmtId="0" fontId="25" fillId="9" borderId="29" xfId="2" applyFont="1" applyFill="1" applyBorder="1" applyAlignment="1">
      <alignment wrapText="1"/>
    </xf>
    <xf numFmtId="0" fontId="82" fillId="0" borderId="0" xfId="0" applyFont="1"/>
    <xf numFmtId="0" fontId="83" fillId="0" borderId="0" xfId="0" applyFont="1"/>
    <xf numFmtId="0" fontId="0" fillId="0" borderId="0" xfId="0" applyFont="1"/>
    <xf numFmtId="0" fontId="78" fillId="0" borderId="0" xfId="0" applyFont="1"/>
    <xf numFmtId="0" fontId="0" fillId="8" borderId="0" xfId="0" applyFont="1" applyFill="1"/>
    <xf numFmtId="4" fontId="11" fillId="8" borderId="0" xfId="1" applyNumberFormat="1" applyFont="1" applyFill="1" applyAlignment="1">
      <alignment horizontal="right" vertical="center"/>
    </xf>
    <xf numFmtId="49" fontId="10" fillId="8" borderId="12" xfId="1" applyNumberFormat="1" applyFont="1" applyFill="1" applyBorder="1" applyAlignment="1">
      <alignment horizontal="center" vertical="center"/>
    </xf>
    <xf numFmtId="49" fontId="10" fillId="8" borderId="20" xfId="1" applyNumberFormat="1" applyFont="1" applyFill="1" applyBorder="1" applyAlignment="1">
      <alignment horizontal="right" vertical="center"/>
    </xf>
    <xf numFmtId="0" fontId="12" fillId="8" borderId="0" xfId="1" applyFont="1" applyFill="1" applyAlignment="1">
      <alignment horizontal="left" vertical="top"/>
    </xf>
    <xf numFmtId="0" fontId="9" fillId="8" borderId="0" xfId="1" applyFont="1" applyFill="1" applyAlignment="1">
      <alignment vertical="center"/>
    </xf>
    <xf numFmtId="0" fontId="9" fillId="10" borderId="3" xfId="1" applyFont="1" applyFill="1" applyBorder="1" applyAlignment="1">
      <alignment vertical="center"/>
    </xf>
    <xf numFmtId="0" fontId="9" fillId="10" borderId="0" xfId="1" applyFont="1" applyFill="1" applyAlignment="1">
      <alignment vertical="center"/>
    </xf>
    <xf numFmtId="0" fontId="38" fillId="0" borderId="0" xfId="7" applyAlignment="1" applyProtection="1">
      <alignment vertical="center"/>
      <protection locked="0"/>
    </xf>
    <xf numFmtId="0" fontId="51" fillId="7" borderId="61" xfId="7" applyFont="1" applyFill="1" applyBorder="1" applyAlignment="1" applyProtection="1">
      <alignment horizontal="left" vertical="center"/>
      <protection locked="0"/>
    </xf>
    <xf numFmtId="4" fontId="50" fillId="7" borderId="69" xfId="7" applyNumberFormat="1" applyFont="1" applyFill="1" applyBorder="1" applyAlignment="1" applyProtection="1">
      <alignment vertical="center"/>
      <protection locked="0"/>
    </xf>
    <xf numFmtId="0" fontId="65" fillId="0" borderId="0" xfId="7" applyFont="1" applyProtection="1">
      <protection locked="0"/>
    </xf>
    <xf numFmtId="0" fontId="70" fillId="7" borderId="61" xfId="7" applyFont="1" applyFill="1" applyBorder="1" applyAlignment="1" applyProtection="1">
      <alignment horizontal="left" vertical="center"/>
      <protection locked="0"/>
    </xf>
    <xf numFmtId="4" fontId="70" fillId="7" borderId="69" xfId="7" applyNumberFormat="1" applyFont="1" applyFill="1" applyBorder="1" applyAlignment="1" applyProtection="1">
      <alignment vertical="center"/>
      <protection locked="0"/>
    </xf>
    <xf numFmtId="0" fontId="68" fillId="0" borderId="0" xfId="7" applyFont="1" applyAlignment="1" applyProtection="1">
      <alignment vertical="center"/>
      <protection locked="0"/>
    </xf>
    <xf numFmtId="0" fontId="43" fillId="7" borderId="0" xfId="7" applyFont="1" applyFill="1" applyAlignment="1" applyProtection="1">
      <alignment horizontal="left" vertical="center"/>
      <protection locked="0"/>
    </xf>
    <xf numFmtId="0" fontId="84" fillId="0" borderId="0" xfId="7" applyFont="1" applyAlignment="1">
      <alignment horizontal="left" vertical="center"/>
    </xf>
    <xf numFmtId="49" fontId="43" fillId="7" borderId="0" xfId="7" applyNumberFormat="1" applyFont="1" applyFill="1" applyAlignment="1" applyProtection="1">
      <alignment horizontal="left" vertical="center"/>
      <protection locked="0"/>
    </xf>
    <xf numFmtId="49" fontId="10" fillId="0" borderId="3" xfId="1" applyNumberFormat="1" applyFont="1" applyBorder="1" applyAlignment="1">
      <alignment horizontal="left" vertical="center"/>
    </xf>
    <xf numFmtId="0" fontId="10" fillId="0" borderId="3" xfId="1" applyFont="1" applyBorder="1" applyAlignment="1">
      <alignment horizontal="left" vertical="center"/>
    </xf>
    <xf numFmtId="0" fontId="9" fillId="0" borderId="0" xfId="1" applyFont="1" applyAlignment="1">
      <alignment horizontal="left" vertical="center" wrapText="1"/>
    </xf>
    <xf numFmtId="0" fontId="9" fillId="0" borderId="0" xfId="1" applyFont="1" applyAlignment="1">
      <alignment horizontal="left" vertical="center"/>
    </xf>
    <xf numFmtId="49" fontId="10" fillId="3" borderId="0" xfId="1" applyNumberFormat="1" applyFont="1" applyFill="1" applyAlignment="1">
      <alignment horizontal="left" vertical="center"/>
    </xf>
    <xf numFmtId="0" fontId="10" fillId="3" borderId="0" xfId="1" applyFont="1" applyFill="1" applyAlignment="1">
      <alignment horizontal="left" vertical="center"/>
    </xf>
    <xf numFmtId="0" fontId="12" fillId="0" borderId="0" xfId="1" applyFont="1" applyAlignment="1">
      <alignment horizontal="left" vertical="top" wrapText="1"/>
    </xf>
    <xf numFmtId="0" fontId="12" fillId="0" borderId="0" xfId="1" applyFont="1" applyAlignment="1">
      <alignment horizontal="left" vertical="top"/>
    </xf>
    <xf numFmtId="49" fontId="10" fillId="0" borderId="13" xfId="1" applyNumberFormat="1" applyFont="1" applyBorder="1" applyAlignment="1">
      <alignment horizontal="center" vertical="center"/>
    </xf>
    <xf numFmtId="0" fontId="10" fillId="0" borderId="15" xfId="1" applyFont="1" applyBorder="1" applyAlignment="1">
      <alignment horizontal="center" vertical="center"/>
    </xf>
    <xf numFmtId="49" fontId="10" fillId="3" borderId="25" xfId="1" applyNumberFormat="1" applyFont="1" applyFill="1" applyBorder="1" applyAlignment="1">
      <alignment horizontal="left" vertical="center"/>
    </xf>
    <xf numFmtId="0" fontId="10" fillId="3" borderId="25" xfId="1" applyFont="1" applyFill="1" applyBorder="1" applyAlignment="1">
      <alignment horizontal="left" vertical="center"/>
    </xf>
    <xf numFmtId="0" fontId="9" fillId="0" borderId="5" xfId="1" applyFont="1" applyBorder="1" applyAlignment="1">
      <alignment horizontal="left" vertical="center" wrapText="1"/>
    </xf>
    <xf numFmtId="0" fontId="9" fillId="0" borderId="7" xfId="1" applyFont="1" applyBorder="1" applyAlignment="1">
      <alignment horizontal="left" vertical="center"/>
    </xf>
    <xf numFmtId="0" fontId="9" fillId="0" borderId="8" xfId="1" applyFont="1" applyBorder="1" applyAlignment="1">
      <alignment horizontal="left" vertical="center"/>
    </xf>
    <xf numFmtId="49" fontId="9" fillId="0" borderId="0" xfId="1" applyNumberFormat="1" applyFont="1" applyAlignment="1">
      <alignment horizontal="left" vertical="center"/>
    </xf>
    <xf numFmtId="14" fontId="9" fillId="0" borderId="0" xfId="1" applyNumberFormat="1" applyFont="1" applyAlignment="1">
      <alignment horizontal="left" vertical="center"/>
    </xf>
    <xf numFmtId="0" fontId="10" fillId="0" borderId="14" xfId="1" applyFont="1" applyBorder="1" applyAlignment="1">
      <alignment horizontal="center" vertical="center"/>
    </xf>
    <xf numFmtId="0" fontId="9" fillId="0" borderId="6" xfId="1" applyFont="1" applyBorder="1" applyAlignment="1">
      <alignment horizontal="left" vertical="center"/>
    </xf>
    <xf numFmtId="0" fontId="9" fillId="0" borderId="9" xfId="1" applyFont="1" applyBorder="1" applyAlignment="1">
      <alignment horizontal="left" vertical="center"/>
    </xf>
    <xf numFmtId="0" fontId="9" fillId="0" borderId="5" xfId="1" applyFont="1" applyBorder="1" applyAlignment="1">
      <alignment horizontal="left" vertical="center"/>
    </xf>
    <xf numFmtId="49" fontId="8" fillId="0" borderId="1" xfId="1" applyNumberFormat="1" applyFont="1" applyBorder="1" applyAlignment="1">
      <alignment horizontal="center" vertical="center"/>
    </xf>
    <xf numFmtId="0" fontId="8" fillId="0" borderId="1" xfId="1" applyFont="1" applyBorder="1" applyAlignment="1">
      <alignment horizontal="center" vertical="center"/>
    </xf>
    <xf numFmtId="0" fontId="9" fillId="0" borderId="2" xfId="1" applyFont="1" applyBorder="1" applyAlignment="1">
      <alignment horizontal="left" vertical="center" wrapText="1"/>
    </xf>
    <xf numFmtId="0" fontId="9" fillId="0" borderId="3" xfId="1" applyFont="1" applyBorder="1" applyAlignment="1">
      <alignment horizontal="left" vertical="center"/>
    </xf>
    <xf numFmtId="0" fontId="10" fillId="0" borderId="3" xfId="1" applyFont="1" applyBorder="1" applyAlignment="1">
      <alignment horizontal="left" vertical="center" wrapText="1"/>
    </xf>
    <xf numFmtId="0" fontId="10" fillId="0" borderId="0" xfId="1" applyFont="1" applyAlignment="1">
      <alignment horizontal="left" vertical="center"/>
    </xf>
    <xf numFmtId="49" fontId="9" fillId="0" borderId="3" xfId="1" applyNumberFormat="1" applyFont="1" applyBorder="1" applyAlignment="1">
      <alignment horizontal="left" vertical="center"/>
    </xf>
    <xf numFmtId="0" fontId="9" fillId="0" borderId="3" xfId="1" applyFont="1" applyBorder="1" applyAlignment="1">
      <alignment horizontal="left" vertical="center" wrapText="1"/>
    </xf>
    <xf numFmtId="0" fontId="9" fillId="0" borderId="4" xfId="1" applyFont="1" applyBorder="1" applyAlignment="1">
      <alignment horizontal="left" vertical="center"/>
    </xf>
    <xf numFmtId="49" fontId="19" fillId="0" borderId="17" xfId="1" applyNumberFormat="1" applyFont="1" applyBorder="1" applyAlignment="1">
      <alignment horizontal="left" vertical="center"/>
    </xf>
    <xf numFmtId="0" fontId="19" fillId="0" borderId="0" xfId="1" applyFont="1" applyAlignment="1">
      <alignment horizontal="left" vertical="center"/>
    </xf>
    <xf numFmtId="0" fontId="19" fillId="0" borderId="38" xfId="1" applyFont="1" applyBorder="1" applyAlignment="1">
      <alignment horizontal="left" vertical="center"/>
    </xf>
    <xf numFmtId="49" fontId="19" fillId="0" borderId="39" xfId="1" applyNumberFormat="1" applyFont="1" applyBorder="1" applyAlignment="1">
      <alignment horizontal="left" vertical="center"/>
    </xf>
    <xf numFmtId="0" fontId="19" fillId="0" borderId="8" xfId="1" applyFont="1" applyBorder="1" applyAlignment="1">
      <alignment horizontal="left" vertical="center"/>
    </xf>
    <xf numFmtId="0" fontId="19" fillId="0" borderId="40" xfId="1" applyFont="1" applyBorder="1" applyAlignment="1">
      <alignment horizontal="left" vertical="center"/>
    </xf>
    <xf numFmtId="49" fontId="18" fillId="3" borderId="30" xfId="1" applyNumberFormat="1" applyFont="1" applyFill="1" applyBorder="1" applyAlignment="1">
      <alignment horizontal="left" vertical="center"/>
    </xf>
    <xf numFmtId="0" fontId="18" fillId="3" borderId="28" xfId="1" applyFont="1" applyFill="1" applyBorder="1" applyAlignment="1">
      <alignment horizontal="left" vertical="center"/>
    </xf>
    <xf numFmtId="49" fontId="19" fillId="0" borderId="36" xfId="1" applyNumberFormat="1" applyFont="1" applyBorder="1" applyAlignment="1">
      <alignment horizontal="left" vertical="center"/>
    </xf>
    <xf numFmtId="0" fontId="19" fillId="0" borderId="25" xfId="1" applyFont="1" applyBorder="1" applyAlignment="1">
      <alignment horizontal="left" vertical="center"/>
    </xf>
    <xf numFmtId="0" fontId="19" fillId="0" borderId="37" xfId="1" applyFont="1" applyBorder="1" applyAlignment="1">
      <alignment horizontal="left" vertical="center"/>
    </xf>
    <xf numFmtId="49" fontId="18" fillId="0" borderId="30" xfId="1" applyNumberFormat="1" applyFont="1" applyBorder="1" applyAlignment="1">
      <alignment horizontal="left" vertical="center"/>
    </xf>
    <xf numFmtId="0" fontId="18" fillId="0" borderId="31" xfId="1" applyFont="1" applyBorder="1" applyAlignment="1">
      <alignment horizontal="left" vertical="center"/>
    </xf>
    <xf numFmtId="49" fontId="19" fillId="0" borderId="30" xfId="1" applyNumberFormat="1" applyFont="1" applyBorder="1" applyAlignment="1">
      <alignment horizontal="left" vertical="center"/>
    </xf>
    <xf numFmtId="0" fontId="19" fillId="0" borderId="31" xfId="1" applyFont="1" applyBorder="1" applyAlignment="1">
      <alignment horizontal="left" vertical="center"/>
    </xf>
    <xf numFmtId="49" fontId="15" fillId="0" borderId="28" xfId="1" applyNumberFormat="1" applyFont="1" applyBorder="1" applyAlignment="1">
      <alignment horizontal="center" vertical="center"/>
    </xf>
    <xf numFmtId="0" fontId="15" fillId="0" borderId="28" xfId="1" applyFont="1" applyBorder="1" applyAlignment="1">
      <alignment horizontal="center" vertical="center"/>
    </xf>
    <xf numFmtId="49" fontId="17" fillId="0" borderId="30" xfId="1" applyNumberFormat="1" applyFont="1" applyBorder="1" applyAlignment="1">
      <alignment horizontal="left" vertical="center"/>
    </xf>
    <xf numFmtId="0" fontId="17" fillId="0" borderId="31" xfId="1" applyFont="1" applyBorder="1" applyAlignment="1">
      <alignment horizontal="left" vertical="center"/>
    </xf>
    <xf numFmtId="14" fontId="9" fillId="0" borderId="6" xfId="1" applyNumberFormat="1" applyFont="1" applyBorder="1" applyAlignment="1">
      <alignment horizontal="left" vertical="center"/>
    </xf>
    <xf numFmtId="0" fontId="9" fillId="0" borderId="27" xfId="1" applyFont="1" applyBorder="1" applyAlignment="1">
      <alignment horizontal="left" vertical="center"/>
    </xf>
    <xf numFmtId="49" fontId="9" fillId="0" borderId="6" xfId="1" applyNumberFormat="1" applyFont="1" applyBorder="1" applyAlignment="1">
      <alignment horizontal="left" vertical="center"/>
    </xf>
    <xf numFmtId="0" fontId="9" fillId="0" borderId="26" xfId="1" applyFont="1" applyBorder="1" applyAlignment="1">
      <alignment horizontal="left" vertical="center"/>
    </xf>
    <xf numFmtId="0" fontId="9" fillId="0" borderId="1" xfId="1" applyFont="1" applyBorder="1" applyAlignment="1">
      <alignment horizontal="left" vertical="center"/>
    </xf>
    <xf numFmtId="49" fontId="14" fillId="0" borderId="1" xfId="1" applyNumberFormat="1" applyFont="1" applyBorder="1" applyAlignment="1">
      <alignment horizontal="center" vertical="center"/>
    </xf>
    <xf numFmtId="0" fontId="14" fillId="0" borderId="1" xfId="1" applyFont="1" applyBorder="1" applyAlignment="1">
      <alignment horizontal="center" vertical="center"/>
    </xf>
    <xf numFmtId="49" fontId="9" fillId="0" borderId="4" xfId="1" applyNumberFormat="1" applyFont="1" applyBorder="1" applyAlignment="1">
      <alignment horizontal="left" vertical="center"/>
    </xf>
    <xf numFmtId="4" fontId="18" fillId="0" borderId="44" xfId="1" applyNumberFormat="1" applyFont="1" applyBorder="1" applyAlignment="1">
      <alignment horizontal="right" vertical="center"/>
    </xf>
    <xf numFmtId="0" fontId="18" fillId="0" borderId="45" xfId="1" applyFont="1" applyBorder="1" applyAlignment="1">
      <alignment horizontal="right" vertical="center"/>
    </xf>
    <xf numFmtId="0" fontId="18" fillId="0" borderId="46" xfId="1" applyFont="1" applyBorder="1" applyAlignment="1">
      <alignment horizontal="right" vertical="center"/>
    </xf>
    <xf numFmtId="49" fontId="18" fillId="0" borderId="8" xfId="1" applyNumberFormat="1" applyFont="1" applyBorder="1" applyAlignment="1">
      <alignment horizontal="left" vertical="center"/>
    </xf>
    <xf numFmtId="0" fontId="18" fillId="0" borderId="8" xfId="1" applyFont="1" applyBorder="1" applyAlignment="1">
      <alignment horizontal="left" vertical="center"/>
    </xf>
    <xf numFmtId="49" fontId="10" fillId="0" borderId="44" xfId="1" applyNumberFormat="1" applyFont="1" applyBorder="1" applyAlignment="1">
      <alignment horizontal="left" vertical="center"/>
    </xf>
    <xf numFmtId="0" fontId="10" fillId="0" borderId="45" xfId="1" applyFont="1" applyBorder="1" applyAlignment="1">
      <alignment horizontal="left" vertical="center"/>
    </xf>
    <xf numFmtId="0" fontId="10" fillId="0" borderId="46" xfId="1" applyFont="1" applyBorder="1" applyAlignment="1">
      <alignment horizontal="left" vertical="center"/>
    </xf>
    <xf numFmtId="49" fontId="9" fillId="0" borderId="30" xfId="1" applyNumberFormat="1" applyFont="1" applyBorder="1" applyAlignment="1">
      <alignment horizontal="left" vertical="center"/>
    </xf>
    <xf numFmtId="0" fontId="9" fillId="0" borderId="28" xfId="1" applyFont="1" applyBorder="1" applyAlignment="1">
      <alignment horizontal="left" vertical="center"/>
    </xf>
    <xf numFmtId="0" fontId="9" fillId="0" borderId="31" xfId="1" applyFont="1" applyBorder="1" applyAlignment="1">
      <alignment horizontal="left" vertical="center"/>
    </xf>
    <xf numFmtId="49" fontId="9" fillId="0" borderId="42" xfId="1" applyNumberFormat="1" applyFont="1" applyBorder="1" applyAlignment="1">
      <alignment horizontal="left" vertical="center"/>
    </xf>
    <xf numFmtId="0" fontId="9" fillId="0" borderId="35" xfId="1" applyFont="1" applyBorder="1" applyAlignment="1">
      <alignment horizontal="left" vertical="center"/>
    </xf>
    <xf numFmtId="0" fontId="9" fillId="0" borderId="43" xfId="1" applyFont="1" applyBorder="1" applyAlignment="1">
      <alignment horizontal="left" vertical="center"/>
    </xf>
    <xf numFmtId="49" fontId="10" fillId="0" borderId="13" xfId="1" applyNumberFormat="1" applyFont="1" applyBorder="1" applyAlignment="1">
      <alignment horizontal="left" vertical="center"/>
    </xf>
    <xf numFmtId="0" fontId="10" fillId="0" borderId="14" xfId="1" applyFont="1" applyBorder="1" applyAlignment="1">
      <alignment horizontal="left" vertical="center"/>
    </xf>
    <xf numFmtId="0" fontId="10" fillId="0" borderId="15" xfId="1" applyFont="1" applyBorder="1" applyAlignment="1">
      <alignment horizontal="left" vertical="center"/>
    </xf>
    <xf numFmtId="49" fontId="18" fillId="0" borderId="44" xfId="1" applyNumberFormat="1" applyFont="1" applyBorder="1" applyAlignment="1">
      <alignment horizontal="left" vertical="center"/>
    </xf>
    <xf numFmtId="0" fontId="18" fillId="0" borderId="45" xfId="1" applyFont="1" applyBorder="1" applyAlignment="1">
      <alignment horizontal="left" vertical="center"/>
    </xf>
    <xf numFmtId="0" fontId="18" fillId="0" borderId="46" xfId="1" applyFont="1" applyBorder="1" applyAlignment="1">
      <alignment horizontal="left" vertical="center"/>
    </xf>
    <xf numFmtId="0" fontId="44" fillId="0" borderId="0" xfId="7" applyFont="1" applyAlignment="1">
      <alignment horizontal="left" vertical="center" wrapText="1"/>
    </xf>
    <xf numFmtId="0" fontId="38" fillId="0" borderId="0" xfId="7" applyAlignment="1">
      <alignment vertical="center"/>
    </xf>
    <xf numFmtId="0" fontId="42" fillId="0" borderId="0" xfId="7" applyFont="1" applyAlignment="1">
      <alignment horizontal="left" vertical="center" wrapText="1"/>
    </xf>
    <xf numFmtId="0" fontId="42" fillId="0" borderId="0" xfId="7" applyFont="1" applyAlignment="1">
      <alignment horizontal="left" vertical="center"/>
    </xf>
    <xf numFmtId="0" fontId="38" fillId="0" borderId="0" xfId="7"/>
    <xf numFmtId="0" fontId="43" fillId="7" borderId="0" xfId="7" applyFont="1" applyFill="1" applyAlignment="1" applyProtection="1">
      <alignment horizontal="left" vertical="center"/>
      <protection locked="0"/>
    </xf>
    <xf numFmtId="0" fontId="43" fillId="0" borderId="0" xfId="7" applyFont="1" applyAlignment="1">
      <alignment horizontal="left" vertical="center"/>
    </xf>
    <xf numFmtId="0" fontId="43" fillId="0" borderId="0" xfId="7" applyFont="1" applyAlignment="1">
      <alignment horizontal="left" vertical="center" wrapText="1"/>
    </xf>
    <xf numFmtId="0" fontId="56" fillId="0" borderId="0" xfId="7" applyFont="1" applyAlignment="1">
      <alignment horizontal="left" vertical="center" wrapText="1"/>
    </xf>
    <xf numFmtId="4" fontId="57" fillId="0" borderId="0" xfId="7" applyNumberFormat="1" applyFont="1" applyAlignment="1">
      <alignment vertical="center"/>
    </xf>
    <xf numFmtId="0" fontId="57" fillId="0" borderId="0" xfId="7" applyFont="1" applyAlignment="1">
      <alignment vertical="center"/>
    </xf>
    <xf numFmtId="4" fontId="52" fillId="0" borderId="0" xfId="7" applyNumberFormat="1" applyFont="1" applyAlignment="1">
      <alignment horizontal="right" vertical="center"/>
    </xf>
    <xf numFmtId="4" fontId="52" fillId="0" borderId="0" xfId="7" applyNumberFormat="1" applyFont="1" applyAlignment="1">
      <alignment vertical="center"/>
    </xf>
    <xf numFmtId="167" fontId="43" fillId="0" borderId="0" xfId="7" applyNumberFormat="1" applyFont="1" applyAlignment="1">
      <alignment horizontal="left" vertical="center"/>
    </xf>
    <xf numFmtId="0" fontId="43" fillId="0" borderId="0" xfId="7" applyFont="1" applyAlignment="1">
      <alignment vertical="center" wrapText="1"/>
    </xf>
    <xf numFmtId="0" fontId="43" fillId="0" borderId="0" xfId="7" applyFont="1" applyAlignment="1">
      <alignment vertical="center"/>
    </xf>
    <xf numFmtId="0" fontId="48" fillId="0" borderId="58" xfId="7" applyFont="1" applyBorder="1" applyAlignment="1">
      <alignment horizontal="center" vertical="center"/>
    </xf>
    <xf numFmtId="0" fontId="48" fillId="0" borderId="59" xfId="7" applyFont="1" applyBorder="1" applyAlignment="1">
      <alignment horizontal="left" vertical="center"/>
    </xf>
    <xf numFmtId="0" fontId="49" fillId="0" borderId="61" xfId="7" applyFont="1" applyBorder="1" applyAlignment="1">
      <alignment horizontal="left" vertical="center"/>
    </xf>
    <xf numFmtId="0" fontId="49" fillId="0" borderId="0" xfId="7" applyFont="1" applyAlignment="1">
      <alignment horizontal="left" vertical="center"/>
    </xf>
    <xf numFmtId="0" fontId="50" fillId="6" borderId="53" xfId="7" applyFont="1" applyFill="1" applyBorder="1" applyAlignment="1">
      <alignment horizontal="center" vertical="center"/>
    </xf>
    <xf numFmtId="0" fontId="50" fillId="6" borderId="54" xfId="7" applyFont="1" applyFill="1" applyBorder="1" applyAlignment="1">
      <alignment horizontal="left" vertical="center"/>
    </xf>
    <xf numFmtId="0" fontId="50" fillId="6" borderId="54" xfId="7" applyFont="1" applyFill="1" applyBorder="1" applyAlignment="1">
      <alignment horizontal="center" vertical="center"/>
    </xf>
    <xf numFmtId="0" fontId="50" fillId="6" borderId="54" xfId="7" applyFont="1" applyFill="1" applyBorder="1" applyAlignment="1">
      <alignment horizontal="right" vertical="center"/>
    </xf>
    <xf numFmtId="166" fontId="42" fillId="0" borderId="0" xfId="7" applyNumberFormat="1" applyFont="1" applyAlignment="1">
      <alignment horizontal="left" vertical="center"/>
    </xf>
    <xf numFmtId="0" fontId="42" fillId="0" borderId="0" xfId="7" applyFont="1" applyAlignment="1">
      <alignment vertical="center"/>
    </xf>
    <xf numFmtId="4" fontId="46" fillId="0" borderId="0" xfId="7" applyNumberFormat="1" applyFont="1" applyAlignment="1">
      <alignment vertical="center"/>
    </xf>
    <xf numFmtId="0" fontId="47" fillId="5" borderId="54" xfId="7" applyFont="1" applyFill="1" applyBorder="1" applyAlignment="1">
      <alignment horizontal="left" vertical="center"/>
    </xf>
    <xf numFmtId="0" fontId="38" fillId="5" borderId="54" xfId="7" applyFill="1" applyBorder="1" applyAlignment="1">
      <alignment vertical="center"/>
    </xf>
    <xf numFmtId="4" fontId="47" fillId="5" borderId="54" xfId="7" applyNumberFormat="1" applyFont="1" applyFill="1" applyBorder="1" applyAlignment="1">
      <alignment vertical="center"/>
    </xf>
    <xf numFmtId="0" fontId="38" fillId="5" borderId="55" xfId="7" applyFill="1" applyBorder="1" applyAlignment="1">
      <alignment vertical="center"/>
    </xf>
    <xf numFmtId="0" fontId="44" fillId="0" borderId="0" xfId="7" applyFont="1" applyAlignment="1">
      <alignment vertical="center"/>
    </xf>
    <xf numFmtId="0" fontId="85" fillId="0" borderId="0" xfId="7" applyFont="1" applyAlignment="1">
      <alignment horizontal="left" vertical="top" wrapText="1"/>
    </xf>
    <xf numFmtId="0" fontId="85" fillId="0" borderId="0" xfId="7" applyFont="1" applyAlignment="1">
      <alignment horizontal="left" vertical="center"/>
    </xf>
    <xf numFmtId="0" fontId="46" fillId="0" borderId="0" xfId="7" applyFont="1" applyAlignment="1">
      <alignment horizontal="left" vertical="center"/>
    </xf>
    <xf numFmtId="0" fontId="44" fillId="0" borderId="0" xfId="7" applyFont="1" applyAlignment="1">
      <alignment horizontal="left" vertical="top" wrapText="1"/>
    </xf>
    <xf numFmtId="49" fontId="43" fillId="7" borderId="0" xfId="7" applyNumberFormat="1" applyFont="1" applyFill="1" applyAlignment="1" applyProtection="1">
      <alignment horizontal="left" vertical="center"/>
      <protection locked="0"/>
    </xf>
    <xf numFmtId="49" fontId="43" fillId="0" borderId="0" xfId="7" applyNumberFormat="1" applyFont="1" applyAlignment="1">
      <alignment horizontal="left" vertical="center"/>
    </xf>
    <xf numFmtId="4" fontId="45" fillId="0" borderId="52" xfId="7" applyNumberFormat="1" applyFont="1" applyBorder="1" applyAlignment="1">
      <alignment vertical="center"/>
    </xf>
    <xf numFmtId="0" fontId="38" fillId="0" borderId="52" xfId="7" applyBorder="1" applyAlignment="1">
      <alignment vertical="center"/>
    </xf>
    <xf numFmtId="0" fontId="42" fillId="0" borderId="0" xfId="7" applyFont="1" applyAlignment="1">
      <alignment horizontal="right" vertical="center"/>
    </xf>
    <xf numFmtId="0" fontId="12" fillId="0" borderId="1" xfId="1" applyFont="1" applyBorder="1" applyAlignment="1">
      <alignment horizontal="left" vertical="top" wrapText="1"/>
    </xf>
    <xf numFmtId="0" fontId="12" fillId="0" borderId="1" xfId="1" applyFont="1" applyBorder="1" applyAlignment="1">
      <alignment horizontal="left" vertical="top"/>
    </xf>
  </cellXfs>
  <cellStyles count="8">
    <cellStyle name="Hypertextový odkaz" xfId="6" builtinId="8"/>
    <cellStyle name="Normální" xfId="0" builtinId="0"/>
    <cellStyle name="Normální 2" xfId="1" xr:uid="{0E65EFB3-BE9F-442F-ABA6-EAE0AE7ED067}"/>
    <cellStyle name="Normální 2 2" xfId="4" xr:uid="{88E51371-C18B-414D-B981-14CEC79AA1D5}"/>
    <cellStyle name="Normální 3" xfId="2" xr:uid="{853440FB-36E7-4B28-86F1-5CA3D6AF2BE8}"/>
    <cellStyle name="Normální 4" xfId="7" xr:uid="{83941A42-2D02-4CCE-B4E3-4F18635FAF41}"/>
    <cellStyle name="normální_r1 KABEL TABULKA" xfId="3" xr:uid="{69CB8F26-7180-4742-A258-C3231D83BEE0}"/>
    <cellStyle name="normální_rozpočet" xfId="5" xr:uid="{3D0148A6-8B91-4A75-A3AA-FED2568E04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DCAA52CC-87B3-48FF-8286-CB8C68325B08}"/>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132C6C69-208C-4F4C-9038-CECC001E788A}"/>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32B4EB34-AC0D-4A90-9EB8-415F95C2CBF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B81170D1-894A-4A59-9B13-E7E67F1CF952}"/>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192AE6F6-508C-470A-BAA4-11F4EDEC920E}"/>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6" Type="http://schemas.openxmlformats.org/officeDocument/2006/relationships/hyperlink" Target="https://podminky.urs.cz/item/CS_URS_2022_01/974031142" TargetMode="External"/><Relationship Id="rId117" Type="http://schemas.openxmlformats.org/officeDocument/2006/relationships/hyperlink" Target="https://podminky.urs.cz/item/CS_URS_2022_01/725860811" TargetMode="External"/><Relationship Id="rId21" Type="http://schemas.openxmlformats.org/officeDocument/2006/relationships/hyperlink" Target="https://podminky.urs.cz/item/CS_URS_2022_01/892271111" TargetMode="External"/><Relationship Id="rId42" Type="http://schemas.openxmlformats.org/officeDocument/2006/relationships/hyperlink" Target="https://podminky.urs.cz/item/CS_URS_2022_01/998276101" TargetMode="External"/><Relationship Id="rId47" Type="http://schemas.openxmlformats.org/officeDocument/2006/relationships/hyperlink" Target="https://podminky.urs.cz/item/CS_URS_2022_01/721174042" TargetMode="External"/><Relationship Id="rId63" Type="http://schemas.openxmlformats.org/officeDocument/2006/relationships/hyperlink" Target="https://podminky.urs.cz/item/CS_URS_2021_02/722130232" TargetMode="External"/><Relationship Id="rId68" Type="http://schemas.openxmlformats.org/officeDocument/2006/relationships/hyperlink" Target="https://podminky.urs.cz/item/CS_URS_2021_02/722174002" TargetMode="External"/><Relationship Id="rId84" Type="http://schemas.openxmlformats.org/officeDocument/2006/relationships/hyperlink" Target="https://podminky.urs.cz/item/CS_URS_2021_02/722231077" TargetMode="External"/><Relationship Id="rId89" Type="http://schemas.openxmlformats.org/officeDocument/2006/relationships/hyperlink" Target="https://podminky.urs.cz/item/CS_URS_2021_02/724231127" TargetMode="External"/><Relationship Id="rId112" Type="http://schemas.openxmlformats.org/officeDocument/2006/relationships/hyperlink" Target="https://podminky.urs.cz/item/CS_URS_2022_01/725821312" TargetMode="External"/><Relationship Id="rId16" Type="http://schemas.openxmlformats.org/officeDocument/2006/relationships/hyperlink" Target="https://podminky.urs.cz/item/CS_URS_2022_01/871355211" TargetMode="External"/><Relationship Id="rId107" Type="http://schemas.openxmlformats.org/officeDocument/2006/relationships/hyperlink" Target="https://podminky.urs.cz/item/CS_URS_2022_01/725532102" TargetMode="External"/><Relationship Id="rId11" Type="http://schemas.openxmlformats.org/officeDocument/2006/relationships/hyperlink" Target="https://podminky.urs.cz/item/CS_URS_2021_02/612135101" TargetMode="External"/><Relationship Id="rId32" Type="http://schemas.openxmlformats.org/officeDocument/2006/relationships/hyperlink" Target="https://podminky.urs.cz/item/CS_URS_2022_01/977151116" TargetMode="External"/><Relationship Id="rId37" Type="http://schemas.openxmlformats.org/officeDocument/2006/relationships/hyperlink" Target="https://podminky.urs.cz/item/CS_URS_2021_01/997013501" TargetMode="External"/><Relationship Id="rId53" Type="http://schemas.openxmlformats.org/officeDocument/2006/relationships/hyperlink" Target="https://podminky.urs.cz/item/CS_URS_2022_01/721211421" TargetMode="External"/><Relationship Id="rId58" Type="http://schemas.openxmlformats.org/officeDocument/2006/relationships/hyperlink" Target="https://podminky.urs.cz/item/CS_URS_2022_01/727212117" TargetMode="External"/><Relationship Id="rId74" Type="http://schemas.openxmlformats.org/officeDocument/2006/relationships/hyperlink" Target="https://podminky.urs.cz/item/CS_URS_2022_01/722174008" TargetMode="External"/><Relationship Id="rId79" Type="http://schemas.openxmlformats.org/officeDocument/2006/relationships/hyperlink" Target="https://podminky.urs.cz/item/CS_URS_2022_01/722181242" TargetMode="External"/><Relationship Id="rId102" Type="http://schemas.openxmlformats.org/officeDocument/2006/relationships/hyperlink" Target="https://podminky.urs.cz/item/CS_URS_2022_01/725211603" TargetMode="External"/><Relationship Id="rId123" Type="http://schemas.openxmlformats.org/officeDocument/2006/relationships/hyperlink" Target="https://podminky.urs.cz/item/CS_URS_2022_01/998725181" TargetMode="External"/><Relationship Id="rId5" Type="http://schemas.openxmlformats.org/officeDocument/2006/relationships/hyperlink" Target="https://podminky.urs.cz/item/CS_URS_2021_01/171201221" TargetMode="External"/><Relationship Id="rId90" Type="http://schemas.openxmlformats.org/officeDocument/2006/relationships/hyperlink" Target="https://podminky.urs.cz/item/CS_URS_2021_02/722250101" TargetMode="External"/><Relationship Id="rId95" Type="http://schemas.openxmlformats.org/officeDocument/2006/relationships/hyperlink" Target="https://podminky.urs.cz/item/CS_URS_2022_01/998722102" TargetMode="External"/><Relationship Id="rId22" Type="http://schemas.openxmlformats.org/officeDocument/2006/relationships/hyperlink" Target="https://podminky.urs.cz/item/CS_URS_2022_01/892351111" TargetMode="External"/><Relationship Id="rId27" Type="http://schemas.openxmlformats.org/officeDocument/2006/relationships/hyperlink" Target="https://podminky.urs.cz/item/CS_URS_2022_01/974031153" TargetMode="External"/><Relationship Id="rId43" Type="http://schemas.openxmlformats.org/officeDocument/2006/relationships/hyperlink" Target="https://podminky.urs.cz/item/CS_URS_2022_01/721100911" TargetMode="External"/><Relationship Id="rId48" Type="http://schemas.openxmlformats.org/officeDocument/2006/relationships/hyperlink" Target="https://podminky.urs.cz/item/CS_URS_2021_01/721174043" TargetMode="External"/><Relationship Id="rId64" Type="http://schemas.openxmlformats.org/officeDocument/2006/relationships/hyperlink" Target="https://podminky.urs.cz/item/CS_URS_2021_02/722130234" TargetMode="External"/><Relationship Id="rId69" Type="http://schemas.openxmlformats.org/officeDocument/2006/relationships/hyperlink" Target="https://podminky.urs.cz/item/CS_URS_2021_02/722174003" TargetMode="External"/><Relationship Id="rId113" Type="http://schemas.openxmlformats.org/officeDocument/2006/relationships/hyperlink" Target="https://podminky.urs.cz/item/CS_URS_2022_01/725822613" TargetMode="External"/><Relationship Id="rId118" Type="http://schemas.openxmlformats.org/officeDocument/2006/relationships/hyperlink" Target="https://podminky.urs.cz/item/CS_URS_2021_02/725861102" TargetMode="External"/><Relationship Id="rId80" Type="http://schemas.openxmlformats.org/officeDocument/2006/relationships/hyperlink" Target="https://podminky.urs.cz/item/CS_URS_2022_01/722181252" TargetMode="External"/><Relationship Id="rId85" Type="http://schemas.openxmlformats.org/officeDocument/2006/relationships/hyperlink" Target="https://podminky.urs.cz/item/CS_URS_2022_01/722231221" TargetMode="External"/><Relationship Id="rId12" Type="http://schemas.openxmlformats.org/officeDocument/2006/relationships/hyperlink" Target="https://podminky.urs.cz/item/CS_URS_2022_01/871211211" TargetMode="External"/><Relationship Id="rId17" Type="http://schemas.openxmlformats.org/officeDocument/2006/relationships/hyperlink" Target="https://podminky.urs.cz/item/CS_URS_2022_01/871365211" TargetMode="External"/><Relationship Id="rId33" Type="http://schemas.openxmlformats.org/officeDocument/2006/relationships/hyperlink" Target="https://podminky.urs.cz/item/CS_URS_2022_01/977151121" TargetMode="External"/><Relationship Id="rId38" Type="http://schemas.openxmlformats.org/officeDocument/2006/relationships/hyperlink" Target="https://podminky.urs.cz/item/CS_URS_2021_01/997013509" TargetMode="External"/><Relationship Id="rId59" Type="http://schemas.openxmlformats.org/officeDocument/2006/relationships/hyperlink" Target="https://podminky.urs.cz/item/CS_URS_2021_02/721290111" TargetMode="External"/><Relationship Id="rId103" Type="http://schemas.openxmlformats.org/officeDocument/2006/relationships/hyperlink" Target="https://podminky.urs.cz/item/CS_URS_2022_01/725240812" TargetMode="External"/><Relationship Id="rId108" Type="http://schemas.openxmlformats.org/officeDocument/2006/relationships/hyperlink" Target="https://podminky.urs.cz/item/CS_URS_2022_01/725590812" TargetMode="External"/><Relationship Id="rId124" Type="http://schemas.openxmlformats.org/officeDocument/2006/relationships/drawing" Target="../drawings/drawing1.xml"/><Relationship Id="rId54" Type="http://schemas.openxmlformats.org/officeDocument/2006/relationships/hyperlink" Target="https://podminky.urs.cz/item/CS_URS_2021_01/721229111" TargetMode="External"/><Relationship Id="rId70" Type="http://schemas.openxmlformats.org/officeDocument/2006/relationships/hyperlink" Target="https://podminky.urs.cz/item/CS_URS_2021_02/722174004" TargetMode="External"/><Relationship Id="rId75" Type="http://schemas.openxmlformats.org/officeDocument/2006/relationships/hyperlink" Target="https://podminky.urs.cz/item/CS_URS_2022_01/722181231" TargetMode="External"/><Relationship Id="rId91" Type="http://schemas.openxmlformats.org/officeDocument/2006/relationships/hyperlink" Target="https://podminky.urs.cz/item/CS_URS_2022_01/722290215" TargetMode="External"/><Relationship Id="rId96" Type="http://schemas.openxmlformats.org/officeDocument/2006/relationships/hyperlink" Target="https://podminky.urs.cz/item/CS_URS_2022_01/998722181" TargetMode="External"/><Relationship Id="rId1" Type="http://schemas.openxmlformats.org/officeDocument/2006/relationships/hyperlink" Target="https://podminky.urs.cz/item/CS_URS_2021_01/132112211" TargetMode="External"/><Relationship Id="rId6" Type="http://schemas.openxmlformats.org/officeDocument/2006/relationships/hyperlink" Target="https://podminky.urs.cz/item/CS_URS_2021_01/174111101" TargetMode="External"/><Relationship Id="rId23" Type="http://schemas.openxmlformats.org/officeDocument/2006/relationships/hyperlink" Target="https://podminky.urs.cz/item/CS_URS_2022_01/892372111" TargetMode="External"/><Relationship Id="rId28" Type="http://schemas.openxmlformats.org/officeDocument/2006/relationships/hyperlink" Target="https://podminky.urs.cz/item/CS_URS_2022_01/974031164" TargetMode="External"/><Relationship Id="rId49" Type="http://schemas.openxmlformats.org/officeDocument/2006/relationships/hyperlink" Target="https://podminky.urs.cz/item/CS_URS_2022_01/721174044" TargetMode="External"/><Relationship Id="rId114" Type="http://schemas.openxmlformats.org/officeDocument/2006/relationships/hyperlink" Target="https://podminky.urs.cz/item/CS_URS_2022_01/725840850" TargetMode="External"/><Relationship Id="rId119" Type="http://schemas.openxmlformats.org/officeDocument/2006/relationships/hyperlink" Target="https://podminky.urs.cz/item/CS_URS_2021_02/725861312" TargetMode="External"/><Relationship Id="rId44" Type="http://schemas.openxmlformats.org/officeDocument/2006/relationships/hyperlink" Target="https://podminky.urs.cz/item/CS_URS_2021_02/721140802" TargetMode="External"/><Relationship Id="rId60" Type="http://schemas.openxmlformats.org/officeDocument/2006/relationships/hyperlink" Target="https://podminky.urs.cz/item/CS_URS_2022_01/721290822" TargetMode="External"/><Relationship Id="rId65" Type="http://schemas.openxmlformats.org/officeDocument/2006/relationships/hyperlink" Target="https://podminky.urs.cz/item/CS_URS_2022_01/722130236" TargetMode="External"/><Relationship Id="rId81" Type="http://schemas.openxmlformats.org/officeDocument/2006/relationships/hyperlink" Target="https://podminky.urs.cz/item/CS_URS_2021_02/722190401" TargetMode="External"/><Relationship Id="rId86" Type="http://schemas.openxmlformats.org/officeDocument/2006/relationships/hyperlink" Target="https://podminky.urs.cz/item/CS_URS_2021_02/722232045" TargetMode="External"/><Relationship Id="rId4" Type="http://schemas.openxmlformats.org/officeDocument/2006/relationships/hyperlink" Target="https://podminky.urs.cz/item/CS_URS_2021_01/162751119" TargetMode="External"/><Relationship Id="rId9" Type="http://schemas.openxmlformats.org/officeDocument/2006/relationships/hyperlink" Target="https://podminky.urs.cz/item/CS_URS_2022_01/310236241" TargetMode="External"/><Relationship Id="rId13" Type="http://schemas.openxmlformats.org/officeDocument/2006/relationships/hyperlink" Target="https://podminky.urs.cz/item/CS_URS_2022_01/871265211" TargetMode="External"/><Relationship Id="rId18" Type="http://schemas.openxmlformats.org/officeDocument/2006/relationships/hyperlink" Target="https://podminky.urs.cz/item/CS_URS_2022_01/891211322" TargetMode="External"/><Relationship Id="rId39" Type="http://schemas.openxmlformats.org/officeDocument/2006/relationships/hyperlink" Target="https://podminky.urs.cz/item/CS_URS_2021_02/997013631" TargetMode="External"/><Relationship Id="rId109" Type="http://schemas.openxmlformats.org/officeDocument/2006/relationships/hyperlink" Target="https://podminky.urs.cz/item/CS_URS_2021_02/725813111" TargetMode="External"/><Relationship Id="rId34" Type="http://schemas.openxmlformats.org/officeDocument/2006/relationships/hyperlink" Target="https://podminky.urs.cz/item/CS_URS_2022_01/977151123" TargetMode="External"/><Relationship Id="rId50" Type="http://schemas.openxmlformats.org/officeDocument/2006/relationships/hyperlink" Target="https://podminky.urs.cz/item/CS_URS_2021_01/721174045" TargetMode="External"/><Relationship Id="rId55" Type="http://schemas.openxmlformats.org/officeDocument/2006/relationships/hyperlink" Target="https://podminky.urs.cz/item/CS_URS_2022_01/721233112" TargetMode="External"/><Relationship Id="rId76" Type="http://schemas.openxmlformats.org/officeDocument/2006/relationships/hyperlink" Target="https://podminky.urs.cz/item/CS_URS_2022_01/722181232" TargetMode="External"/><Relationship Id="rId97" Type="http://schemas.openxmlformats.org/officeDocument/2006/relationships/hyperlink" Target="https://podminky.urs.cz/item/CS_URS_2022_01/725110814" TargetMode="External"/><Relationship Id="rId104" Type="http://schemas.openxmlformats.org/officeDocument/2006/relationships/hyperlink" Target="https://podminky.urs.cz/item/CS_URS_2022_01/725311121" TargetMode="External"/><Relationship Id="rId120" Type="http://schemas.openxmlformats.org/officeDocument/2006/relationships/hyperlink" Target="https://podminky.urs.cz/item/CS_URS_2022_01/725862103" TargetMode="External"/><Relationship Id="rId7" Type="http://schemas.openxmlformats.org/officeDocument/2006/relationships/hyperlink" Target="https://podminky.urs.cz/item/CS_URS_2021_01/175151101" TargetMode="External"/><Relationship Id="rId71" Type="http://schemas.openxmlformats.org/officeDocument/2006/relationships/hyperlink" Target="https://podminky.urs.cz/item/CS_URS_2021_02/722174005" TargetMode="External"/><Relationship Id="rId92" Type="http://schemas.openxmlformats.org/officeDocument/2006/relationships/hyperlink" Target="https://podminky.urs.cz/item/CS_URS_2021_02/722290226" TargetMode="External"/><Relationship Id="rId2" Type="http://schemas.openxmlformats.org/officeDocument/2006/relationships/hyperlink" Target="https://podminky.urs.cz/item/CS_URS_2021_01/162351103" TargetMode="External"/><Relationship Id="rId29" Type="http://schemas.openxmlformats.org/officeDocument/2006/relationships/hyperlink" Target="https://podminky.urs.cz/item/CS_URS_2022_01/977151111" TargetMode="External"/><Relationship Id="rId24" Type="http://schemas.openxmlformats.org/officeDocument/2006/relationships/hyperlink" Target="https://podminky.urs.cz/item/CS_URS_2021_01/899401112" TargetMode="External"/><Relationship Id="rId40" Type="http://schemas.openxmlformats.org/officeDocument/2006/relationships/hyperlink" Target="https://podminky.urs.cz/item/CS_URS_2021_01/997221611" TargetMode="External"/><Relationship Id="rId45" Type="http://schemas.openxmlformats.org/officeDocument/2006/relationships/hyperlink" Target="https://podminky.urs.cz/item/CS_URS_2022_01/721174024" TargetMode="External"/><Relationship Id="rId66" Type="http://schemas.openxmlformats.org/officeDocument/2006/relationships/hyperlink" Target="https://podminky.urs.cz/item/CS_URS_2022_01/722130238" TargetMode="External"/><Relationship Id="rId87" Type="http://schemas.openxmlformats.org/officeDocument/2006/relationships/hyperlink" Target="https://podminky.urs.cz/item/CS_URS_2021_02/722232048" TargetMode="External"/><Relationship Id="rId110" Type="http://schemas.openxmlformats.org/officeDocument/2006/relationships/hyperlink" Target="https://podminky.urs.cz/item/CS_URS_2021_02/725813112" TargetMode="External"/><Relationship Id="rId115" Type="http://schemas.openxmlformats.org/officeDocument/2006/relationships/hyperlink" Target="https://podminky.urs.cz/item/CS_URS_2021_02/725841333" TargetMode="External"/><Relationship Id="rId61" Type="http://schemas.openxmlformats.org/officeDocument/2006/relationships/hyperlink" Target="https://podminky.urs.cz/item/CS_URS_2022_01/998721102" TargetMode="External"/><Relationship Id="rId82" Type="http://schemas.openxmlformats.org/officeDocument/2006/relationships/hyperlink" Target="https://podminky.urs.cz/item/CS_URS_2021_02/722221135" TargetMode="External"/><Relationship Id="rId19" Type="http://schemas.openxmlformats.org/officeDocument/2006/relationships/hyperlink" Target="https://podminky.urs.cz/item/CS_URS_2021_01/892233122" TargetMode="External"/><Relationship Id="rId14" Type="http://schemas.openxmlformats.org/officeDocument/2006/relationships/hyperlink" Target="https://podminky.urs.cz/item/CS_URS_2022_01/871275211" TargetMode="External"/><Relationship Id="rId30" Type="http://schemas.openxmlformats.org/officeDocument/2006/relationships/hyperlink" Target="https://podminky.urs.cz/item/CS_URS_2022_01/977151113" TargetMode="External"/><Relationship Id="rId35" Type="http://schemas.openxmlformats.org/officeDocument/2006/relationships/hyperlink" Target="https://podminky.urs.cz/item/CS_URS_2022_01/977151125" TargetMode="External"/><Relationship Id="rId56" Type="http://schemas.openxmlformats.org/officeDocument/2006/relationships/hyperlink" Target="https://podminky.urs.cz/item/CS_URS_2021_01/721273153" TargetMode="External"/><Relationship Id="rId77" Type="http://schemas.openxmlformats.org/officeDocument/2006/relationships/hyperlink" Target="https://podminky.urs.cz/item/CS_URS_2022_01/722181233" TargetMode="External"/><Relationship Id="rId100" Type="http://schemas.openxmlformats.org/officeDocument/2006/relationships/hyperlink" Target="https://podminky.urs.cz/item/CS_URS_2022_01/725122817" TargetMode="External"/><Relationship Id="rId105" Type="http://schemas.openxmlformats.org/officeDocument/2006/relationships/hyperlink" Target="https://podminky.urs.cz/item/CS_URS_2022_01/725331111" TargetMode="External"/><Relationship Id="rId8" Type="http://schemas.openxmlformats.org/officeDocument/2006/relationships/hyperlink" Target="https://podminky.urs.cz/item/CS_URS_2022_01/310235241" TargetMode="External"/><Relationship Id="rId51" Type="http://schemas.openxmlformats.org/officeDocument/2006/relationships/hyperlink" Target="https://podminky.urs.cz/item/CS_URS_2021_01/721194105" TargetMode="External"/><Relationship Id="rId72" Type="http://schemas.openxmlformats.org/officeDocument/2006/relationships/hyperlink" Target="https://podminky.urs.cz/item/CS_URS_2021_02/722174006" TargetMode="External"/><Relationship Id="rId93" Type="http://schemas.openxmlformats.org/officeDocument/2006/relationships/hyperlink" Target="https://podminky.urs.cz/item/CS_URS_2021_02/722290234" TargetMode="External"/><Relationship Id="rId98" Type="http://schemas.openxmlformats.org/officeDocument/2006/relationships/hyperlink" Target="https://podminky.urs.cz/item/CS_URS_2022_01/725112171" TargetMode="External"/><Relationship Id="rId121" Type="http://schemas.openxmlformats.org/officeDocument/2006/relationships/hyperlink" Target="https://podminky.urs.cz/item/CS_URS_2021_02/725980123" TargetMode="External"/><Relationship Id="rId3" Type="http://schemas.openxmlformats.org/officeDocument/2006/relationships/hyperlink" Target="https://podminky.urs.cz/item/CS_URS_2021_01/162751117" TargetMode="External"/><Relationship Id="rId25" Type="http://schemas.openxmlformats.org/officeDocument/2006/relationships/hyperlink" Target="https://podminky.urs.cz/item/CS_URS_2022_01/974031132" TargetMode="External"/><Relationship Id="rId46" Type="http://schemas.openxmlformats.org/officeDocument/2006/relationships/hyperlink" Target="https://podminky.urs.cz/item/CS_URS_2022_01/721174025" TargetMode="External"/><Relationship Id="rId67" Type="http://schemas.openxmlformats.org/officeDocument/2006/relationships/hyperlink" Target="https://podminky.urs.cz/item/CS_URS_2022_01/722130802" TargetMode="External"/><Relationship Id="rId116" Type="http://schemas.openxmlformats.org/officeDocument/2006/relationships/hyperlink" Target="https://podminky.urs.cz/item/CS_URS_2021_02/725851315" TargetMode="External"/><Relationship Id="rId20" Type="http://schemas.openxmlformats.org/officeDocument/2006/relationships/hyperlink" Target="https://podminky.urs.cz/item/CS_URS_2021_01/892241111" TargetMode="External"/><Relationship Id="rId41" Type="http://schemas.openxmlformats.org/officeDocument/2006/relationships/hyperlink" Target="https://podminky.urs.cz/item/CS_URS_2022_01/998011002" TargetMode="External"/><Relationship Id="rId62" Type="http://schemas.openxmlformats.org/officeDocument/2006/relationships/hyperlink" Target="https://podminky.urs.cz/item/CS_URS_2022_01/998721181" TargetMode="External"/><Relationship Id="rId83" Type="http://schemas.openxmlformats.org/officeDocument/2006/relationships/hyperlink" Target="https://podminky.urs.cz/item/CS_URS_2021_02/722231074" TargetMode="External"/><Relationship Id="rId88" Type="http://schemas.openxmlformats.org/officeDocument/2006/relationships/hyperlink" Target="https://podminky.urs.cz/item/CS_URS_2021_02/722232063" TargetMode="External"/><Relationship Id="rId111" Type="http://schemas.openxmlformats.org/officeDocument/2006/relationships/hyperlink" Target="https://podminky.urs.cz/item/CS_URS_2022_01/725820801" TargetMode="External"/><Relationship Id="rId15" Type="http://schemas.openxmlformats.org/officeDocument/2006/relationships/hyperlink" Target="https://podminky.urs.cz/item/CS_URS_2022_01/871315211" TargetMode="External"/><Relationship Id="rId36" Type="http://schemas.openxmlformats.org/officeDocument/2006/relationships/hyperlink" Target="https://podminky.urs.cz/item/CS_URS_2021_02/997013213" TargetMode="External"/><Relationship Id="rId57" Type="http://schemas.openxmlformats.org/officeDocument/2006/relationships/hyperlink" Target="https://podminky.urs.cz/item/CS_URS_2022_01/727212115" TargetMode="External"/><Relationship Id="rId106" Type="http://schemas.openxmlformats.org/officeDocument/2006/relationships/hyperlink" Target="https://podminky.urs.cz/item/CS_URS_2022_01/725530826" TargetMode="External"/><Relationship Id="rId10" Type="http://schemas.openxmlformats.org/officeDocument/2006/relationships/hyperlink" Target="https://podminky.urs.cz/item/CS_URS_2021_01/451573111" TargetMode="External"/><Relationship Id="rId31" Type="http://schemas.openxmlformats.org/officeDocument/2006/relationships/hyperlink" Target="https://podminky.urs.cz/item/CS_URS_2022_01/977151115" TargetMode="External"/><Relationship Id="rId52" Type="http://schemas.openxmlformats.org/officeDocument/2006/relationships/hyperlink" Target="https://podminky.urs.cz/item/CS_URS_2021_01/721194109" TargetMode="External"/><Relationship Id="rId73" Type="http://schemas.openxmlformats.org/officeDocument/2006/relationships/hyperlink" Target="https://podminky.urs.cz/item/CS_URS_2021_02/722174007" TargetMode="External"/><Relationship Id="rId78" Type="http://schemas.openxmlformats.org/officeDocument/2006/relationships/hyperlink" Target="https://podminky.urs.cz/item/CS_URS_2022_01/722181234" TargetMode="External"/><Relationship Id="rId94" Type="http://schemas.openxmlformats.org/officeDocument/2006/relationships/hyperlink" Target="https://podminky.urs.cz/item/CS_URS_2022_01/722290822" TargetMode="External"/><Relationship Id="rId99" Type="http://schemas.openxmlformats.org/officeDocument/2006/relationships/hyperlink" Target="https://podminky.urs.cz/item/CS_URS_2022_01/725121527" TargetMode="External"/><Relationship Id="rId101" Type="http://schemas.openxmlformats.org/officeDocument/2006/relationships/hyperlink" Target="https://podminky.urs.cz/item/CS_URS_2022_01/725210821" TargetMode="External"/><Relationship Id="rId122" Type="http://schemas.openxmlformats.org/officeDocument/2006/relationships/hyperlink" Target="https://podminky.urs.cz/item/CS_URS_2022_01/998725102"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podminky.urs.cz/item/CS_URS_2022_01/977151126" TargetMode="External"/><Relationship Id="rId13" Type="http://schemas.openxmlformats.org/officeDocument/2006/relationships/hyperlink" Target="https://podminky.urs.cz/item/CS_URS_2021_01/997221611" TargetMode="External"/><Relationship Id="rId18" Type="http://schemas.openxmlformats.org/officeDocument/2006/relationships/hyperlink" Target="https://podminky.urs.cz/item/CS_URS_2022_01/751398051" TargetMode="External"/><Relationship Id="rId26" Type="http://schemas.openxmlformats.org/officeDocument/2006/relationships/hyperlink" Target="https://podminky.urs.cz/item/CS_URS_2021_01/998751101" TargetMode="External"/><Relationship Id="rId3" Type="http://schemas.openxmlformats.org/officeDocument/2006/relationships/hyperlink" Target="https://podminky.urs.cz/item/CS_URS_2022_01/310236251" TargetMode="External"/><Relationship Id="rId21" Type="http://schemas.openxmlformats.org/officeDocument/2006/relationships/hyperlink" Target="https://podminky.urs.cz/item/CS_URS_2021_02/751572102" TargetMode="External"/><Relationship Id="rId7" Type="http://schemas.openxmlformats.org/officeDocument/2006/relationships/hyperlink" Target="https://podminky.urs.cz/item/CS_URS_2021_02/977151122" TargetMode="External"/><Relationship Id="rId12" Type="http://schemas.openxmlformats.org/officeDocument/2006/relationships/hyperlink" Target="https://podminky.urs.cz/item/CS_URS_2021_02/997013631" TargetMode="External"/><Relationship Id="rId17" Type="http://schemas.openxmlformats.org/officeDocument/2006/relationships/hyperlink" Target="https://podminky.urs.cz/item/CS_URS_2021_02/751398041" TargetMode="External"/><Relationship Id="rId25" Type="http://schemas.openxmlformats.org/officeDocument/2006/relationships/hyperlink" Target="https://podminky.urs.cz/item/CS_URS_2021_01/751691111" TargetMode="External"/><Relationship Id="rId2" Type="http://schemas.openxmlformats.org/officeDocument/2006/relationships/hyperlink" Target="https://podminky.urs.cz/item/CS_URS_2022_01/310236241" TargetMode="External"/><Relationship Id="rId16" Type="http://schemas.openxmlformats.org/officeDocument/2006/relationships/hyperlink" Target="https://podminky.urs.cz/item/CS_URS_2022_01/751377041" TargetMode="External"/><Relationship Id="rId20" Type="http://schemas.openxmlformats.org/officeDocument/2006/relationships/hyperlink" Target="https://podminky.urs.cz/item/CS_URS_2022_01/751537113" TargetMode="External"/><Relationship Id="rId1" Type="http://schemas.openxmlformats.org/officeDocument/2006/relationships/hyperlink" Target="https://podminky.urs.cz/item/CS_URS_2021_02/310235241" TargetMode="External"/><Relationship Id="rId6" Type="http://schemas.openxmlformats.org/officeDocument/2006/relationships/hyperlink" Target="https://podminky.urs.cz/item/CS_URS_2022_01/971033451" TargetMode="External"/><Relationship Id="rId11" Type="http://schemas.openxmlformats.org/officeDocument/2006/relationships/hyperlink" Target="https://podminky.urs.cz/item/CS_URS_2021_01/997013509" TargetMode="External"/><Relationship Id="rId24" Type="http://schemas.openxmlformats.org/officeDocument/2006/relationships/hyperlink" Target="https://podminky.urs.cz/item/CS_URS_2021_02/751581352" TargetMode="External"/><Relationship Id="rId5" Type="http://schemas.openxmlformats.org/officeDocument/2006/relationships/hyperlink" Target="https://podminky.urs.cz/item/CS_URS_2022_01/971033351" TargetMode="External"/><Relationship Id="rId15" Type="http://schemas.openxmlformats.org/officeDocument/2006/relationships/hyperlink" Target="https://podminky.urs.cz/item/CS_URS_2021_02/751111052" TargetMode="External"/><Relationship Id="rId23" Type="http://schemas.openxmlformats.org/officeDocument/2006/relationships/hyperlink" Target="https://podminky.urs.cz/item/CS_URS_2022_01/751581311" TargetMode="External"/><Relationship Id="rId28" Type="http://schemas.openxmlformats.org/officeDocument/2006/relationships/drawing" Target="../drawings/drawing2.xml"/><Relationship Id="rId10" Type="http://schemas.openxmlformats.org/officeDocument/2006/relationships/hyperlink" Target="https://podminky.urs.cz/item/CS_URS_2021_01/997013501" TargetMode="External"/><Relationship Id="rId19" Type="http://schemas.openxmlformats.org/officeDocument/2006/relationships/hyperlink" Target="https://podminky.urs.cz/item/CS_URS_2022_01/751537112" TargetMode="External"/><Relationship Id="rId4" Type="http://schemas.openxmlformats.org/officeDocument/2006/relationships/hyperlink" Target="https://podminky.urs.cz/item/CS_URS_2022_01/310237251" TargetMode="External"/><Relationship Id="rId9" Type="http://schemas.openxmlformats.org/officeDocument/2006/relationships/hyperlink" Target="https://podminky.urs.cz/item/CS_URS_2022_01/997013213" TargetMode="External"/><Relationship Id="rId14" Type="http://schemas.openxmlformats.org/officeDocument/2006/relationships/hyperlink" Target="https://podminky.urs.cz/item/CS_URS_2022_01/998011002" TargetMode="External"/><Relationship Id="rId22" Type="http://schemas.openxmlformats.org/officeDocument/2006/relationships/hyperlink" Target="https://podminky.urs.cz/item/CS_URS_2022_01/751572103" TargetMode="External"/><Relationship Id="rId27" Type="http://schemas.openxmlformats.org/officeDocument/2006/relationships/hyperlink" Target="https://podminky.urs.cz/item/CS_URS_2021_01/998751181"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podminky.urs.cz/item/CS_URS_2021_02/732421414" TargetMode="External"/><Relationship Id="rId21" Type="http://schemas.openxmlformats.org/officeDocument/2006/relationships/hyperlink" Target="https://podminky.urs.cz/item/CS_URS_2021_02/722232502" TargetMode="External"/><Relationship Id="rId42" Type="http://schemas.openxmlformats.org/officeDocument/2006/relationships/hyperlink" Target="https://podminky.urs.cz/item/CS_URS_2021_02/733890803" TargetMode="External"/><Relationship Id="rId47" Type="http://schemas.openxmlformats.org/officeDocument/2006/relationships/hyperlink" Target="https://podminky.urs.cz/item/CS_URS_2021_01/734221686" TargetMode="External"/><Relationship Id="rId63" Type="http://schemas.openxmlformats.org/officeDocument/2006/relationships/hyperlink" Target="https://podminky.urs.cz/item/CS_URS_2022_01/735152472" TargetMode="External"/><Relationship Id="rId68" Type="http://schemas.openxmlformats.org/officeDocument/2006/relationships/hyperlink" Target="https://podminky.urs.cz/item/CS_URS_2022_01/735152597" TargetMode="External"/><Relationship Id="rId7" Type="http://schemas.openxmlformats.org/officeDocument/2006/relationships/hyperlink" Target="https://podminky.urs.cz/item/CS_URS_2021_02/997013211" TargetMode="External"/><Relationship Id="rId71" Type="http://schemas.openxmlformats.org/officeDocument/2006/relationships/hyperlink" Target="https://podminky.urs.cz/item/CS_URS_2022_01/998735181" TargetMode="External"/><Relationship Id="rId2" Type="http://schemas.openxmlformats.org/officeDocument/2006/relationships/hyperlink" Target="https://podminky.urs.cz/item/CS_URS_2021_02/612135101" TargetMode="External"/><Relationship Id="rId16" Type="http://schemas.openxmlformats.org/officeDocument/2006/relationships/hyperlink" Target="https://podminky.urs.cz/item/CS_URS_2022_01/731810322" TargetMode="External"/><Relationship Id="rId29" Type="http://schemas.openxmlformats.org/officeDocument/2006/relationships/hyperlink" Target="https://podminky.urs.cz/item/CS_URS_2022_01/998732181" TargetMode="External"/><Relationship Id="rId11" Type="http://schemas.openxmlformats.org/officeDocument/2006/relationships/hyperlink" Target="https://podminky.urs.cz/item/CS_URS_2021_01/997221611" TargetMode="External"/><Relationship Id="rId24" Type="http://schemas.openxmlformats.org/officeDocument/2006/relationships/hyperlink" Target="https://podminky.urs.cz/item/CS_URS_2022_01/732331621" TargetMode="External"/><Relationship Id="rId32" Type="http://schemas.openxmlformats.org/officeDocument/2006/relationships/hyperlink" Target="https://podminky.urs.cz/item/CS_URS_2021_02/733223303" TargetMode="External"/><Relationship Id="rId37" Type="http://schemas.openxmlformats.org/officeDocument/2006/relationships/hyperlink" Target="https://podminky.urs.cz/item/CS_URS_2022_01/733291102" TargetMode="External"/><Relationship Id="rId40" Type="http://schemas.openxmlformats.org/officeDocument/2006/relationships/hyperlink" Target="https://podminky.urs.cz/item/CS_URS_2022_01/733390104" TargetMode="External"/><Relationship Id="rId45" Type="http://schemas.openxmlformats.org/officeDocument/2006/relationships/hyperlink" Target="https://podminky.urs.cz/item/CS_URS_2022_01/734163444" TargetMode="External"/><Relationship Id="rId53" Type="http://schemas.openxmlformats.org/officeDocument/2006/relationships/hyperlink" Target="https://podminky.urs.cz/item/CS_URS_2021_02/734291123" TargetMode="External"/><Relationship Id="rId58" Type="http://schemas.openxmlformats.org/officeDocument/2006/relationships/hyperlink" Target="https://podminky.urs.cz/item/CS_URS_2021_01/734421101" TargetMode="External"/><Relationship Id="rId66" Type="http://schemas.openxmlformats.org/officeDocument/2006/relationships/hyperlink" Target="https://podminky.urs.cz/item/CS_URS_2022_01/735152476" TargetMode="External"/><Relationship Id="rId5" Type="http://schemas.openxmlformats.org/officeDocument/2006/relationships/hyperlink" Target="https://podminky.urs.cz/item/CS_URS_2021_02/974031132" TargetMode="External"/><Relationship Id="rId61" Type="http://schemas.openxmlformats.org/officeDocument/2006/relationships/hyperlink" Target="https://podminky.urs.cz/item/CS_URS_2021_01/735000912" TargetMode="External"/><Relationship Id="rId19" Type="http://schemas.openxmlformats.org/officeDocument/2006/relationships/hyperlink" Target="https://podminky.urs.cz/item/CS_URS_2021_02/998731102" TargetMode="External"/><Relationship Id="rId14" Type="http://schemas.openxmlformats.org/officeDocument/2006/relationships/hyperlink" Target="https://podminky.urs.cz/item/CS_URS_2022_01/731244494" TargetMode="External"/><Relationship Id="rId22" Type="http://schemas.openxmlformats.org/officeDocument/2006/relationships/hyperlink" Target="https://podminky.urs.cz/item/CS_URS_2021_02/722262212" TargetMode="External"/><Relationship Id="rId27" Type="http://schemas.openxmlformats.org/officeDocument/2006/relationships/hyperlink" Target="https://podminky.urs.cz/item/CS_URS_2021_02/732421475" TargetMode="External"/><Relationship Id="rId30" Type="http://schemas.openxmlformats.org/officeDocument/2006/relationships/hyperlink" Target="https://podminky.urs.cz/item/CS_URS_2021_02/733120815" TargetMode="External"/><Relationship Id="rId35" Type="http://schemas.openxmlformats.org/officeDocument/2006/relationships/hyperlink" Target="https://podminky.urs.cz/item/CS_URS_2021_02/733223306" TargetMode="External"/><Relationship Id="rId43" Type="http://schemas.openxmlformats.org/officeDocument/2006/relationships/hyperlink" Target="https://podminky.urs.cz/item/CS_URS_2022_01/998733102" TargetMode="External"/><Relationship Id="rId48" Type="http://schemas.openxmlformats.org/officeDocument/2006/relationships/hyperlink" Target="https://podminky.urs.cz/item/CS_URS_2022_01/734242414" TargetMode="External"/><Relationship Id="rId56" Type="http://schemas.openxmlformats.org/officeDocument/2006/relationships/hyperlink" Target="https://podminky.urs.cz/item/CS_URS_2022_01/734295023" TargetMode="External"/><Relationship Id="rId64" Type="http://schemas.openxmlformats.org/officeDocument/2006/relationships/hyperlink" Target="https://podminky.urs.cz/item/CS_URS_2022_01/735152474" TargetMode="External"/><Relationship Id="rId69" Type="http://schemas.openxmlformats.org/officeDocument/2006/relationships/hyperlink" Target="https://podminky.urs.cz/item/CS_URS_2022_01/735890802" TargetMode="External"/><Relationship Id="rId8" Type="http://schemas.openxmlformats.org/officeDocument/2006/relationships/hyperlink" Target="https://podminky.urs.cz/item/CS_URS_2021_01/997013501" TargetMode="External"/><Relationship Id="rId51" Type="http://schemas.openxmlformats.org/officeDocument/2006/relationships/hyperlink" Target="https://podminky.urs.cz/item/CS_URS_2021_02/734271145" TargetMode="External"/><Relationship Id="rId72" Type="http://schemas.openxmlformats.org/officeDocument/2006/relationships/drawing" Target="../drawings/drawing3.xml"/><Relationship Id="rId3" Type="http://schemas.openxmlformats.org/officeDocument/2006/relationships/hyperlink" Target="https://podminky.urs.cz/item/CS_URS_2022_01/631312141" TargetMode="External"/><Relationship Id="rId12" Type="http://schemas.openxmlformats.org/officeDocument/2006/relationships/hyperlink" Target="https://podminky.urs.cz/item/CS_URS_2022_01/998011002" TargetMode="External"/><Relationship Id="rId17" Type="http://schemas.openxmlformats.org/officeDocument/2006/relationships/hyperlink" Target="https://podminky.urs.cz/item/CS_URS_2022_01/731810342" TargetMode="External"/><Relationship Id="rId25" Type="http://schemas.openxmlformats.org/officeDocument/2006/relationships/hyperlink" Target="https://podminky.urs.cz/item/CS_URS_2021_02/7324211334" TargetMode="External"/><Relationship Id="rId33" Type="http://schemas.openxmlformats.org/officeDocument/2006/relationships/hyperlink" Target="https://podminky.urs.cz/item/CS_URS_2021_02/733223304" TargetMode="External"/><Relationship Id="rId38" Type="http://schemas.openxmlformats.org/officeDocument/2006/relationships/hyperlink" Target="https://podminky.urs.cz/item/CS_URS_2022_01/733292904" TargetMode="External"/><Relationship Id="rId46" Type="http://schemas.openxmlformats.org/officeDocument/2006/relationships/hyperlink" Target="https://podminky.urs.cz/item/CS_URS_2021_01/734221532" TargetMode="External"/><Relationship Id="rId59" Type="http://schemas.openxmlformats.org/officeDocument/2006/relationships/hyperlink" Target="https://podminky.urs.cz/item/CS_URS_2022_01/998734102" TargetMode="External"/><Relationship Id="rId67" Type="http://schemas.openxmlformats.org/officeDocument/2006/relationships/hyperlink" Target="https://podminky.urs.cz/item/CS_URS_2022_01/735152477" TargetMode="External"/><Relationship Id="rId20" Type="http://schemas.openxmlformats.org/officeDocument/2006/relationships/hyperlink" Target="https://podminky.urs.cz/item/CS_URS_2021_02/998731181" TargetMode="External"/><Relationship Id="rId41" Type="http://schemas.openxmlformats.org/officeDocument/2006/relationships/hyperlink" Target="https://podminky.urs.cz/item/CS_URS_2021_02/733224207" TargetMode="External"/><Relationship Id="rId54" Type="http://schemas.openxmlformats.org/officeDocument/2006/relationships/hyperlink" Target="https://podminky.urs.cz/item/CS_URS_2022_01/7342913161" TargetMode="External"/><Relationship Id="rId62" Type="http://schemas.openxmlformats.org/officeDocument/2006/relationships/hyperlink" Target="https://podminky.urs.cz/item/CS_URS_2022_01/735121810" TargetMode="External"/><Relationship Id="rId70" Type="http://schemas.openxmlformats.org/officeDocument/2006/relationships/hyperlink" Target="https://podminky.urs.cz/item/CS_URS_2022_01/998735102" TargetMode="External"/><Relationship Id="rId1" Type="http://schemas.openxmlformats.org/officeDocument/2006/relationships/hyperlink" Target="https://podminky.urs.cz/item/CS_URS_2021_02/310235241" TargetMode="External"/><Relationship Id="rId6" Type="http://schemas.openxmlformats.org/officeDocument/2006/relationships/hyperlink" Target="https://podminky.urs.cz/item/CS_URS_2021_02/977151116" TargetMode="External"/><Relationship Id="rId15" Type="http://schemas.openxmlformats.org/officeDocument/2006/relationships/hyperlink" Target="https://podminky.urs.cz/item/CS_URS_2022_01/731810311" TargetMode="External"/><Relationship Id="rId23" Type="http://schemas.openxmlformats.org/officeDocument/2006/relationships/hyperlink" Target="https://podminky.urs.cz/item/CS_URS_2022_01/732113117" TargetMode="External"/><Relationship Id="rId28" Type="http://schemas.openxmlformats.org/officeDocument/2006/relationships/hyperlink" Target="https://podminky.urs.cz/item/CS_URS_2022_01/998732102" TargetMode="External"/><Relationship Id="rId36" Type="http://schemas.openxmlformats.org/officeDocument/2006/relationships/hyperlink" Target="https://podminky.urs.cz/item/CS_URS_2022_01/733291101" TargetMode="External"/><Relationship Id="rId49" Type="http://schemas.openxmlformats.org/officeDocument/2006/relationships/hyperlink" Target="https://podminky.urs.cz/item/CS_URS_2022_01/734242415" TargetMode="External"/><Relationship Id="rId57" Type="http://schemas.openxmlformats.org/officeDocument/2006/relationships/hyperlink" Target="https://podminky.urs.cz/item/CS_URS_2021_01/734411101" TargetMode="External"/><Relationship Id="rId10" Type="http://schemas.openxmlformats.org/officeDocument/2006/relationships/hyperlink" Target="https://podminky.urs.cz/item/CS_URS_2021_02/997013631" TargetMode="External"/><Relationship Id="rId31" Type="http://schemas.openxmlformats.org/officeDocument/2006/relationships/hyperlink" Target="https://podminky.urs.cz/item/CS_URS_2021_02/733223302" TargetMode="External"/><Relationship Id="rId44" Type="http://schemas.openxmlformats.org/officeDocument/2006/relationships/hyperlink" Target="https://podminky.urs.cz/item/CS_URS_2022_01/998733181" TargetMode="External"/><Relationship Id="rId52" Type="http://schemas.openxmlformats.org/officeDocument/2006/relationships/hyperlink" Target="https://podminky.urs.cz/item/CS_URS_2021_02/734271147" TargetMode="External"/><Relationship Id="rId60" Type="http://schemas.openxmlformats.org/officeDocument/2006/relationships/hyperlink" Target="https://podminky.urs.cz/item/CS_URS_2022_01/998734181" TargetMode="External"/><Relationship Id="rId65" Type="http://schemas.openxmlformats.org/officeDocument/2006/relationships/hyperlink" Target="https://podminky.urs.cz/item/CS_URS_2022_01/735152475" TargetMode="External"/><Relationship Id="rId4" Type="http://schemas.openxmlformats.org/officeDocument/2006/relationships/hyperlink" Target="https://podminky.urs.cz/item/CS_URS_2022_01/965042141" TargetMode="External"/><Relationship Id="rId9" Type="http://schemas.openxmlformats.org/officeDocument/2006/relationships/hyperlink" Target="https://podminky.urs.cz/item/CS_URS_2021_01/997013509" TargetMode="External"/><Relationship Id="rId13" Type="http://schemas.openxmlformats.org/officeDocument/2006/relationships/hyperlink" Target="https://podminky.urs.cz/item/CS_URS_2022_01/731200825" TargetMode="External"/><Relationship Id="rId18" Type="http://schemas.openxmlformats.org/officeDocument/2006/relationships/hyperlink" Target="https://podminky.urs.cz/item/CS_URS_2021_02/731890802" TargetMode="External"/><Relationship Id="rId39" Type="http://schemas.openxmlformats.org/officeDocument/2006/relationships/hyperlink" Target="https://podminky.urs.cz/item/CS_URS_2022_01/733292905" TargetMode="External"/><Relationship Id="rId34" Type="http://schemas.openxmlformats.org/officeDocument/2006/relationships/hyperlink" Target="https://podminky.urs.cz/item/CS_URS_2021_02/733223305" TargetMode="External"/><Relationship Id="rId50" Type="http://schemas.openxmlformats.org/officeDocument/2006/relationships/hyperlink" Target="https://podminky.urs.cz/item/CS_URS_2021_01/734261406" TargetMode="External"/><Relationship Id="rId55" Type="http://schemas.openxmlformats.org/officeDocument/2006/relationships/hyperlink" Target="https://podminky.urs.cz/item/CS_URS_2022_01/734295022"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podminky.urs.cz/item/CS_URS_2021_02/997013631" TargetMode="External"/><Relationship Id="rId13" Type="http://schemas.openxmlformats.org/officeDocument/2006/relationships/hyperlink" Target="https://podminky.urs.cz/item/CS_URS_2021_02/723111306" TargetMode="External"/><Relationship Id="rId18" Type="http://schemas.openxmlformats.org/officeDocument/2006/relationships/hyperlink" Target="https://podminky.urs.cz/item/CS_URS_2021_02/723231164" TargetMode="External"/><Relationship Id="rId3" Type="http://schemas.openxmlformats.org/officeDocument/2006/relationships/hyperlink" Target="https://podminky.urs.cz/item/CS_URS_2021_02/974031132" TargetMode="External"/><Relationship Id="rId21" Type="http://schemas.openxmlformats.org/officeDocument/2006/relationships/hyperlink" Target="https://podminky.urs.cz/item/CS_URS_2021_01/043114000" TargetMode="External"/><Relationship Id="rId7" Type="http://schemas.openxmlformats.org/officeDocument/2006/relationships/hyperlink" Target="https://podminky.urs.cz/item/CS_URS_2021_01/997013509" TargetMode="External"/><Relationship Id="rId12" Type="http://schemas.openxmlformats.org/officeDocument/2006/relationships/hyperlink" Target="https://podminky.urs.cz/item/CS_URS_2021_02/723111305" TargetMode="External"/><Relationship Id="rId17" Type="http://schemas.openxmlformats.org/officeDocument/2006/relationships/hyperlink" Target="https://podminky.urs.cz/item/CS_URS_2021_02/723190909" TargetMode="External"/><Relationship Id="rId2" Type="http://schemas.openxmlformats.org/officeDocument/2006/relationships/hyperlink" Target="https://podminky.urs.cz/item/CS_URS_2021_02/612135101" TargetMode="External"/><Relationship Id="rId16" Type="http://schemas.openxmlformats.org/officeDocument/2006/relationships/hyperlink" Target="https://podminky.urs.cz/item/CS_URS_2021_02/723190907" TargetMode="External"/><Relationship Id="rId20" Type="http://schemas.openxmlformats.org/officeDocument/2006/relationships/hyperlink" Target="https://podminky.urs.cz/item/CS_URS_2021_02/998723181" TargetMode="External"/><Relationship Id="rId1" Type="http://schemas.openxmlformats.org/officeDocument/2006/relationships/hyperlink" Target="https://podminky.urs.cz/item/CS_URS_2021_02/310235241" TargetMode="External"/><Relationship Id="rId6" Type="http://schemas.openxmlformats.org/officeDocument/2006/relationships/hyperlink" Target="https://podminky.urs.cz/item/CS_URS_2021_01/997013501" TargetMode="External"/><Relationship Id="rId11" Type="http://schemas.openxmlformats.org/officeDocument/2006/relationships/hyperlink" Target="https://podminky.urs.cz/item/CS_URS_2021_02/723111304" TargetMode="External"/><Relationship Id="rId5" Type="http://schemas.openxmlformats.org/officeDocument/2006/relationships/hyperlink" Target="https://podminky.urs.cz/item/CS_URS_2021_02/997013214" TargetMode="External"/><Relationship Id="rId15" Type="http://schemas.openxmlformats.org/officeDocument/2006/relationships/hyperlink" Target="https://podminky.urs.cz/item/CS_URS_2021_02/723190901" TargetMode="External"/><Relationship Id="rId23" Type="http://schemas.openxmlformats.org/officeDocument/2006/relationships/drawing" Target="../drawings/drawing4.xml"/><Relationship Id="rId10" Type="http://schemas.openxmlformats.org/officeDocument/2006/relationships/hyperlink" Target="https://podminky.urs.cz/item/CS_URS_2021_02/998011002" TargetMode="External"/><Relationship Id="rId19" Type="http://schemas.openxmlformats.org/officeDocument/2006/relationships/hyperlink" Target="https://podminky.urs.cz/item/CS_URS_2021_02/998723102" TargetMode="External"/><Relationship Id="rId4" Type="http://schemas.openxmlformats.org/officeDocument/2006/relationships/hyperlink" Target="https://podminky.urs.cz/item/CS_URS_2021_02/977151113" TargetMode="External"/><Relationship Id="rId9" Type="http://schemas.openxmlformats.org/officeDocument/2006/relationships/hyperlink" Target="https://podminky.urs.cz/item/CS_URS_2021_01/997221611" TargetMode="External"/><Relationship Id="rId14" Type="http://schemas.openxmlformats.org/officeDocument/2006/relationships/hyperlink" Target="https://podminky.urs.cz/item/CS_URS_2021_02/723120805" TargetMode="External"/><Relationship Id="rId22" Type="http://schemas.openxmlformats.org/officeDocument/2006/relationships/hyperlink" Target="https://podminky.urs.cz/item/CS_URS_2021_01/044002000"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24A90-B3EB-49D4-999D-5F6015A5C075}">
  <sheetPr>
    <pageSetUpPr fitToPage="1"/>
  </sheetPr>
  <dimension ref="A1:AU108"/>
  <sheetViews>
    <sheetView topLeftCell="A99" workbookViewId="0">
      <selection activeCell="G105" sqref="G105"/>
    </sheetView>
  </sheetViews>
  <sheetFormatPr defaultColWidth="11.5703125" defaultRowHeight="12.75" x14ac:dyDescent="0.25"/>
  <cols>
    <col min="1" max="1" width="3.7109375" style="5" customWidth="1"/>
    <col min="2" max="2" width="6.85546875" style="5" customWidth="1"/>
    <col min="3" max="3" width="13.28515625" style="5" customWidth="1"/>
    <col min="4" max="4" width="70" style="5" customWidth="1"/>
    <col min="5" max="5" width="5.85546875" style="5" customWidth="1"/>
    <col min="6" max="6" width="12.85546875" style="5" customWidth="1"/>
    <col min="7" max="7" width="12" style="5" customWidth="1"/>
    <col min="8" max="10" width="14.28515625" style="5" customWidth="1"/>
    <col min="11" max="13" width="11.7109375" style="5" customWidth="1"/>
    <col min="14" max="14" width="0" style="5" hidden="1" customWidth="1"/>
    <col min="15" max="47" width="12.140625" style="5" hidden="1" customWidth="1"/>
    <col min="48" max="256" width="11.5703125" style="5"/>
    <col min="257" max="257" width="3.7109375" style="5" customWidth="1"/>
    <col min="258" max="258" width="6.85546875" style="5" customWidth="1"/>
    <col min="259" max="259" width="13.28515625" style="5" customWidth="1"/>
    <col min="260" max="260" width="70" style="5" customWidth="1"/>
    <col min="261" max="261" width="5.85546875" style="5" customWidth="1"/>
    <col min="262" max="262" width="12.85546875" style="5" customWidth="1"/>
    <col min="263" max="263" width="12" style="5" customWidth="1"/>
    <col min="264" max="266" width="14.28515625" style="5" customWidth="1"/>
    <col min="267" max="269" width="11.7109375" style="5" customWidth="1"/>
    <col min="270" max="303" width="0" style="5" hidden="1" customWidth="1"/>
    <col min="304" max="512" width="11.5703125" style="5"/>
    <col min="513" max="513" width="3.7109375" style="5" customWidth="1"/>
    <col min="514" max="514" width="6.85546875" style="5" customWidth="1"/>
    <col min="515" max="515" width="13.28515625" style="5" customWidth="1"/>
    <col min="516" max="516" width="70" style="5" customWidth="1"/>
    <col min="517" max="517" width="5.85546875" style="5" customWidth="1"/>
    <col min="518" max="518" width="12.85546875" style="5" customWidth="1"/>
    <col min="519" max="519" width="12" style="5" customWidth="1"/>
    <col min="520" max="522" width="14.28515625" style="5" customWidth="1"/>
    <col min="523" max="525" width="11.7109375" style="5" customWidth="1"/>
    <col min="526" max="559" width="0" style="5" hidden="1" customWidth="1"/>
    <col min="560" max="768" width="11.5703125" style="5"/>
    <col min="769" max="769" width="3.7109375" style="5" customWidth="1"/>
    <col min="770" max="770" width="6.85546875" style="5" customWidth="1"/>
    <col min="771" max="771" width="13.28515625" style="5" customWidth="1"/>
    <col min="772" max="772" width="70" style="5" customWidth="1"/>
    <col min="773" max="773" width="5.85546875" style="5" customWidth="1"/>
    <col min="774" max="774" width="12.85546875" style="5" customWidth="1"/>
    <col min="775" max="775" width="12" style="5" customWidth="1"/>
    <col min="776" max="778" width="14.28515625" style="5" customWidth="1"/>
    <col min="779" max="781" width="11.7109375" style="5" customWidth="1"/>
    <col min="782" max="815" width="0" style="5" hidden="1" customWidth="1"/>
    <col min="816" max="1024" width="11.5703125" style="5"/>
    <col min="1025" max="1025" width="3.7109375" style="5" customWidth="1"/>
    <col min="1026" max="1026" width="6.85546875" style="5" customWidth="1"/>
    <col min="1027" max="1027" width="13.28515625" style="5" customWidth="1"/>
    <col min="1028" max="1028" width="70" style="5" customWidth="1"/>
    <col min="1029" max="1029" width="5.85546875" style="5" customWidth="1"/>
    <col min="1030" max="1030" width="12.85546875" style="5" customWidth="1"/>
    <col min="1031" max="1031" width="12" style="5" customWidth="1"/>
    <col min="1032" max="1034" width="14.28515625" style="5" customWidth="1"/>
    <col min="1035" max="1037" width="11.7109375" style="5" customWidth="1"/>
    <col min="1038" max="1071" width="0" style="5" hidden="1" customWidth="1"/>
    <col min="1072" max="1280" width="11.5703125" style="5"/>
    <col min="1281" max="1281" width="3.7109375" style="5" customWidth="1"/>
    <col min="1282" max="1282" width="6.85546875" style="5" customWidth="1"/>
    <col min="1283" max="1283" width="13.28515625" style="5" customWidth="1"/>
    <col min="1284" max="1284" width="70" style="5" customWidth="1"/>
    <col min="1285" max="1285" width="5.85546875" style="5" customWidth="1"/>
    <col min="1286" max="1286" width="12.85546875" style="5" customWidth="1"/>
    <col min="1287" max="1287" width="12" style="5" customWidth="1"/>
    <col min="1288" max="1290" width="14.28515625" style="5" customWidth="1"/>
    <col min="1291" max="1293" width="11.7109375" style="5" customWidth="1"/>
    <col min="1294" max="1327" width="0" style="5" hidden="1" customWidth="1"/>
    <col min="1328" max="1536" width="11.5703125" style="5"/>
    <col min="1537" max="1537" width="3.7109375" style="5" customWidth="1"/>
    <col min="1538" max="1538" width="6.85546875" style="5" customWidth="1"/>
    <col min="1539" max="1539" width="13.28515625" style="5" customWidth="1"/>
    <col min="1540" max="1540" width="70" style="5" customWidth="1"/>
    <col min="1541" max="1541" width="5.85546875" style="5" customWidth="1"/>
    <col min="1542" max="1542" width="12.85546875" style="5" customWidth="1"/>
    <col min="1543" max="1543" width="12" style="5" customWidth="1"/>
    <col min="1544" max="1546" width="14.28515625" style="5" customWidth="1"/>
    <col min="1547" max="1549" width="11.7109375" style="5" customWidth="1"/>
    <col min="1550" max="1583" width="0" style="5" hidden="1" customWidth="1"/>
    <col min="1584" max="1792" width="11.5703125" style="5"/>
    <col min="1793" max="1793" width="3.7109375" style="5" customWidth="1"/>
    <col min="1794" max="1794" width="6.85546875" style="5" customWidth="1"/>
    <col min="1795" max="1795" width="13.28515625" style="5" customWidth="1"/>
    <col min="1796" max="1796" width="70" style="5" customWidth="1"/>
    <col min="1797" max="1797" width="5.85546875" style="5" customWidth="1"/>
    <col min="1798" max="1798" width="12.85546875" style="5" customWidth="1"/>
    <col min="1799" max="1799" width="12" style="5" customWidth="1"/>
    <col min="1800" max="1802" width="14.28515625" style="5" customWidth="1"/>
    <col min="1803" max="1805" width="11.7109375" style="5" customWidth="1"/>
    <col min="1806" max="1839" width="0" style="5" hidden="1" customWidth="1"/>
    <col min="1840" max="2048" width="11.5703125" style="5"/>
    <col min="2049" max="2049" width="3.7109375" style="5" customWidth="1"/>
    <col min="2050" max="2050" width="6.85546875" style="5" customWidth="1"/>
    <col min="2051" max="2051" width="13.28515625" style="5" customWidth="1"/>
    <col min="2052" max="2052" width="70" style="5" customWidth="1"/>
    <col min="2053" max="2053" width="5.85546875" style="5" customWidth="1"/>
    <col min="2054" max="2054" width="12.85546875" style="5" customWidth="1"/>
    <col min="2055" max="2055" width="12" style="5" customWidth="1"/>
    <col min="2056" max="2058" width="14.28515625" style="5" customWidth="1"/>
    <col min="2059" max="2061" width="11.7109375" style="5" customWidth="1"/>
    <col min="2062" max="2095" width="0" style="5" hidden="1" customWidth="1"/>
    <col min="2096" max="2304" width="11.5703125" style="5"/>
    <col min="2305" max="2305" width="3.7109375" style="5" customWidth="1"/>
    <col min="2306" max="2306" width="6.85546875" style="5" customWidth="1"/>
    <col min="2307" max="2307" width="13.28515625" style="5" customWidth="1"/>
    <col min="2308" max="2308" width="70" style="5" customWidth="1"/>
    <col min="2309" max="2309" width="5.85546875" style="5" customWidth="1"/>
    <col min="2310" max="2310" width="12.85546875" style="5" customWidth="1"/>
    <col min="2311" max="2311" width="12" style="5" customWidth="1"/>
    <col min="2312" max="2314" width="14.28515625" style="5" customWidth="1"/>
    <col min="2315" max="2317" width="11.7109375" style="5" customWidth="1"/>
    <col min="2318" max="2351" width="0" style="5" hidden="1" customWidth="1"/>
    <col min="2352" max="2560" width="11.5703125" style="5"/>
    <col min="2561" max="2561" width="3.7109375" style="5" customWidth="1"/>
    <col min="2562" max="2562" width="6.85546875" style="5" customWidth="1"/>
    <col min="2563" max="2563" width="13.28515625" style="5" customWidth="1"/>
    <col min="2564" max="2564" width="70" style="5" customWidth="1"/>
    <col min="2565" max="2565" width="5.85546875" style="5" customWidth="1"/>
    <col min="2566" max="2566" width="12.85546875" style="5" customWidth="1"/>
    <col min="2567" max="2567" width="12" style="5" customWidth="1"/>
    <col min="2568" max="2570" width="14.28515625" style="5" customWidth="1"/>
    <col min="2571" max="2573" width="11.7109375" style="5" customWidth="1"/>
    <col min="2574" max="2607" width="0" style="5" hidden="1" customWidth="1"/>
    <col min="2608" max="2816" width="11.5703125" style="5"/>
    <col min="2817" max="2817" width="3.7109375" style="5" customWidth="1"/>
    <col min="2818" max="2818" width="6.85546875" style="5" customWidth="1"/>
    <col min="2819" max="2819" width="13.28515625" style="5" customWidth="1"/>
    <col min="2820" max="2820" width="70" style="5" customWidth="1"/>
    <col min="2821" max="2821" width="5.85546875" style="5" customWidth="1"/>
    <col min="2822" max="2822" width="12.85546875" style="5" customWidth="1"/>
    <col min="2823" max="2823" width="12" style="5" customWidth="1"/>
    <col min="2824" max="2826" width="14.28515625" style="5" customWidth="1"/>
    <col min="2827" max="2829" width="11.7109375" style="5" customWidth="1"/>
    <col min="2830" max="2863" width="0" style="5" hidden="1" customWidth="1"/>
    <col min="2864" max="3072" width="11.5703125" style="5"/>
    <col min="3073" max="3073" width="3.7109375" style="5" customWidth="1"/>
    <col min="3074" max="3074" width="6.85546875" style="5" customWidth="1"/>
    <col min="3075" max="3075" width="13.28515625" style="5" customWidth="1"/>
    <col min="3076" max="3076" width="70" style="5" customWidth="1"/>
    <col min="3077" max="3077" width="5.85546875" style="5" customWidth="1"/>
    <col min="3078" max="3078" width="12.85546875" style="5" customWidth="1"/>
    <col min="3079" max="3079" width="12" style="5" customWidth="1"/>
    <col min="3080" max="3082" width="14.28515625" style="5" customWidth="1"/>
    <col min="3083" max="3085" width="11.7109375" style="5" customWidth="1"/>
    <col min="3086" max="3119" width="0" style="5" hidden="1" customWidth="1"/>
    <col min="3120" max="3328" width="11.5703125" style="5"/>
    <col min="3329" max="3329" width="3.7109375" style="5" customWidth="1"/>
    <col min="3330" max="3330" width="6.85546875" style="5" customWidth="1"/>
    <col min="3331" max="3331" width="13.28515625" style="5" customWidth="1"/>
    <col min="3332" max="3332" width="70" style="5" customWidth="1"/>
    <col min="3333" max="3333" width="5.85546875" style="5" customWidth="1"/>
    <col min="3334" max="3334" width="12.85546875" style="5" customWidth="1"/>
    <col min="3335" max="3335" width="12" style="5" customWidth="1"/>
    <col min="3336" max="3338" width="14.28515625" style="5" customWidth="1"/>
    <col min="3339" max="3341" width="11.7109375" style="5" customWidth="1"/>
    <col min="3342" max="3375" width="0" style="5" hidden="1" customWidth="1"/>
    <col min="3376" max="3584" width="11.5703125" style="5"/>
    <col min="3585" max="3585" width="3.7109375" style="5" customWidth="1"/>
    <col min="3586" max="3586" width="6.85546875" style="5" customWidth="1"/>
    <col min="3587" max="3587" width="13.28515625" style="5" customWidth="1"/>
    <col min="3588" max="3588" width="70" style="5" customWidth="1"/>
    <col min="3589" max="3589" width="5.85546875" style="5" customWidth="1"/>
    <col min="3590" max="3590" width="12.85546875" style="5" customWidth="1"/>
    <col min="3591" max="3591" width="12" style="5" customWidth="1"/>
    <col min="3592" max="3594" width="14.28515625" style="5" customWidth="1"/>
    <col min="3595" max="3597" width="11.7109375" style="5" customWidth="1"/>
    <col min="3598" max="3631" width="0" style="5" hidden="1" customWidth="1"/>
    <col min="3632" max="3840" width="11.5703125" style="5"/>
    <col min="3841" max="3841" width="3.7109375" style="5" customWidth="1"/>
    <col min="3842" max="3842" width="6.85546875" style="5" customWidth="1"/>
    <col min="3843" max="3843" width="13.28515625" style="5" customWidth="1"/>
    <col min="3844" max="3844" width="70" style="5" customWidth="1"/>
    <col min="3845" max="3845" width="5.85546875" style="5" customWidth="1"/>
    <col min="3846" max="3846" width="12.85546875" style="5" customWidth="1"/>
    <col min="3847" max="3847" width="12" style="5" customWidth="1"/>
    <col min="3848" max="3850" width="14.28515625" style="5" customWidth="1"/>
    <col min="3851" max="3853" width="11.7109375" style="5" customWidth="1"/>
    <col min="3854" max="3887" width="0" style="5" hidden="1" customWidth="1"/>
    <col min="3888" max="4096" width="11.5703125" style="5"/>
    <col min="4097" max="4097" width="3.7109375" style="5" customWidth="1"/>
    <col min="4098" max="4098" width="6.85546875" style="5" customWidth="1"/>
    <col min="4099" max="4099" width="13.28515625" style="5" customWidth="1"/>
    <col min="4100" max="4100" width="70" style="5" customWidth="1"/>
    <col min="4101" max="4101" width="5.85546875" style="5" customWidth="1"/>
    <col min="4102" max="4102" width="12.85546875" style="5" customWidth="1"/>
    <col min="4103" max="4103" width="12" style="5" customWidth="1"/>
    <col min="4104" max="4106" width="14.28515625" style="5" customWidth="1"/>
    <col min="4107" max="4109" width="11.7109375" style="5" customWidth="1"/>
    <col min="4110" max="4143" width="0" style="5" hidden="1" customWidth="1"/>
    <col min="4144" max="4352" width="11.5703125" style="5"/>
    <col min="4353" max="4353" width="3.7109375" style="5" customWidth="1"/>
    <col min="4354" max="4354" width="6.85546875" style="5" customWidth="1"/>
    <col min="4355" max="4355" width="13.28515625" style="5" customWidth="1"/>
    <col min="4356" max="4356" width="70" style="5" customWidth="1"/>
    <col min="4357" max="4357" width="5.85546875" style="5" customWidth="1"/>
    <col min="4358" max="4358" width="12.85546875" style="5" customWidth="1"/>
    <col min="4359" max="4359" width="12" style="5" customWidth="1"/>
    <col min="4360" max="4362" width="14.28515625" style="5" customWidth="1"/>
    <col min="4363" max="4365" width="11.7109375" style="5" customWidth="1"/>
    <col min="4366" max="4399" width="0" style="5" hidden="1" customWidth="1"/>
    <col min="4400" max="4608" width="11.5703125" style="5"/>
    <col min="4609" max="4609" width="3.7109375" style="5" customWidth="1"/>
    <col min="4610" max="4610" width="6.85546875" style="5" customWidth="1"/>
    <col min="4611" max="4611" width="13.28515625" style="5" customWidth="1"/>
    <col min="4612" max="4612" width="70" style="5" customWidth="1"/>
    <col min="4613" max="4613" width="5.85546875" style="5" customWidth="1"/>
    <col min="4614" max="4614" width="12.85546875" style="5" customWidth="1"/>
    <col min="4615" max="4615" width="12" style="5" customWidth="1"/>
    <col min="4616" max="4618" width="14.28515625" style="5" customWidth="1"/>
    <col min="4619" max="4621" width="11.7109375" style="5" customWidth="1"/>
    <col min="4622" max="4655" width="0" style="5" hidden="1" customWidth="1"/>
    <col min="4656" max="4864" width="11.5703125" style="5"/>
    <col min="4865" max="4865" width="3.7109375" style="5" customWidth="1"/>
    <col min="4866" max="4866" width="6.85546875" style="5" customWidth="1"/>
    <col min="4867" max="4867" width="13.28515625" style="5" customWidth="1"/>
    <col min="4868" max="4868" width="70" style="5" customWidth="1"/>
    <col min="4869" max="4869" width="5.85546875" style="5" customWidth="1"/>
    <col min="4870" max="4870" width="12.85546875" style="5" customWidth="1"/>
    <col min="4871" max="4871" width="12" style="5" customWidth="1"/>
    <col min="4872" max="4874" width="14.28515625" style="5" customWidth="1"/>
    <col min="4875" max="4877" width="11.7109375" style="5" customWidth="1"/>
    <col min="4878" max="4911" width="0" style="5" hidden="1" customWidth="1"/>
    <col min="4912" max="5120" width="11.5703125" style="5"/>
    <col min="5121" max="5121" width="3.7109375" style="5" customWidth="1"/>
    <col min="5122" max="5122" width="6.85546875" style="5" customWidth="1"/>
    <col min="5123" max="5123" width="13.28515625" style="5" customWidth="1"/>
    <col min="5124" max="5124" width="70" style="5" customWidth="1"/>
    <col min="5125" max="5125" width="5.85546875" style="5" customWidth="1"/>
    <col min="5126" max="5126" width="12.85546875" style="5" customWidth="1"/>
    <col min="5127" max="5127" width="12" style="5" customWidth="1"/>
    <col min="5128" max="5130" width="14.28515625" style="5" customWidth="1"/>
    <col min="5131" max="5133" width="11.7109375" style="5" customWidth="1"/>
    <col min="5134" max="5167" width="0" style="5" hidden="1" customWidth="1"/>
    <col min="5168" max="5376" width="11.5703125" style="5"/>
    <col min="5377" max="5377" width="3.7109375" style="5" customWidth="1"/>
    <col min="5378" max="5378" width="6.85546875" style="5" customWidth="1"/>
    <col min="5379" max="5379" width="13.28515625" style="5" customWidth="1"/>
    <col min="5380" max="5380" width="70" style="5" customWidth="1"/>
    <col min="5381" max="5381" width="5.85546875" style="5" customWidth="1"/>
    <col min="5382" max="5382" width="12.85546875" style="5" customWidth="1"/>
    <col min="5383" max="5383" width="12" style="5" customWidth="1"/>
    <col min="5384" max="5386" width="14.28515625" style="5" customWidth="1"/>
    <col min="5387" max="5389" width="11.7109375" style="5" customWidth="1"/>
    <col min="5390" max="5423" width="0" style="5" hidden="1" customWidth="1"/>
    <col min="5424" max="5632" width="11.5703125" style="5"/>
    <col min="5633" max="5633" width="3.7109375" style="5" customWidth="1"/>
    <col min="5634" max="5634" width="6.85546875" style="5" customWidth="1"/>
    <col min="5635" max="5635" width="13.28515625" style="5" customWidth="1"/>
    <col min="5636" max="5636" width="70" style="5" customWidth="1"/>
    <col min="5637" max="5637" width="5.85546875" style="5" customWidth="1"/>
    <col min="5638" max="5638" width="12.85546875" style="5" customWidth="1"/>
    <col min="5639" max="5639" width="12" style="5" customWidth="1"/>
    <col min="5640" max="5642" width="14.28515625" style="5" customWidth="1"/>
    <col min="5643" max="5645" width="11.7109375" style="5" customWidth="1"/>
    <col min="5646" max="5679" width="0" style="5" hidden="1" customWidth="1"/>
    <col min="5680" max="5888" width="11.5703125" style="5"/>
    <col min="5889" max="5889" width="3.7109375" style="5" customWidth="1"/>
    <col min="5890" max="5890" width="6.85546875" style="5" customWidth="1"/>
    <col min="5891" max="5891" width="13.28515625" style="5" customWidth="1"/>
    <col min="5892" max="5892" width="70" style="5" customWidth="1"/>
    <col min="5893" max="5893" width="5.85546875" style="5" customWidth="1"/>
    <col min="5894" max="5894" width="12.85546875" style="5" customWidth="1"/>
    <col min="5895" max="5895" width="12" style="5" customWidth="1"/>
    <col min="5896" max="5898" width="14.28515625" style="5" customWidth="1"/>
    <col min="5899" max="5901" width="11.7109375" style="5" customWidth="1"/>
    <col min="5902" max="5935" width="0" style="5" hidden="1" customWidth="1"/>
    <col min="5936" max="6144" width="11.5703125" style="5"/>
    <col min="6145" max="6145" width="3.7109375" style="5" customWidth="1"/>
    <col min="6146" max="6146" width="6.85546875" style="5" customWidth="1"/>
    <col min="6147" max="6147" width="13.28515625" style="5" customWidth="1"/>
    <col min="6148" max="6148" width="70" style="5" customWidth="1"/>
    <col min="6149" max="6149" width="5.85546875" style="5" customWidth="1"/>
    <col min="6150" max="6150" width="12.85546875" style="5" customWidth="1"/>
    <col min="6151" max="6151" width="12" style="5" customWidth="1"/>
    <col min="6152" max="6154" width="14.28515625" style="5" customWidth="1"/>
    <col min="6155" max="6157" width="11.7109375" style="5" customWidth="1"/>
    <col min="6158" max="6191" width="0" style="5" hidden="1" customWidth="1"/>
    <col min="6192" max="6400" width="11.5703125" style="5"/>
    <col min="6401" max="6401" width="3.7109375" style="5" customWidth="1"/>
    <col min="6402" max="6402" width="6.85546875" style="5" customWidth="1"/>
    <col min="6403" max="6403" width="13.28515625" style="5" customWidth="1"/>
    <col min="6404" max="6404" width="70" style="5" customWidth="1"/>
    <col min="6405" max="6405" width="5.85546875" style="5" customWidth="1"/>
    <col min="6406" max="6406" width="12.85546875" style="5" customWidth="1"/>
    <col min="6407" max="6407" width="12" style="5" customWidth="1"/>
    <col min="6408" max="6410" width="14.28515625" style="5" customWidth="1"/>
    <col min="6411" max="6413" width="11.7109375" style="5" customWidth="1"/>
    <col min="6414" max="6447" width="0" style="5" hidden="1" customWidth="1"/>
    <col min="6448" max="6656" width="11.5703125" style="5"/>
    <col min="6657" max="6657" width="3.7109375" style="5" customWidth="1"/>
    <col min="6658" max="6658" width="6.85546875" style="5" customWidth="1"/>
    <col min="6659" max="6659" width="13.28515625" style="5" customWidth="1"/>
    <col min="6660" max="6660" width="70" style="5" customWidth="1"/>
    <col min="6661" max="6661" width="5.85546875" style="5" customWidth="1"/>
    <col min="6662" max="6662" width="12.85546875" style="5" customWidth="1"/>
    <col min="6663" max="6663" width="12" style="5" customWidth="1"/>
    <col min="6664" max="6666" width="14.28515625" style="5" customWidth="1"/>
    <col min="6667" max="6669" width="11.7109375" style="5" customWidth="1"/>
    <col min="6670" max="6703" width="0" style="5" hidden="1" customWidth="1"/>
    <col min="6704" max="6912" width="11.5703125" style="5"/>
    <col min="6913" max="6913" width="3.7109375" style="5" customWidth="1"/>
    <col min="6914" max="6914" width="6.85546875" style="5" customWidth="1"/>
    <col min="6915" max="6915" width="13.28515625" style="5" customWidth="1"/>
    <col min="6916" max="6916" width="70" style="5" customWidth="1"/>
    <col min="6917" max="6917" width="5.85546875" style="5" customWidth="1"/>
    <col min="6918" max="6918" width="12.85546875" style="5" customWidth="1"/>
    <col min="6919" max="6919" width="12" style="5" customWidth="1"/>
    <col min="6920" max="6922" width="14.28515625" style="5" customWidth="1"/>
    <col min="6923" max="6925" width="11.7109375" style="5" customWidth="1"/>
    <col min="6926" max="6959" width="0" style="5" hidden="1" customWidth="1"/>
    <col min="6960" max="7168" width="11.5703125" style="5"/>
    <col min="7169" max="7169" width="3.7109375" style="5" customWidth="1"/>
    <col min="7170" max="7170" width="6.85546875" style="5" customWidth="1"/>
    <col min="7171" max="7171" width="13.28515625" style="5" customWidth="1"/>
    <col min="7172" max="7172" width="70" style="5" customWidth="1"/>
    <col min="7173" max="7173" width="5.85546875" style="5" customWidth="1"/>
    <col min="7174" max="7174" width="12.85546875" style="5" customWidth="1"/>
    <col min="7175" max="7175" width="12" style="5" customWidth="1"/>
    <col min="7176" max="7178" width="14.28515625" style="5" customWidth="1"/>
    <col min="7179" max="7181" width="11.7109375" style="5" customWidth="1"/>
    <col min="7182" max="7215" width="0" style="5" hidden="1" customWidth="1"/>
    <col min="7216" max="7424" width="11.5703125" style="5"/>
    <col min="7425" max="7425" width="3.7109375" style="5" customWidth="1"/>
    <col min="7426" max="7426" width="6.85546875" style="5" customWidth="1"/>
    <col min="7427" max="7427" width="13.28515625" style="5" customWidth="1"/>
    <col min="7428" max="7428" width="70" style="5" customWidth="1"/>
    <col min="7429" max="7429" width="5.85546875" style="5" customWidth="1"/>
    <col min="7430" max="7430" width="12.85546875" style="5" customWidth="1"/>
    <col min="7431" max="7431" width="12" style="5" customWidth="1"/>
    <col min="7432" max="7434" width="14.28515625" style="5" customWidth="1"/>
    <col min="7435" max="7437" width="11.7109375" style="5" customWidth="1"/>
    <col min="7438" max="7471" width="0" style="5" hidden="1" customWidth="1"/>
    <col min="7472" max="7680" width="11.5703125" style="5"/>
    <col min="7681" max="7681" width="3.7109375" style="5" customWidth="1"/>
    <col min="7682" max="7682" width="6.85546875" style="5" customWidth="1"/>
    <col min="7683" max="7683" width="13.28515625" style="5" customWidth="1"/>
    <col min="7684" max="7684" width="70" style="5" customWidth="1"/>
    <col min="7685" max="7685" width="5.85546875" style="5" customWidth="1"/>
    <col min="7686" max="7686" width="12.85546875" style="5" customWidth="1"/>
    <col min="7687" max="7687" width="12" style="5" customWidth="1"/>
    <col min="7688" max="7690" width="14.28515625" style="5" customWidth="1"/>
    <col min="7691" max="7693" width="11.7109375" style="5" customWidth="1"/>
    <col min="7694" max="7727" width="0" style="5" hidden="1" customWidth="1"/>
    <col min="7728" max="7936" width="11.5703125" style="5"/>
    <col min="7937" max="7937" width="3.7109375" style="5" customWidth="1"/>
    <col min="7938" max="7938" width="6.85546875" style="5" customWidth="1"/>
    <col min="7939" max="7939" width="13.28515625" style="5" customWidth="1"/>
    <col min="7940" max="7940" width="70" style="5" customWidth="1"/>
    <col min="7941" max="7941" width="5.85546875" style="5" customWidth="1"/>
    <col min="7942" max="7942" width="12.85546875" style="5" customWidth="1"/>
    <col min="7943" max="7943" width="12" style="5" customWidth="1"/>
    <col min="7944" max="7946" width="14.28515625" style="5" customWidth="1"/>
    <col min="7947" max="7949" width="11.7109375" style="5" customWidth="1"/>
    <col min="7950" max="7983" width="0" style="5" hidden="1" customWidth="1"/>
    <col min="7984" max="8192" width="11.5703125" style="5"/>
    <col min="8193" max="8193" width="3.7109375" style="5" customWidth="1"/>
    <col min="8194" max="8194" width="6.85546875" style="5" customWidth="1"/>
    <col min="8195" max="8195" width="13.28515625" style="5" customWidth="1"/>
    <col min="8196" max="8196" width="70" style="5" customWidth="1"/>
    <col min="8197" max="8197" width="5.85546875" style="5" customWidth="1"/>
    <col min="8198" max="8198" width="12.85546875" style="5" customWidth="1"/>
    <col min="8199" max="8199" width="12" style="5" customWidth="1"/>
    <col min="8200" max="8202" width="14.28515625" style="5" customWidth="1"/>
    <col min="8203" max="8205" width="11.7109375" style="5" customWidth="1"/>
    <col min="8206" max="8239" width="0" style="5" hidden="1" customWidth="1"/>
    <col min="8240" max="8448" width="11.5703125" style="5"/>
    <col min="8449" max="8449" width="3.7109375" style="5" customWidth="1"/>
    <col min="8450" max="8450" width="6.85546875" style="5" customWidth="1"/>
    <col min="8451" max="8451" width="13.28515625" style="5" customWidth="1"/>
    <col min="8452" max="8452" width="70" style="5" customWidth="1"/>
    <col min="8453" max="8453" width="5.85546875" style="5" customWidth="1"/>
    <col min="8454" max="8454" width="12.85546875" style="5" customWidth="1"/>
    <col min="8455" max="8455" width="12" style="5" customWidth="1"/>
    <col min="8456" max="8458" width="14.28515625" style="5" customWidth="1"/>
    <col min="8459" max="8461" width="11.7109375" style="5" customWidth="1"/>
    <col min="8462" max="8495" width="0" style="5" hidden="1" customWidth="1"/>
    <col min="8496" max="8704" width="11.5703125" style="5"/>
    <col min="8705" max="8705" width="3.7109375" style="5" customWidth="1"/>
    <col min="8706" max="8706" width="6.85546875" style="5" customWidth="1"/>
    <col min="8707" max="8707" width="13.28515625" style="5" customWidth="1"/>
    <col min="8708" max="8708" width="70" style="5" customWidth="1"/>
    <col min="8709" max="8709" width="5.85546875" style="5" customWidth="1"/>
    <col min="8710" max="8710" width="12.85546875" style="5" customWidth="1"/>
    <col min="8711" max="8711" width="12" style="5" customWidth="1"/>
    <col min="8712" max="8714" width="14.28515625" style="5" customWidth="1"/>
    <col min="8715" max="8717" width="11.7109375" style="5" customWidth="1"/>
    <col min="8718" max="8751" width="0" style="5" hidden="1" customWidth="1"/>
    <col min="8752" max="8960" width="11.5703125" style="5"/>
    <col min="8961" max="8961" width="3.7109375" style="5" customWidth="1"/>
    <col min="8962" max="8962" width="6.85546875" style="5" customWidth="1"/>
    <col min="8963" max="8963" width="13.28515625" style="5" customWidth="1"/>
    <col min="8964" max="8964" width="70" style="5" customWidth="1"/>
    <col min="8965" max="8965" width="5.85546875" style="5" customWidth="1"/>
    <col min="8966" max="8966" width="12.85546875" style="5" customWidth="1"/>
    <col min="8967" max="8967" width="12" style="5" customWidth="1"/>
    <col min="8968" max="8970" width="14.28515625" style="5" customWidth="1"/>
    <col min="8971" max="8973" width="11.7109375" style="5" customWidth="1"/>
    <col min="8974" max="9007" width="0" style="5" hidden="1" customWidth="1"/>
    <col min="9008" max="9216" width="11.5703125" style="5"/>
    <col min="9217" max="9217" width="3.7109375" style="5" customWidth="1"/>
    <col min="9218" max="9218" width="6.85546875" style="5" customWidth="1"/>
    <col min="9219" max="9219" width="13.28515625" style="5" customWidth="1"/>
    <col min="9220" max="9220" width="70" style="5" customWidth="1"/>
    <col min="9221" max="9221" width="5.85546875" style="5" customWidth="1"/>
    <col min="9222" max="9222" width="12.85546875" style="5" customWidth="1"/>
    <col min="9223" max="9223" width="12" style="5" customWidth="1"/>
    <col min="9224" max="9226" width="14.28515625" style="5" customWidth="1"/>
    <col min="9227" max="9229" width="11.7109375" style="5" customWidth="1"/>
    <col min="9230" max="9263" width="0" style="5" hidden="1" customWidth="1"/>
    <col min="9264" max="9472" width="11.5703125" style="5"/>
    <col min="9473" max="9473" width="3.7109375" style="5" customWidth="1"/>
    <col min="9474" max="9474" width="6.85546875" style="5" customWidth="1"/>
    <col min="9475" max="9475" width="13.28515625" style="5" customWidth="1"/>
    <col min="9476" max="9476" width="70" style="5" customWidth="1"/>
    <col min="9477" max="9477" width="5.85546875" style="5" customWidth="1"/>
    <col min="9478" max="9478" width="12.85546875" style="5" customWidth="1"/>
    <col min="9479" max="9479" width="12" style="5" customWidth="1"/>
    <col min="9480" max="9482" width="14.28515625" style="5" customWidth="1"/>
    <col min="9483" max="9485" width="11.7109375" style="5" customWidth="1"/>
    <col min="9486" max="9519" width="0" style="5" hidden="1" customWidth="1"/>
    <col min="9520" max="9728" width="11.5703125" style="5"/>
    <col min="9729" max="9729" width="3.7109375" style="5" customWidth="1"/>
    <col min="9730" max="9730" width="6.85546875" style="5" customWidth="1"/>
    <col min="9731" max="9731" width="13.28515625" style="5" customWidth="1"/>
    <col min="9732" max="9732" width="70" style="5" customWidth="1"/>
    <col min="9733" max="9733" width="5.85546875" style="5" customWidth="1"/>
    <col min="9734" max="9734" width="12.85546875" style="5" customWidth="1"/>
    <col min="9735" max="9735" width="12" style="5" customWidth="1"/>
    <col min="9736" max="9738" width="14.28515625" style="5" customWidth="1"/>
    <col min="9739" max="9741" width="11.7109375" style="5" customWidth="1"/>
    <col min="9742" max="9775" width="0" style="5" hidden="1" customWidth="1"/>
    <col min="9776" max="9984" width="11.5703125" style="5"/>
    <col min="9985" max="9985" width="3.7109375" style="5" customWidth="1"/>
    <col min="9986" max="9986" width="6.85546875" style="5" customWidth="1"/>
    <col min="9987" max="9987" width="13.28515625" style="5" customWidth="1"/>
    <col min="9988" max="9988" width="70" style="5" customWidth="1"/>
    <col min="9989" max="9989" width="5.85546875" style="5" customWidth="1"/>
    <col min="9990" max="9990" width="12.85546875" style="5" customWidth="1"/>
    <col min="9991" max="9991" width="12" style="5" customWidth="1"/>
    <col min="9992" max="9994" width="14.28515625" style="5" customWidth="1"/>
    <col min="9995" max="9997" width="11.7109375" style="5" customWidth="1"/>
    <col min="9998" max="10031" width="0" style="5" hidden="1" customWidth="1"/>
    <col min="10032" max="10240" width="11.5703125" style="5"/>
    <col min="10241" max="10241" width="3.7109375" style="5" customWidth="1"/>
    <col min="10242" max="10242" width="6.85546875" style="5" customWidth="1"/>
    <col min="10243" max="10243" width="13.28515625" style="5" customWidth="1"/>
    <col min="10244" max="10244" width="70" style="5" customWidth="1"/>
    <col min="10245" max="10245" width="5.85546875" style="5" customWidth="1"/>
    <col min="10246" max="10246" width="12.85546875" style="5" customWidth="1"/>
    <col min="10247" max="10247" width="12" style="5" customWidth="1"/>
    <col min="10248" max="10250" width="14.28515625" style="5" customWidth="1"/>
    <col min="10251" max="10253" width="11.7109375" style="5" customWidth="1"/>
    <col min="10254" max="10287" width="0" style="5" hidden="1" customWidth="1"/>
    <col min="10288" max="10496" width="11.5703125" style="5"/>
    <col min="10497" max="10497" width="3.7109375" style="5" customWidth="1"/>
    <col min="10498" max="10498" width="6.85546875" style="5" customWidth="1"/>
    <col min="10499" max="10499" width="13.28515625" style="5" customWidth="1"/>
    <col min="10500" max="10500" width="70" style="5" customWidth="1"/>
    <col min="10501" max="10501" width="5.85546875" style="5" customWidth="1"/>
    <col min="10502" max="10502" width="12.85546875" style="5" customWidth="1"/>
    <col min="10503" max="10503" width="12" style="5" customWidth="1"/>
    <col min="10504" max="10506" width="14.28515625" style="5" customWidth="1"/>
    <col min="10507" max="10509" width="11.7109375" style="5" customWidth="1"/>
    <col min="10510" max="10543" width="0" style="5" hidden="1" customWidth="1"/>
    <col min="10544" max="10752" width="11.5703125" style="5"/>
    <col min="10753" max="10753" width="3.7109375" style="5" customWidth="1"/>
    <col min="10754" max="10754" width="6.85546875" style="5" customWidth="1"/>
    <col min="10755" max="10755" width="13.28515625" style="5" customWidth="1"/>
    <col min="10756" max="10756" width="70" style="5" customWidth="1"/>
    <col min="10757" max="10757" width="5.85546875" style="5" customWidth="1"/>
    <col min="10758" max="10758" width="12.85546875" style="5" customWidth="1"/>
    <col min="10759" max="10759" width="12" style="5" customWidth="1"/>
    <col min="10760" max="10762" width="14.28515625" style="5" customWidth="1"/>
    <col min="10763" max="10765" width="11.7109375" style="5" customWidth="1"/>
    <col min="10766" max="10799" width="0" style="5" hidden="1" customWidth="1"/>
    <col min="10800" max="11008" width="11.5703125" style="5"/>
    <col min="11009" max="11009" width="3.7109375" style="5" customWidth="1"/>
    <col min="11010" max="11010" width="6.85546875" style="5" customWidth="1"/>
    <col min="11011" max="11011" width="13.28515625" style="5" customWidth="1"/>
    <col min="11012" max="11012" width="70" style="5" customWidth="1"/>
    <col min="11013" max="11013" width="5.85546875" style="5" customWidth="1"/>
    <col min="11014" max="11014" width="12.85546875" style="5" customWidth="1"/>
    <col min="11015" max="11015" width="12" style="5" customWidth="1"/>
    <col min="11016" max="11018" width="14.28515625" style="5" customWidth="1"/>
    <col min="11019" max="11021" width="11.7109375" style="5" customWidth="1"/>
    <col min="11022" max="11055" width="0" style="5" hidden="1" customWidth="1"/>
    <col min="11056" max="11264" width="11.5703125" style="5"/>
    <col min="11265" max="11265" width="3.7109375" style="5" customWidth="1"/>
    <col min="11266" max="11266" width="6.85546875" style="5" customWidth="1"/>
    <col min="11267" max="11267" width="13.28515625" style="5" customWidth="1"/>
    <col min="11268" max="11268" width="70" style="5" customWidth="1"/>
    <col min="11269" max="11269" width="5.85546875" style="5" customWidth="1"/>
    <col min="11270" max="11270" width="12.85546875" style="5" customWidth="1"/>
    <col min="11271" max="11271" width="12" style="5" customWidth="1"/>
    <col min="11272" max="11274" width="14.28515625" style="5" customWidth="1"/>
    <col min="11275" max="11277" width="11.7109375" style="5" customWidth="1"/>
    <col min="11278" max="11311" width="0" style="5" hidden="1" customWidth="1"/>
    <col min="11312" max="11520" width="11.5703125" style="5"/>
    <col min="11521" max="11521" width="3.7109375" style="5" customWidth="1"/>
    <col min="11522" max="11522" width="6.85546875" style="5" customWidth="1"/>
    <col min="11523" max="11523" width="13.28515625" style="5" customWidth="1"/>
    <col min="11524" max="11524" width="70" style="5" customWidth="1"/>
    <col min="11525" max="11525" width="5.85546875" style="5" customWidth="1"/>
    <col min="11526" max="11526" width="12.85546875" style="5" customWidth="1"/>
    <col min="11527" max="11527" width="12" style="5" customWidth="1"/>
    <col min="11528" max="11530" width="14.28515625" style="5" customWidth="1"/>
    <col min="11531" max="11533" width="11.7109375" style="5" customWidth="1"/>
    <col min="11534" max="11567" width="0" style="5" hidden="1" customWidth="1"/>
    <col min="11568" max="11776" width="11.5703125" style="5"/>
    <col min="11777" max="11777" width="3.7109375" style="5" customWidth="1"/>
    <col min="11778" max="11778" width="6.85546875" style="5" customWidth="1"/>
    <col min="11779" max="11779" width="13.28515625" style="5" customWidth="1"/>
    <col min="11780" max="11780" width="70" style="5" customWidth="1"/>
    <col min="11781" max="11781" width="5.85546875" style="5" customWidth="1"/>
    <col min="11782" max="11782" width="12.85546875" style="5" customWidth="1"/>
    <col min="11783" max="11783" width="12" style="5" customWidth="1"/>
    <col min="11784" max="11786" width="14.28515625" style="5" customWidth="1"/>
    <col min="11787" max="11789" width="11.7109375" style="5" customWidth="1"/>
    <col min="11790" max="11823" width="0" style="5" hidden="1" customWidth="1"/>
    <col min="11824" max="12032" width="11.5703125" style="5"/>
    <col min="12033" max="12033" width="3.7109375" style="5" customWidth="1"/>
    <col min="12034" max="12034" width="6.85546875" style="5" customWidth="1"/>
    <col min="12035" max="12035" width="13.28515625" style="5" customWidth="1"/>
    <col min="12036" max="12036" width="70" style="5" customWidth="1"/>
    <col min="12037" max="12037" width="5.85546875" style="5" customWidth="1"/>
    <col min="12038" max="12038" width="12.85546875" style="5" customWidth="1"/>
    <col min="12039" max="12039" width="12" style="5" customWidth="1"/>
    <col min="12040" max="12042" width="14.28515625" style="5" customWidth="1"/>
    <col min="12043" max="12045" width="11.7109375" style="5" customWidth="1"/>
    <col min="12046" max="12079" width="0" style="5" hidden="1" customWidth="1"/>
    <col min="12080" max="12288" width="11.5703125" style="5"/>
    <col min="12289" max="12289" width="3.7109375" style="5" customWidth="1"/>
    <col min="12290" max="12290" width="6.85546875" style="5" customWidth="1"/>
    <col min="12291" max="12291" width="13.28515625" style="5" customWidth="1"/>
    <col min="12292" max="12292" width="70" style="5" customWidth="1"/>
    <col min="12293" max="12293" width="5.85546875" style="5" customWidth="1"/>
    <col min="12294" max="12294" width="12.85546875" style="5" customWidth="1"/>
    <col min="12295" max="12295" width="12" style="5" customWidth="1"/>
    <col min="12296" max="12298" width="14.28515625" style="5" customWidth="1"/>
    <col min="12299" max="12301" width="11.7109375" style="5" customWidth="1"/>
    <col min="12302" max="12335" width="0" style="5" hidden="1" customWidth="1"/>
    <col min="12336" max="12544" width="11.5703125" style="5"/>
    <col min="12545" max="12545" width="3.7109375" style="5" customWidth="1"/>
    <col min="12546" max="12546" width="6.85546875" style="5" customWidth="1"/>
    <col min="12547" max="12547" width="13.28515625" style="5" customWidth="1"/>
    <col min="12548" max="12548" width="70" style="5" customWidth="1"/>
    <col min="12549" max="12549" width="5.85546875" style="5" customWidth="1"/>
    <col min="12550" max="12550" width="12.85546875" style="5" customWidth="1"/>
    <col min="12551" max="12551" width="12" style="5" customWidth="1"/>
    <col min="12552" max="12554" width="14.28515625" style="5" customWidth="1"/>
    <col min="12555" max="12557" width="11.7109375" style="5" customWidth="1"/>
    <col min="12558" max="12591" width="0" style="5" hidden="1" customWidth="1"/>
    <col min="12592" max="12800" width="11.5703125" style="5"/>
    <col min="12801" max="12801" width="3.7109375" style="5" customWidth="1"/>
    <col min="12802" max="12802" width="6.85546875" style="5" customWidth="1"/>
    <col min="12803" max="12803" width="13.28515625" style="5" customWidth="1"/>
    <col min="12804" max="12804" width="70" style="5" customWidth="1"/>
    <col min="12805" max="12805" width="5.85546875" style="5" customWidth="1"/>
    <col min="12806" max="12806" width="12.85546875" style="5" customWidth="1"/>
    <col min="12807" max="12807" width="12" style="5" customWidth="1"/>
    <col min="12808" max="12810" width="14.28515625" style="5" customWidth="1"/>
    <col min="12811" max="12813" width="11.7109375" style="5" customWidth="1"/>
    <col min="12814" max="12847" width="0" style="5" hidden="1" customWidth="1"/>
    <col min="12848" max="13056" width="11.5703125" style="5"/>
    <col min="13057" max="13057" width="3.7109375" style="5" customWidth="1"/>
    <col min="13058" max="13058" width="6.85546875" style="5" customWidth="1"/>
    <col min="13059" max="13059" width="13.28515625" style="5" customWidth="1"/>
    <col min="13060" max="13060" width="70" style="5" customWidth="1"/>
    <col min="13061" max="13061" width="5.85546875" style="5" customWidth="1"/>
    <col min="13062" max="13062" width="12.85546875" style="5" customWidth="1"/>
    <col min="13063" max="13063" width="12" style="5" customWidth="1"/>
    <col min="13064" max="13066" width="14.28515625" style="5" customWidth="1"/>
    <col min="13067" max="13069" width="11.7109375" style="5" customWidth="1"/>
    <col min="13070" max="13103" width="0" style="5" hidden="1" customWidth="1"/>
    <col min="13104" max="13312" width="11.5703125" style="5"/>
    <col min="13313" max="13313" width="3.7109375" style="5" customWidth="1"/>
    <col min="13314" max="13314" width="6.85546875" style="5" customWidth="1"/>
    <col min="13315" max="13315" width="13.28515625" style="5" customWidth="1"/>
    <col min="13316" max="13316" width="70" style="5" customWidth="1"/>
    <col min="13317" max="13317" width="5.85546875" style="5" customWidth="1"/>
    <col min="13318" max="13318" width="12.85546875" style="5" customWidth="1"/>
    <col min="13319" max="13319" width="12" style="5" customWidth="1"/>
    <col min="13320" max="13322" width="14.28515625" style="5" customWidth="1"/>
    <col min="13323" max="13325" width="11.7109375" style="5" customWidth="1"/>
    <col min="13326" max="13359" width="0" style="5" hidden="1" customWidth="1"/>
    <col min="13360" max="13568" width="11.5703125" style="5"/>
    <col min="13569" max="13569" width="3.7109375" style="5" customWidth="1"/>
    <col min="13570" max="13570" width="6.85546875" style="5" customWidth="1"/>
    <col min="13571" max="13571" width="13.28515625" style="5" customWidth="1"/>
    <col min="13572" max="13572" width="70" style="5" customWidth="1"/>
    <col min="13573" max="13573" width="5.85546875" style="5" customWidth="1"/>
    <col min="13574" max="13574" width="12.85546875" style="5" customWidth="1"/>
    <col min="13575" max="13575" width="12" style="5" customWidth="1"/>
    <col min="13576" max="13578" width="14.28515625" style="5" customWidth="1"/>
    <col min="13579" max="13581" width="11.7109375" style="5" customWidth="1"/>
    <col min="13582" max="13615" width="0" style="5" hidden="1" customWidth="1"/>
    <col min="13616" max="13824" width="11.5703125" style="5"/>
    <col min="13825" max="13825" width="3.7109375" style="5" customWidth="1"/>
    <col min="13826" max="13826" width="6.85546875" style="5" customWidth="1"/>
    <col min="13827" max="13827" width="13.28515625" style="5" customWidth="1"/>
    <col min="13828" max="13828" width="70" style="5" customWidth="1"/>
    <col min="13829" max="13829" width="5.85546875" style="5" customWidth="1"/>
    <col min="13830" max="13830" width="12.85546875" style="5" customWidth="1"/>
    <col min="13831" max="13831" width="12" style="5" customWidth="1"/>
    <col min="13832" max="13834" width="14.28515625" style="5" customWidth="1"/>
    <col min="13835" max="13837" width="11.7109375" style="5" customWidth="1"/>
    <col min="13838" max="13871" width="0" style="5" hidden="1" customWidth="1"/>
    <col min="13872" max="14080" width="11.5703125" style="5"/>
    <col min="14081" max="14081" width="3.7109375" style="5" customWidth="1"/>
    <col min="14082" max="14082" width="6.85546875" style="5" customWidth="1"/>
    <col min="14083" max="14083" width="13.28515625" style="5" customWidth="1"/>
    <col min="14084" max="14084" width="70" style="5" customWidth="1"/>
    <col min="14085" max="14085" width="5.85546875" style="5" customWidth="1"/>
    <col min="14086" max="14086" width="12.85546875" style="5" customWidth="1"/>
    <col min="14087" max="14087" width="12" style="5" customWidth="1"/>
    <col min="14088" max="14090" width="14.28515625" style="5" customWidth="1"/>
    <col min="14091" max="14093" width="11.7109375" style="5" customWidth="1"/>
    <col min="14094" max="14127" width="0" style="5" hidden="1" customWidth="1"/>
    <col min="14128" max="14336" width="11.5703125" style="5"/>
    <col min="14337" max="14337" width="3.7109375" style="5" customWidth="1"/>
    <col min="14338" max="14338" width="6.85546875" style="5" customWidth="1"/>
    <col min="14339" max="14339" width="13.28515625" style="5" customWidth="1"/>
    <col min="14340" max="14340" width="70" style="5" customWidth="1"/>
    <col min="14341" max="14341" width="5.85546875" style="5" customWidth="1"/>
    <col min="14342" max="14342" width="12.85546875" style="5" customWidth="1"/>
    <col min="14343" max="14343" width="12" style="5" customWidth="1"/>
    <col min="14344" max="14346" width="14.28515625" style="5" customWidth="1"/>
    <col min="14347" max="14349" width="11.7109375" style="5" customWidth="1"/>
    <col min="14350" max="14383" width="0" style="5" hidden="1" customWidth="1"/>
    <col min="14384" max="14592" width="11.5703125" style="5"/>
    <col min="14593" max="14593" width="3.7109375" style="5" customWidth="1"/>
    <col min="14594" max="14594" width="6.85546875" style="5" customWidth="1"/>
    <col min="14595" max="14595" width="13.28515625" style="5" customWidth="1"/>
    <col min="14596" max="14596" width="70" style="5" customWidth="1"/>
    <col min="14597" max="14597" width="5.85546875" style="5" customWidth="1"/>
    <col min="14598" max="14598" width="12.85546875" style="5" customWidth="1"/>
    <col min="14599" max="14599" width="12" style="5" customWidth="1"/>
    <col min="14600" max="14602" width="14.28515625" style="5" customWidth="1"/>
    <col min="14603" max="14605" width="11.7109375" style="5" customWidth="1"/>
    <col min="14606" max="14639" width="0" style="5" hidden="1" customWidth="1"/>
    <col min="14640" max="14848" width="11.5703125" style="5"/>
    <col min="14849" max="14849" width="3.7109375" style="5" customWidth="1"/>
    <col min="14850" max="14850" width="6.85546875" style="5" customWidth="1"/>
    <col min="14851" max="14851" width="13.28515625" style="5" customWidth="1"/>
    <col min="14852" max="14852" width="70" style="5" customWidth="1"/>
    <col min="14853" max="14853" width="5.85546875" style="5" customWidth="1"/>
    <col min="14854" max="14854" width="12.85546875" style="5" customWidth="1"/>
    <col min="14855" max="14855" width="12" style="5" customWidth="1"/>
    <col min="14856" max="14858" width="14.28515625" style="5" customWidth="1"/>
    <col min="14859" max="14861" width="11.7109375" style="5" customWidth="1"/>
    <col min="14862" max="14895" width="0" style="5" hidden="1" customWidth="1"/>
    <col min="14896" max="15104" width="11.5703125" style="5"/>
    <col min="15105" max="15105" width="3.7109375" style="5" customWidth="1"/>
    <col min="15106" max="15106" width="6.85546875" style="5" customWidth="1"/>
    <col min="15107" max="15107" width="13.28515625" style="5" customWidth="1"/>
    <col min="15108" max="15108" width="70" style="5" customWidth="1"/>
    <col min="15109" max="15109" width="5.85546875" style="5" customWidth="1"/>
    <col min="15110" max="15110" width="12.85546875" style="5" customWidth="1"/>
    <col min="15111" max="15111" width="12" style="5" customWidth="1"/>
    <col min="15112" max="15114" width="14.28515625" style="5" customWidth="1"/>
    <col min="15115" max="15117" width="11.7109375" style="5" customWidth="1"/>
    <col min="15118" max="15151" width="0" style="5" hidden="1" customWidth="1"/>
    <col min="15152" max="15360" width="11.5703125" style="5"/>
    <col min="15361" max="15361" width="3.7109375" style="5" customWidth="1"/>
    <col min="15362" max="15362" width="6.85546875" style="5" customWidth="1"/>
    <col min="15363" max="15363" width="13.28515625" style="5" customWidth="1"/>
    <col min="15364" max="15364" width="70" style="5" customWidth="1"/>
    <col min="15365" max="15365" width="5.85546875" style="5" customWidth="1"/>
    <col min="15366" max="15366" width="12.85546875" style="5" customWidth="1"/>
    <col min="15367" max="15367" width="12" style="5" customWidth="1"/>
    <col min="15368" max="15370" width="14.28515625" style="5" customWidth="1"/>
    <col min="15371" max="15373" width="11.7109375" style="5" customWidth="1"/>
    <col min="15374" max="15407" width="0" style="5" hidden="1" customWidth="1"/>
    <col min="15408" max="15616" width="11.5703125" style="5"/>
    <col min="15617" max="15617" width="3.7109375" style="5" customWidth="1"/>
    <col min="15618" max="15618" width="6.85546875" style="5" customWidth="1"/>
    <col min="15619" max="15619" width="13.28515625" style="5" customWidth="1"/>
    <col min="15620" max="15620" width="70" style="5" customWidth="1"/>
    <col min="15621" max="15621" width="5.85546875" style="5" customWidth="1"/>
    <col min="15622" max="15622" width="12.85546875" style="5" customWidth="1"/>
    <col min="15623" max="15623" width="12" style="5" customWidth="1"/>
    <col min="15624" max="15626" width="14.28515625" style="5" customWidth="1"/>
    <col min="15627" max="15629" width="11.7109375" style="5" customWidth="1"/>
    <col min="15630" max="15663" width="0" style="5" hidden="1" customWidth="1"/>
    <col min="15664" max="15872" width="11.5703125" style="5"/>
    <col min="15873" max="15873" width="3.7109375" style="5" customWidth="1"/>
    <col min="15874" max="15874" width="6.85546875" style="5" customWidth="1"/>
    <col min="15875" max="15875" width="13.28515625" style="5" customWidth="1"/>
    <col min="15876" max="15876" width="70" style="5" customWidth="1"/>
    <col min="15877" max="15877" width="5.85546875" style="5" customWidth="1"/>
    <col min="15878" max="15878" width="12.85546875" style="5" customWidth="1"/>
    <col min="15879" max="15879" width="12" style="5" customWidth="1"/>
    <col min="15880" max="15882" width="14.28515625" style="5" customWidth="1"/>
    <col min="15883" max="15885" width="11.7109375" style="5" customWidth="1"/>
    <col min="15886" max="15919" width="0" style="5" hidden="1" customWidth="1"/>
    <col min="15920" max="16128" width="11.5703125" style="5"/>
    <col min="16129" max="16129" width="3.7109375" style="5" customWidth="1"/>
    <col min="16130" max="16130" width="6.85546875" style="5" customWidth="1"/>
    <col min="16131" max="16131" width="13.28515625" style="5" customWidth="1"/>
    <col min="16132" max="16132" width="70" style="5" customWidth="1"/>
    <col min="16133" max="16133" width="5.85546875" style="5" customWidth="1"/>
    <col min="16134" max="16134" width="12.85546875" style="5" customWidth="1"/>
    <col min="16135" max="16135" width="12" style="5" customWidth="1"/>
    <col min="16136" max="16138" width="14.28515625" style="5" customWidth="1"/>
    <col min="16139" max="16141" width="11.7109375" style="5" customWidth="1"/>
    <col min="16142" max="16175" width="0" style="5" hidden="1" customWidth="1"/>
    <col min="16176" max="16384" width="11.5703125" style="5"/>
  </cols>
  <sheetData>
    <row r="1" spans="1:43" ht="21.95" customHeight="1" x14ac:dyDescent="0.25">
      <c r="A1" s="355" t="s">
        <v>5</v>
      </c>
      <c r="B1" s="356"/>
      <c r="C1" s="356"/>
      <c r="D1" s="356"/>
      <c r="E1" s="356"/>
      <c r="F1" s="356"/>
      <c r="G1" s="356"/>
      <c r="H1" s="356"/>
      <c r="I1" s="356"/>
      <c r="J1" s="356"/>
      <c r="K1" s="356"/>
      <c r="L1" s="356"/>
      <c r="M1" s="356"/>
    </row>
    <row r="2" spans="1:43" x14ac:dyDescent="0.25">
      <c r="A2" s="357" t="s">
        <v>6</v>
      </c>
      <c r="B2" s="358"/>
      <c r="C2" s="358"/>
      <c r="D2" s="359" t="s">
        <v>7</v>
      </c>
      <c r="E2" s="361" t="s">
        <v>8</v>
      </c>
      <c r="F2" s="358"/>
      <c r="G2" s="361"/>
      <c r="H2" s="358"/>
      <c r="I2" s="362" t="s">
        <v>9</v>
      </c>
      <c r="J2" s="362" t="s">
        <v>10</v>
      </c>
      <c r="K2" s="358"/>
      <c r="L2" s="358"/>
      <c r="M2" s="363"/>
      <c r="N2" s="6"/>
    </row>
    <row r="3" spans="1:43" x14ac:dyDescent="0.25">
      <c r="A3" s="354"/>
      <c r="B3" s="337"/>
      <c r="C3" s="337"/>
      <c r="D3" s="360"/>
      <c r="E3" s="337"/>
      <c r="F3" s="337"/>
      <c r="G3" s="337"/>
      <c r="H3" s="337"/>
      <c r="I3" s="337"/>
      <c r="J3" s="337"/>
      <c r="K3" s="337"/>
      <c r="L3" s="337"/>
      <c r="M3" s="352"/>
      <c r="N3" s="6"/>
    </row>
    <row r="4" spans="1:43" x14ac:dyDescent="0.25">
      <c r="A4" s="346" t="s">
        <v>11</v>
      </c>
      <c r="B4" s="337"/>
      <c r="C4" s="337"/>
      <c r="D4" s="336" t="s">
        <v>732</v>
      </c>
      <c r="E4" s="349" t="s">
        <v>13</v>
      </c>
      <c r="F4" s="337"/>
      <c r="G4" s="350">
        <v>44409</v>
      </c>
      <c r="H4" s="337"/>
      <c r="I4" s="336" t="s">
        <v>14</v>
      </c>
      <c r="J4" s="336" t="s">
        <v>15</v>
      </c>
      <c r="K4" s="337"/>
      <c r="L4" s="337"/>
      <c r="M4" s="352"/>
      <c r="N4" s="6"/>
    </row>
    <row r="5" spans="1:43" x14ac:dyDescent="0.25">
      <c r="A5" s="354"/>
      <c r="B5" s="337"/>
      <c r="C5" s="337"/>
      <c r="D5" s="337"/>
      <c r="E5" s="337"/>
      <c r="F5" s="337"/>
      <c r="G5" s="337"/>
      <c r="H5" s="337"/>
      <c r="I5" s="337"/>
      <c r="J5" s="337"/>
      <c r="K5" s="337"/>
      <c r="L5" s="337"/>
      <c r="M5" s="352"/>
      <c r="N5" s="6"/>
    </row>
    <row r="6" spans="1:43" x14ac:dyDescent="0.25">
      <c r="A6" s="346" t="s">
        <v>16</v>
      </c>
      <c r="B6" s="337"/>
      <c r="C6" s="337"/>
      <c r="D6" s="336" t="s">
        <v>17</v>
      </c>
      <c r="E6" s="349" t="s">
        <v>18</v>
      </c>
      <c r="F6" s="337"/>
      <c r="G6" s="337"/>
      <c r="H6" s="337"/>
      <c r="I6" s="336" t="s">
        <v>19</v>
      </c>
      <c r="J6" s="336" t="s">
        <v>20</v>
      </c>
      <c r="K6" s="337"/>
      <c r="L6" s="337"/>
      <c r="M6" s="352"/>
      <c r="N6" s="6"/>
    </row>
    <row r="7" spans="1:43" x14ac:dyDescent="0.25">
      <c r="A7" s="354"/>
      <c r="B7" s="337"/>
      <c r="C7" s="337"/>
      <c r="D7" s="337"/>
      <c r="E7" s="337"/>
      <c r="F7" s="337"/>
      <c r="G7" s="337"/>
      <c r="H7" s="337"/>
      <c r="I7" s="337"/>
      <c r="J7" s="337"/>
      <c r="K7" s="337"/>
      <c r="L7" s="337"/>
      <c r="M7" s="352"/>
      <c r="N7" s="6"/>
    </row>
    <row r="8" spans="1:43" x14ac:dyDescent="0.25">
      <c r="A8" s="346" t="s">
        <v>21</v>
      </c>
      <c r="B8" s="337"/>
      <c r="C8" s="337"/>
      <c r="D8" s="336">
        <v>8016</v>
      </c>
      <c r="E8" s="349" t="s">
        <v>22</v>
      </c>
      <c r="F8" s="337"/>
      <c r="G8" s="350">
        <v>44228</v>
      </c>
      <c r="H8" s="337"/>
      <c r="I8" s="336" t="s">
        <v>23</v>
      </c>
      <c r="J8" s="336" t="s">
        <v>24</v>
      </c>
      <c r="K8" s="337"/>
      <c r="L8" s="337"/>
      <c r="M8" s="352"/>
      <c r="N8" s="6"/>
    </row>
    <row r="9" spans="1:43" ht="13.5" thickBot="1" x14ac:dyDescent="0.3">
      <c r="A9" s="347"/>
      <c r="B9" s="348"/>
      <c r="C9" s="348"/>
      <c r="D9" s="348"/>
      <c r="E9" s="348"/>
      <c r="F9" s="348"/>
      <c r="G9" s="348"/>
      <c r="H9" s="348"/>
      <c r="I9" s="348"/>
      <c r="J9" s="348"/>
      <c r="K9" s="348"/>
      <c r="L9" s="348"/>
      <c r="M9" s="353"/>
      <c r="N9" s="6"/>
    </row>
    <row r="10" spans="1:43" x14ac:dyDescent="0.25">
      <c r="A10" s="7" t="s">
        <v>25</v>
      </c>
      <c r="B10" s="8" t="s">
        <v>26</v>
      </c>
      <c r="C10" s="8" t="s">
        <v>27</v>
      </c>
      <c r="D10" s="8" t="s">
        <v>28</v>
      </c>
      <c r="E10" s="8" t="s">
        <v>29</v>
      </c>
      <c r="F10" s="9" t="s">
        <v>30</v>
      </c>
      <c r="G10" s="10" t="s">
        <v>31</v>
      </c>
      <c r="H10" s="342" t="s">
        <v>32</v>
      </c>
      <c r="I10" s="351"/>
      <c r="J10" s="343"/>
      <c r="K10" s="342" t="s">
        <v>33</v>
      </c>
      <c r="L10" s="343"/>
      <c r="M10" s="11" t="s">
        <v>34</v>
      </c>
      <c r="N10" s="12"/>
    </row>
    <row r="11" spans="1:43" ht="13.5" thickBot="1" x14ac:dyDescent="0.3">
      <c r="A11" s="13" t="s">
        <v>35</v>
      </c>
      <c r="B11" s="14" t="s">
        <v>35</v>
      </c>
      <c r="C11" s="14" t="s">
        <v>35</v>
      </c>
      <c r="D11" s="15" t="s">
        <v>36</v>
      </c>
      <c r="E11" s="14" t="s">
        <v>35</v>
      </c>
      <c r="F11" s="14" t="s">
        <v>35</v>
      </c>
      <c r="G11" s="16" t="s">
        <v>37</v>
      </c>
      <c r="H11" s="17" t="s">
        <v>38</v>
      </c>
      <c r="I11" s="18" t="s">
        <v>39</v>
      </c>
      <c r="J11" s="19" t="s">
        <v>40</v>
      </c>
      <c r="K11" s="17" t="s">
        <v>31</v>
      </c>
      <c r="L11" s="19" t="s">
        <v>40</v>
      </c>
      <c r="M11" s="20" t="s">
        <v>41</v>
      </c>
      <c r="N11" s="12"/>
      <c r="P11" s="21" t="s">
        <v>42</v>
      </c>
      <c r="Q11" s="21" t="s">
        <v>43</v>
      </c>
      <c r="R11" s="21" t="s">
        <v>44</v>
      </c>
      <c r="S11" s="21" t="s">
        <v>45</v>
      </c>
      <c r="T11" s="21" t="s">
        <v>46</v>
      </c>
      <c r="U11" s="21" t="s">
        <v>47</v>
      </c>
      <c r="V11" s="21" t="s">
        <v>48</v>
      </c>
      <c r="W11" s="21" t="s">
        <v>49</v>
      </c>
      <c r="X11" s="21" t="s">
        <v>50</v>
      </c>
    </row>
    <row r="12" spans="1:43" x14ac:dyDescent="0.25">
      <c r="A12" s="22"/>
      <c r="B12" s="23" t="s">
        <v>733</v>
      </c>
      <c r="C12" s="23"/>
      <c r="D12" s="344" t="s">
        <v>734</v>
      </c>
      <c r="E12" s="345"/>
      <c r="F12" s="345"/>
      <c r="G12" s="345"/>
      <c r="H12" s="24">
        <f>H13+H15+H18+H33+H35+H40+H44+H46+H48+H64+H71+H73+H76+H81+H88+H90+H93</f>
        <v>0</v>
      </c>
      <c r="I12" s="24">
        <f>I13+I15+I18+I33+I35+I40+I44+I46+I48+I64+I71+I73+I76+I81+I88+I90+I93</f>
        <v>0</v>
      </c>
      <c r="J12" s="24">
        <f>H12+I12</f>
        <v>0</v>
      </c>
      <c r="K12" s="25"/>
      <c r="L12" s="24">
        <f>L13+L15+L18+L33+L35+L40+L44+L46+L48+L64+L71+L73+L76+L81+L88+L90+L93</f>
        <v>524.28700600000002</v>
      </c>
      <c r="M12" s="25"/>
    </row>
    <row r="13" spans="1:43" x14ac:dyDescent="0.25">
      <c r="A13" s="26"/>
      <c r="B13" s="27" t="s">
        <v>733</v>
      </c>
      <c r="C13" s="27" t="s">
        <v>159</v>
      </c>
      <c r="D13" s="338" t="s">
        <v>735</v>
      </c>
      <c r="E13" s="339"/>
      <c r="F13" s="339"/>
      <c r="G13" s="339"/>
      <c r="H13" s="28">
        <f>SUM(H14:H14)</f>
        <v>0</v>
      </c>
      <c r="I13" s="28">
        <f>SUM(I14:I14)</f>
        <v>0</v>
      </c>
      <c r="J13" s="28">
        <f>H13+I13</f>
        <v>0</v>
      </c>
      <c r="K13" s="21"/>
      <c r="L13" s="28">
        <f>SUM(L14:L14)</f>
        <v>6.5665199999999997</v>
      </c>
      <c r="M13" s="21"/>
      <c r="P13" s="28">
        <f>IF(Q13="PR",J13,SUM(O14:O14))</f>
        <v>0</v>
      </c>
      <c r="Q13" s="21" t="s">
        <v>54</v>
      </c>
      <c r="R13" s="28">
        <f>IF(Q13="HS",H13,0)</f>
        <v>0</v>
      </c>
      <c r="S13" s="28">
        <f>IF(Q13="HS",I13-P13,0)</f>
        <v>0</v>
      </c>
      <c r="T13" s="28">
        <f>IF(Q13="PS",H13,0)</f>
        <v>0</v>
      </c>
      <c r="U13" s="28">
        <f>IF(Q13="PS",I13-P13,0)</f>
        <v>0</v>
      </c>
      <c r="V13" s="28">
        <f>IF(Q13="MP",H13,0)</f>
        <v>0</v>
      </c>
      <c r="W13" s="28">
        <f>IF(Q13="MP",I13-P13,0)</f>
        <v>0</v>
      </c>
      <c r="X13" s="28">
        <f>IF(Q13="OM",H13,0)</f>
        <v>0</v>
      </c>
      <c r="Y13" s="21" t="s">
        <v>733</v>
      </c>
      <c r="AI13" s="28">
        <f>SUM(Z14:Z14)</f>
        <v>0</v>
      </c>
      <c r="AJ13" s="28">
        <f>SUM(AA14:AA14)</f>
        <v>0</v>
      </c>
      <c r="AK13" s="28">
        <f>SUM(AB14:AB14)</f>
        <v>0</v>
      </c>
    </row>
    <row r="14" spans="1:43" s="262" customFormat="1" x14ac:dyDescent="0.25">
      <c r="A14" s="259" t="s">
        <v>55</v>
      </c>
      <c r="B14" s="259" t="s">
        <v>733</v>
      </c>
      <c r="C14" s="259" t="s">
        <v>736</v>
      </c>
      <c r="D14" s="259" t="s">
        <v>2228</v>
      </c>
      <c r="E14" s="259" t="s">
        <v>737</v>
      </c>
      <c r="F14" s="260">
        <v>12</v>
      </c>
      <c r="G14" s="308">
        <v>0</v>
      </c>
      <c r="H14" s="260">
        <f>ROUND(F14*AE14,2)</f>
        <v>0</v>
      </c>
      <c r="I14" s="260">
        <f>J14-H14</f>
        <v>0</v>
      </c>
      <c r="J14" s="260">
        <f>ROUND(F14*G14,2)</f>
        <v>0</v>
      </c>
      <c r="K14" s="260">
        <v>0.54720999999999997</v>
      </c>
      <c r="L14" s="260">
        <f>F14*K14</f>
        <v>6.5665199999999997</v>
      </c>
      <c r="M14" s="261" t="s">
        <v>2292</v>
      </c>
      <c r="N14" s="261" t="s">
        <v>59</v>
      </c>
      <c r="O14" s="260">
        <f>IF(N14="5",I14,0)</f>
        <v>0</v>
      </c>
      <c r="Z14" s="260">
        <f>IF(AD14=0,J14,0)</f>
        <v>0</v>
      </c>
      <c r="AA14" s="260">
        <f>IF(AD14=15,J14,0)</f>
        <v>0</v>
      </c>
      <c r="AB14" s="260">
        <f>IF(AD14=21,J14,0)</f>
        <v>0</v>
      </c>
      <c r="AD14" s="260">
        <v>21</v>
      </c>
      <c r="AE14" s="260">
        <f>G14*0.748379064664842</f>
        <v>0</v>
      </c>
      <c r="AF14" s="260">
        <f>G14*(1-0.748379064664842)</f>
        <v>0</v>
      </c>
      <c r="AM14" s="260">
        <f>F14*AE14</f>
        <v>0</v>
      </c>
      <c r="AN14" s="260">
        <f>F14*AF14</f>
        <v>0</v>
      </c>
      <c r="AO14" s="261" t="s">
        <v>738</v>
      </c>
      <c r="AP14" s="261" t="s">
        <v>739</v>
      </c>
      <c r="AQ14" s="263" t="s">
        <v>740</v>
      </c>
    </row>
    <row r="15" spans="1:43" x14ac:dyDescent="0.25">
      <c r="A15" s="26"/>
      <c r="B15" s="27" t="s">
        <v>733</v>
      </c>
      <c r="C15" s="27" t="s">
        <v>52</v>
      </c>
      <c r="D15" s="338" t="s">
        <v>53</v>
      </c>
      <c r="E15" s="339"/>
      <c r="F15" s="339"/>
      <c r="G15" s="339"/>
      <c r="H15" s="28">
        <f>SUM(H16:H17)</f>
        <v>0</v>
      </c>
      <c r="I15" s="28">
        <f>SUM(I16:I17)</f>
        <v>0</v>
      </c>
      <c r="J15" s="28">
        <f>H15+I15</f>
        <v>0</v>
      </c>
      <c r="K15" s="21"/>
      <c r="L15" s="28">
        <f>SUM(L16:L17)</f>
        <v>4.4814065000000003</v>
      </c>
      <c r="M15" s="21"/>
      <c r="P15" s="28">
        <f>IF(Q15="PR",J15,SUM(O16:O17))</f>
        <v>0</v>
      </c>
      <c r="Q15" s="21" t="s">
        <v>54</v>
      </c>
      <c r="R15" s="28">
        <f>IF(Q15="HS",H15,0)</f>
        <v>0</v>
      </c>
      <c r="S15" s="28">
        <f>IF(Q15="HS",I15-P15,0)</f>
        <v>0</v>
      </c>
      <c r="T15" s="28">
        <f>IF(Q15="PS",H15,0)</f>
        <v>0</v>
      </c>
      <c r="U15" s="28">
        <f>IF(Q15="PS",I15-P15,0)</f>
        <v>0</v>
      </c>
      <c r="V15" s="28">
        <f>IF(Q15="MP",H15,0)</f>
        <v>0</v>
      </c>
      <c r="W15" s="28">
        <f>IF(Q15="MP",I15-P15,0)</f>
        <v>0</v>
      </c>
      <c r="X15" s="28">
        <f>IF(Q15="OM",H15,0)</f>
        <v>0</v>
      </c>
      <c r="Y15" s="21" t="s">
        <v>733</v>
      </c>
      <c r="AI15" s="28">
        <f>SUM(Z16:Z17)</f>
        <v>0</v>
      </c>
      <c r="AJ15" s="28">
        <f>SUM(AA16:AA17)</f>
        <v>0</v>
      </c>
      <c r="AK15" s="28">
        <f>SUM(AB16:AB17)</f>
        <v>0</v>
      </c>
    </row>
    <row r="16" spans="1:43" s="262" customFormat="1" x14ac:dyDescent="0.25">
      <c r="A16" s="259" t="s">
        <v>65</v>
      </c>
      <c r="B16" s="259" t="s">
        <v>733</v>
      </c>
      <c r="C16" s="259" t="s">
        <v>741</v>
      </c>
      <c r="D16" s="259" t="s">
        <v>742</v>
      </c>
      <c r="E16" s="259" t="s">
        <v>104</v>
      </c>
      <c r="F16" s="260">
        <v>986</v>
      </c>
      <c r="G16" s="308">
        <v>0</v>
      </c>
      <c r="H16" s="260">
        <f>ROUND(F16*AE16,2)</f>
        <v>0</v>
      </c>
      <c r="I16" s="260">
        <f>J16-H16</f>
        <v>0</v>
      </c>
      <c r="J16" s="260">
        <f>ROUND(F16*G16,2)</f>
        <v>0</v>
      </c>
      <c r="K16" s="260">
        <v>2.3800000000000002E-3</v>
      </c>
      <c r="L16" s="260">
        <f>F16*K16</f>
        <v>2.3466800000000001</v>
      </c>
      <c r="M16" s="261" t="s">
        <v>2292</v>
      </c>
      <c r="N16" s="261" t="s">
        <v>55</v>
      </c>
      <c r="O16" s="260">
        <f>IF(N16="5",I16,0)</f>
        <v>0</v>
      </c>
      <c r="Z16" s="260">
        <f>IF(AD16=0,J16,0)</f>
        <v>0</v>
      </c>
      <c r="AA16" s="260">
        <f>IF(AD16=15,J16,0)</f>
        <v>0</v>
      </c>
      <c r="AB16" s="260">
        <f>IF(AD16=21,J16,0)</f>
        <v>0</v>
      </c>
      <c r="AD16" s="260">
        <v>21</v>
      </c>
      <c r="AE16" s="260">
        <f>G16*0.133831642641039</f>
        <v>0</v>
      </c>
      <c r="AF16" s="260">
        <f>G16*(1-0.133831642641039)</f>
        <v>0</v>
      </c>
      <c r="AM16" s="260">
        <f>F16*AE16</f>
        <v>0</v>
      </c>
      <c r="AN16" s="260">
        <f>F16*AF16</f>
        <v>0</v>
      </c>
      <c r="AO16" s="261" t="s">
        <v>60</v>
      </c>
      <c r="AP16" s="261" t="s">
        <v>61</v>
      </c>
      <c r="AQ16" s="263" t="s">
        <v>740</v>
      </c>
    </row>
    <row r="17" spans="1:43" s="262" customFormat="1" x14ac:dyDescent="0.25">
      <c r="A17" s="259" t="s">
        <v>59</v>
      </c>
      <c r="B17" s="259" t="s">
        <v>733</v>
      </c>
      <c r="C17" s="259" t="s">
        <v>743</v>
      </c>
      <c r="D17" s="259" t="s">
        <v>744</v>
      </c>
      <c r="E17" s="259" t="s">
        <v>58</v>
      </c>
      <c r="F17" s="260">
        <v>42.23</v>
      </c>
      <c r="G17" s="308">
        <v>0</v>
      </c>
      <c r="H17" s="260">
        <f>ROUND(F17*AE17,2)</f>
        <v>0</v>
      </c>
      <c r="I17" s="260">
        <f>J17-H17</f>
        <v>0</v>
      </c>
      <c r="J17" s="260">
        <f>ROUND(F17*G17,2)</f>
        <v>0</v>
      </c>
      <c r="K17" s="260">
        <v>5.0549999999999998E-2</v>
      </c>
      <c r="L17" s="260">
        <f>F17*K17</f>
        <v>2.1347264999999997</v>
      </c>
      <c r="M17" s="261" t="s">
        <v>2292</v>
      </c>
      <c r="N17" s="261" t="s">
        <v>59</v>
      </c>
      <c r="O17" s="260">
        <f>IF(N17="5",I17,0)</f>
        <v>0</v>
      </c>
      <c r="Z17" s="260">
        <f>IF(AD17=0,J17,0)</f>
        <v>0</v>
      </c>
      <c r="AA17" s="260">
        <f>IF(AD17=15,J17,0)</f>
        <v>0</v>
      </c>
      <c r="AB17" s="260">
        <f>IF(AD17=21,J17,0)</f>
        <v>0</v>
      </c>
      <c r="AD17" s="260">
        <v>21</v>
      </c>
      <c r="AE17" s="260">
        <f>G17*0.198878153358198</f>
        <v>0</v>
      </c>
      <c r="AF17" s="260">
        <f>G17*(1-0.198878153358198)</f>
        <v>0</v>
      </c>
      <c r="AM17" s="260">
        <f>F17*AE17</f>
        <v>0</v>
      </c>
      <c r="AN17" s="260">
        <f>F17*AF17</f>
        <v>0</v>
      </c>
      <c r="AO17" s="261" t="s">
        <v>60</v>
      </c>
      <c r="AP17" s="261" t="s">
        <v>61</v>
      </c>
      <c r="AQ17" s="263" t="s">
        <v>740</v>
      </c>
    </row>
    <row r="18" spans="1:43" x14ac:dyDescent="0.25">
      <c r="A18" s="26"/>
      <c r="B18" s="27" t="s">
        <v>733</v>
      </c>
      <c r="C18" s="27" t="s">
        <v>207</v>
      </c>
      <c r="D18" s="338" t="s">
        <v>745</v>
      </c>
      <c r="E18" s="339"/>
      <c r="F18" s="339"/>
      <c r="G18" s="339"/>
      <c r="H18" s="28">
        <f>SUM(H19:H32)</f>
        <v>0</v>
      </c>
      <c r="I18" s="28">
        <f>SUM(I19:I32)</f>
        <v>0</v>
      </c>
      <c r="J18" s="28">
        <f>H18+I18</f>
        <v>0</v>
      </c>
      <c r="K18" s="21"/>
      <c r="L18" s="28">
        <f>SUM(L19:L32)</f>
        <v>26.701040000000003</v>
      </c>
      <c r="M18" s="21"/>
      <c r="P18" s="28">
        <f>IF(Q18="PR",J18,SUM(O19:O32))</f>
        <v>0</v>
      </c>
      <c r="Q18" s="21" t="s">
        <v>54</v>
      </c>
      <c r="R18" s="28">
        <f>IF(Q18="HS",H18,0)</f>
        <v>0</v>
      </c>
      <c r="S18" s="28">
        <f>IF(Q18="HS",I18-P18,0)</f>
        <v>0</v>
      </c>
      <c r="T18" s="28">
        <f>IF(Q18="PS",H18,0)</f>
        <v>0</v>
      </c>
      <c r="U18" s="28">
        <f>IF(Q18="PS",I18-P18,0)</f>
        <v>0</v>
      </c>
      <c r="V18" s="28">
        <f>IF(Q18="MP",H18,0)</f>
        <v>0</v>
      </c>
      <c r="W18" s="28">
        <f>IF(Q18="MP",I18-P18,0)</f>
        <v>0</v>
      </c>
      <c r="X18" s="28">
        <f>IF(Q18="OM",H18,0)</f>
        <v>0</v>
      </c>
      <c r="Y18" s="21" t="s">
        <v>733</v>
      </c>
      <c r="AI18" s="28">
        <f>SUM(Z19:Z32)</f>
        <v>0</v>
      </c>
      <c r="AJ18" s="28">
        <f>SUM(AA19:AA32)</f>
        <v>0</v>
      </c>
      <c r="AK18" s="28">
        <f>SUM(AB19:AB32)</f>
        <v>0</v>
      </c>
    </row>
    <row r="19" spans="1:43" s="262" customFormat="1" x14ac:dyDescent="0.25">
      <c r="A19" s="259" t="s">
        <v>76</v>
      </c>
      <c r="B19" s="259" t="s">
        <v>733</v>
      </c>
      <c r="C19" s="259" t="s">
        <v>746</v>
      </c>
      <c r="D19" s="259" t="s">
        <v>747</v>
      </c>
      <c r="E19" s="259" t="s">
        <v>58</v>
      </c>
      <c r="F19" s="260">
        <v>311</v>
      </c>
      <c r="G19" s="308">
        <v>0</v>
      </c>
      <c r="H19" s="260">
        <f>ROUND(F19*AE19,2)</f>
        <v>0</v>
      </c>
      <c r="I19" s="260">
        <f>J19-H19</f>
        <v>0</v>
      </c>
      <c r="J19" s="260">
        <f>ROUND(F19*G19,2)</f>
        <v>0</v>
      </c>
      <c r="K19" s="260">
        <v>4.0000000000000003E-5</v>
      </c>
      <c r="L19" s="260">
        <f>F19*K19</f>
        <v>1.2440000000000001E-2</v>
      </c>
      <c r="M19" s="261" t="s">
        <v>2292</v>
      </c>
      <c r="N19" s="261" t="s">
        <v>55</v>
      </c>
      <c r="O19" s="260">
        <f>IF(N19="5",I19,0)</f>
        <v>0</v>
      </c>
      <c r="Z19" s="260">
        <f>IF(AD19=0,J19,0)</f>
        <v>0</v>
      </c>
      <c r="AA19" s="260">
        <f>IF(AD19=15,J19,0)</f>
        <v>0</v>
      </c>
      <c r="AB19" s="260">
        <f>IF(AD19=21,J19,0)</f>
        <v>0</v>
      </c>
      <c r="AD19" s="260">
        <v>21</v>
      </c>
      <c r="AE19" s="260">
        <f>G19*0.394362104039523</f>
        <v>0</v>
      </c>
      <c r="AF19" s="260">
        <f>G19*(1-0.394362104039523)</f>
        <v>0</v>
      </c>
      <c r="AM19" s="260">
        <f>F19*AE19</f>
        <v>0</v>
      </c>
      <c r="AN19" s="260">
        <f>F19*AF19</f>
        <v>0</v>
      </c>
      <c r="AO19" s="261" t="s">
        <v>748</v>
      </c>
      <c r="AP19" s="261" t="s">
        <v>61</v>
      </c>
      <c r="AQ19" s="263" t="s">
        <v>740</v>
      </c>
    </row>
    <row r="20" spans="1:43" ht="51.4" customHeight="1" x14ac:dyDescent="0.25">
      <c r="C20" s="34" t="s">
        <v>63</v>
      </c>
      <c r="D20" s="340" t="s">
        <v>749</v>
      </c>
      <c r="E20" s="341"/>
      <c r="F20" s="341"/>
      <c r="G20" s="341"/>
      <c r="H20" s="341"/>
      <c r="I20" s="341"/>
      <c r="J20" s="341"/>
      <c r="K20" s="341"/>
      <c r="L20" s="341"/>
      <c r="M20" s="341"/>
    </row>
    <row r="21" spans="1:43" s="262" customFormat="1" x14ac:dyDescent="0.25">
      <c r="A21" s="259" t="s">
        <v>82</v>
      </c>
      <c r="B21" s="259" t="s">
        <v>733</v>
      </c>
      <c r="C21" s="259" t="s">
        <v>750</v>
      </c>
      <c r="D21" s="259" t="s">
        <v>751</v>
      </c>
      <c r="E21" s="259" t="s">
        <v>58</v>
      </c>
      <c r="F21" s="260">
        <v>975.4</v>
      </c>
      <c r="G21" s="308">
        <v>0</v>
      </c>
      <c r="H21" s="260">
        <f>ROUND(F21*AE21,2)</f>
        <v>0</v>
      </c>
      <c r="I21" s="260">
        <f>J21-H21</f>
        <v>0</v>
      </c>
      <c r="J21" s="260">
        <f>ROUND(F21*G21,2)</f>
        <v>0</v>
      </c>
      <c r="K21" s="260">
        <v>2.0000000000000002E-5</v>
      </c>
      <c r="L21" s="260">
        <f>F21*K21</f>
        <v>1.9508000000000001E-2</v>
      </c>
      <c r="M21" s="261" t="s">
        <v>2292</v>
      </c>
      <c r="N21" s="261" t="s">
        <v>55</v>
      </c>
      <c r="O21" s="260">
        <f>IF(N21="5",I21,0)</f>
        <v>0</v>
      </c>
      <c r="Z21" s="260">
        <f>IF(AD21=0,J21,0)</f>
        <v>0</v>
      </c>
      <c r="AA21" s="260">
        <f>IF(AD21=15,J21,0)</f>
        <v>0</v>
      </c>
      <c r="AB21" s="260">
        <f>IF(AD21=21,J21,0)</f>
        <v>0</v>
      </c>
      <c r="AD21" s="260">
        <v>21</v>
      </c>
      <c r="AE21" s="260">
        <f>G21*0.0849148418491484</f>
        <v>0</v>
      </c>
      <c r="AF21" s="260">
        <f>G21*(1-0.0849148418491484)</f>
        <v>0</v>
      </c>
      <c r="AM21" s="260">
        <f>F21*AE21</f>
        <v>0</v>
      </c>
      <c r="AN21" s="260">
        <f>F21*AF21</f>
        <v>0</v>
      </c>
      <c r="AO21" s="261" t="s">
        <v>748</v>
      </c>
      <c r="AP21" s="261" t="s">
        <v>61</v>
      </c>
      <c r="AQ21" s="263" t="s">
        <v>740</v>
      </c>
    </row>
    <row r="22" spans="1:43" s="262" customFormat="1" x14ac:dyDescent="0.25">
      <c r="A22" s="259" t="s">
        <v>88</v>
      </c>
      <c r="B22" s="259" t="s">
        <v>733</v>
      </c>
      <c r="C22" s="259" t="s">
        <v>752</v>
      </c>
      <c r="D22" s="259" t="s">
        <v>2293</v>
      </c>
      <c r="E22" s="259" t="s">
        <v>58</v>
      </c>
      <c r="F22" s="260">
        <v>74.400000000000006</v>
      </c>
      <c r="G22" s="308">
        <v>0</v>
      </c>
      <c r="H22" s="260">
        <f>ROUND(F22*AE22,2)</f>
        <v>0</v>
      </c>
      <c r="I22" s="260">
        <f>J22-H22</f>
        <v>0</v>
      </c>
      <c r="J22" s="260">
        <f>ROUND(F22*G22,2)</f>
        <v>0</v>
      </c>
      <c r="K22" s="260">
        <v>1.9949999999999999E-2</v>
      </c>
      <c r="L22" s="260">
        <f>F22*K22</f>
        <v>1.48428</v>
      </c>
      <c r="M22" s="261" t="s">
        <v>2292</v>
      </c>
      <c r="N22" s="261" t="s">
        <v>55</v>
      </c>
      <c r="O22" s="260">
        <f>IF(N22="5",I22,0)</f>
        <v>0</v>
      </c>
      <c r="Z22" s="260">
        <f>IF(AD22=0,J22,0)</f>
        <v>0</v>
      </c>
      <c r="AA22" s="260">
        <f>IF(AD22=15,J22,0)</f>
        <v>0</v>
      </c>
      <c r="AB22" s="260">
        <f>IF(AD22=21,J22,0)</f>
        <v>0</v>
      </c>
      <c r="AD22" s="260">
        <v>21</v>
      </c>
      <c r="AE22" s="260">
        <f>G22*0.629197012138189</f>
        <v>0</v>
      </c>
      <c r="AF22" s="260">
        <f>G22*(1-0.629197012138189)</f>
        <v>0</v>
      </c>
      <c r="AM22" s="260">
        <f>F22*AE22</f>
        <v>0</v>
      </c>
      <c r="AN22" s="260">
        <f>F22*AF22</f>
        <v>0</v>
      </c>
      <c r="AO22" s="261" t="s">
        <v>748</v>
      </c>
      <c r="AP22" s="261" t="s">
        <v>61</v>
      </c>
      <c r="AQ22" s="263" t="s">
        <v>740</v>
      </c>
    </row>
    <row r="23" spans="1:43" ht="25.7" customHeight="1" x14ac:dyDescent="0.25">
      <c r="C23" s="34" t="s">
        <v>63</v>
      </c>
      <c r="D23" s="340" t="s">
        <v>753</v>
      </c>
      <c r="E23" s="341"/>
      <c r="F23" s="341"/>
      <c r="G23" s="341"/>
      <c r="H23" s="341"/>
      <c r="I23" s="341"/>
      <c r="J23" s="341"/>
      <c r="K23" s="341"/>
      <c r="L23" s="341"/>
      <c r="M23" s="341"/>
    </row>
    <row r="24" spans="1:43" s="262" customFormat="1" x14ac:dyDescent="0.25">
      <c r="A24" s="259" t="s">
        <v>95</v>
      </c>
      <c r="B24" s="259" t="s">
        <v>733</v>
      </c>
      <c r="C24" s="259" t="s">
        <v>754</v>
      </c>
      <c r="D24" s="259" t="s">
        <v>755</v>
      </c>
      <c r="E24" s="259" t="s">
        <v>58</v>
      </c>
      <c r="F24" s="260">
        <v>754.5</v>
      </c>
      <c r="G24" s="308">
        <v>0</v>
      </c>
      <c r="H24" s="260">
        <f>ROUND(F24*AE24,2)</f>
        <v>0</v>
      </c>
      <c r="I24" s="260">
        <f>J24-H24</f>
        <v>0</v>
      </c>
      <c r="J24" s="260">
        <f>ROUND(F24*G24,2)</f>
        <v>0</v>
      </c>
      <c r="K24" s="260">
        <v>0</v>
      </c>
      <c r="L24" s="260">
        <f>F24*K24</f>
        <v>0</v>
      </c>
      <c r="M24" s="261" t="s">
        <v>2292</v>
      </c>
      <c r="N24" s="261" t="s">
        <v>55</v>
      </c>
      <c r="O24" s="260">
        <f>IF(N24="5",I24,0)</f>
        <v>0</v>
      </c>
      <c r="Z24" s="260">
        <f>IF(AD24=0,J24,0)</f>
        <v>0</v>
      </c>
      <c r="AA24" s="260">
        <f>IF(AD24=15,J24,0)</f>
        <v>0</v>
      </c>
      <c r="AB24" s="260">
        <f>IF(AD24=21,J24,0)</f>
        <v>0</v>
      </c>
      <c r="AD24" s="260">
        <v>21</v>
      </c>
      <c r="AE24" s="260">
        <f>G24*0.947719846569115</f>
        <v>0</v>
      </c>
      <c r="AF24" s="260">
        <f>G24*(1-0.947719846569115)</f>
        <v>0</v>
      </c>
      <c r="AM24" s="260">
        <f>F24*AE24</f>
        <v>0</v>
      </c>
      <c r="AN24" s="260">
        <f>F24*AF24</f>
        <v>0</v>
      </c>
      <c r="AO24" s="261" t="s">
        <v>748</v>
      </c>
      <c r="AP24" s="261" t="s">
        <v>61</v>
      </c>
      <c r="AQ24" s="263" t="s">
        <v>740</v>
      </c>
    </row>
    <row r="25" spans="1:43" ht="25.7" customHeight="1" x14ac:dyDescent="0.25">
      <c r="C25" s="34" t="s">
        <v>63</v>
      </c>
      <c r="D25" s="340" t="s">
        <v>756</v>
      </c>
      <c r="E25" s="341"/>
      <c r="F25" s="341"/>
      <c r="G25" s="341"/>
      <c r="H25" s="341"/>
      <c r="I25" s="341"/>
      <c r="J25" s="341"/>
      <c r="K25" s="341"/>
      <c r="L25" s="341"/>
      <c r="M25" s="341"/>
    </row>
    <row r="26" spans="1:43" s="262" customFormat="1" x14ac:dyDescent="0.25">
      <c r="A26" s="259" t="s">
        <v>101</v>
      </c>
      <c r="B26" s="259" t="s">
        <v>733</v>
      </c>
      <c r="C26" s="259" t="s">
        <v>752</v>
      </c>
      <c r="D26" s="259" t="s">
        <v>2294</v>
      </c>
      <c r="E26" s="259" t="s">
        <v>58</v>
      </c>
      <c r="F26" s="260">
        <v>680</v>
      </c>
      <c r="G26" s="308">
        <v>0</v>
      </c>
      <c r="H26" s="260">
        <f>ROUND(F26*AE26,2)</f>
        <v>0</v>
      </c>
      <c r="I26" s="260">
        <f>J26-H26</f>
        <v>0</v>
      </c>
      <c r="J26" s="260">
        <f>ROUND(F26*G26,2)</f>
        <v>0</v>
      </c>
      <c r="K26" s="260">
        <v>1.9949999999999999E-2</v>
      </c>
      <c r="L26" s="260">
        <f>F26*K26</f>
        <v>13.565999999999999</v>
      </c>
      <c r="M26" s="261" t="s">
        <v>2292</v>
      </c>
      <c r="N26" s="261" t="s">
        <v>55</v>
      </c>
      <c r="O26" s="260">
        <f>IF(N26="5",I26,0)</f>
        <v>0</v>
      </c>
      <c r="Z26" s="260">
        <f>IF(AD26=0,J26,0)</f>
        <v>0</v>
      </c>
      <c r="AA26" s="260">
        <f>IF(AD26=15,J26,0)</f>
        <v>0</v>
      </c>
      <c r="AB26" s="260">
        <f>IF(AD26=21,J26,0)</f>
        <v>0</v>
      </c>
      <c r="AD26" s="260">
        <v>21</v>
      </c>
      <c r="AE26" s="260">
        <f>G26*0.629197012138189</f>
        <v>0</v>
      </c>
      <c r="AF26" s="260">
        <f>G26*(1-0.629197012138189)</f>
        <v>0</v>
      </c>
      <c r="AM26" s="260">
        <f>F26*AE26</f>
        <v>0</v>
      </c>
      <c r="AN26" s="260">
        <f>F26*AF26</f>
        <v>0</v>
      </c>
      <c r="AO26" s="261" t="s">
        <v>748</v>
      </c>
      <c r="AP26" s="261" t="s">
        <v>61</v>
      </c>
      <c r="AQ26" s="263" t="s">
        <v>740</v>
      </c>
    </row>
    <row r="27" spans="1:43" ht="25.7" customHeight="1" x14ac:dyDescent="0.25">
      <c r="C27" s="34" t="s">
        <v>63</v>
      </c>
      <c r="D27" s="340" t="s">
        <v>753</v>
      </c>
      <c r="E27" s="341"/>
      <c r="F27" s="341"/>
      <c r="G27" s="341"/>
      <c r="H27" s="341"/>
      <c r="I27" s="341"/>
      <c r="J27" s="341"/>
      <c r="K27" s="341"/>
      <c r="L27" s="341"/>
      <c r="M27" s="341"/>
    </row>
    <row r="28" spans="1:43" s="262" customFormat="1" x14ac:dyDescent="0.25">
      <c r="A28" s="259" t="s">
        <v>110</v>
      </c>
      <c r="B28" s="259" t="s">
        <v>733</v>
      </c>
      <c r="C28" s="259" t="s">
        <v>757</v>
      </c>
      <c r="D28" s="259" t="s">
        <v>758</v>
      </c>
      <c r="E28" s="259" t="s">
        <v>58</v>
      </c>
      <c r="F28" s="260">
        <v>257</v>
      </c>
      <c r="G28" s="308">
        <v>0</v>
      </c>
      <c r="H28" s="260">
        <f>ROUND(F28*AE28,2)</f>
        <v>0</v>
      </c>
      <c r="I28" s="260">
        <f>J28-H28</f>
        <v>0</v>
      </c>
      <c r="J28" s="260">
        <f>ROUND(F28*G28,2)</f>
        <v>0</v>
      </c>
      <c r="K28" s="260">
        <v>3.4360000000000002E-2</v>
      </c>
      <c r="L28" s="260">
        <f>F28*K28</f>
        <v>8.8305199999999999</v>
      </c>
      <c r="M28" s="261" t="s">
        <v>2292</v>
      </c>
      <c r="N28" s="261" t="s">
        <v>59</v>
      </c>
      <c r="O28" s="260">
        <f>IF(N28="5",I28,0)</f>
        <v>0</v>
      </c>
      <c r="Z28" s="260">
        <f>IF(AD28=0,J28,0)</f>
        <v>0</v>
      </c>
      <c r="AA28" s="260">
        <f>IF(AD28=15,J28,0)</f>
        <v>0</v>
      </c>
      <c r="AB28" s="260">
        <f>IF(AD28=21,J28,0)</f>
        <v>0</v>
      </c>
      <c r="AD28" s="260">
        <v>21</v>
      </c>
      <c r="AE28" s="260">
        <f>G28*0.431056179775281</f>
        <v>0</v>
      </c>
      <c r="AF28" s="260">
        <f>G28*(1-0.431056179775281)</f>
        <v>0</v>
      </c>
      <c r="AM28" s="260">
        <f>F28*AE28</f>
        <v>0</v>
      </c>
      <c r="AN28" s="260">
        <f>F28*AF28</f>
        <v>0</v>
      </c>
      <c r="AO28" s="261" t="s">
        <v>748</v>
      </c>
      <c r="AP28" s="261" t="s">
        <v>61</v>
      </c>
      <c r="AQ28" s="263" t="s">
        <v>740</v>
      </c>
    </row>
    <row r="29" spans="1:43" ht="25.7" customHeight="1" x14ac:dyDescent="0.25">
      <c r="C29" s="34" t="s">
        <v>63</v>
      </c>
      <c r="D29" s="340" t="s">
        <v>759</v>
      </c>
      <c r="E29" s="341"/>
      <c r="F29" s="341"/>
      <c r="G29" s="341"/>
      <c r="H29" s="341"/>
      <c r="I29" s="341"/>
      <c r="J29" s="341"/>
      <c r="K29" s="341"/>
      <c r="L29" s="341"/>
      <c r="M29" s="341"/>
    </row>
    <row r="30" spans="1:43" s="262" customFormat="1" x14ac:dyDescent="0.25">
      <c r="A30" s="259" t="s">
        <v>116</v>
      </c>
      <c r="B30" s="259" t="s">
        <v>733</v>
      </c>
      <c r="C30" s="259" t="s">
        <v>757</v>
      </c>
      <c r="D30" s="259" t="s">
        <v>758</v>
      </c>
      <c r="E30" s="259" t="s">
        <v>58</v>
      </c>
      <c r="F30" s="260">
        <v>57.2</v>
      </c>
      <c r="G30" s="308">
        <v>0</v>
      </c>
      <c r="H30" s="260">
        <f>ROUND(F30*AE30,2)</f>
        <v>0</v>
      </c>
      <c r="I30" s="260">
        <f>J30-H30</f>
        <v>0</v>
      </c>
      <c r="J30" s="260">
        <f>ROUND(F30*G30,2)</f>
        <v>0</v>
      </c>
      <c r="K30" s="260">
        <v>3.4360000000000002E-2</v>
      </c>
      <c r="L30" s="260">
        <f>F30*K30</f>
        <v>1.9653920000000002</v>
      </c>
      <c r="M30" s="261" t="s">
        <v>2292</v>
      </c>
      <c r="N30" s="261" t="s">
        <v>59</v>
      </c>
      <c r="O30" s="260">
        <f>IF(N30="5",I30,0)</f>
        <v>0</v>
      </c>
      <c r="Z30" s="260">
        <f>IF(AD30=0,J30,0)</f>
        <v>0</v>
      </c>
      <c r="AA30" s="260">
        <f>IF(AD30=15,J30,0)</f>
        <v>0</v>
      </c>
      <c r="AB30" s="260">
        <f>IF(AD30=21,J30,0)</f>
        <v>0</v>
      </c>
      <c r="AD30" s="260">
        <v>21</v>
      </c>
      <c r="AE30" s="260">
        <f>G30*0.431056179775281</f>
        <v>0</v>
      </c>
      <c r="AF30" s="260">
        <f>G30*(1-0.431056179775281)</f>
        <v>0</v>
      </c>
      <c r="AM30" s="260">
        <f>F30*AE30</f>
        <v>0</v>
      </c>
      <c r="AN30" s="260">
        <f>F30*AF30</f>
        <v>0</v>
      </c>
      <c r="AO30" s="261" t="s">
        <v>748</v>
      </c>
      <c r="AP30" s="261" t="s">
        <v>61</v>
      </c>
      <c r="AQ30" s="263" t="s">
        <v>740</v>
      </c>
    </row>
    <row r="31" spans="1:43" ht="25.7" customHeight="1" x14ac:dyDescent="0.25">
      <c r="C31" s="34" t="s">
        <v>63</v>
      </c>
      <c r="D31" s="340" t="s">
        <v>759</v>
      </c>
      <c r="E31" s="341"/>
      <c r="F31" s="341"/>
      <c r="G31" s="341"/>
      <c r="H31" s="341"/>
      <c r="I31" s="341"/>
      <c r="J31" s="341"/>
      <c r="K31" s="341"/>
      <c r="L31" s="341"/>
      <c r="M31" s="341"/>
    </row>
    <row r="32" spans="1:43" s="262" customFormat="1" x14ac:dyDescent="0.25">
      <c r="A32" s="259" t="s">
        <v>118</v>
      </c>
      <c r="B32" s="259" t="s">
        <v>733</v>
      </c>
      <c r="C32" s="259" t="s">
        <v>760</v>
      </c>
      <c r="D32" s="259" t="s">
        <v>761</v>
      </c>
      <c r="E32" s="259" t="s">
        <v>58</v>
      </c>
      <c r="F32" s="260">
        <v>10</v>
      </c>
      <c r="G32" s="308">
        <v>0</v>
      </c>
      <c r="H32" s="260">
        <f>ROUND(F32*AE32,2)</f>
        <v>0</v>
      </c>
      <c r="I32" s="260">
        <f>J32-H32</f>
        <v>0</v>
      </c>
      <c r="J32" s="260">
        <f>ROUND(F32*G32,2)</f>
        <v>0</v>
      </c>
      <c r="K32" s="260">
        <v>8.2290000000000002E-2</v>
      </c>
      <c r="L32" s="260">
        <f>F32*K32</f>
        <v>0.82289999999999996</v>
      </c>
      <c r="M32" s="261" t="s">
        <v>2292</v>
      </c>
      <c r="N32" s="261" t="s">
        <v>59</v>
      </c>
      <c r="O32" s="260">
        <f>IF(N32="5",I32,0)</f>
        <v>0</v>
      </c>
      <c r="Z32" s="260">
        <f>IF(AD32=0,J32,0)</f>
        <v>0</v>
      </c>
      <c r="AA32" s="260">
        <f>IF(AD32=15,J32,0)</f>
        <v>0</v>
      </c>
      <c r="AB32" s="260">
        <f>IF(AD32=21,J32,0)</f>
        <v>0</v>
      </c>
      <c r="AD32" s="260">
        <v>21</v>
      </c>
      <c r="AE32" s="260">
        <f>G32*0.147973988482314</f>
        <v>0</v>
      </c>
      <c r="AF32" s="260">
        <f>G32*(1-0.147973988482314)</f>
        <v>0</v>
      </c>
      <c r="AM32" s="260">
        <f>F32*AE32</f>
        <v>0</v>
      </c>
      <c r="AN32" s="260">
        <f>F32*AF32</f>
        <v>0</v>
      </c>
      <c r="AO32" s="261" t="s">
        <v>748</v>
      </c>
      <c r="AP32" s="261" t="s">
        <v>61</v>
      </c>
      <c r="AQ32" s="263" t="s">
        <v>740</v>
      </c>
    </row>
    <row r="33" spans="1:43" x14ac:dyDescent="0.25">
      <c r="A33" s="26"/>
      <c r="B33" s="27" t="s">
        <v>733</v>
      </c>
      <c r="C33" s="27" t="s">
        <v>130</v>
      </c>
      <c r="D33" s="338" t="s">
        <v>131</v>
      </c>
      <c r="E33" s="339"/>
      <c r="F33" s="339"/>
      <c r="G33" s="339"/>
      <c r="H33" s="28">
        <f>SUM(H34:H34)</f>
        <v>0</v>
      </c>
      <c r="I33" s="28">
        <f>SUM(I34:I34)</f>
        <v>0</v>
      </c>
      <c r="J33" s="28">
        <f>H33+I33</f>
        <v>0</v>
      </c>
      <c r="K33" s="21"/>
      <c r="L33" s="28">
        <f>SUM(L34:L34)</f>
        <v>8.5800000000000001E-2</v>
      </c>
      <c r="M33" s="21"/>
      <c r="P33" s="28">
        <f>IF(Q33="PR",J33,SUM(O34:O34))</f>
        <v>0</v>
      </c>
      <c r="Q33" s="21" t="s">
        <v>54</v>
      </c>
      <c r="R33" s="28">
        <f>IF(Q33="HS",H33,0)</f>
        <v>0</v>
      </c>
      <c r="S33" s="28">
        <f>IF(Q33="HS",I33-P33,0)</f>
        <v>0</v>
      </c>
      <c r="T33" s="28">
        <f>IF(Q33="PS",H33,0)</f>
        <v>0</v>
      </c>
      <c r="U33" s="28">
        <f>IF(Q33="PS",I33-P33,0)</f>
        <v>0</v>
      </c>
      <c r="V33" s="28">
        <f>IF(Q33="MP",H33,0)</f>
        <v>0</v>
      </c>
      <c r="W33" s="28">
        <f>IF(Q33="MP",I33-P33,0)</f>
        <v>0</v>
      </c>
      <c r="X33" s="28">
        <f>IF(Q33="OM",H33,0)</f>
        <v>0</v>
      </c>
      <c r="Y33" s="21" t="s">
        <v>733</v>
      </c>
      <c r="AI33" s="28">
        <f>SUM(Z34:Z34)</f>
        <v>0</v>
      </c>
      <c r="AJ33" s="28">
        <f>SUM(AA34:AA34)</f>
        <v>0</v>
      </c>
      <c r="AK33" s="28">
        <f>SUM(AB34:AB34)</f>
        <v>0</v>
      </c>
    </row>
    <row r="34" spans="1:43" s="262" customFormat="1" x14ac:dyDescent="0.25">
      <c r="A34" s="259" t="s">
        <v>119</v>
      </c>
      <c r="B34" s="259" t="s">
        <v>733</v>
      </c>
      <c r="C34" s="259" t="s">
        <v>762</v>
      </c>
      <c r="D34" s="259" t="s">
        <v>763</v>
      </c>
      <c r="E34" s="259" t="s">
        <v>104</v>
      </c>
      <c r="F34" s="260">
        <v>858</v>
      </c>
      <c r="G34" s="308">
        <v>0</v>
      </c>
      <c r="H34" s="260">
        <f>ROUND(F34*AE34,2)</f>
        <v>0</v>
      </c>
      <c r="I34" s="260">
        <f>J34-H34</f>
        <v>0</v>
      </c>
      <c r="J34" s="260">
        <f>ROUND(F34*G34,2)</f>
        <v>0</v>
      </c>
      <c r="K34" s="260">
        <v>1E-4</v>
      </c>
      <c r="L34" s="260">
        <f>F34*K34</f>
        <v>8.5800000000000001E-2</v>
      </c>
      <c r="M34" s="261" t="s">
        <v>2292</v>
      </c>
      <c r="N34" s="261" t="s">
        <v>55</v>
      </c>
      <c r="O34" s="260">
        <f>IF(N34="5",I34,0)</f>
        <v>0</v>
      </c>
      <c r="Z34" s="260">
        <f>IF(AD34=0,J34,0)</f>
        <v>0</v>
      </c>
      <c r="AA34" s="260">
        <f>IF(AD34=15,J34,0)</f>
        <v>0</v>
      </c>
      <c r="AB34" s="260">
        <f>IF(AD34=21,J34,0)</f>
        <v>0</v>
      </c>
      <c r="AD34" s="260">
        <v>21</v>
      </c>
      <c r="AE34" s="260">
        <f>G34*0.184039304209268</f>
        <v>0</v>
      </c>
      <c r="AF34" s="260">
        <f>G34*(1-0.184039304209268)</f>
        <v>0</v>
      </c>
      <c r="AM34" s="260">
        <f>F34*AE34</f>
        <v>0</v>
      </c>
      <c r="AN34" s="260">
        <f>F34*AF34</f>
        <v>0</v>
      </c>
      <c r="AO34" s="261" t="s">
        <v>135</v>
      </c>
      <c r="AP34" s="261" t="s">
        <v>61</v>
      </c>
      <c r="AQ34" s="263" t="s">
        <v>740</v>
      </c>
    </row>
    <row r="35" spans="1:43" x14ac:dyDescent="0.25">
      <c r="A35" s="26"/>
      <c r="B35" s="27" t="s">
        <v>733</v>
      </c>
      <c r="C35" s="27" t="s">
        <v>764</v>
      </c>
      <c r="D35" s="338" t="s">
        <v>765</v>
      </c>
      <c r="E35" s="339"/>
      <c r="F35" s="339"/>
      <c r="G35" s="339"/>
      <c r="H35" s="28">
        <f>SUM(H36:H39)</f>
        <v>0</v>
      </c>
      <c r="I35" s="28">
        <f>SUM(I36:I39)</f>
        <v>0</v>
      </c>
      <c r="J35" s="28">
        <f>H35+I35</f>
        <v>0</v>
      </c>
      <c r="K35" s="21"/>
      <c r="L35" s="28">
        <f>SUM(L36:L39)</f>
        <v>10.584648</v>
      </c>
      <c r="M35" s="21"/>
      <c r="P35" s="28">
        <f>IF(Q35="PR",J35,SUM(O36:O39))</f>
        <v>0</v>
      </c>
      <c r="Q35" s="21" t="s">
        <v>75</v>
      </c>
      <c r="R35" s="28">
        <f>IF(Q35="HS",H35,0)</f>
        <v>0</v>
      </c>
      <c r="S35" s="28">
        <f>IF(Q35="HS",I35-P35,0)</f>
        <v>0</v>
      </c>
      <c r="T35" s="28">
        <f>IF(Q35="PS",H35,0)</f>
        <v>0</v>
      </c>
      <c r="U35" s="28">
        <f>IF(Q35="PS",I35-P35,0)</f>
        <v>0</v>
      </c>
      <c r="V35" s="28">
        <f>IF(Q35="MP",H35,0)</f>
        <v>0</v>
      </c>
      <c r="W35" s="28">
        <f>IF(Q35="MP",I35-P35,0)</f>
        <v>0</v>
      </c>
      <c r="X35" s="28">
        <f>IF(Q35="OM",H35,0)</f>
        <v>0</v>
      </c>
      <c r="Y35" s="21" t="s">
        <v>733</v>
      </c>
      <c r="AI35" s="28">
        <f>SUM(Z36:Z39)</f>
        <v>0</v>
      </c>
      <c r="AJ35" s="28">
        <f>SUM(AA36:AA39)</f>
        <v>0</v>
      </c>
      <c r="AK35" s="28">
        <f>SUM(AB36:AB39)</f>
        <v>0</v>
      </c>
    </row>
    <row r="36" spans="1:43" s="262" customFormat="1" x14ac:dyDescent="0.25">
      <c r="A36" s="259" t="s">
        <v>120</v>
      </c>
      <c r="B36" s="259" t="s">
        <v>733</v>
      </c>
      <c r="C36" s="259" t="s">
        <v>766</v>
      </c>
      <c r="D36" s="259" t="s">
        <v>767</v>
      </c>
      <c r="E36" s="259" t="s">
        <v>58</v>
      </c>
      <c r="F36" s="260">
        <v>378</v>
      </c>
      <c r="G36" s="308">
        <v>0</v>
      </c>
      <c r="H36" s="260">
        <f>ROUND(F36*AE36,2)</f>
        <v>0</v>
      </c>
      <c r="I36" s="260">
        <f>J36-H36</f>
        <v>0</v>
      </c>
      <c r="J36" s="260">
        <f>ROUND(F36*G36,2)</f>
        <v>0</v>
      </c>
      <c r="K36" s="260">
        <v>1.401E-2</v>
      </c>
      <c r="L36" s="260">
        <f>F36*K36</f>
        <v>5.2957799999999997</v>
      </c>
      <c r="M36" s="261" t="s">
        <v>2292</v>
      </c>
      <c r="N36" s="261" t="s">
        <v>59</v>
      </c>
      <c r="O36" s="260">
        <f>IF(N36="5",I36,0)</f>
        <v>0</v>
      </c>
      <c r="Z36" s="260">
        <f>IF(AD36=0,J36,0)</f>
        <v>0</v>
      </c>
      <c r="AA36" s="260">
        <f>IF(AD36=15,J36,0)</f>
        <v>0</v>
      </c>
      <c r="AB36" s="260">
        <f>IF(AD36=21,J36,0)</f>
        <v>0</v>
      </c>
      <c r="AD36" s="260">
        <v>21</v>
      </c>
      <c r="AE36" s="260">
        <f>G36*0.722397769516729</f>
        <v>0</v>
      </c>
      <c r="AF36" s="260">
        <f>G36*(1-0.722397769516729)</f>
        <v>0</v>
      </c>
      <c r="AM36" s="260">
        <f>F36*AE36</f>
        <v>0</v>
      </c>
      <c r="AN36" s="260">
        <f>F36*AF36</f>
        <v>0</v>
      </c>
      <c r="AO36" s="261" t="s">
        <v>768</v>
      </c>
      <c r="AP36" s="261" t="s">
        <v>769</v>
      </c>
      <c r="AQ36" s="263" t="s">
        <v>740</v>
      </c>
    </row>
    <row r="37" spans="1:43" s="262" customFormat="1" x14ac:dyDescent="0.25">
      <c r="A37" s="259" t="s">
        <v>121</v>
      </c>
      <c r="B37" s="259" t="s">
        <v>733</v>
      </c>
      <c r="C37" s="259" t="s">
        <v>770</v>
      </c>
      <c r="D37" s="259" t="s">
        <v>771</v>
      </c>
      <c r="E37" s="259" t="s">
        <v>58</v>
      </c>
      <c r="F37" s="260">
        <v>40</v>
      </c>
      <c r="G37" s="308">
        <v>0</v>
      </c>
      <c r="H37" s="260">
        <f>ROUND(F37*AE37,2)</f>
        <v>0</v>
      </c>
      <c r="I37" s="260">
        <f>J37-H37</f>
        <v>0</v>
      </c>
      <c r="J37" s="260">
        <f>ROUND(F37*G37,2)</f>
        <v>0</v>
      </c>
      <c r="K37" s="260">
        <v>0.10677</v>
      </c>
      <c r="L37" s="260">
        <f>F37*K37</f>
        <v>4.2708000000000004</v>
      </c>
      <c r="M37" s="261" t="s">
        <v>2292</v>
      </c>
      <c r="N37" s="261" t="s">
        <v>59</v>
      </c>
      <c r="O37" s="260">
        <f>IF(N37="5",I37,0)</f>
        <v>0</v>
      </c>
      <c r="Z37" s="260">
        <f>IF(AD37=0,J37,0)</f>
        <v>0</v>
      </c>
      <c r="AA37" s="260">
        <f>IF(AD37=15,J37,0)</f>
        <v>0</v>
      </c>
      <c r="AB37" s="260">
        <f>IF(AD37=21,J37,0)</f>
        <v>0</v>
      </c>
      <c r="AD37" s="260">
        <v>21</v>
      </c>
      <c r="AE37" s="260">
        <f>G37*0.500354564794443</f>
        <v>0</v>
      </c>
      <c r="AF37" s="260">
        <f>G37*(1-0.500354564794443)</f>
        <v>0</v>
      </c>
      <c r="AM37" s="260">
        <f>F37*AE37</f>
        <v>0</v>
      </c>
      <c r="AN37" s="260">
        <f>F37*AF37</f>
        <v>0</v>
      </c>
      <c r="AO37" s="261" t="s">
        <v>768</v>
      </c>
      <c r="AP37" s="261" t="s">
        <v>769</v>
      </c>
      <c r="AQ37" s="263" t="s">
        <v>740</v>
      </c>
    </row>
    <row r="38" spans="1:43" x14ac:dyDescent="0.25">
      <c r="C38" s="34" t="s">
        <v>63</v>
      </c>
      <c r="D38" s="340" t="s">
        <v>772</v>
      </c>
      <c r="E38" s="341"/>
      <c r="F38" s="341"/>
      <c r="G38" s="341"/>
      <c r="H38" s="341"/>
      <c r="I38" s="341"/>
      <c r="J38" s="341"/>
      <c r="K38" s="341"/>
      <c r="L38" s="341"/>
      <c r="M38" s="341"/>
    </row>
    <row r="39" spans="1:43" s="262" customFormat="1" x14ac:dyDescent="0.25">
      <c r="A39" s="259" t="s">
        <v>124</v>
      </c>
      <c r="B39" s="259" t="s">
        <v>733</v>
      </c>
      <c r="C39" s="259" t="s">
        <v>773</v>
      </c>
      <c r="D39" s="259" t="s">
        <v>774</v>
      </c>
      <c r="E39" s="259" t="s">
        <v>58</v>
      </c>
      <c r="F39" s="260">
        <v>51.6</v>
      </c>
      <c r="G39" s="308">
        <v>0</v>
      </c>
      <c r="H39" s="260">
        <f>ROUND(F39*AE39,2)</f>
        <v>0</v>
      </c>
      <c r="I39" s="260">
        <f>J39-H39</f>
        <v>0</v>
      </c>
      <c r="J39" s="260">
        <f>ROUND(F39*G39,2)</f>
        <v>0</v>
      </c>
      <c r="K39" s="260">
        <v>1.9730000000000001E-2</v>
      </c>
      <c r="L39" s="260">
        <f>F39*K39</f>
        <v>1.018068</v>
      </c>
      <c r="M39" s="261" t="s">
        <v>2292</v>
      </c>
      <c r="N39" s="261" t="s">
        <v>59</v>
      </c>
      <c r="O39" s="260">
        <f>IF(N39="5",I39,0)</f>
        <v>0</v>
      </c>
      <c r="Z39" s="260">
        <f>IF(AD39=0,J39,0)</f>
        <v>0</v>
      </c>
      <c r="AA39" s="260">
        <f>IF(AD39=15,J39,0)</f>
        <v>0</v>
      </c>
      <c r="AB39" s="260">
        <f>IF(AD39=21,J39,0)</f>
        <v>0</v>
      </c>
      <c r="AD39" s="260">
        <v>21</v>
      </c>
      <c r="AE39" s="260">
        <f>G39*0.867191146076405</f>
        <v>0</v>
      </c>
      <c r="AF39" s="260">
        <f>G39*(1-0.867191146076405)</f>
        <v>0</v>
      </c>
      <c r="AM39" s="260">
        <f>F39*AE39</f>
        <v>0</v>
      </c>
      <c r="AN39" s="260">
        <f>F39*AF39</f>
        <v>0</v>
      </c>
      <c r="AO39" s="261" t="s">
        <v>768</v>
      </c>
      <c r="AP39" s="261" t="s">
        <v>769</v>
      </c>
      <c r="AQ39" s="263" t="s">
        <v>740</v>
      </c>
    </row>
    <row r="40" spans="1:43" x14ac:dyDescent="0.25">
      <c r="A40" s="26"/>
      <c r="B40" s="27" t="s">
        <v>733</v>
      </c>
      <c r="C40" s="27" t="s">
        <v>775</v>
      </c>
      <c r="D40" s="338" t="s">
        <v>776</v>
      </c>
      <c r="E40" s="339"/>
      <c r="F40" s="339"/>
      <c r="G40" s="339"/>
      <c r="H40" s="28">
        <f>SUM(H41:H43)</f>
        <v>0</v>
      </c>
      <c r="I40" s="28">
        <f>SUM(I41:I43)</f>
        <v>0</v>
      </c>
      <c r="J40" s="28">
        <f>H40+I40</f>
        <v>0</v>
      </c>
      <c r="K40" s="21"/>
      <c r="L40" s="28">
        <f>SUM(L41:L43)</f>
        <v>0.86561999999999995</v>
      </c>
      <c r="M40" s="21"/>
      <c r="P40" s="28">
        <f>IF(Q40="PR",J40,SUM(O41:O43))</f>
        <v>0</v>
      </c>
      <c r="Q40" s="21" t="s">
        <v>75</v>
      </c>
      <c r="R40" s="28">
        <f>IF(Q40="HS",H40,0)</f>
        <v>0</v>
      </c>
      <c r="S40" s="28">
        <f>IF(Q40="HS",I40-P40,0)</f>
        <v>0</v>
      </c>
      <c r="T40" s="28">
        <f>IF(Q40="PS",H40,0)</f>
        <v>0</v>
      </c>
      <c r="U40" s="28">
        <f>IF(Q40="PS",I40-P40,0)</f>
        <v>0</v>
      </c>
      <c r="V40" s="28">
        <f>IF(Q40="MP",H40,0)</f>
        <v>0</v>
      </c>
      <c r="W40" s="28">
        <f>IF(Q40="MP",I40-P40,0)</f>
        <v>0</v>
      </c>
      <c r="X40" s="28">
        <f>IF(Q40="OM",H40,0)</f>
        <v>0</v>
      </c>
      <c r="Y40" s="21" t="s">
        <v>733</v>
      </c>
      <c r="AI40" s="28">
        <f>SUM(Z41:Z43)</f>
        <v>0</v>
      </c>
      <c r="AJ40" s="28">
        <f>SUM(AA41:AA43)</f>
        <v>0</v>
      </c>
      <c r="AK40" s="28">
        <f>SUM(AB41:AB43)</f>
        <v>0</v>
      </c>
    </row>
    <row r="41" spans="1:43" s="262" customFormat="1" x14ac:dyDescent="0.25">
      <c r="A41" s="259" t="s">
        <v>126</v>
      </c>
      <c r="B41" s="259" t="s">
        <v>733</v>
      </c>
      <c r="C41" s="259" t="s">
        <v>777</v>
      </c>
      <c r="D41" s="259" t="s">
        <v>778</v>
      </c>
      <c r="E41" s="259" t="s">
        <v>58</v>
      </c>
      <c r="F41" s="260">
        <v>378</v>
      </c>
      <c r="G41" s="308">
        <v>0</v>
      </c>
      <c r="H41" s="260">
        <f>ROUND(F41*AE41,2)</f>
        <v>0</v>
      </c>
      <c r="I41" s="260">
        <f>J41-H41</f>
        <v>0</v>
      </c>
      <c r="J41" s="260">
        <f>ROUND(F41*G41,2)</f>
        <v>0</v>
      </c>
      <c r="K41" s="260">
        <v>2.2899999999999999E-3</v>
      </c>
      <c r="L41" s="260">
        <f>F41*K41</f>
        <v>0.86561999999999995</v>
      </c>
      <c r="M41" s="261" t="s">
        <v>2292</v>
      </c>
      <c r="N41" s="261" t="s">
        <v>55</v>
      </c>
      <c r="O41" s="260">
        <f>IF(N41="5",I41,0)</f>
        <v>0</v>
      </c>
      <c r="Z41" s="260">
        <f>IF(AD41=0,J41,0)</f>
        <v>0</v>
      </c>
      <c r="AA41" s="260">
        <f>IF(AD41=15,J41,0)</f>
        <v>0</v>
      </c>
      <c r="AB41" s="260">
        <f>IF(AD41=21,J41,0)</f>
        <v>0</v>
      </c>
      <c r="AD41" s="260">
        <v>21</v>
      </c>
      <c r="AE41" s="260">
        <f>G41*0.568272251308901</f>
        <v>0</v>
      </c>
      <c r="AF41" s="260">
        <f>G41*(1-0.568272251308901)</f>
        <v>0</v>
      </c>
      <c r="AM41" s="260">
        <f>F41*AE41</f>
        <v>0</v>
      </c>
      <c r="AN41" s="260">
        <f>F41*AF41</f>
        <v>0</v>
      </c>
      <c r="AO41" s="261" t="s">
        <v>779</v>
      </c>
      <c r="AP41" s="261" t="s">
        <v>769</v>
      </c>
      <c r="AQ41" s="263" t="s">
        <v>740</v>
      </c>
    </row>
    <row r="42" spans="1:43" ht="25.7" customHeight="1" x14ac:dyDescent="0.25">
      <c r="C42" s="34" t="s">
        <v>63</v>
      </c>
      <c r="D42" s="340" t="s">
        <v>780</v>
      </c>
      <c r="E42" s="341"/>
      <c r="F42" s="341"/>
      <c r="G42" s="341"/>
      <c r="H42" s="341"/>
      <c r="I42" s="341"/>
      <c r="J42" s="341"/>
      <c r="K42" s="341"/>
      <c r="L42" s="341"/>
      <c r="M42" s="341"/>
    </row>
    <row r="43" spans="1:43" s="262" customFormat="1" x14ac:dyDescent="0.25">
      <c r="A43" s="259" t="s">
        <v>128</v>
      </c>
      <c r="B43" s="259" t="s">
        <v>733</v>
      </c>
      <c r="C43" s="259" t="s">
        <v>781</v>
      </c>
      <c r="D43" s="259" t="s">
        <v>782</v>
      </c>
      <c r="E43" s="259" t="s">
        <v>58</v>
      </c>
      <c r="F43" s="260">
        <v>378</v>
      </c>
      <c r="G43" s="308">
        <v>0</v>
      </c>
      <c r="H43" s="260">
        <f>ROUND(F43*AE43,2)</f>
        <v>0</v>
      </c>
      <c r="I43" s="260">
        <f>J43-H43</f>
        <v>0</v>
      </c>
      <c r="J43" s="260">
        <f>ROUND(F43*G43,2)</f>
        <v>0</v>
      </c>
      <c r="K43" s="260">
        <v>0</v>
      </c>
      <c r="L43" s="260">
        <f>F43*K43</f>
        <v>0</v>
      </c>
      <c r="M43" s="261"/>
      <c r="N43" s="261" t="s">
        <v>55</v>
      </c>
      <c r="O43" s="260">
        <f>IF(N43="5",I43,0)</f>
        <v>0</v>
      </c>
      <c r="Z43" s="260">
        <f>IF(AD43=0,J43,0)</f>
        <v>0</v>
      </c>
      <c r="AA43" s="260">
        <f>IF(AD43=15,J43,0)</f>
        <v>0</v>
      </c>
      <c r="AB43" s="260">
        <f>IF(AD43=21,J43,0)</f>
        <v>0</v>
      </c>
      <c r="AD43" s="260">
        <v>21</v>
      </c>
      <c r="AE43" s="260">
        <f>G43*0</f>
        <v>0</v>
      </c>
      <c r="AF43" s="260">
        <f>G43*(1-0)</f>
        <v>0</v>
      </c>
      <c r="AM43" s="260">
        <f>F43*AE43</f>
        <v>0</v>
      </c>
      <c r="AN43" s="260">
        <f>F43*AF43</f>
        <v>0</v>
      </c>
      <c r="AO43" s="261" t="s">
        <v>779</v>
      </c>
      <c r="AP43" s="261" t="s">
        <v>769</v>
      </c>
      <c r="AQ43" s="263" t="s">
        <v>740</v>
      </c>
    </row>
    <row r="44" spans="1:43" x14ac:dyDescent="0.25">
      <c r="A44" s="26"/>
      <c r="B44" s="27" t="s">
        <v>733</v>
      </c>
      <c r="C44" s="27" t="s">
        <v>783</v>
      </c>
      <c r="D44" s="338" t="s">
        <v>784</v>
      </c>
      <c r="E44" s="339"/>
      <c r="F44" s="339"/>
      <c r="G44" s="339"/>
      <c r="H44" s="28">
        <f>SUM(H45:H45)</f>
        <v>0</v>
      </c>
      <c r="I44" s="28">
        <f>SUM(I45:I45)</f>
        <v>0</v>
      </c>
      <c r="J44" s="28">
        <f>H44+I44</f>
        <v>0</v>
      </c>
      <c r="K44" s="21"/>
      <c r="L44" s="28">
        <f>SUM(L45:L45)</f>
        <v>3.6600000000000001E-3</v>
      </c>
      <c r="M44" s="21"/>
      <c r="P44" s="28">
        <f>IF(Q44="PR",J44,SUM(O45:O45))</f>
        <v>0</v>
      </c>
      <c r="Q44" s="21" t="s">
        <v>75</v>
      </c>
      <c r="R44" s="28">
        <f>IF(Q44="HS",H44,0)</f>
        <v>0</v>
      </c>
      <c r="S44" s="28">
        <f>IF(Q44="HS",I44-P44,0)</f>
        <v>0</v>
      </c>
      <c r="T44" s="28">
        <f>IF(Q44="PS",H44,0)</f>
        <v>0</v>
      </c>
      <c r="U44" s="28">
        <f>IF(Q44="PS",I44-P44,0)</f>
        <v>0</v>
      </c>
      <c r="V44" s="28">
        <f>IF(Q44="MP",H44,0)</f>
        <v>0</v>
      </c>
      <c r="W44" s="28">
        <f>IF(Q44="MP",I44-P44,0)</f>
        <v>0</v>
      </c>
      <c r="X44" s="28">
        <f>IF(Q44="OM",H44,0)</f>
        <v>0</v>
      </c>
      <c r="Y44" s="21" t="s">
        <v>733</v>
      </c>
      <c r="AI44" s="28">
        <f>SUM(Z45:Z45)</f>
        <v>0</v>
      </c>
      <c r="AJ44" s="28">
        <f>SUM(AA45:AA45)</f>
        <v>0</v>
      </c>
      <c r="AK44" s="28">
        <f>SUM(AB45:AB45)</f>
        <v>0</v>
      </c>
    </row>
    <row r="45" spans="1:43" s="262" customFormat="1" x14ac:dyDescent="0.25">
      <c r="A45" s="259" t="s">
        <v>129</v>
      </c>
      <c r="B45" s="259" t="s">
        <v>733</v>
      </c>
      <c r="C45" s="259" t="s">
        <v>785</v>
      </c>
      <c r="D45" s="259" t="s">
        <v>2229</v>
      </c>
      <c r="E45" s="259" t="s">
        <v>113</v>
      </c>
      <c r="F45" s="260">
        <v>2</v>
      </c>
      <c r="G45" s="308">
        <v>0</v>
      </c>
      <c r="H45" s="260">
        <f>ROUND(F45*AE45,2)</f>
        <v>0</v>
      </c>
      <c r="I45" s="260">
        <f>J45-H45</f>
        <v>0</v>
      </c>
      <c r="J45" s="260">
        <f>ROUND(F45*G45,2)</f>
        <v>0</v>
      </c>
      <c r="K45" s="260">
        <v>1.83E-3</v>
      </c>
      <c r="L45" s="260">
        <f>F45*K45</f>
        <v>3.6600000000000001E-3</v>
      </c>
      <c r="M45" s="261" t="s">
        <v>2292</v>
      </c>
      <c r="N45" s="261" t="s">
        <v>55</v>
      </c>
      <c r="O45" s="260">
        <f>IF(N45="5",I45,0)</f>
        <v>0</v>
      </c>
      <c r="Z45" s="260">
        <f>IF(AD45=0,J45,0)</f>
        <v>0</v>
      </c>
      <c r="AA45" s="260">
        <f>IF(AD45=15,J45,0)</f>
        <v>0</v>
      </c>
      <c r="AB45" s="260">
        <f>IF(AD45=21,J45,0)</f>
        <v>0</v>
      </c>
      <c r="AD45" s="260">
        <v>21</v>
      </c>
      <c r="AE45" s="260">
        <f>G45*0.966949849772045</f>
        <v>0</v>
      </c>
      <c r="AF45" s="260">
        <f>G45*(1-0.966949849772045)</f>
        <v>0</v>
      </c>
      <c r="AM45" s="260">
        <f>F45*AE45</f>
        <v>0</v>
      </c>
      <c r="AN45" s="260">
        <f>F45*AF45</f>
        <v>0</v>
      </c>
      <c r="AO45" s="261" t="s">
        <v>786</v>
      </c>
      <c r="AP45" s="261" t="s">
        <v>533</v>
      </c>
      <c r="AQ45" s="263" t="s">
        <v>740</v>
      </c>
    </row>
    <row r="46" spans="1:43" x14ac:dyDescent="0.25">
      <c r="A46" s="26"/>
      <c r="B46" s="27" t="s">
        <v>733</v>
      </c>
      <c r="C46" s="27" t="s">
        <v>787</v>
      </c>
      <c r="D46" s="338" t="s">
        <v>788</v>
      </c>
      <c r="E46" s="339"/>
      <c r="F46" s="339"/>
      <c r="G46" s="339"/>
      <c r="H46" s="28">
        <f>SUM(H47:H47)</f>
        <v>0</v>
      </c>
      <c r="I46" s="28">
        <f>SUM(I47:I47)</f>
        <v>0</v>
      </c>
      <c r="J46" s="28">
        <f>H46+I46</f>
        <v>0</v>
      </c>
      <c r="K46" s="21"/>
      <c r="L46" s="28">
        <f>SUM(L47:L47)</f>
        <v>0</v>
      </c>
      <c r="M46" s="21"/>
      <c r="P46" s="28">
        <f>IF(Q46="PR",J46,SUM(O47:O47))</f>
        <v>0</v>
      </c>
      <c r="Q46" s="21" t="s">
        <v>75</v>
      </c>
      <c r="R46" s="28">
        <f>IF(Q46="HS",H46,0)</f>
        <v>0</v>
      </c>
      <c r="S46" s="28">
        <f>IF(Q46="HS",I46-P46,0)</f>
        <v>0</v>
      </c>
      <c r="T46" s="28">
        <f>IF(Q46="PS",H46,0)</f>
        <v>0</v>
      </c>
      <c r="U46" s="28">
        <f>IF(Q46="PS",I46-P46,0)</f>
        <v>0</v>
      </c>
      <c r="V46" s="28">
        <f>IF(Q46="MP",H46,0)</f>
        <v>0</v>
      </c>
      <c r="W46" s="28">
        <f>IF(Q46="MP",I46-P46,0)</f>
        <v>0</v>
      </c>
      <c r="X46" s="28">
        <f>IF(Q46="OM",H46,0)</f>
        <v>0</v>
      </c>
      <c r="Y46" s="21" t="s">
        <v>733</v>
      </c>
      <c r="AI46" s="28">
        <f>SUM(Z47:Z47)</f>
        <v>0</v>
      </c>
      <c r="AJ46" s="28">
        <f>SUM(AA47:AA47)</f>
        <v>0</v>
      </c>
      <c r="AK46" s="28">
        <f>SUM(AB47:AB47)</f>
        <v>0</v>
      </c>
    </row>
    <row r="47" spans="1:43" s="262" customFormat="1" x14ac:dyDescent="0.25">
      <c r="A47" s="259" t="s">
        <v>132</v>
      </c>
      <c r="B47" s="259" t="s">
        <v>733</v>
      </c>
      <c r="C47" s="259" t="s">
        <v>789</v>
      </c>
      <c r="D47" s="259" t="s">
        <v>790</v>
      </c>
      <c r="E47" s="259" t="s">
        <v>113</v>
      </c>
      <c r="F47" s="260">
        <v>6</v>
      </c>
      <c r="G47" s="308">
        <v>0</v>
      </c>
      <c r="H47" s="260">
        <f>ROUND(F47*AE47,2)</f>
        <v>0</v>
      </c>
      <c r="I47" s="260">
        <f>J47-H47</f>
        <v>0</v>
      </c>
      <c r="J47" s="260">
        <f>ROUND(F47*G47,2)</f>
        <v>0</v>
      </c>
      <c r="K47" s="260">
        <v>0</v>
      </c>
      <c r="L47" s="260">
        <f>F47*K47</f>
        <v>0</v>
      </c>
      <c r="M47" s="261" t="s">
        <v>2292</v>
      </c>
      <c r="N47" s="261" t="s">
        <v>55</v>
      </c>
      <c r="O47" s="260">
        <f>IF(N47="5",I47,0)</f>
        <v>0</v>
      </c>
      <c r="Z47" s="260">
        <f>IF(AD47=0,J47,0)</f>
        <v>0</v>
      </c>
      <c r="AA47" s="260">
        <f>IF(AD47=15,J47,0)</f>
        <v>0</v>
      </c>
      <c r="AB47" s="260">
        <f>IF(AD47=21,J47,0)</f>
        <v>0</v>
      </c>
      <c r="AD47" s="260">
        <v>21</v>
      </c>
      <c r="AE47" s="260">
        <f>G47*0</f>
        <v>0</v>
      </c>
      <c r="AF47" s="260">
        <f>G47*(1-0)</f>
        <v>0</v>
      </c>
      <c r="AM47" s="260">
        <f>F47*AE47</f>
        <v>0</v>
      </c>
      <c r="AN47" s="260">
        <f>F47*AF47</f>
        <v>0</v>
      </c>
      <c r="AO47" s="261" t="s">
        <v>791</v>
      </c>
      <c r="AP47" s="261" t="s">
        <v>533</v>
      </c>
      <c r="AQ47" s="263" t="s">
        <v>740</v>
      </c>
    </row>
    <row r="48" spans="1:43" x14ac:dyDescent="0.25">
      <c r="A48" s="26"/>
      <c r="B48" s="27" t="s">
        <v>733</v>
      </c>
      <c r="C48" s="27" t="s">
        <v>792</v>
      </c>
      <c r="D48" s="338" t="s">
        <v>793</v>
      </c>
      <c r="E48" s="339"/>
      <c r="F48" s="339"/>
      <c r="G48" s="339"/>
      <c r="H48" s="28">
        <f>SUM(H49:H63)</f>
        <v>0</v>
      </c>
      <c r="I48" s="28">
        <f>SUM(I49:I63)</f>
        <v>0</v>
      </c>
      <c r="J48" s="28">
        <f>H48+I48</f>
        <v>0</v>
      </c>
      <c r="K48" s="21"/>
      <c r="L48" s="28">
        <f>SUM(L49:L63)</f>
        <v>1.5173505000000005</v>
      </c>
      <c r="M48" s="21"/>
      <c r="P48" s="28">
        <f>IF(Q48="PR",J48,SUM(O49:O63))</f>
        <v>0</v>
      </c>
      <c r="Q48" s="21" t="s">
        <v>75</v>
      </c>
      <c r="R48" s="28">
        <f>IF(Q48="HS",H48,0)</f>
        <v>0</v>
      </c>
      <c r="S48" s="28">
        <f>IF(Q48="HS",I48-P48,0)</f>
        <v>0</v>
      </c>
      <c r="T48" s="28">
        <f>IF(Q48="PS",H48,0)</f>
        <v>0</v>
      </c>
      <c r="U48" s="28">
        <f>IF(Q48="PS",I48-P48,0)</f>
        <v>0</v>
      </c>
      <c r="V48" s="28">
        <f>IF(Q48="MP",H48,0)</f>
        <v>0</v>
      </c>
      <c r="W48" s="28">
        <f>IF(Q48="MP",I48-P48,0)</f>
        <v>0</v>
      </c>
      <c r="X48" s="28">
        <f>IF(Q48="OM",H48,0)</f>
        <v>0</v>
      </c>
      <c r="Y48" s="21" t="s">
        <v>733</v>
      </c>
      <c r="AI48" s="28">
        <f>SUM(Z49:Z63)</f>
        <v>0</v>
      </c>
      <c r="AJ48" s="28">
        <f>SUM(AA49:AA63)</f>
        <v>0</v>
      </c>
      <c r="AK48" s="28">
        <f>SUM(AB49:AB63)</f>
        <v>0</v>
      </c>
    </row>
    <row r="49" spans="1:43" s="262" customFormat="1" x14ac:dyDescent="0.25">
      <c r="A49" s="259" t="s">
        <v>137</v>
      </c>
      <c r="B49" s="259" t="s">
        <v>733</v>
      </c>
      <c r="C49" s="259" t="s">
        <v>794</v>
      </c>
      <c r="D49" s="259" t="s">
        <v>795</v>
      </c>
      <c r="E49" s="259" t="s">
        <v>104</v>
      </c>
      <c r="F49" s="260">
        <v>143</v>
      </c>
      <c r="G49" s="308">
        <v>0</v>
      </c>
      <c r="H49" s="260">
        <f>ROUND(F49*AE49,2)</f>
        <v>0</v>
      </c>
      <c r="I49" s="260">
        <f>J49-H49</f>
        <v>0</v>
      </c>
      <c r="J49" s="260">
        <f>ROUND(F49*G49,2)</f>
        <v>0</v>
      </c>
      <c r="K49" s="260">
        <v>1.81E-3</v>
      </c>
      <c r="L49" s="260">
        <f>F49*K49</f>
        <v>0.25883</v>
      </c>
      <c r="M49" s="261" t="s">
        <v>2292</v>
      </c>
      <c r="N49" s="261" t="s">
        <v>59</v>
      </c>
      <c r="O49" s="260">
        <f>IF(N49="5",I49,0)</f>
        <v>0</v>
      </c>
      <c r="Z49" s="260">
        <f>IF(AD49=0,J49,0)</f>
        <v>0</v>
      </c>
      <c r="AA49" s="260">
        <f>IF(AD49=15,J49,0)</f>
        <v>0</v>
      </c>
      <c r="AB49" s="260">
        <f>IF(AD49=21,J49,0)</f>
        <v>0</v>
      </c>
      <c r="AD49" s="260">
        <v>21</v>
      </c>
      <c r="AE49" s="260">
        <f>G49*0</f>
        <v>0</v>
      </c>
      <c r="AF49" s="260">
        <f>G49*(1-0)</f>
        <v>0</v>
      </c>
      <c r="AM49" s="260">
        <f>F49*AE49</f>
        <v>0</v>
      </c>
      <c r="AN49" s="260">
        <f>F49*AF49</f>
        <v>0</v>
      </c>
      <c r="AO49" s="261" t="s">
        <v>796</v>
      </c>
      <c r="AP49" s="261" t="s">
        <v>235</v>
      </c>
      <c r="AQ49" s="263" t="s">
        <v>740</v>
      </c>
    </row>
    <row r="50" spans="1:43" x14ac:dyDescent="0.25">
      <c r="C50" s="34" t="s">
        <v>63</v>
      </c>
      <c r="D50" s="340" t="s">
        <v>797</v>
      </c>
      <c r="E50" s="341"/>
      <c r="F50" s="341"/>
      <c r="G50" s="341"/>
      <c r="H50" s="341"/>
      <c r="I50" s="341"/>
      <c r="J50" s="341"/>
      <c r="K50" s="341"/>
      <c r="L50" s="341"/>
      <c r="M50" s="341"/>
    </row>
    <row r="51" spans="1:43" s="262" customFormat="1" x14ac:dyDescent="0.25">
      <c r="A51" s="259" t="s">
        <v>140</v>
      </c>
      <c r="B51" s="259" t="s">
        <v>733</v>
      </c>
      <c r="C51" s="259" t="s">
        <v>798</v>
      </c>
      <c r="D51" s="259" t="s">
        <v>799</v>
      </c>
      <c r="E51" s="259" t="s">
        <v>104</v>
      </c>
      <c r="F51" s="260">
        <v>143</v>
      </c>
      <c r="G51" s="308">
        <v>0</v>
      </c>
      <c r="H51" s="260">
        <f>ROUND(F51*AE51,2)</f>
        <v>0</v>
      </c>
      <c r="I51" s="260">
        <f>J51-H51</f>
        <v>0</v>
      </c>
      <c r="J51" s="260">
        <f>ROUND(F51*G51,2)</f>
        <v>0</v>
      </c>
      <c r="K51" s="260">
        <v>1.58E-3</v>
      </c>
      <c r="L51" s="260">
        <f>F51*K51</f>
        <v>0.22594</v>
      </c>
      <c r="M51" s="261" t="s">
        <v>2292</v>
      </c>
      <c r="N51" s="261" t="s">
        <v>55</v>
      </c>
      <c r="O51" s="260">
        <f>IF(N51="5",I51,0)</f>
        <v>0</v>
      </c>
      <c r="Z51" s="260">
        <f>IF(AD51=0,J51,0)</f>
        <v>0</v>
      </c>
      <c r="AA51" s="260">
        <f>IF(AD51=15,J51,0)</f>
        <v>0</v>
      </c>
      <c r="AB51" s="260">
        <f>IF(AD51=21,J51,0)</f>
        <v>0</v>
      </c>
      <c r="AD51" s="260">
        <v>21</v>
      </c>
      <c r="AE51" s="260">
        <f>G51*0.0382515337423313</f>
        <v>0</v>
      </c>
      <c r="AF51" s="260">
        <f>G51*(1-0.0382515337423313)</f>
        <v>0</v>
      </c>
      <c r="AM51" s="260">
        <f>F51*AE51</f>
        <v>0</v>
      </c>
      <c r="AN51" s="260">
        <f>F51*AF51</f>
        <v>0</v>
      </c>
      <c r="AO51" s="261" t="s">
        <v>796</v>
      </c>
      <c r="AP51" s="261" t="s">
        <v>235</v>
      </c>
      <c r="AQ51" s="263" t="s">
        <v>740</v>
      </c>
    </row>
    <row r="52" spans="1:43" ht="25.7" customHeight="1" x14ac:dyDescent="0.25">
      <c r="C52" s="34" t="s">
        <v>63</v>
      </c>
      <c r="D52" s="340" t="s">
        <v>800</v>
      </c>
      <c r="E52" s="341"/>
      <c r="F52" s="341"/>
      <c r="G52" s="341"/>
      <c r="H52" s="341"/>
      <c r="I52" s="341"/>
      <c r="J52" s="341"/>
      <c r="K52" s="341"/>
      <c r="L52" s="341"/>
      <c r="M52" s="341"/>
    </row>
    <row r="53" spans="1:43" s="262" customFormat="1" x14ac:dyDescent="0.25">
      <c r="A53" s="259" t="s">
        <v>141</v>
      </c>
      <c r="B53" s="259" t="s">
        <v>733</v>
      </c>
      <c r="C53" s="259" t="s">
        <v>801</v>
      </c>
      <c r="D53" s="259" t="s">
        <v>802</v>
      </c>
      <c r="E53" s="259" t="s">
        <v>104</v>
      </c>
      <c r="F53" s="260">
        <v>143</v>
      </c>
      <c r="G53" s="308">
        <v>0</v>
      </c>
      <c r="H53" s="260">
        <f>ROUND(F53*AE53,2)</f>
        <v>0</v>
      </c>
      <c r="I53" s="260">
        <f>J53-H53</f>
        <v>0</v>
      </c>
      <c r="J53" s="260">
        <f>ROUND(F53*G53,2)</f>
        <v>0</v>
      </c>
      <c r="K53" s="260">
        <v>3.3500000000000001E-3</v>
      </c>
      <c r="L53" s="260">
        <f>F53*K53</f>
        <v>0.47905000000000003</v>
      </c>
      <c r="M53" s="261" t="s">
        <v>2292</v>
      </c>
      <c r="N53" s="261" t="s">
        <v>55</v>
      </c>
      <c r="O53" s="260">
        <f>IF(N53="5",I53,0)</f>
        <v>0</v>
      </c>
      <c r="Z53" s="260">
        <f>IF(AD53=0,J53,0)</f>
        <v>0</v>
      </c>
      <c r="AA53" s="260">
        <f>IF(AD53=15,J53,0)</f>
        <v>0</v>
      </c>
      <c r="AB53" s="260">
        <f>IF(AD53=21,J53,0)</f>
        <v>0</v>
      </c>
      <c r="AD53" s="260">
        <v>21</v>
      </c>
      <c r="AE53" s="260">
        <f>G53*0.494856687898089</f>
        <v>0</v>
      </c>
      <c r="AF53" s="260">
        <f>G53*(1-0.494856687898089)</f>
        <v>0</v>
      </c>
      <c r="AM53" s="260">
        <f>F53*AE53</f>
        <v>0</v>
      </c>
      <c r="AN53" s="260">
        <f>F53*AF53</f>
        <v>0</v>
      </c>
      <c r="AO53" s="261" t="s">
        <v>796</v>
      </c>
      <c r="AP53" s="261" t="s">
        <v>235</v>
      </c>
      <c r="AQ53" s="263" t="s">
        <v>740</v>
      </c>
    </row>
    <row r="54" spans="1:43" x14ac:dyDescent="0.25">
      <c r="C54" s="34" t="s">
        <v>63</v>
      </c>
      <c r="D54" s="340" t="s">
        <v>803</v>
      </c>
      <c r="E54" s="341"/>
      <c r="F54" s="341"/>
      <c r="G54" s="341"/>
      <c r="H54" s="341"/>
      <c r="I54" s="341"/>
      <c r="J54" s="341"/>
      <c r="K54" s="341"/>
      <c r="L54" s="341"/>
      <c r="M54" s="341"/>
    </row>
    <row r="55" spans="1:43" s="262" customFormat="1" x14ac:dyDescent="0.25">
      <c r="A55" s="259" t="s">
        <v>142</v>
      </c>
      <c r="B55" s="259" t="s">
        <v>733</v>
      </c>
      <c r="C55" s="259" t="s">
        <v>804</v>
      </c>
      <c r="D55" s="259" t="s">
        <v>805</v>
      </c>
      <c r="E55" s="259" t="s">
        <v>104</v>
      </c>
      <c r="F55" s="260">
        <v>85</v>
      </c>
      <c r="G55" s="308">
        <v>0</v>
      </c>
      <c r="H55" s="260">
        <f>ROUND(F55*AE55,2)</f>
        <v>0</v>
      </c>
      <c r="I55" s="260">
        <f>J55-H55</f>
        <v>0</v>
      </c>
      <c r="J55" s="260">
        <f>ROUND(F55*G55,2)</f>
        <v>0</v>
      </c>
      <c r="K55" s="260">
        <v>1.58E-3</v>
      </c>
      <c r="L55" s="260">
        <f>F55*K55</f>
        <v>0.1343</v>
      </c>
      <c r="M55" s="261" t="s">
        <v>2292</v>
      </c>
      <c r="N55" s="261" t="s">
        <v>55</v>
      </c>
      <c r="O55" s="260">
        <f>IF(N55="5",I55,0)</f>
        <v>0</v>
      </c>
      <c r="Z55" s="260">
        <f>IF(AD55=0,J55,0)</f>
        <v>0</v>
      </c>
      <c r="AA55" s="260">
        <f>IF(AD55=15,J55,0)</f>
        <v>0</v>
      </c>
      <c r="AB55" s="260">
        <f>IF(AD55=21,J55,0)</f>
        <v>0</v>
      </c>
      <c r="AD55" s="260">
        <v>21</v>
      </c>
      <c r="AE55" s="260">
        <f>G55*0.0349249249249249</f>
        <v>0</v>
      </c>
      <c r="AF55" s="260">
        <f>G55*(1-0.0349249249249249)</f>
        <v>0</v>
      </c>
      <c r="AM55" s="260">
        <f>F55*AE55</f>
        <v>0</v>
      </c>
      <c r="AN55" s="260">
        <f>F55*AF55</f>
        <v>0</v>
      </c>
      <c r="AO55" s="261" t="s">
        <v>796</v>
      </c>
      <c r="AP55" s="261" t="s">
        <v>235</v>
      </c>
      <c r="AQ55" s="263" t="s">
        <v>740</v>
      </c>
    </row>
    <row r="56" spans="1:43" ht="25.7" customHeight="1" x14ac:dyDescent="0.25">
      <c r="C56" s="34" t="s">
        <v>63</v>
      </c>
      <c r="D56" s="340" t="s">
        <v>806</v>
      </c>
      <c r="E56" s="341"/>
      <c r="F56" s="341"/>
      <c r="G56" s="341"/>
      <c r="H56" s="341"/>
      <c r="I56" s="341"/>
      <c r="J56" s="341"/>
      <c r="K56" s="341"/>
      <c r="L56" s="341"/>
      <c r="M56" s="341"/>
    </row>
    <row r="57" spans="1:43" s="262" customFormat="1" x14ac:dyDescent="0.25">
      <c r="A57" s="259" t="s">
        <v>146</v>
      </c>
      <c r="B57" s="259" t="s">
        <v>733</v>
      </c>
      <c r="C57" s="259" t="s">
        <v>807</v>
      </c>
      <c r="D57" s="259" t="s">
        <v>2295</v>
      </c>
      <c r="E57" s="259" t="s">
        <v>58</v>
      </c>
      <c r="F57" s="260">
        <v>55</v>
      </c>
      <c r="G57" s="308">
        <v>0</v>
      </c>
      <c r="H57" s="260">
        <f>ROUND(F57*AE57,2)</f>
        <v>0</v>
      </c>
      <c r="I57" s="260">
        <f>J57-H57</f>
        <v>0</v>
      </c>
      <c r="J57" s="260">
        <f>ROUND(F57*G57,2)</f>
        <v>0</v>
      </c>
      <c r="K57" s="260">
        <v>4.4099999999999999E-3</v>
      </c>
      <c r="L57" s="260">
        <f>F57*K57</f>
        <v>0.24254999999999999</v>
      </c>
      <c r="M57" s="261" t="s">
        <v>2292</v>
      </c>
      <c r="N57" s="261" t="s">
        <v>55</v>
      </c>
      <c r="O57" s="260">
        <f>IF(N57="5",I57,0)</f>
        <v>0</v>
      </c>
      <c r="Z57" s="260">
        <f>IF(AD57=0,J57,0)</f>
        <v>0</v>
      </c>
      <c r="AA57" s="260">
        <f>IF(AD57=15,J57,0)</f>
        <v>0</v>
      </c>
      <c r="AB57" s="260">
        <f>IF(AD57=21,J57,0)</f>
        <v>0</v>
      </c>
      <c r="AD57" s="260">
        <v>21</v>
      </c>
      <c r="AE57" s="260">
        <f>G57*0.473317140381529</f>
        <v>0</v>
      </c>
      <c r="AF57" s="260">
        <f>G57*(1-0.473317140381529)</f>
        <v>0</v>
      </c>
      <c r="AM57" s="260">
        <f>F57*AE57</f>
        <v>0</v>
      </c>
      <c r="AN57" s="260">
        <f>F57*AF57</f>
        <v>0</v>
      </c>
      <c r="AO57" s="261" t="s">
        <v>796</v>
      </c>
      <c r="AP57" s="261" t="s">
        <v>235</v>
      </c>
      <c r="AQ57" s="263" t="s">
        <v>740</v>
      </c>
    </row>
    <row r="58" spans="1:43" x14ac:dyDescent="0.25">
      <c r="C58" s="34" t="s">
        <v>63</v>
      </c>
      <c r="D58" s="340" t="s">
        <v>808</v>
      </c>
      <c r="E58" s="341"/>
      <c r="F58" s="341"/>
      <c r="G58" s="341"/>
      <c r="H58" s="341"/>
      <c r="I58" s="341"/>
      <c r="J58" s="341"/>
      <c r="K58" s="341"/>
      <c r="L58" s="341"/>
      <c r="M58" s="341"/>
    </row>
    <row r="59" spans="1:43" s="262" customFormat="1" x14ac:dyDescent="0.25">
      <c r="A59" s="259" t="s">
        <v>149</v>
      </c>
      <c r="B59" s="259" t="s">
        <v>733</v>
      </c>
      <c r="C59" s="259" t="s">
        <v>809</v>
      </c>
      <c r="D59" s="259" t="s">
        <v>810</v>
      </c>
      <c r="E59" s="259" t="s">
        <v>104</v>
      </c>
      <c r="F59" s="260">
        <v>10</v>
      </c>
      <c r="G59" s="308">
        <v>0</v>
      </c>
      <c r="H59" s="260">
        <f>ROUND(F59*AE59,2)</f>
        <v>0</v>
      </c>
      <c r="I59" s="260">
        <f>J59-H59</f>
        <v>0</v>
      </c>
      <c r="J59" s="260">
        <f>ROUND(F59*G59,2)</f>
        <v>0</v>
      </c>
      <c r="K59" s="260">
        <v>2.9399999999999999E-3</v>
      </c>
      <c r="L59" s="260">
        <f>F59*K59</f>
        <v>2.9399999999999999E-2</v>
      </c>
      <c r="M59" s="261" t="s">
        <v>2292</v>
      </c>
      <c r="N59" s="261" t="s">
        <v>59</v>
      </c>
      <c r="O59" s="260">
        <f>IF(N59="5",I59,0)</f>
        <v>0</v>
      </c>
      <c r="Z59" s="260">
        <f>IF(AD59=0,J59,0)</f>
        <v>0</v>
      </c>
      <c r="AA59" s="260">
        <f>IF(AD59=15,J59,0)</f>
        <v>0</v>
      </c>
      <c r="AB59" s="260">
        <f>IF(AD59=21,J59,0)</f>
        <v>0</v>
      </c>
      <c r="AD59" s="260">
        <v>21</v>
      </c>
      <c r="AE59" s="260">
        <f>G59*0.236288691271326</f>
        <v>0</v>
      </c>
      <c r="AF59" s="260">
        <f>G59*(1-0.236288691271326)</f>
        <v>0</v>
      </c>
      <c r="AM59" s="260">
        <f>F59*AE59</f>
        <v>0</v>
      </c>
      <c r="AN59" s="260">
        <f>F59*AF59</f>
        <v>0</v>
      </c>
      <c r="AO59" s="261" t="s">
        <v>796</v>
      </c>
      <c r="AP59" s="261" t="s">
        <v>235</v>
      </c>
      <c r="AQ59" s="263" t="s">
        <v>740</v>
      </c>
    </row>
    <row r="60" spans="1:43" s="262" customFormat="1" x14ac:dyDescent="0.25">
      <c r="A60" s="259" t="s">
        <v>150</v>
      </c>
      <c r="B60" s="259" t="s">
        <v>733</v>
      </c>
      <c r="C60" s="259" t="s">
        <v>811</v>
      </c>
      <c r="D60" s="259" t="s">
        <v>812</v>
      </c>
      <c r="E60" s="259" t="s">
        <v>58</v>
      </c>
      <c r="F60" s="260">
        <v>4.95</v>
      </c>
      <c r="G60" s="308">
        <v>0</v>
      </c>
      <c r="H60" s="260">
        <f>ROUND(F60*AE60,2)</f>
        <v>0</v>
      </c>
      <c r="I60" s="260">
        <f>J60-H60</f>
        <v>0</v>
      </c>
      <c r="J60" s="260">
        <f>ROUND(F60*G60,2)</f>
        <v>0</v>
      </c>
      <c r="K60" s="260">
        <v>7.3200000000000001E-3</v>
      </c>
      <c r="L60" s="260">
        <f>F60*K60</f>
        <v>3.6234000000000002E-2</v>
      </c>
      <c r="M60" s="261" t="s">
        <v>2292</v>
      </c>
      <c r="N60" s="261" t="s">
        <v>59</v>
      </c>
      <c r="O60" s="260">
        <f>IF(N60="5",I60,0)</f>
        <v>0</v>
      </c>
      <c r="Z60" s="260">
        <f>IF(AD60=0,J60,0)</f>
        <v>0</v>
      </c>
      <c r="AA60" s="260">
        <f>IF(AD60=15,J60,0)</f>
        <v>0</v>
      </c>
      <c r="AB60" s="260">
        <f>IF(AD60=21,J60,0)</f>
        <v>0</v>
      </c>
      <c r="AD60" s="260">
        <v>21</v>
      </c>
      <c r="AE60" s="260">
        <f>G60*0</f>
        <v>0</v>
      </c>
      <c r="AF60" s="260">
        <f>G60*(1-0)</f>
        <v>0</v>
      </c>
      <c r="AM60" s="260">
        <f>F60*AE60</f>
        <v>0</v>
      </c>
      <c r="AN60" s="260">
        <f>F60*AF60</f>
        <v>0</v>
      </c>
      <c r="AO60" s="261" t="s">
        <v>796</v>
      </c>
      <c r="AP60" s="261" t="s">
        <v>235</v>
      </c>
      <c r="AQ60" s="263" t="s">
        <v>740</v>
      </c>
    </row>
    <row r="61" spans="1:43" ht="12.75" customHeight="1" x14ac:dyDescent="0.25">
      <c r="C61" s="34" t="s">
        <v>63</v>
      </c>
      <c r="D61" s="340" t="s">
        <v>813</v>
      </c>
      <c r="E61" s="340"/>
      <c r="F61" s="340"/>
      <c r="G61" s="340"/>
      <c r="H61" s="340"/>
      <c r="I61" s="340"/>
      <c r="J61" s="340"/>
      <c r="K61" s="340"/>
      <c r="L61" s="340"/>
      <c r="M61" s="340"/>
    </row>
    <row r="62" spans="1:43" s="262" customFormat="1" x14ac:dyDescent="0.25">
      <c r="A62" s="259" t="s">
        <v>152</v>
      </c>
      <c r="B62" s="259" t="s">
        <v>733</v>
      </c>
      <c r="C62" s="259" t="s">
        <v>814</v>
      </c>
      <c r="D62" s="259" t="s">
        <v>815</v>
      </c>
      <c r="E62" s="259" t="s">
        <v>58</v>
      </c>
      <c r="F62" s="260">
        <v>4.95</v>
      </c>
      <c r="G62" s="308">
        <v>0</v>
      </c>
      <c r="H62" s="260">
        <f>ROUND(F62*AE62,2)</f>
        <v>0</v>
      </c>
      <c r="I62" s="260">
        <f>J62-H62</f>
        <v>0</v>
      </c>
      <c r="J62" s="260">
        <f>ROUND(F62*G62,2)</f>
        <v>0</v>
      </c>
      <c r="K62" s="260">
        <v>1.8870000000000001E-2</v>
      </c>
      <c r="L62" s="260">
        <f>F62*K62</f>
        <v>9.3406500000000003E-2</v>
      </c>
      <c r="M62" s="261" t="s">
        <v>2292</v>
      </c>
      <c r="N62" s="261" t="s">
        <v>59</v>
      </c>
      <c r="O62" s="260">
        <f>IF(N62="5",I62,0)</f>
        <v>0</v>
      </c>
      <c r="Z62" s="260">
        <f>IF(AD62=0,J62,0)</f>
        <v>0</v>
      </c>
      <c r="AA62" s="260">
        <f>IF(AD62=15,J62,0)</f>
        <v>0</v>
      </c>
      <c r="AB62" s="260">
        <f>IF(AD62=21,J62,0)</f>
        <v>0</v>
      </c>
      <c r="AD62" s="260">
        <v>21</v>
      </c>
      <c r="AE62" s="260">
        <f>G62*0.322020330368488</f>
        <v>0</v>
      </c>
      <c r="AF62" s="260">
        <f>G62*(1-0.322020330368488)</f>
        <v>0</v>
      </c>
      <c r="AM62" s="260">
        <f>F62*AE62</f>
        <v>0</v>
      </c>
      <c r="AN62" s="260">
        <f>F62*AF62</f>
        <v>0</v>
      </c>
      <c r="AO62" s="261" t="s">
        <v>796</v>
      </c>
      <c r="AP62" s="261" t="s">
        <v>235</v>
      </c>
      <c r="AQ62" s="263" t="s">
        <v>740</v>
      </c>
    </row>
    <row r="63" spans="1:43" s="262" customFormat="1" x14ac:dyDescent="0.25">
      <c r="A63" s="259" t="s">
        <v>154</v>
      </c>
      <c r="B63" s="259" t="s">
        <v>733</v>
      </c>
      <c r="C63" s="259" t="s">
        <v>809</v>
      </c>
      <c r="D63" s="259" t="s">
        <v>810</v>
      </c>
      <c r="E63" s="259" t="s">
        <v>104</v>
      </c>
      <c r="F63" s="260">
        <v>6</v>
      </c>
      <c r="G63" s="308">
        <v>0</v>
      </c>
      <c r="H63" s="260">
        <f>ROUND(F63*AE63,2)</f>
        <v>0</v>
      </c>
      <c r="I63" s="260">
        <f>J63-H63</f>
        <v>0</v>
      </c>
      <c r="J63" s="260">
        <f>ROUND(F63*G63,2)</f>
        <v>0</v>
      </c>
      <c r="K63" s="260">
        <v>2.9399999999999999E-3</v>
      </c>
      <c r="L63" s="260">
        <f>F63*K63</f>
        <v>1.7639999999999999E-2</v>
      </c>
      <c r="M63" s="261" t="s">
        <v>2292</v>
      </c>
      <c r="N63" s="261" t="s">
        <v>59</v>
      </c>
      <c r="O63" s="260">
        <f>IF(N63="5",I63,0)</f>
        <v>0</v>
      </c>
      <c r="Z63" s="260">
        <f>IF(AD63=0,J63,0)</f>
        <v>0</v>
      </c>
      <c r="AA63" s="260">
        <f>IF(AD63=15,J63,0)</f>
        <v>0</v>
      </c>
      <c r="AB63" s="260">
        <f>IF(AD63=21,J63,0)</f>
        <v>0</v>
      </c>
      <c r="AD63" s="260">
        <v>21</v>
      </c>
      <c r="AE63" s="260">
        <f>G63*0.236288691271326</f>
        <v>0</v>
      </c>
      <c r="AF63" s="260">
        <f>G63*(1-0.236288691271326)</f>
        <v>0</v>
      </c>
      <c r="AM63" s="260">
        <f>F63*AE63</f>
        <v>0</v>
      </c>
      <c r="AN63" s="260">
        <f>F63*AF63</f>
        <v>0</v>
      </c>
      <c r="AO63" s="261" t="s">
        <v>796</v>
      </c>
      <c r="AP63" s="261" t="s">
        <v>235</v>
      </c>
      <c r="AQ63" s="263" t="s">
        <v>740</v>
      </c>
    </row>
    <row r="64" spans="1:43" x14ac:dyDescent="0.25">
      <c r="A64" s="26"/>
      <c r="B64" s="27" t="s">
        <v>733</v>
      </c>
      <c r="C64" s="27" t="s">
        <v>229</v>
      </c>
      <c r="D64" s="338" t="s">
        <v>230</v>
      </c>
      <c r="E64" s="339"/>
      <c r="F64" s="339"/>
      <c r="G64" s="339"/>
      <c r="H64" s="28">
        <f>SUM(H65:H70)</f>
        <v>0</v>
      </c>
      <c r="I64" s="28">
        <f>SUM(I65:I70)</f>
        <v>0</v>
      </c>
      <c r="J64" s="28">
        <f>H64+I64</f>
        <v>0</v>
      </c>
      <c r="K64" s="21"/>
      <c r="L64" s="28">
        <f>SUM(L65:L70)</f>
        <v>0.20268</v>
      </c>
      <c r="M64" s="21"/>
      <c r="P64" s="28">
        <f>IF(Q64="PR",J64,SUM(O65:O70))</f>
        <v>0</v>
      </c>
      <c r="Q64" s="21" t="s">
        <v>75</v>
      </c>
      <c r="R64" s="28">
        <f>IF(Q64="HS",H64,0)</f>
        <v>0</v>
      </c>
      <c r="S64" s="28">
        <f>IF(Q64="HS",I64-P64,0)</f>
        <v>0</v>
      </c>
      <c r="T64" s="28">
        <f>IF(Q64="PS",H64,0)</f>
        <v>0</v>
      </c>
      <c r="U64" s="28">
        <f>IF(Q64="PS",I64-P64,0)</f>
        <v>0</v>
      </c>
      <c r="V64" s="28">
        <f>IF(Q64="MP",H64,0)</f>
        <v>0</v>
      </c>
      <c r="W64" s="28">
        <f>IF(Q64="MP",I64-P64,0)</f>
        <v>0</v>
      </c>
      <c r="X64" s="28">
        <f>IF(Q64="OM",H64,0)</f>
        <v>0</v>
      </c>
      <c r="Y64" s="21" t="s">
        <v>733</v>
      </c>
      <c r="AI64" s="28">
        <f>SUM(Z65:Z70)</f>
        <v>0</v>
      </c>
      <c r="AJ64" s="28">
        <f>SUM(AA65:AA70)</f>
        <v>0</v>
      </c>
      <c r="AK64" s="28">
        <f>SUM(AB65:AB70)</f>
        <v>0</v>
      </c>
    </row>
    <row r="65" spans="1:43" s="262" customFormat="1" x14ac:dyDescent="0.25">
      <c r="A65" s="259" t="s">
        <v>155</v>
      </c>
      <c r="B65" s="259" t="s">
        <v>733</v>
      </c>
      <c r="C65" s="259" t="s">
        <v>816</v>
      </c>
      <c r="D65" s="259" t="s">
        <v>817</v>
      </c>
      <c r="E65" s="259" t="s">
        <v>104</v>
      </c>
      <c r="F65" s="260">
        <v>149</v>
      </c>
      <c r="G65" s="308">
        <v>0</v>
      </c>
      <c r="H65" s="260">
        <f>ROUND(F65*AE65,2)</f>
        <v>0</v>
      </c>
      <c r="I65" s="260">
        <f>J65-H65</f>
        <v>0</v>
      </c>
      <c r="J65" s="260">
        <f>ROUND(F65*G65,2)</f>
        <v>0</v>
      </c>
      <c r="K65" s="260">
        <v>1.6000000000000001E-4</v>
      </c>
      <c r="L65" s="260">
        <f>F65*K65</f>
        <v>2.3840000000000004E-2</v>
      </c>
      <c r="M65" s="261" t="s">
        <v>2292</v>
      </c>
      <c r="N65" s="261" t="s">
        <v>55</v>
      </c>
      <c r="O65" s="260">
        <f>IF(N65="5",I65,0)</f>
        <v>0</v>
      </c>
      <c r="Z65" s="260">
        <f>IF(AD65=0,J65,0)</f>
        <v>0</v>
      </c>
      <c r="AA65" s="260">
        <f>IF(AD65=15,J65,0)</f>
        <v>0</v>
      </c>
      <c r="AB65" s="260">
        <f>IF(AD65=21,J65,0)</f>
        <v>0</v>
      </c>
      <c r="AD65" s="260">
        <v>21</v>
      </c>
      <c r="AE65" s="260">
        <f>G65*0.325153203342618</f>
        <v>0</v>
      </c>
      <c r="AF65" s="260">
        <f>G65*(1-0.325153203342618)</f>
        <v>0</v>
      </c>
      <c r="AM65" s="260">
        <f>F65*AE65</f>
        <v>0</v>
      </c>
      <c r="AN65" s="260">
        <f>F65*AF65</f>
        <v>0</v>
      </c>
      <c r="AO65" s="261" t="s">
        <v>234</v>
      </c>
      <c r="AP65" s="261" t="s">
        <v>235</v>
      </c>
      <c r="AQ65" s="263" t="s">
        <v>740</v>
      </c>
    </row>
    <row r="66" spans="1:43" ht="25.7" customHeight="1" x14ac:dyDescent="0.25">
      <c r="C66" s="34" t="s">
        <v>63</v>
      </c>
      <c r="D66" s="340" t="s">
        <v>818</v>
      </c>
      <c r="E66" s="341"/>
      <c r="F66" s="341"/>
      <c r="G66" s="341"/>
      <c r="H66" s="341"/>
      <c r="I66" s="341"/>
      <c r="J66" s="341"/>
      <c r="K66" s="341"/>
      <c r="L66" s="341"/>
      <c r="M66" s="341"/>
    </row>
    <row r="67" spans="1:43" s="262" customFormat="1" x14ac:dyDescent="0.25">
      <c r="A67" s="259" t="s">
        <v>158</v>
      </c>
      <c r="B67" s="259" t="s">
        <v>733</v>
      </c>
      <c r="C67" s="259" t="s">
        <v>819</v>
      </c>
      <c r="D67" s="259" t="s">
        <v>820</v>
      </c>
      <c r="E67" s="259" t="s">
        <v>104</v>
      </c>
      <c r="F67" s="260">
        <v>709</v>
      </c>
      <c r="G67" s="308">
        <v>0</v>
      </c>
      <c r="H67" s="260">
        <f>ROUND(F67*AE67,2)</f>
        <v>0</v>
      </c>
      <c r="I67" s="260">
        <f>J67-H67</f>
        <v>0</v>
      </c>
      <c r="J67" s="260">
        <f>ROUND(F67*G67,2)</f>
        <v>0</v>
      </c>
      <c r="K67" s="260">
        <v>4.0000000000000003E-5</v>
      </c>
      <c r="L67" s="260">
        <f>F67*K67</f>
        <v>2.8360000000000003E-2</v>
      </c>
      <c r="M67" s="261" t="s">
        <v>2292</v>
      </c>
      <c r="N67" s="261" t="s">
        <v>55</v>
      </c>
      <c r="O67" s="260">
        <f>IF(N67="5",I67,0)</f>
        <v>0</v>
      </c>
      <c r="Z67" s="260">
        <f>IF(AD67=0,J67,0)</f>
        <v>0</v>
      </c>
      <c r="AA67" s="260">
        <f>IF(AD67=15,J67,0)</f>
        <v>0</v>
      </c>
      <c r="AB67" s="260">
        <f>IF(AD67=21,J67,0)</f>
        <v>0</v>
      </c>
      <c r="AD67" s="260">
        <v>21</v>
      </c>
      <c r="AE67" s="260">
        <f>G67*0.374213483146067</f>
        <v>0</v>
      </c>
      <c r="AF67" s="260">
        <f>G67*(1-0.374213483146067)</f>
        <v>0</v>
      </c>
      <c r="AM67" s="260">
        <f>F67*AE67</f>
        <v>0</v>
      </c>
      <c r="AN67" s="260">
        <f>F67*AF67</f>
        <v>0</v>
      </c>
      <c r="AO67" s="261" t="s">
        <v>234</v>
      </c>
      <c r="AP67" s="261" t="s">
        <v>235</v>
      </c>
      <c r="AQ67" s="263" t="s">
        <v>740</v>
      </c>
    </row>
    <row r="68" spans="1:43" x14ac:dyDescent="0.25">
      <c r="C68" s="34" t="s">
        <v>63</v>
      </c>
      <c r="D68" s="340" t="s">
        <v>821</v>
      </c>
      <c r="E68" s="341"/>
      <c r="F68" s="341"/>
      <c r="G68" s="341"/>
      <c r="H68" s="341"/>
      <c r="I68" s="341"/>
      <c r="J68" s="341"/>
      <c r="K68" s="341"/>
      <c r="L68" s="341"/>
      <c r="M68" s="341"/>
    </row>
    <row r="69" spans="1:43" s="262" customFormat="1" x14ac:dyDescent="0.25">
      <c r="A69" s="259" t="s">
        <v>159</v>
      </c>
      <c r="B69" s="259" t="s">
        <v>733</v>
      </c>
      <c r="C69" s="259" t="s">
        <v>822</v>
      </c>
      <c r="D69" s="259" t="s">
        <v>823</v>
      </c>
      <c r="E69" s="259" t="s">
        <v>113</v>
      </c>
      <c r="F69" s="260">
        <v>124</v>
      </c>
      <c r="G69" s="308">
        <v>0</v>
      </c>
      <c r="H69" s="260">
        <f>ROUND(F69*AE69,2)</f>
        <v>0</v>
      </c>
      <c r="I69" s="260">
        <f>J69-H69</f>
        <v>0</v>
      </c>
      <c r="J69" s="260">
        <f>ROUND(F69*G69,2)</f>
        <v>0</v>
      </c>
      <c r="K69" s="260">
        <v>1.1999999999999999E-3</v>
      </c>
      <c r="L69" s="260">
        <f>F69*K69</f>
        <v>0.14879999999999999</v>
      </c>
      <c r="M69" s="261" t="s">
        <v>2292</v>
      </c>
      <c r="N69" s="261" t="s">
        <v>55</v>
      </c>
      <c r="O69" s="260">
        <f>IF(N69="5",I69,0)</f>
        <v>0</v>
      </c>
      <c r="Z69" s="260">
        <f>IF(AD69=0,J69,0)</f>
        <v>0</v>
      </c>
      <c r="AA69" s="260">
        <f>IF(AD69=15,J69,0)</f>
        <v>0</v>
      </c>
      <c r="AB69" s="260">
        <f>IF(AD69=21,J69,0)</f>
        <v>0</v>
      </c>
      <c r="AD69" s="260">
        <v>21</v>
      </c>
      <c r="AE69" s="260">
        <f>G69*0.123702928870293</f>
        <v>0</v>
      </c>
      <c r="AF69" s="260">
        <f>G69*(1-0.123702928870293)</f>
        <v>0</v>
      </c>
      <c r="AM69" s="260">
        <f>F69*AE69</f>
        <v>0</v>
      </c>
      <c r="AN69" s="260">
        <f>F69*AF69</f>
        <v>0</v>
      </c>
      <c r="AO69" s="261" t="s">
        <v>234</v>
      </c>
      <c r="AP69" s="261" t="s">
        <v>235</v>
      </c>
      <c r="AQ69" s="263" t="s">
        <v>740</v>
      </c>
    </row>
    <row r="70" spans="1:43" s="262" customFormat="1" x14ac:dyDescent="0.25">
      <c r="A70" s="259" t="s">
        <v>160</v>
      </c>
      <c r="B70" s="259" t="s">
        <v>733</v>
      </c>
      <c r="C70" s="259" t="s">
        <v>824</v>
      </c>
      <c r="D70" s="259" t="s">
        <v>825</v>
      </c>
      <c r="E70" s="259" t="s">
        <v>113</v>
      </c>
      <c r="F70" s="260">
        <v>1</v>
      </c>
      <c r="G70" s="308">
        <v>0</v>
      </c>
      <c r="H70" s="260">
        <f>ROUND(F70*AE70,2)</f>
        <v>0</v>
      </c>
      <c r="I70" s="260">
        <f>J70-H70</f>
        <v>0</v>
      </c>
      <c r="J70" s="260">
        <f>ROUND(F70*G70,2)</f>
        <v>0</v>
      </c>
      <c r="K70" s="260">
        <v>1.6800000000000001E-3</v>
      </c>
      <c r="L70" s="260">
        <f>F70*K70</f>
        <v>1.6800000000000001E-3</v>
      </c>
      <c r="M70" s="261" t="s">
        <v>2292</v>
      </c>
      <c r="N70" s="261" t="s">
        <v>55</v>
      </c>
      <c r="O70" s="260">
        <f>IF(N70="5",I70,0)</f>
        <v>0</v>
      </c>
      <c r="Z70" s="260">
        <f>IF(AD70=0,J70,0)</f>
        <v>0</v>
      </c>
      <c r="AA70" s="260">
        <f>IF(AD70=15,J70,0)</f>
        <v>0</v>
      </c>
      <c r="AB70" s="260">
        <f>IF(AD70=21,J70,0)</f>
        <v>0</v>
      </c>
      <c r="AD70" s="260">
        <v>21</v>
      </c>
      <c r="AE70" s="260">
        <f>G70*0.169842931937173</f>
        <v>0</v>
      </c>
      <c r="AF70" s="260">
        <f>G70*(1-0.169842931937173)</f>
        <v>0</v>
      </c>
      <c r="AM70" s="260">
        <f>F70*AE70</f>
        <v>0</v>
      </c>
      <c r="AN70" s="260">
        <f>F70*AF70</f>
        <v>0</v>
      </c>
      <c r="AO70" s="261" t="s">
        <v>234</v>
      </c>
      <c r="AP70" s="261" t="s">
        <v>235</v>
      </c>
      <c r="AQ70" s="263" t="s">
        <v>740</v>
      </c>
    </row>
    <row r="71" spans="1:43" x14ac:dyDescent="0.25">
      <c r="A71" s="26"/>
      <c r="B71" s="27" t="s">
        <v>733</v>
      </c>
      <c r="C71" s="27" t="s">
        <v>86</v>
      </c>
      <c r="D71" s="338" t="s">
        <v>87</v>
      </c>
      <c r="E71" s="339"/>
      <c r="F71" s="339"/>
      <c r="G71" s="339"/>
      <c r="H71" s="28">
        <f>SUM(H72:H72)</f>
        <v>0</v>
      </c>
      <c r="I71" s="28">
        <f>SUM(I72:I72)</f>
        <v>0</v>
      </c>
      <c r="J71" s="28">
        <f>H71+I71</f>
        <v>0</v>
      </c>
      <c r="K71" s="21"/>
      <c r="L71" s="28">
        <f>SUM(L72:L72)</f>
        <v>7.2000000000000008E-2</v>
      </c>
      <c r="M71" s="21"/>
      <c r="P71" s="28">
        <f>IF(Q71="PR",J71,SUM(O72:O72))</f>
        <v>0</v>
      </c>
      <c r="Q71" s="21" t="s">
        <v>75</v>
      </c>
      <c r="R71" s="28">
        <f>IF(Q71="HS",H71,0)</f>
        <v>0</v>
      </c>
      <c r="S71" s="28">
        <f>IF(Q71="HS",I71-P71,0)</f>
        <v>0</v>
      </c>
      <c r="T71" s="28">
        <f>IF(Q71="PS",H71,0)</f>
        <v>0</v>
      </c>
      <c r="U71" s="28">
        <f>IF(Q71="PS",I71-P71,0)</f>
        <v>0</v>
      </c>
      <c r="V71" s="28">
        <f>IF(Q71="MP",H71,0)</f>
        <v>0</v>
      </c>
      <c r="W71" s="28">
        <f>IF(Q71="MP",I71-P71,0)</f>
        <v>0</v>
      </c>
      <c r="X71" s="28">
        <f>IF(Q71="OM",H71,0)</f>
        <v>0</v>
      </c>
      <c r="Y71" s="21" t="s">
        <v>733</v>
      </c>
      <c r="AI71" s="28">
        <f>SUM(Z72:Z72)</f>
        <v>0</v>
      </c>
      <c r="AJ71" s="28">
        <f>SUM(AA72:AA72)</f>
        <v>0</v>
      </c>
      <c r="AK71" s="28">
        <f>SUM(AB72:AB72)</f>
        <v>0</v>
      </c>
    </row>
    <row r="72" spans="1:43" s="262" customFormat="1" x14ac:dyDescent="0.25">
      <c r="A72" s="259" t="s">
        <v>161</v>
      </c>
      <c r="B72" s="259" t="s">
        <v>733</v>
      </c>
      <c r="C72" s="259" t="s">
        <v>826</v>
      </c>
      <c r="D72" s="259" t="s">
        <v>827</v>
      </c>
      <c r="E72" s="259" t="s">
        <v>58</v>
      </c>
      <c r="F72" s="260">
        <v>200</v>
      </c>
      <c r="G72" s="308">
        <v>0</v>
      </c>
      <c r="H72" s="260">
        <f>ROUND(F72*AE72,2)</f>
        <v>0</v>
      </c>
      <c r="I72" s="260">
        <f>J72-H72</f>
        <v>0</v>
      </c>
      <c r="J72" s="260">
        <f>ROUND(F72*G72,2)</f>
        <v>0</v>
      </c>
      <c r="K72" s="260">
        <v>3.6000000000000002E-4</v>
      </c>
      <c r="L72" s="260">
        <f>F72*K72</f>
        <v>7.2000000000000008E-2</v>
      </c>
      <c r="M72" s="261" t="s">
        <v>2292</v>
      </c>
      <c r="N72" s="261" t="s">
        <v>59</v>
      </c>
      <c r="O72" s="260">
        <f>IF(N72="5",I72,0)</f>
        <v>0</v>
      </c>
      <c r="Z72" s="260">
        <f>IF(AD72=0,J72,0)</f>
        <v>0</v>
      </c>
      <c r="AA72" s="260">
        <f>IF(AD72=15,J72,0)</f>
        <v>0</v>
      </c>
      <c r="AB72" s="260">
        <f>IF(AD72=21,J72,0)</f>
        <v>0</v>
      </c>
      <c r="AD72" s="260">
        <v>21</v>
      </c>
      <c r="AE72" s="260">
        <f>G72*0.471179961774469</f>
        <v>0</v>
      </c>
      <c r="AF72" s="260">
        <f>G72*(1-0.471179961774469)</f>
        <v>0</v>
      </c>
      <c r="AM72" s="260">
        <f>F72*AE72</f>
        <v>0</v>
      </c>
      <c r="AN72" s="260">
        <f>F72*AF72</f>
        <v>0</v>
      </c>
      <c r="AO72" s="261" t="s">
        <v>91</v>
      </c>
      <c r="AP72" s="261" t="s">
        <v>92</v>
      </c>
      <c r="AQ72" s="263" t="s">
        <v>740</v>
      </c>
    </row>
    <row r="73" spans="1:43" x14ac:dyDescent="0.25">
      <c r="A73" s="26"/>
      <c r="B73" s="27" t="s">
        <v>733</v>
      </c>
      <c r="C73" s="27" t="s">
        <v>93</v>
      </c>
      <c r="D73" s="338" t="s">
        <v>94</v>
      </c>
      <c r="E73" s="339"/>
      <c r="F73" s="339"/>
      <c r="G73" s="339"/>
      <c r="H73" s="28">
        <f>SUM(H74:H74)</f>
        <v>0</v>
      </c>
      <c r="I73" s="28">
        <f>SUM(I74:I74)</f>
        <v>0</v>
      </c>
      <c r="J73" s="28">
        <f>H73+I73</f>
        <v>0</v>
      </c>
      <c r="K73" s="21"/>
      <c r="L73" s="28">
        <f>SUM(L74:L74)</f>
        <v>3.85E-2</v>
      </c>
      <c r="M73" s="21"/>
      <c r="P73" s="28">
        <f>IF(Q73="PR",J73,SUM(O74:O74))</f>
        <v>0</v>
      </c>
      <c r="Q73" s="21" t="s">
        <v>75</v>
      </c>
      <c r="R73" s="28">
        <f>IF(Q73="HS",H73,0)</f>
        <v>0</v>
      </c>
      <c r="S73" s="28">
        <f>IF(Q73="HS",I73-P73,0)</f>
        <v>0</v>
      </c>
      <c r="T73" s="28">
        <f>IF(Q73="PS",H73,0)</f>
        <v>0</v>
      </c>
      <c r="U73" s="28">
        <f>IF(Q73="PS",I73-P73,0)</f>
        <v>0</v>
      </c>
      <c r="V73" s="28">
        <f>IF(Q73="MP",H73,0)</f>
        <v>0</v>
      </c>
      <c r="W73" s="28">
        <f>IF(Q73="MP",I73-P73,0)</f>
        <v>0</v>
      </c>
      <c r="X73" s="28">
        <f>IF(Q73="OM",H73,0)</f>
        <v>0</v>
      </c>
      <c r="Y73" s="21" t="s">
        <v>733</v>
      </c>
      <c r="AI73" s="28">
        <f>SUM(Z74:Z74)</f>
        <v>0</v>
      </c>
      <c r="AJ73" s="28">
        <f>SUM(AA74:AA74)</f>
        <v>0</v>
      </c>
      <c r="AK73" s="28">
        <f>SUM(AB74:AB74)</f>
        <v>0</v>
      </c>
    </row>
    <row r="74" spans="1:43" s="262" customFormat="1" x14ac:dyDescent="0.25">
      <c r="A74" s="259" t="s">
        <v>162</v>
      </c>
      <c r="B74" s="259" t="s">
        <v>733</v>
      </c>
      <c r="C74" s="259" t="s">
        <v>828</v>
      </c>
      <c r="D74" s="259" t="s">
        <v>2296</v>
      </c>
      <c r="E74" s="259" t="s">
        <v>58</v>
      </c>
      <c r="F74" s="260">
        <v>175</v>
      </c>
      <c r="G74" s="308">
        <v>0</v>
      </c>
      <c r="H74" s="260">
        <f>ROUND(F74*AE74,2)</f>
        <v>0</v>
      </c>
      <c r="I74" s="260">
        <f>J74-H74</f>
        <v>0</v>
      </c>
      <c r="J74" s="260">
        <f>ROUND(F74*G74,2)</f>
        <v>0</v>
      </c>
      <c r="K74" s="260">
        <v>2.2000000000000001E-4</v>
      </c>
      <c r="L74" s="260">
        <f>F74*K74</f>
        <v>3.85E-2</v>
      </c>
      <c r="M74" s="261" t="s">
        <v>2292</v>
      </c>
      <c r="N74" s="261" t="s">
        <v>55</v>
      </c>
      <c r="O74" s="260">
        <f>IF(N74="5",I74,0)</f>
        <v>0</v>
      </c>
      <c r="Z74" s="260">
        <f>IF(AD74=0,J74,0)</f>
        <v>0</v>
      </c>
      <c r="AA74" s="260">
        <f>IF(AD74=15,J74,0)</f>
        <v>0</v>
      </c>
      <c r="AB74" s="260">
        <f>IF(AD74=21,J74,0)</f>
        <v>0</v>
      </c>
      <c r="AD74" s="260">
        <v>21</v>
      </c>
      <c r="AE74" s="260">
        <f>G74*0.164594594594595</f>
        <v>0</v>
      </c>
      <c r="AF74" s="260">
        <f>G74*(1-0.164594594594595)</f>
        <v>0</v>
      </c>
      <c r="AM74" s="260">
        <f>F74*AE74</f>
        <v>0</v>
      </c>
      <c r="AN74" s="260">
        <f>F74*AF74</f>
        <v>0</v>
      </c>
      <c r="AO74" s="261" t="s">
        <v>98</v>
      </c>
      <c r="AP74" s="261" t="s">
        <v>92</v>
      </c>
      <c r="AQ74" s="263" t="s">
        <v>740</v>
      </c>
    </row>
    <row r="75" spans="1:43" x14ac:dyDescent="0.25">
      <c r="C75" s="34" t="s">
        <v>63</v>
      </c>
      <c r="D75" s="340" t="s">
        <v>829</v>
      </c>
      <c r="E75" s="341"/>
      <c r="F75" s="341"/>
      <c r="G75" s="341"/>
      <c r="H75" s="341"/>
      <c r="I75" s="341"/>
      <c r="J75" s="341"/>
      <c r="K75" s="341"/>
      <c r="L75" s="341"/>
      <c r="M75" s="341"/>
    </row>
    <row r="76" spans="1:43" x14ac:dyDescent="0.25">
      <c r="A76" s="26"/>
      <c r="B76" s="27" t="s">
        <v>733</v>
      </c>
      <c r="C76" s="27" t="s">
        <v>261</v>
      </c>
      <c r="D76" s="338" t="s">
        <v>830</v>
      </c>
      <c r="E76" s="339"/>
      <c r="F76" s="339"/>
      <c r="G76" s="339"/>
      <c r="H76" s="28">
        <f>SUM(H77:H79)</f>
        <v>0</v>
      </c>
      <c r="I76" s="28">
        <f>SUM(I77:I79)</f>
        <v>0</v>
      </c>
      <c r="J76" s="28">
        <f>H76+I76</f>
        <v>0</v>
      </c>
      <c r="K76" s="21"/>
      <c r="L76" s="28">
        <f>SUM(L77:L79)</f>
        <v>0.34284500000000007</v>
      </c>
      <c r="M76" s="21"/>
      <c r="P76" s="28">
        <f>IF(Q76="PR",J76,SUM(O77:O79))</f>
        <v>0</v>
      </c>
      <c r="Q76" s="21" t="s">
        <v>54</v>
      </c>
      <c r="R76" s="28">
        <f>IF(Q76="HS",H76,0)</f>
        <v>0</v>
      </c>
      <c r="S76" s="28">
        <f>IF(Q76="HS",I76-P76,0)</f>
        <v>0</v>
      </c>
      <c r="T76" s="28">
        <f>IF(Q76="PS",H76,0)</f>
        <v>0</v>
      </c>
      <c r="U76" s="28">
        <f>IF(Q76="PS",I76-P76,0)</f>
        <v>0</v>
      </c>
      <c r="V76" s="28">
        <f>IF(Q76="MP",H76,0)</f>
        <v>0</v>
      </c>
      <c r="W76" s="28">
        <f>IF(Q76="MP",I76-P76,0)</f>
        <v>0</v>
      </c>
      <c r="X76" s="28">
        <f>IF(Q76="OM",H76,0)</f>
        <v>0</v>
      </c>
      <c r="Y76" s="21" t="s">
        <v>733</v>
      </c>
      <c r="AI76" s="28">
        <f>SUM(Z77:Z79)</f>
        <v>0</v>
      </c>
      <c r="AJ76" s="28">
        <f>SUM(AA77:AA79)</f>
        <v>0</v>
      </c>
      <c r="AK76" s="28">
        <f>SUM(AB77:AB79)</f>
        <v>0</v>
      </c>
    </row>
    <row r="77" spans="1:43" s="262" customFormat="1" x14ac:dyDescent="0.25">
      <c r="A77" s="259" t="s">
        <v>163</v>
      </c>
      <c r="B77" s="259" t="s">
        <v>733</v>
      </c>
      <c r="C77" s="259" t="s">
        <v>831</v>
      </c>
      <c r="D77" s="259" t="s">
        <v>832</v>
      </c>
      <c r="E77" s="259" t="s">
        <v>58</v>
      </c>
      <c r="F77" s="260">
        <v>378</v>
      </c>
      <c r="G77" s="308">
        <v>0</v>
      </c>
      <c r="H77" s="260">
        <f>ROUND(F77*AE77,2)</f>
        <v>0</v>
      </c>
      <c r="I77" s="260">
        <f>J77-H77</f>
        <v>0</v>
      </c>
      <c r="J77" s="260">
        <f>ROUND(F77*G77,2)</f>
        <v>0</v>
      </c>
      <c r="K77" s="260">
        <v>0</v>
      </c>
      <c r="L77" s="260">
        <f>F77*K77</f>
        <v>0</v>
      </c>
      <c r="M77" s="261" t="s">
        <v>2292</v>
      </c>
      <c r="N77" s="261" t="s">
        <v>55</v>
      </c>
      <c r="O77" s="260">
        <f>IF(N77="5",I77,0)</f>
        <v>0</v>
      </c>
      <c r="Z77" s="260">
        <f>IF(AD77=0,J77,0)</f>
        <v>0</v>
      </c>
      <c r="AA77" s="260">
        <f>IF(AD77=15,J77,0)</f>
        <v>0</v>
      </c>
      <c r="AB77" s="260">
        <f>IF(AD77=21,J77,0)</f>
        <v>0</v>
      </c>
      <c r="AD77" s="260">
        <v>21</v>
      </c>
      <c r="AE77" s="260">
        <f>G77*0</f>
        <v>0</v>
      </c>
      <c r="AF77" s="260">
        <f>G77*(1-0)</f>
        <v>0</v>
      </c>
      <c r="AM77" s="260">
        <f>F77*AE77</f>
        <v>0</v>
      </c>
      <c r="AN77" s="260">
        <f>F77*AF77</f>
        <v>0</v>
      </c>
      <c r="AO77" s="261" t="s">
        <v>833</v>
      </c>
      <c r="AP77" s="261" t="s">
        <v>106</v>
      </c>
      <c r="AQ77" s="263" t="s">
        <v>740</v>
      </c>
    </row>
    <row r="78" spans="1:43" s="262" customFormat="1" x14ac:dyDescent="0.25">
      <c r="A78" s="259" t="s">
        <v>164</v>
      </c>
      <c r="B78" s="259" t="s">
        <v>733</v>
      </c>
      <c r="C78" s="259" t="s">
        <v>834</v>
      </c>
      <c r="D78" s="259" t="s">
        <v>835</v>
      </c>
      <c r="E78" s="259" t="s">
        <v>104</v>
      </c>
      <c r="F78" s="260">
        <v>2</v>
      </c>
      <c r="G78" s="308">
        <v>0</v>
      </c>
      <c r="H78" s="260">
        <f>ROUND(F78*AE78,2)</f>
        <v>0</v>
      </c>
      <c r="I78" s="260">
        <f>J78-H78</f>
        <v>0</v>
      </c>
      <c r="J78" s="260">
        <f>ROUND(F78*G78,2)</f>
        <v>0</v>
      </c>
      <c r="K78" s="260">
        <v>1.6240000000000001E-2</v>
      </c>
      <c r="L78" s="260">
        <f>F78*K78</f>
        <v>3.2480000000000002E-2</v>
      </c>
      <c r="M78" s="261" t="s">
        <v>2292</v>
      </c>
      <c r="N78" s="261" t="s">
        <v>55</v>
      </c>
      <c r="O78" s="260">
        <f>IF(N78="5",I78,0)</f>
        <v>0</v>
      </c>
      <c r="Z78" s="260">
        <f>IF(AD78=0,J78,0)</f>
        <v>0</v>
      </c>
      <c r="AA78" s="260">
        <f>IF(AD78=15,J78,0)</f>
        <v>0</v>
      </c>
      <c r="AB78" s="260">
        <f>IF(AD78=21,J78,0)</f>
        <v>0</v>
      </c>
      <c r="AD78" s="260">
        <v>21</v>
      </c>
      <c r="AE78" s="260">
        <f>G78*0.864423391048677</f>
        <v>0</v>
      </c>
      <c r="AF78" s="260">
        <f>G78*(1-0.864423391048677)</f>
        <v>0</v>
      </c>
      <c r="AM78" s="260">
        <f>F78*AE78</f>
        <v>0</v>
      </c>
      <c r="AN78" s="260">
        <f>F78*AF78</f>
        <v>0</v>
      </c>
      <c r="AO78" s="261" t="s">
        <v>833</v>
      </c>
      <c r="AP78" s="261" t="s">
        <v>106</v>
      </c>
      <c r="AQ78" s="263" t="s">
        <v>740</v>
      </c>
    </row>
    <row r="79" spans="1:43" s="262" customFormat="1" x14ac:dyDescent="0.25">
      <c r="A79" s="259" t="s">
        <v>168</v>
      </c>
      <c r="B79" s="259" t="s">
        <v>733</v>
      </c>
      <c r="C79" s="259" t="s">
        <v>836</v>
      </c>
      <c r="D79" s="259" t="s">
        <v>837</v>
      </c>
      <c r="E79" s="259" t="s">
        <v>58</v>
      </c>
      <c r="F79" s="260">
        <v>4.95</v>
      </c>
      <c r="G79" s="308">
        <v>0</v>
      </c>
      <c r="H79" s="260">
        <f>ROUND(F79*AE79,2)</f>
        <v>0</v>
      </c>
      <c r="I79" s="260">
        <f>J79-H79</f>
        <v>0</v>
      </c>
      <c r="J79" s="260">
        <f>ROUND(F79*G79,2)</f>
        <v>0</v>
      </c>
      <c r="K79" s="260">
        <v>6.2700000000000006E-2</v>
      </c>
      <c r="L79" s="260">
        <f>F79*K79</f>
        <v>0.31036500000000006</v>
      </c>
      <c r="M79" s="261" t="s">
        <v>2292</v>
      </c>
      <c r="N79" s="261" t="s">
        <v>59</v>
      </c>
      <c r="O79" s="260">
        <f>IF(N79="5",I79,0)</f>
        <v>0</v>
      </c>
      <c r="Z79" s="260">
        <f>IF(AD79=0,J79,0)</f>
        <v>0</v>
      </c>
      <c r="AA79" s="260">
        <f>IF(AD79=15,J79,0)</f>
        <v>0</v>
      </c>
      <c r="AB79" s="260">
        <f>IF(AD79=21,J79,0)</f>
        <v>0</v>
      </c>
      <c r="AD79" s="260">
        <v>21</v>
      </c>
      <c r="AE79" s="260">
        <f>G79*0</f>
        <v>0</v>
      </c>
      <c r="AF79" s="260">
        <f>G79*(1-0)</f>
        <v>0</v>
      </c>
      <c r="AM79" s="260">
        <f>F79*AE79</f>
        <v>0</v>
      </c>
      <c r="AN79" s="260">
        <f>F79*AF79</f>
        <v>0</v>
      </c>
      <c r="AO79" s="261" t="s">
        <v>833</v>
      </c>
      <c r="AP79" s="261" t="s">
        <v>106</v>
      </c>
      <c r="AQ79" s="263" t="s">
        <v>740</v>
      </c>
    </row>
    <row r="80" spans="1:43" ht="25.7" customHeight="1" x14ac:dyDescent="0.25">
      <c r="C80" s="34" t="s">
        <v>63</v>
      </c>
      <c r="D80" s="340" t="s">
        <v>838</v>
      </c>
      <c r="E80" s="341"/>
      <c r="F80" s="341"/>
      <c r="G80" s="341"/>
      <c r="H80" s="341"/>
      <c r="I80" s="341"/>
      <c r="J80" s="341"/>
      <c r="K80" s="341"/>
      <c r="L80" s="341"/>
      <c r="M80" s="341"/>
    </row>
    <row r="81" spans="1:43" x14ac:dyDescent="0.25">
      <c r="A81" s="26"/>
      <c r="B81" s="27" t="s">
        <v>733</v>
      </c>
      <c r="C81" s="27" t="s">
        <v>99</v>
      </c>
      <c r="D81" s="338" t="s">
        <v>100</v>
      </c>
      <c r="E81" s="339"/>
      <c r="F81" s="339"/>
      <c r="G81" s="339"/>
      <c r="H81" s="28">
        <f>SUM(H82:H86)</f>
        <v>0</v>
      </c>
      <c r="I81" s="28">
        <f>SUM(I82:I86)</f>
        <v>0</v>
      </c>
      <c r="J81" s="28">
        <f>H81+I81</f>
        <v>0</v>
      </c>
      <c r="K81" s="21"/>
      <c r="L81" s="28">
        <f>SUM(L82:L86)</f>
        <v>22.525506</v>
      </c>
      <c r="M81" s="21"/>
      <c r="P81" s="28">
        <f>IF(Q81="PR",J81,SUM(O82:O86))</f>
        <v>0</v>
      </c>
      <c r="Q81" s="21" t="s">
        <v>54</v>
      </c>
      <c r="R81" s="28">
        <f>IF(Q81="HS",H81,0)</f>
        <v>0</v>
      </c>
      <c r="S81" s="28">
        <f>IF(Q81="HS",I81-P81,0)</f>
        <v>0</v>
      </c>
      <c r="T81" s="28">
        <f>IF(Q81="PS",H81,0)</f>
        <v>0</v>
      </c>
      <c r="U81" s="28">
        <f>IF(Q81="PS",I81-P81,0)</f>
        <v>0</v>
      </c>
      <c r="V81" s="28">
        <f>IF(Q81="MP",H81,0)</f>
        <v>0</v>
      </c>
      <c r="W81" s="28">
        <f>IF(Q81="MP",I81-P81,0)</f>
        <v>0</v>
      </c>
      <c r="X81" s="28">
        <f>IF(Q81="OM",H81,0)</f>
        <v>0</v>
      </c>
      <c r="Y81" s="21" t="s">
        <v>733</v>
      </c>
      <c r="AI81" s="28">
        <f>SUM(Z82:Z86)</f>
        <v>0</v>
      </c>
      <c r="AJ81" s="28">
        <f>SUM(AA82:AA86)</f>
        <v>0</v>
      </c>
      <c r="AK81" s="28">
        <f>SUM(AB82:AB86)</f>
        <v>0</v>
      </c>
    </row>
    <row r="82" spans="1:43" s="262" customFormat="1" x14ac:dyDescent="0.25">
      <c r="A82" s="259" t="s">
        <v>173</v>
      </c>
      <c r="B82" s="259" t="s">
        <v>733</v>
      </c>
      <c r="C82" s="259" t="s">
        <v>839</v>
      </c>
      <c r="D82" s="259" t="s">
        <v>840</v>
      </c>
      <c r="E82" s="259" t="s">
        <v>58</v>
      </c>
      <c r="F82" s="260">
        <v>355</v>
      </c>
      <c r="G82" s="308">
        <v>0</v>
      </c>
      <c r="H82" s="260">
        <f>ROUND(F82*AE82,2)</f>
        <v>0</v>
      </c>
      <c r="I82" s="260">
        <f>J82-H82</f>
        <v>0</v>
      </c>
      <c r="J82" s="260">
        <f>ROUND(F82*G82,2)</f>
        <v>0</v>
      </c>
      <c r="K82" s="260">
        <v>6.3E-2</v>
      </c>
      <c r="L82" s="260">
        <f>F82*K82</f>
        <v>22.364999999999998</v>
      </c>
      <c r="M82" s="261" t="s">
        <v>2292</v>
      </c>
      <c r="N82" s="261" t="s">
        <v>55</v>
      </c>
      <c r="O82" s="260">
        <f>IF(N82="5",I82,0)</f>
        <v>0</v>
      </c>
      <c r="Z82" s="260">
        <f>IF(AD82=0,J82,0)</f>
        <v>0</v>
      </c>
      <c r="AA82" s="260">
        <f>IF(AD82=15,J82,0)</f>
        <v>0</v>
      </c>
      <c r="AB82" s="260">
        <f>IF(AD82=21,J82,0)</f>
        <v>0</v>
      </c>
      <c r="AD82" s="260">
        <v>21</v>
      </c>
      <c r="AE82" s="260">
        <f>G82*0.138833819241982</f>
        <v>0</v>
      </c>
      <c r="AF82" s="260">
        <f>G82*(1-0.138833819241982)</f>
        <v>0</v>
      </c>
      <c r="AM82" s="260">
        <f>F82*AE82</f>
        <v>0</v>
      </c>
      <c r="AN82" s="260">
        <f>F82*AF82</f>
        <v>0</v>
      </c>
      <c r="AO82" s="261" t="s">
        <v>105</v>
      </c>
      <c r="AP82" s="261" t="s">
        <v>106</v>
      </c>
      <c r="AQ82" s="263" t="s">
        <v>740</v>
      </c>
    </row>
    <row r="83" spans="1:43" ht="25.7" customHeight="1" x14ac:dyDescent="0.25">
      <c r="C83" s="34" t="s">
        <v>63</v>
      </c>
      <c r="D83" s="340" t="s">
        <v>841</v>
      </c>
      <c r="E83" s="341"/>
      <c r="F83" s="341"/>
      <c r="G83" s="341"/>
      <c r="H83" s="341"/>
      <c r="I83" s="341"/>
      <c r="J83" s="341"/>
      <c r="K83" s="341"/>
      <c r="L83" s="341"/>
      <c r="M83" s="341"/>
    </row>
    <row r="84" spans="1:43" s="262" customFormat="1" x14ac:dyDescent="0.25">
      <c r="A84" s="259" t="s">
        <v>174</v>
      </c>
      <c r="B84" s="259" t="s">
        <v>733</v>
      </c>
      <c r="C84" s="259" t="s">
        <v>842</v>
      </c>
      <c r="D84" s="259" t="s">
        <v>843</v>
      </c>
      <c r="E84" s="259" t="s">
        <v>113</v>
      </c>
      <c r="F84" s="260">
        <v>1</v>
      </c>
      <c r="G84" s="308">
        <v>0</v>
      </c>
      <c r="H84" s="260">
        <f>ROUND(F84*AE84,2)</f>
        <v>0</v>
      </c>
      <c r="I84" s="260">
        <f>J84-H84</f>
        <v>0</v>
      </c>
      <c r="J84" s="260">
        <f>ROUND(F84*G84,2)</f>
        <v>0</v>
      </c>
      <c r="K84" s="260">
        <v>0</v>
      </c>
      <c r="L84" s="260">
        <f>F84*K84</f>
        <v>0</v>
      </c>
      <c r="M84" s="261" t="s">
        <v>2292</v>
      </c>
      <c r="N84" s="261" t="s">
        <v>55</v>
      </c>
      <c r="O84" s="260">
        <f>IF(N84="5",I84,0)</f>
        <v>0</v>
      </c>
      <c r="Z84" s="260">
        <f>IF(AD84=0,J84,0)</f>
        <v>0</v>
      </c>
      <c r="AA84" s="260">
        <f>IF(AD84=15,J84,0)</f>
        <v>0</v>
      </c>
      <c r="AB84" s="260">
        <f>IF(AD84=21,J84,0)</f>
        <v>0</v>
      </c>
      <c r="AD84" s="260">
        <v>21</v>
      </c>
      <c r="AE84" s="260">
        <f>G84*0</f>
        <v>0</v>
      </c>
      <c r="AF84" s="260">
        <f>G84*(1-0)</f>
        <v>0</v>
      </c>
      <c r="AM84" s="260">
        <f>F84*AE84</f>
        <v>0</v>
      </c>
      <c r="AN84" s="260">
        <f>F84*AF84</f>
        <v>0</v>
      </c>
      <c r="AO84" s="261" t="s">
        <v>105</v>
      </c>
      <c r="AP84" s="261" t="s">
        <v>106</v>
      </c>
      <c r="AQ84" s="263" t="s">
        <v>740</v>
      </c>
    </row>
    <row r="85" spans="1:43" ht="12" customHeight="1" x14ac:dyDescent="0.25">
      <c r="C85" s="34" t="s">
        <v>63</v>
      </c>
      <c r="D85" s="340" t="s">
        <v>844</v>
      </c>
      <c r="E85" s="341"/>
      <c r="F85" s="341"/>
      <c r="G85" s="341"/>
      <c r="H85" s="341"/>
      <c r="I85" s="341"/>
      <c r="J85" s="341"/>
      <c r="K85" s="341"/>
      <c r="L85" s="341"/>
      <c r="M85" s="341"/>
    </row>
    <row r="86" spans="1:43" s="262" customFormat="1" x14ac:dyDescent="0.25">
      <c r="A86" s="259" t="s">
        <v>175</v>
      </c>
      <c r="B86" s="259" t="s">
        <v>733</v>
      </c>
      <c r="C86" s="259" t="s">
        <v>845</v>
      </c>
      <c r="D86" s="259" t="s">
        <v>846</v>
      </c>
      <c r="E86" s="259" t="s">
        <v>58</v>
      </c>
      <c r="F86" s="260">
        <v>1.8</v>
      </c>
      <c r="G86" s="308">
        <v>0</v>
      </c>
      <c r="H86" s="260">
        <f>ROUND(F86*AE86,2)</f>
        <v>0</v>
      </c>
      <c r="I86" s="260">
        <f>J86-H86</f>
        <v>0</v>
      </c>
      <c r="J86" s="260">
        <f>ROUND(F86*G86,2)</f>
        <v>0</v>
      </c>
      <c r="K86" s="260">
        <v>8.9169999999999999E-2</v>
      </c>
      <c r="L86" s="260">
        <f>F86*K86</f>
        <v>0.16050600000000001</v>
      </c>
      <c r="M86" s="261" t="s">
        <v>2292</v>
      </c>
      <c r="N86" s="261" t="s">
        <v>55</v>
      </c>
      <c r="O86" s="260">
        <f>IF(N86="5",I86,0)</f>
        <v>0</v>
      </c>
      <c r="Z86" s="260">
        <f>IF(AD86=0,J86,0)</f>
        <v>0</v>
      </c>
      <c r="AA86" s="260">
        <f>IF(AD86=15,J86,0)</f>
        <v>0</v>
      </c>
      <c r="AB86" s="260">
        <f>IF(AD86=21,J86,0)</f>
        <v>0</v>
      </c>
      <c r="AD86" s="260">
        <v>21</v>
      </c>
      <c r="AE86" s="260">
        <f>G86*0.171384615384615</f>
        <v>0</v>
      </c>
      <c r="AF86" s="260">
        <f>G86*(1-0.171384615384615)</f>
        <v>0</v>
      </c>
      <c r="AM86" s="260">
        <f>F86*AE86</f>
        <v>0</v>
      </c>
      <c r="AN86" s="260">
        <f>F86*AF86</f>
        <v>0</v>
      </c>
      <c r="AO86" s="261" t="s">
        <v>105</v>
      </c>
      <c r="AP86" s="261" t="s">
        <v>106</v>
      </c>
      <c r="AQ86" s="263" t="s">
        <v>740</v>
      </c>
    </row>
    <row r="87" spans="1:43" ht="25.7" customHeight="1" x14ac:dyDescent="0.25">
      <c r="C87" s="34" t="s">
        <v>63</v>
      </c>
      <c r="D87" s="340" t="s">
        <v>847</v>
      </c>
      <c r="E87" s="341"/>
      <c r="F87" s="341"/>
      <c r="G87" s="341"/>
      <c r="H87" s="341"/>
      <c r="I87" s="341"/>
      <c r="J87" s="341"/>
      <c r="K87" s="341"/>
      <c r="L87" s="341"/>
      <c r="M87" s="341"/>
    </row>
    <row r="88" spans="1:43" x14ac:dyDescent="0.25">
      <c r="A88" s="26"/>
      <c r="B88" s="27" t="s">
        <v>733</v>
      </c>
      <c r="C88" s="27" t="s">
        <v>848</v>
      </c>
      <c r="D88" s="338" t="s">
        <v>849</v>
      </c>
      <c r="E88" s="339"/>
      <c r="F88" s="339"/>
      <c r="G88" s="339"/>
      <c r="H88" s="28">
        <f>SUM(H89:H89)</f>
        <v>0</v>
      </c>
      <c r="I88" s="28">
        <f>SUM(I89:I89)</f>
        <v>0</v>
      </c>
      <c r="J88" s="28">
        <f>H88+I88</f>
        <v>0</v>
      </c>
      <c r="K88" s="21"/>
      <c r="L88" s="28">
        <f>SUM(L89:L89)</f>
        <v>0.29942999999999997</v>
      </c>
      <c r="M88" s="21"/>
      <c r="P88" s="28">
        <f>IF(Q88="PR",J88,SUM(O89:O89))</f>
        <v>0</v>
      </c>
      <c r="Q88" s="21" t="s">
        <v>850</v>
      </c>
      <c r="R88" s="28">
        <f>IF(Q88="HS",H88,0)</f>
        <v>0</v>
      </c>
      <c r="S88" s="28">
        <f>IF(Q88="HS",I88-P88,0)</f>
        <v>0</v>
      </c>
      <c r="T88" s="28">
        <f>IF(Q88="PS",H88,0)</f>
        <v>0</v>
      </c>
      <c r="U88" s="28">
        <f>IF(Q88="PS",I88-P88,0)</f>
        <v>0</v>
      </c>
      <c r="V88" s="28">
        <f>IF(Q88="MP",H88,0)</f>
        <v>0</v>
      </c>
      <c r="W88" s="28">
        <f>IF(Q88="MP",I88-P88,0)</f>
        <v>0</v>
      </c>
      <c r="X88" s="28">
        <f>IF(Q88="OM",H88,0)</f>
        <v>0</v>
      </c>
      <c r="Y88" s="21" t="s">
        <v>733</v>
      </c>
      <c r="AI88" s="28">
        <f>SUM(Z89:Z89)</f>
        <v>0</v>
      </c>
      <c r="AJ88" s="28">
        <f>SUM(AA89:AA89)</f>
        <v>0</v>
      </c>
      <c r="AK88" s="28">
        <f>SUM(AB89:AB89)</f>
        <v>0</v>
      </c>
    </row>
    <row r="89" spans="1:43" s="262" customFormat="1" x14ac:dyDescent="0.25">
      <c r="A89" s="259" t="s">
        <v>176</v>
      </c>
      <c r="B89" s="259" t="s">
        <v>733</v>
      </c>
      <c r="C89" s="259" t="s">
        <v>851</v>
      </c>
      <c r="D89" s="259" t="s">
        <v>852</v>
      </c>
      <c r="E89" s="259" t="s">
        <v>853</v>
      </c>
      <c r="F89" s="260">
        <v>1</v>
      </c>
      <c r="G89" s="308">
        <v>0</v>
      </c>
      <c r="H89" s="260">
        <f>ROUND(F89*AE89,2)</f>
        <v>0</v>
      </c>
      <c r="I89" s="260">
        <f>J89-H89</f>
        <v>0</v>
      </c>
      <c r="J89" s="260">
        <f>ROUND(F89*G89,2)</f>
        <v>0</v>
      </c>
      <c r="K89" s="260">
        <v>0.29942999999999997</v>
      </c>
      <c r="L89" s="260">
        <f>F89*K89</f>
        <v>0.29942999999999997</v>
      </c>
      <c r="M89" s="261" t="s">
        <v>2292</v>
      </c>
      <c r="N89" s="261" t="s">
        <v>59</v>
      </c>
      <c r="O89" s="260">
        <f>IF(N89="5",I89,0)</f>
        <v>0</v>
      </c>
      <c r="Z89" s="260">
        <f>IF(AD89=0,J89,0)</f>
        <v>0</v>
      </c>
      <c r="AA89" s="260">
        <f>IF(AD89=15,J89,0)</f>
        <v>0</v>
      </c>
      <c r="AB89" s="260">
        <f>IF(AD89=21,J89,0)</f>
        <v>0</v>
      </c>
      <c r="AD89" s="260">
        <v>21</v>
      </c>
      <c r="AE89" s="260">
        <f>G89*0.223557415081993</f>
        <v>0</v>
      </c>
      <c r="AF89" s="260">
        <f>G89*(1-0.223557415081993)</f>
        <v>0</v>
      </c>
      <c r="AM89" s="260">
        <f>F89*AE89</f>
        <v>0</v>
      </c>
      <c r="AN89" s="260">
        <f>F89*AF89</f>
        <v>0</v>
      </c>
      <c r="AO89" s="261" t="s">
        <v>854</v>
      </c>
      <c r="AP89" s="261" t="s">
        <v>106</v>
      </c>
      <c r="AQ89" s="263" t="s">
        <v>740</v>
      </c>
    </row>
    <row r="90" spans="1:43" x14ac:dyDescent="0.25">
      <c r="A90" s="26"/>
      <c r="B90" s="27" t="s">
        <v>733</v>
      </c>
      <c r="C90" s="27"/>
      <c r="D90" s="338"/>
      <c r="E90" s="339"/>
      <c r="F90" s="339"/>
      <c r="G90" s="339"/>
      <c r="H90" s="28">
        <f>SUM(H91:H92)</f>
        <v>0</v>
      </c>
      <c r="I90" s="28">
        <f>SUM(I91:I92)</f>
        <v>0</v>
      </c>
      <c r="J90" s="28">
        <f>H90+I90</f>
        <v>0</v>
      </c>
      <c r="K90" s="21"/>
      <c r="L90" s="28">
        <f>SUM(L91:L92)</f>
        <v>450</v>
      </c>
      <c r="M90" s="21"/>
      <c r="P90" s="28">
        <f>IF(Q90="PR",J90,SUM(O91:O92))</f>
        <v>0</v>
      </c>
      <c r="Q90" s="21" t="s">
        <v>855</v>
      </c>
      <c r="R90" s="28">
        <f>IF(Q90="HS",H90,0)</f>
        <v>0</v>
      </c>
      <c r="S90" s="28">
        <f>IF(Q90="HS",I90-P90,0)</f>
        <v>0</v>
      </c>
      <c r="T90" s="28">
        <f>IF(Q90="PS",H90,0)</f>
        <v>0</v>
      </c>
      <c r="U90" s="28">
        <f>IF(Q90="PS",I90-P90,0)</f>
        <v>0</v>
      </c>
      <c r="V90" s="28">
        <f>IF(Q90="MP",H90,0)</f>
        <v>0</v>
      </c>
      <c r="W90" s="28">
        <f>IF(Q90="MP",I90-P90,0)</f>
        <v>0</v>
      </c>
      <c r="X90" s="28">
        <f>IF(Q90="OM",H90,0)</f>
        <v>0</v>
      </c>
      <c r="Y90" s="21" t="s">
        <v>733</v>
      </c>
      <c r="AI90" s="28">
        <f>SUM(Z91:Z92)</f>
        <v>0</v>
      </c>
      <c r="AJ90" s="28">
        <f>SUM(AA91:AA92)</f>
        <v>0</v>
      </c>
      <c r="AK90" s="28">
        <f>SUM(AB91:AB92)</f>
        <v>0</v>
      </c>
    </row>
    <row r="91" spans="1:43" s="262" customFormat="1" x14ac:dyDescent="0.25">
      <c r="A91" s="259" t="s">
        <v>177</v>
      </c>
      <c r="B91" s="259" t="s">
        <v>733</v>
      </c>
      <c r="C91" s="259" t="s">
        <v>856</v>
      </c>
      <c r="D91" s="259" t="s">
        <v>857</v>
      </c>
      <c r="E91" s="259" t="s">
        <v>58</v>
      </c>
      <c r="F91" s="260">
        <v>299.52</v>
      </c>
      <c r="G91" s="308">
        <v>0</v>
      </c>
      <c r="H91" s="260">
        <f>ROUND(F91*AE91,2)</f>
        <v>0</v>
      </c>
      <c r="I91" s="260">
        <f>J91-H91</f>
        <v>0</v>
      </c>
      <c r="J91" s="260">
        <f>ROUND(F91*G91,2)</f>
        <v>0</v>
      </c>
      <c r="K91" s="260">
        <v>0</v>
      </c>
      <c r="L91" s="260">
        <f>F91*K91</f>
        <v>0</v>
      </c>
      <c r="M91" s="261"/>
      <c r="N91" s="261" t="s">
        <v>166</v>
      </c>
      <c r="O91" s="260">
        <f>IF(N91="5",I91,0)</f>
        <v>0</v>
      </c>
      <c r="Z91" s="260">
        <f>IF(AD91=0,J91,0)</f>
        <v>0</v>
      </c>
      <c r="AA91" s="260">
        <f>IF(AD91=15,J91,0)</f>
        <v>0</v>
      </c>
      <c r="AB91" s="260">
        <f>IF(AD91=21,J91,0)</f>
        <v>0</v>
      </c>
      <c r="AD91" s="260">
        <v>21</v>
      </c>
      <c r="AE91" s="260">
        <f>G91*1</f>
        <v>0</v>
      </c>
      <c r="AF91" s="260">
        <f>G91*(1-1)</f>
        <v>0</v>
      </c>
      <c r="AM91" s="260">
        <f>F91*AE91</f>
        <v>0</v>
      </c>
      <c r="AN91" s="260">
        <f>F91*AF91</f>
        <v>0</v>
      </c>
      <c r="AO91" s="261" t="s">
        <v>858</v>
      </c>
      <c r="AP91" s="261" t="s">
        <v>858</v>
      </c>
      <c r="AQ91" s="263" t="s">
        <v>740</v>
      </c>
    </row>
    <row r="92" spans="1:43" s="262" customFormat="1" x14ac:dyDescent="0.25">
      <c r="A92" s="259" t="s">
        <v>179</v>
      </c>
      <c r="B92" s="259" t="s">
        <v>733</v>
      </c>
      <c r="C92" s="259" t="s">
        <v>859</v>
      </c>
      <c r="D92" s="259" t="s">
        <v>860</v>
      </c>
      <c r="E92" s="259" t="s">
        <v>861</v>
      </c>
      <c r="F92" s="260">
        <v>45</v>
      </c>
      <c r="G92" s="308">
        <v>0</v>
      </c>
      <c r="H92" s="260">
        <f>ROUND(F92*AE92,2)</f>
        <v>0</v>
      </c>
      <c r="I92" s="260">
        <f>J92-H92</f>
        <v>0</v>
      </c>
      <c r="J92" s="260">
        <f>ROUND(F92*G92,2)</f>
        <v>0</v>
      </c>
      <c r="K92" s="260">
        <v>10</v>
      </c>
      <c r="L92" s="260">
        <f>F92*K92</f>
        <v>450</v>
      </c>
      <c r="M92" s="261"/>
      <c r="N92" s="261" t="s">
        <v>166</v>
      </c>
      <c r="O92" s="260">
        <f>IF(N92="5",I92,0)</f>
        <v>0</v>
      </c>
      <c r="Z92" s="260">
        <f>IF(AD92=0,J92,0)</f>
        <v>0</v>
      </c>
      <c r="AA92" s="260">
        <f>IF(AD92=15,J92,0)</f>
        <v>0</v>
      </c>
      <c r="AB92" s="260">
        <f>IF(AD92=21,J92,0)</f>
        <v>0</v>
      </c>
      <c r="AD92" s="260">
        <v>21</v>
      </c>
      <c r="AE92" s="260">
        <f>G92*1</f>
        <v>0</v>
      </c>
      <c r="AF92" s="260">
        <f>G92*(1-1)</f>
        <v>0</v>
      </c>
      <c r="AM92" s="260">
        <f>F92*AE92</f>
        <v>0</v>
      </c>
      <c r="AN92" s="260">
        <f>F92*AF92</f>
        <v>0</v>
      </c>
      <c r="AO92" s="261" t="s">
        <v>858</v>
      </c>
      <c r="AP92" s="261" t="s">
        <v>858</v>
      </c>
      <c r="AQ92" s="263" t="s">
        <v>740</v>
      </c>
    </row>
    <row r="93" spans="1:43" x14ac:dyDescent="0.25">
      <c r="A93" s="26"/>
      <c r="B93" s="27" t="s">
        <v>733</v>
      </c>
      <c r="C93" s="27"/>
      <c r="D93" s="338" t="s">
        <v>694</v>
      </c>
      <c r="E93" s="339"/>
      <c r="F93" s="339"/>
      <c r="G93" s="339"/>
      <c r="H93" s="28">
        <f>SUM(H94:H94)</f>
        <v>0</v>
      </c>
      <c r="I93" s="28">
        <f>SUM(I94:I94)</f>
        <v>0</v>
      </c>
      <c r="J93" s="28">
        <f>H93+I93</f>
        <v>0</v>
      </c>
      <c r="K93" s="21"/>
      <c r="L93" s="28">
        <f>SUM(L94:L94)</f>
        <v>0</v>
      </c>
      <c r="M93" s="21"/>
      <c r="P93" s="28">
        <f>IF(Q93="PR",J93,SUM(O94:O94))</f>
        <v>0</v>
      </c>
      <c r="Q93" s="21" t="s">
        <v>855</v>
      </c>
      <c r="R93" s="28">
        <f>IF(Q93="HS",H93,0)</f>
        <v>0</v>
      </c>
      <c r="S93" s="28">
        <f>IF(Q93="HS",I93-P93,0)</f>
        <v>0</v>
      </c>
      <c r="T93" s="28">
        <f>IF(Q93="PS",H93,0)</f>
        <v>0</v>
      </c>
      <c r="U93" s="28">
        <f>IF(Q93="PS",I93-P93,0)</f>
        <v>0</v>
      </c>
      <c r="V93" s="28">
        <f>IF(Q93="MP",H93,0)</f>
        <v>0</v>
      </c>
      <c r="W93" s="28">
        <f>IF(Q93="MP",I93-P93,0)</f>
        <v>0</v>
      </c>
      <c r="X93" s="28">
        <f>IF(Q93="OM",H93,0)</f>
        <v>0</v>
      </c>
      <c r="Y93" s="21" t="s">
        <v>733</v>
      </c>
      <c r="AI93" s="28">
        <f>SUM(Z94:Z94)</f>
        <v>0</v>
      </c>
      <c r="AJ93" s="28">
        <f>SUM(AA94:AA94)</f>
        <v>0</v>
      </c>
      <c r="AK93" s="28">
        <f>SUM(AB94:AB94)</f>
        <v>0</v>
      </c>
    </row>
    <row r="94" spans="1:43" s="262" customFormat="1" x14ac:dyDescent="0.25">
      <c r="A94" s="259" t="s">
        <v>181</v>
      </c>
      <c r="B94" s="259" t="s">
        <v>733</v>
      </c>
      <c r="C94" s="259" t="s">
        <v>862</v>
      </c>
      <c r="D94" s="259" t="s">
        <v>863</v>
      </c>
      <c r="E94" s="259" t="s">
        <v>861</v>
      </c>
      <c r="F94" s="260">
        <v>45</v>
      </c>
      <c r="G94" s="308">
        <v>0</v>
      </c>
      <c r="H94" s="260">
        <f>ROUND(F94*AE94,2)</f>
        <v>0</v>
      </c>
      <c r="I94" s="260">
        <f>J94-H94</f>
        <v>0</v>
      </c>
      <c r="J94" s="260">
        <f>ROUND(F94*G94,2)</f>
        <v>0</v>
      </c>
      <c r="K94" s="260">
        <v>0</v>
      </c>
      <c r="L94" s="260">
        <f>F94*K94</f>
        <v>0</v>
      </c>
      <c r="M94" s="261"/>
      <c r="N94" s="261" t="s">
        <v>166</v>
      </c>
      <c r="O94" s="260">
        <f>IF(N94="5",I94,0)</f>
        <v>0</v>
      </c>
      <c r="Z94" s="260">
        <f>IF(AD94=0,J94,0)</f>
        <v>0</v>
      </c>
      <c r="AA94" s="260">
        <f>IF(AD94=15,J94,0)</f>
        <v>0</v>
      </c>
      <c r="AB94" s="260">
        <f>IF(AD94=21,J94,0)</f>
        <v>0</v>
      </c>
      <c r="AD94" s="260">
        <v>21</v>
      </c>
      <c r="AE94" s="260">
        <f>G94*1</f>
        <v>0</v>
      </c>
      <c r="AF94" s="260">
        <f>G94*(1-1)</f>
        <v>0</v>
      </c>
      <c r="AM94" s="260">
        <f>F94*AE94</f>
        <v>0</v>
      </c>
      <c r="AN94" s="260">
        <f>F94*AF94</f>
        <v>0</v>
      </c>
      <c r="AO94" s="261" t="s">
        <v>864</v>
      </c>
      <c r="AP94" s="261" t="s">
        <v>865</v>
      </c>
      <c r="AQ94" s="263" t="s">
        <v>740</v>
      </c>
    </row>
    <row r="95" spans="1:43" x14ac:dyDescent="0.25">
      <c r="A95" s="26"/>
      <c r="B95" s="27" t="s">
        <v>866</v>
      </c>
      <c r="C95" s="27"/>
      <c r="D95" s="338" t="s">
        <v>867</v>
      </c>
      <c r="E95" s="339"/>
      <c r="F95" s="339"/>
      <c r="G95" s="339"/>
      <c r="H95" s="28">
        <f>H96</f>
        <v>0</v>
      </c>
      <c r="I95" s="28">
        <f>I96</f>
        <v>0</v>
      </c>
      <c r="J95" s="28">
        <f>H95+I95</f>
        <v>0</v>
      </c>
      <c r="K95" s="21"/>
      <c r="L95" s="28">
        <f>L96</f>
        <v>0.34594999999999998</v>
      </c>
      <c r="M95" s="21"/>
    </row>
    <row r="96" spans="1:43" x14ac:dyDescent="0.25">
      <c r="A96" s="26"/>
      <c r="B96" s="27" t="s">
        <v>866</v>
      </c>
      <c r="C96" s="27" t="s">
        <v>207</v>
      </c>
      <c r="D96" s="338" t="s">
        <v>745</v>
      </c>
      <c r="E96" s="339"/>
      <c r="F96" s="339"/>
      <c r="G96" s="339"/>
      <c r="H96" s="28">
        <f>SUM(H97:H97)</f>
        <v>0</v>
      </c>
      <c r="I96" s="28">
        <f>SUM(I97:I97)</f>
        <v>0</v>
      </c>
      <c r="J96" s="28">
        <f>H96+I96</f>
        <v>0</v>
      </c>
      <c r="K96" s="21"/>
      <c r="L96" s="28">
        <f>SUM(L97:L97)</f>
        <v>0.34594999999999998</v>
      </c>
      <c r="M96" s="21"/>
      <c r="P96" s="28">
        <f>IF(Q96="PR",J96,SUM(O97:O97))</f>
        <v>0</v>
      </c>
      <c r="Q96" s="21" t="s">
        <v>54</v>
      </c>
      <c r="R96" s="28">
        <f>IF(Q96="HS",H96,0)</f>
        <v>0</v>
      </c>
      <c r="S96" s="28">
        <f>IF(Q96="HS",I96-P96,0)</f>
        <v>0</v>
      </c>
      <c r="T96" s="28">
        <f>IF(Q96="PS",H96,0)</f>
        <v>0</v>
      </c>
      <c r="U96" s="28">
        <f>IF(Q96="PS",I96-P96,0)</f>
        <v>0</v>
      </c>
      <c r="V96" s="28">
        <f>IF(Q96="MP",H96,0)</f>
        <v>0</v>
      </c>
      <c r="W96" s="28">
        <f>IF(Q96="MP",I96-P96,0)</f>
        <v>0</v>
      </c>
      <c r="X96" s="28">
        <f>IF(Q96="OM",H96,0)</f>
        <v>0</v>
      </c>
      <c r="Y96" s="21" t="s">
        <v>866</v>
      </c>
      <c r="AI96" s="28">
        <f>SUM(Z97:Z97)</f>
        <v>0</v>
      </c>
      <c r="AJ96" s="28">
        <f>SUM(AA97:AA97)</f>
        <v>0</v>
      </c>
      <c r="AK96" s="28">
        <f>SUM(AB97:AB97)</f>
        <v>0</v>
      </c>
    </row>
    <row r="97" spans="1:43" s="262" customFormat="1" x14ac:dyDescent="0.25">
      <c r="A97" s="259" t="s">
        <v>182</v>
      </c>
      <c r="B97" s="259" t="s">
        <v>866</v>
      </c>
      <c r="C97" s="259" t="s">
        <v>868</v>
      </c>
      <c r="D97" s="259" t="s">
        <v>869</v>
      </c>
      <c r="E97" s="259" t="s">
        <v>113</v>
      </c>
      <c r="F97" s="260">
        <v>1</v>
      </c>
      <c r="G97" s="308">
        <v>0</v>
      </c>
      <c r="H97" s="260">
        <f>ROUND(F97*AE97,2)</f>
        <v>0</v>
      </c>
      <c r="I97" s="260">
        <f>J97-H97</f>
        <v>0</v>
      </c>
      <c r="J97" s="260">
        <f>ROUND(F97*G97,2)</f>
        <v>0</v>
      </c>
      <c r="K97" s="260">
        <v>0.34594999999999998</v>
      </c>
      <c r="L97" s="260">
        <f>F97*K97</f>
        <v>0.34594999999999998</v>
      </c>
      <c r="M97" s="261" t="s">
        <v>2292</v>
      </c>
      <c r="N97" s="261" t="s">
        <v>59</v>
      </c>
      <c r="O97" s="260">
        <f>IF(N97="5",I97,0)</f>
        <v>0</v>
      </c>
      <c r="Z97" s="260">
        <f>IF(AD97=0,J97,0)</f>
        <v>0</v>
      </c>
      <c r="AA97" s="260">
        <f>IF(AD97=15,J97,0)</f>
        <v>0</v>
      </c>
      <c r="AB97" s="260">
        <f>IF(AD97=21,J97,0)</f>
        <v>0</v>
      </c>
      <c r="AD97" s="260">
        <v>21</v>
      </c>
      <c r="AE97" s="260">
        <f>G97*0.294187460622134</f>
        <v>0</v>
      </c>
      <c r="AF97" s="260">
        <f>G97*(1-0.294187460622134)</f>
        <v>0</v>
      </c>
      <c r="AM97" s="260">
        <f>F97*AE97</f>
        <v>0</v>
      </c>
      <c r="AN97" s="260">
        <f>F97*AF97</f>
        <v>0</v>
      </c>
      <c r="AO97" s="261" t="s">
        <v>748</v>
      </c>
      <c r="AP97" s="261" t="s">
        <v>61</v>
      </c>
      <c r="AQ97" s="263" t="s">
        <v>870</v>
      </c>
    </row>
    <row r="98" spans="1:43" ht="25.7" customHeight="1" x14ac:dyDescent="0.25">
      <c r="C98" s="34" t="s">
        <v>63</v>
      </c>
      <c r="D98" s="340" t="s">
        <v>871</v>
      </c>
      <c r="E98" s="341"/>
      <c r="F98" s="341"/>
      <c r="G98" s="341"/>
      <c r="H98" s="341"/>
      <c r="I98" s="341"/>
      <c r="J98" s="341"/>
      <c r="K98" s="341"/>
      <c r="L98" s="341"/>
      <c r="M98" s="341"/>
    </row>
    <row r="99" spans="1:43" x14ac:dyDescent="0.25">
      <c r="A99" s="26"/>
      <c r="B99" s="27"/>
      <c r="C99" s="27"/>
      <c r="D99" s="338" t="s">
        <v>872</v>
      </c>
      <c r="E99" s="339"/>
      <c r="F99" s="339"/>
      <c r="G99" s="339"/>
      <c r="H99" s="28">
        <f>H100+H103</f>
        <v>0</v>
      </c>
      <c r="I99" s="28">
        <f>I100+I103</f>
        <v>0</v>
      </c>
      <c r="J99" s="28">
        <f>H99+I99</f>
        <v>0</v>
      </c>
      <c r="K99" s="21"/>
      <c r="L99" s="28">
        <f>L100+L103</f>
        <v>0.15231</v>
      </c>
      <c r="M99" s="21"/>
    </row>
    <row r="100" spans="1:43" x14ac:dyDescent="0.25">
      <c r="A100" s="26"/>
      <c r="B100" s="27"/>
      <c r="C100" s="27" t="s">
        <v>130</v>
      </c>
      <c r="D100" s="338" t="s">
        <v>131</v>
      </c>
      <c r="E100" s="339"/>
      <c r="F100" s="339"/>
      <c r="G100" s="339"/>
      <c r="H100" s="28">
        <f>SUM(H101:H101)</f>
        <v>0</v>
      </c>
      <c r="I100" s="28">
        <f>SUM(I101:I101)</f>
        <v>0</v>
      </c>
      <c r="J100" s="28">
        <f>H100+I100</f>
        <v>0</v>
      </c>
      <c r="K100" s="21"/>
      <c r="L100" s="28">
        <f>SUM(L101:L101)</f>
        <v>0.15231</v>
      </c>
      <c r="M100" s="21"/>
      <c r="P100" s="28">
        <f>IF(Q100="PR",J100,SUM(O101:O101))</f>
        <v>0</v>
      </c>
      <c r="Q100" s="21" t="s">
        <v>54</v>
      </c>
      <c r="R100" s="28">
        <f>IF(Q100="HS",H100,0)</f>
        <v>0</v>
      </c>
      <c r="S100" s="28">
        <f>IF(Q100="HS",I100-P100,0)</f>
        <v>0</v>
      </c>
      <c r="T100" s="28">
        <f>IF(Q100="PS",H100,0)</f>
        <v>0</v>
      </c>
      <c r="U100" s="28">
        <f>IF(Q100="PS",I100-P100,0)</f>
        <v>0</v>
      </c>
      <c r="V100" s="28">
        <f>IF(Q100="MP",H100,0)</f>
        <v>0</v>
      </c>
      <c r="W100" s="28">
        <f>IF(Q100="MP",I100-P100,0)</f>
        <v>0</v>
      </c>
      <c r="X100" s="28">
        <f>IF(Q100="OM",H100,0)</f>
        <v>0</v>
      </c>
      <c r="Y100" s="21"/>
      <c r="AI100" s="28">
        <f>SUM(Z101:Z101)</f>
        <v>0</v>
      </c>
      <c r="AJ100" s="28">
        <f>SUM(AA101:AA101)</f>
        <v>0</v>
      </c>
      <c r="AK100" s="28">
        <f>SUM(AB101:AB101)</f>
        <v>0</v>
      </c>
    </row>
    <row r="101" spans="1:43" s="262" customFormat="1" x14ac:dyDescent="0.25">
      <c r="A101" s="259" t="s">
        <v>183</v>
      </c>
      <c r="B101" s="259"/>
      <c r="C101" s="259" t="s">
        <v>873</v>
      </c>
      <c r="D101" s="259" t="s">
        <v>227</v>
      </c>
      <c r="E101" s="259" t="s">
        <v>113</v>
      </c>
      <c r="F101" s="260">
        <v>1</v>
      </c>
      <c r="G101" s="308">
        <v>0</v>
      </c>
      <c r="H101" s="260">
        <f>ROUND(F101*AE101,2)</f>
        <v>0</v>
      </c>
      <c r="I101" s="260">
        <f>J101-H101</f>
        <v>0</v>
      </c>
      <c r="J101" s="260">
        <f>ROUND(F101*G101,2)</f>
        <v>0</v>
      </c>
      <c r="K101" s="260">
        <v>0.15231</v>
      </c>
      <c r="L101" s="260">
        <f>F101*K101</f>
        <v>0.15231</v>
      </c>
      <c r="M101" s="261" t="s">
        <v>2292</v>
      </c>
      <c r="N101" s="261" t="s">
        <v>59</v>
      </c>
      <c r="O101" s="260">
        <f>IF(N101="5",I101,0)</f>
        <v>0</v>
      </c>
      <c r="Z101" s="260">
        <f>IF(AD101=0,J101,0)</f>
        <v>0</v>
      </c>
      <c r="AA101" s="260">
        <f>IF(AD101=15,J101,0)</f>
        <v>0</v>
      </c>
      <c r="AB101" s="260">
        <f>IF(AD101=21,J101,0)</f>
        <v>0</v>
      </c>
      <c r="AD101" s="260">
        <v>21</v>
      </c>
      <c r="AE101" s="260">
        <f>G101*0.448670008060557</f>
        <v>0</v>
      </c>
      <c r="AF101" s="260">
        <f>G101*(1-0.448670008060557)</f>
        <v>0</v>
      </c>
      <c r="AM101" s="260">
        <f>F101*AE101</f>
        <v>0</v>
      </c>
      <c r="AN101" s="260">
        <f>F101*AF101</f>
        <v>0</v>
      </c>
      <c r="AO101" s="261" t="s">
        <v>135</v>
      </c>
      <c r="AP101" s="261" t="s">
        <v>61</v>
      </c>
      <c r="AQ101" s="263" t="s">
        <v>858</v>
      </c>
    </row>
    <row r="102" spans="1:43" x14ac:dyDescent="0.25">
      <c r="C102" s="34" t="s">
        <v>63</v>
      </c>
      <c r="D102" s="340" t="s">
        <v>228</v>
      </c>
      <c r="E102" s="341"/>
      <c r="F102" s="341"/>
      <c r="G102" s="341"/>
      <c r="H102" s="341"/>
      <c r="I102" s="341"/>
      <c r="J102" s="341"/>
      <c r="K102" s="341"/>
      <c r="L102" s="341"/>
      <c r="M102" s="341"/>
    </row>
    <row r="103" spans="1:43" x14ac:dyDescent="0.25">
      <c r="A103" s="26"/>
      <c r="B103" s="27"/>
      <c r="C103" s="27"/>
      <c r="D103" s="338" t="s">
        <v>694</v>
      </c>
      <c r="E103" s="339"/>
      <c r="F103" s="339"/>
      <c r="G103" s="339"/>
      <c r="H103" s="28">
        <f>SUM(H104:H105)</f>
        <v>0</v>
      </c>
      <c r="I103" s="28">
        <f>SUM(I104:I105)</f>
        <v>0</v>
      </c>
      <c r="J103" s="28">
        <f>H103+I103</f>
        <v>0</v>
      </c>
      <c r="K103" s="21"/>
      <c r="L103" s="28">
        <f>SUM(L104:L105)</f>
        <v>0</v>
      </c>
      <c r="M103" s="21"/>
      <c r="P103" s="28">
        <f>IF(Q103="PR",J103,SUM(O104:O105))</f>
        <v>0</v>
      </c>
      <c r="Q103" s="21" t="s">
        <v>855</v>
      </c>
      <c r="R103" s="28">
        <f>IF(Q103="HS",H103,0)</f>
        <v>0</v>
      </c>
      <c r="S103" s="28">
        <f>IF(Q103="HS",I103-P103,0)</f>
        <v>0</v>
      </c>
      <c r="T103" s="28">
        <f>IF(Q103="PS",H103,0)</f>
        <v>0</v>
      </c>
      <c r="U103" s="28">
        <f>IF(Q103="PS",I103-P103,0)</f>
        <v>0</v>
      </c>
      <c r="V103" s="28">
        <f>IF(Q103="MP",H103,0)</f>
        <v>0</v>
      </c>
      <c r="W103" s="28">
        <f>IF(Q103="MP",I103-P103,0)</f>
        <v>0</v>
      </c>
      <c r="X103" s="28">
        <f>IF(Q103="OM",H103,0)</f>
        <v>0</v>
      </c>
      <c r="Y103" s="21"/>
      <c r="AI103" s="28">
        <f>SUM(Z104:Z105)</f>
        <v>0</v>
      </c>
      <c r="AJ103" s="28">
        <f>SUM(AA104:AA105)</f>
        <v>0</v>
      </c>
      <c r="AK103" s="28">
        <f>SUM(AB104:AB105)</f>
        <v>0</v>
      </c>
    </row>
    <row r="104" spans="1:43" s="262" customFormat="1" x14ac:dyDescent="0.25">
      <c r="A104" s="259" t="s">
        <v>184</v>
      </c>
      <c r="B104" s="259"/>
      <c r="C104" s="259" t="s">
        <v>874</v>
      </c>
      <c r="D104" s="259" t="s">
        <v>875</v>
      </c>
      <c r="E104" s="259" t="s">
        <v>861</v>
      </c>
      <c r="F104" s="260">
        <v>1</v>
      </c>
      <c r="G104" s="308">
        <v>0</v>
      </c>
      <c r="H104" s="260">
        <f>ROUND(F104*AE104,2)</f>
        <v>0</v>
      </c>
      <c r="I104" s="260">
        <f>J104-H104</f>
        <v>0</v>
      </c>
      <c r="J104" s="260">
        <f>ROUND(F104*G104,2)</f>
        <v>0</v>
      </c>
      <c r="K104" s="260">
        <v>0</v>
      </c>
      <c r="L104" s="260">
        <f>F104*K104</f>
        <v>0</v>
      </c>
      <c r="M104" s="261"/>
      <c r="N104" s="261" t="s">
        <v>166</v>
      </c>
      <c r="O104" s="260">
        <f>IF(N104="5",I104,0)</f>
        <v>0</v>
      </c>
      <c r="Z104" s="260">
        <f>IF(AD104=0,J104,0)</f>
        <v>0</v>
      </c>
      <c r="AA104" s="260">
        <f>IF(AD104=15,J104,0)</f>
        <v>0</v>
      </c>
      <c r="AB104" s="260">
        <f>IF(AD104=21,J104,0)</f>
        <v>0</v>
      </c>
      <c r="AD104" s="260">
        <v>21</v>
      </c>
      <c r="AE104" s="260">
        <f>G104*1</f>
        <v>0</v>
      </c>
      <c r="AF104" s="260">
        <f>G104*(1-1)</f>
        <v>0</v>
      </c>
      <c r="AM104" s="260">
        <f>F104*AE104</f>
        <v>0</v>
      </c>
      <c r="AN104" s="260">
        <f>F104*AF104</f>
        <v>0</v>
      </c>
      <c r="AO104" s="261" t="s">
        <v>864</v>
      </c>
      <c r="AP104" s="261" t="s">
        <v>865</v>
      </c>
      <c r="AQ104" s="263" t="s">
        <v>858</v>
      </c>
    </row>
    <row r="105" spans="1:43" s="262" customFormat="1" x14ac:dyDescent="0.25">
      <c r="A105" s="259" t="s">
        <v>187</v>
      </c>
      <c r="B105" s="259"/>
      <c r="C105" s="259" t="s">
        <v>876</v>
      </c>
      <c r="D105" s="259" t="s">
        <v>877</v>
      </c>
      <c r="E105" s="259" t="s">
        <v>861</v>
      </c>
      <c r="F105" s="260">
        <v>2</v>
      </c>
      <c r="G105" s="308">
        <v>0</v>
      </c>
      <c r="H105" s="260">
        <f>ROUND(F105*AE105,2)</f>
        <v>0</v>
      </c>
      <c r="I105" s="260">
        <f>J105-H105</f>
        <v>0</v>
      </c>
      <c r="J105" s="260">
        <f>ROUND(F105*G105,2)</f>
        <v>0</v>
      </c>
      <c r="K105" s="260">
        <v>0</v>
      </c>
      <c r="L105" s="260">
        <f>F105*K105</f>
        <v>0</v>
      </c>
      <c r="M105" s="261"/>
      <c r="N105" s="261" t="s">
        <v>166</v>
      </c>
      <c r="O105" s="260">
        <f>IF(N105="5",I105,0)</f>
        <v>0</v>
      </c>
      <c r="Z105" s="260">
        <f>IF(AD105=0,J105,0)</f>
        <v>0</v>
      </c>
      <c r="AA105" s="260">
        <f>IF(AD105=15,J105,0)</f>
        <v>0</v>
      </c>
      <c r="AB105" s="260">
        <f>IF(AD105=21,J105,0)</f>
        <v>0</v>
      </c>
      <c r="AD105" s="260">
        <v>21</v>
      </c>
      <c r="AE105" s="260">
        <f>G105*1</f>
        <v>0</v>
      </c>
      <c r="AF105" s="260">
        <f>G105*(1-1)</f>
        <v>0</v>
      </c>
      <c r="AM105" s="260">
        <f>F105*AE105</f>
        <v>0</v>
      </c>
      <c r="AN105" s="260">
        <f>F105*AF105</f>
        <v>0</v>
      </c>
      <c r="AO105" s="261" t="s">
        <v>864</v>
      </c>
      <c r="AP105" s="261" t="s">
        <v>865</v>
      </c>
      <c r="AQ105" s="263" t="s">
        <v>858</v>
      </c>
    </row>
    <row r="106" spans="1:43" x14ac:dyDescent="0.25">
      <c r="A106" s="37"/>
      <c r="B106" s="37"/>
      <c r="C106" s="37"/>
      <c r="D106" s="37"/>
      <c r="E106" s="37"/>
      <c r="F106" s="37"/>
      <c r="G106" s="37"/>
      <c r="H106" s="334" t="s">
        <v>668</v>
      </c>
      <c r="I106" s="335"/>
      <c r="J106" s="38">
        <f>J13+J15+J18+J33+J35+J40+J44+J46+J48+J64+J71+J73+J76+J81+J88+J90+J93+J96+J100+J103</f>
        <v>0</v>
      </c>
      <c r="K106" s="37"/>
      <c r="L106" s="37"/>
      <c r="M106" s="37"/>
      <c r="Z106" s="39">
        <f>SUM(Z13:Z105)</f>
        <v>0</v>
      </c>
      <c r="AA106" s="39">
        <f>SUM(AA13:AA105)</f>
        <v>0</v>
      </c>
      <c r="AB106" s="39">
        <f>SUM(AB13:AB105)</f>
        <v>0</v>
      </c>
    </row>
    <row r="107" spans="1:43" ht="11.25" customHeight="1" x14ac:dyDescent="0.25">
      <c r="A107" s="40" t="s">
        <v>669</v>
      </c>
    </row>
    <row r="108" spans="1:43" ht="231" customHeight="1" x14ac:dyDescent="0.25">
      <c r="A108" s="336" t="s">
        <v>2301</v>
      </c>
      <c r="B108" s="337"/>
      <c r="C108" s="337"/>
      <c r="D108" s="337"/>
      <c r="E108" s="337"/>
      <c r="F108" s="337"/>
      <c r="G108" s="337"/>
      <c r="H108" s="337"/>
      <c r="I108" s="337"/>
      <c r="J108" s="337"/>
      <c r="K108" s="337"/>
      <c r="L108" s="337"/>
      <c r="M108" s="337"/>
    </row>
  </sheetData>
  <mergeCells count="75">
    <mergeCell ref="J6:M7"/>
    <mergeCell ref="J4:M5"/>
    <mergeCell ref="A1:M1"/>
    <mergeCell ref="A2:C3"/>
    <mergeCell ref="D2:D3"/>
    <mergeCell ref="E2:F3"/>
    <mergeCell ref="G2:H3"/>
    <mergeCell ref="I2:I3"/>
    <mergeCell ref="J2:M3"/>
    <mergeCell ref="A4:C5"/>
    <mergeCell ref="D4:D5"/>
    <mergeCell ref="E4:F5"/>
    <mergeCell ref="G4:H5"/>
    <mergeCell ref="I4:I5"/>
    <mergeCell ref="A6:C7"/>
    <mergeCell ref="D6:D7"/>
    <mergeCell ref="E6:F7"/>
    <mergeCell ref="G6:H7"/>
    <mergeCell ref="I6:I7"/>
    <mergeCell ref="D18:G18"/>
    <mergeCell ref="A8:C9"/>
    <mergeCell ref="D8:D9"/>
    <mergeCell ref="E8:F9"/>
    <mergeCell ref="G8:H9"/>
    <mergeCell ref="H10:J10"/>
    <mergeCell ref="I8:I9"/>
    <mergeCell ref="J8:M9"/>
    <mergeCell ref="K10:L10"/>
    <mergeCell ref="D12:G12"/>
    <mergeCell ref="D13:G13"/>
    <mergeCell ref="D15:G15"/>
    <mergeCell ref="D44:G44"/>
    <mergeCell ref="D20:M20"/>
    <mergeCell ref="D23:M23"/>
    <mergeCell ref="D25:M25"/>
    <mergeCell ref="D27:M27"/>
    <mergeCell ref="D29:M29"/>
    <mergeCell ref="D31:M31"/>
    <mergeCell ref="D33:G33"/>
    <mergeCell ref="D35:G35"/>
    <mergeCell ref="D38:M38"/>
    <mergeCell ref="D40:G40"/>
    <mergeCell ref="D42:M42"/>
    <mergeCell ref="D71:G71"/>
    <mergeCell ref="D46:G46"/>
    <mergeCell ref="D48:G48"/>
    <mergeCell ref="D50:M50"/>
    <mergeCell ref="D52:M52"/>
    <mergeCell ref="D54:M54"/>
    <mergeCell ref="D56:M56"/>
    <mergeCell ref="D58:M58"/>
    <mergeCell ref="D61:M61"/>
    <mergeCell ref="D64:G64"/>
    <mergeCell ref="D66:M66"/>
    <mergeCell ref="D68:M68"/>
    <mergeCell ref="D95:G95"/>
    <mergeCell ref="D73:G73"/>
    <mergeCell ref="D75:M75"/>
    <mergeCell ref="D76:G76"/>
    <mergeCell ref="D80:M80"/>
    <mergeCell ref="D81:G81"/>
    <mergeCell ref="D83:M83"/>
    <mergeCell ref="D85:M85"/>
    <mergeCell ref="D87:M87"/>
    <mergeCell ref="D88:G88"/>
    <mergeCell ref="D90:G90"/>
    <mergeCell ref="D93:G93"/>
    <mergeCell ref="H106:I106"/>
    <mergeCell ref="A108:M108"/>
    <mergeCell ref="D96:G96"/>
    <mergeCell ref="D98:M98"/>
    <mergeCell ref="D99:G99"/>
    <mergeCell ref="D100:G100"/>
    <mergeCell ref="D102:M102"/>
    <mergeCell ref="D103:G103"/>
  </mergeCells>
  <pageMargins left="0.39400000000000002" right="0.39400000000000002" top="0.59099999999999997" bottom="0.59099999999999997" header="0.5" footer="0.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6CB5C-04D6-44AE-900B-B3C24C106853}">
  <sheetPr>
    <pageSetUpPr fitToPage="1"/>
  </sheetPr>
  <dimension ref="A1:AU1025"/>
  <sheetViews>
    <sheetView topLeftCell="A989" workbookViewId="0">
      <selection activeCell="G1024" sqref="G1024"/>
    </sheetView>
  </sheetViews>
  <sheetFormatPr defaultColWidth="11.5703125" defaultRowHeight="12.75" x14ac:dyDescent="0.25"/>
  <cols>
    <col min="1" max="1" width="3.7109375" style="5" customWidth="1"/>
    <col min="2" max="2" width="7" style="5" customWidth="1"/>
    <col min="3" max="3" width="13.28515625" style="5" customWidth="1"/>
    <col min="4" max="4" width="56.85546875" style="5" customWidth="1"/>
    <col min="5" max="5" width="4.28515625" style="5" customWidth="1"/>
    <col min="6" max="6" width="12.85546875" style="5" customWidth="1"/>
    <col min="7" max="7" width="12" style="321" customWidth="1"/>
    <col min="8" max="10" width="14.28515625" style="5" customWidth="1"/>
    <col min="11" max="13" width="11.7109375" style="5" customWidth="1"/>
    <col min="14" max="14" width="0" style="5" hidden="1" customWidth="1"/>
    <col min="15" max="47" width="12.140625" style="5" hidden="1" customWidth="1"/>
    <col min="48" max="256" width="11.5703125" style="5"/>
    <col min="257" max="257" width="3.7109375" style="5" customWidth="1"/>
    <col min="258" max="258" width="7" style="5" customWidth="1"/>
    <col min="259" max="259" width="13.28515625" style="5" customWidth="1"/>
    <col min="260" max="260" width="56.85546875" style="5" customWidth="1"/>
    <col min="261" max="261" width="4.28515625" style="5" customWidth="1"/>
    <col min="262" max="262" width="12.85546875" style="5" customWidth="1"/>
    <col min="263" max="263" width="12" style="5" customWidth="1"/>
    <col min="264" max="266" width="14.28515625" style="5" customWidth="1"/>
    <col min="267" max="269" width="11.7109375" style="5" customWidth="1"/>
    <col min="270" max="303" width="0" style="5" hidden="1" customWidth="1"/>
    <col min="304" max="512" width="11.5703125" style="5"/>
    <col min="513" max="513" width="3.7109375" style="5" customWidth="1"/>
    <col min="514" max="514" width="7" style="5" customWidth="1"/>
    <col min="515" max="515" width="13.28515625" style="5" customWidth="1"/>
    <col min="516" max="516" width="56.85546875" style="5" customWidth="1"/>
    <col min="517" max="517" width="4.28515625" style="5" customWidth="1"/>
    <col min="518" max="518" width="12.85546875" style="5" customWidth="1"/>
    <col min="519" max="519" width="12" style="5" customWidth="1"/>
    <col min="520" max="522" width="14.28515625" style="5" customWidth="1"/>
    <col min="523" max="525" width="11.7109375" style="5" customWidth="1"/>
    <col min="526" max="559" width="0" style="5" hidden="1" customWidth="1"/>
    <col min="560" max="768" width="11.5703125" style="5"/>
    <col min="769" max="769" width="3.7109375" style="5" customWidth="1"/>
    <col min="770" max="770" width="7" style="5" customWidth="1"/>
    <col min="771" max="771" width="13.28515625" style="5" customWidth="1"/>
    <col min="772" max="772" width="56.85546875" style="5" customWidth="1"/>
    <col min="773" max="773" width="4.28515625" style="5" customWidth="1"/>
    <col min="774" max="774" width="12.85546875" style="5" customWidth="1"/>
    <col min="775" max="775" width="12" style="5" customWidth="1"/>
    <col min="776" max="778" width="14.28515625" style="5" customWidth="1"/>
    <col min="779" max="781" width="11.7109375" style="5" customWidth="1"/>
    <col min="782" max="815" width="0" style="5" hidden="1" customWidth="1"/>
    <col min="816" max="1024" width="11.5703125" style="5"/>
    <col min="1025" max="1025" width="3.7109375" style="5" customWidth="1"/>
    <col min="1026" max="1026" width="7" style="5" customWidth="1"/>
    <col min="1027" max="1027" width="13.28515625" style="5" customWidth="1"/>
    <col min="1028" max="1028" width="56.85546875" style="5" customWidth="1"/>
    <col min="1029" max="1029" width="4.28515625" style="5" customWidth="1"/>
    <col min="1030" max="1030" width="12.85546875" style="5" customWidth="1"/>
    <col min="1031" max="1031" width="12" style="5" customWidth="1"/>
    <col min="1032" max="1034" width="14.28515625" style="5" customWidth="1"/>
    <col min="1035" max="1037" width="11.7109375" style="5" customWidth="1"/>
    <col min="1038" max="1071" width="0" style="5" hidden="1" customWidth="1"/>
    <col min="1072" max="1280" width="11.5703125" style="5"/>
    <col min="1281" max="1281" width="3.7109375" style="5" customWidth="1"/>
    <col min="1282" max="1282" width="7" style="5" customWidth="1"/>
    <col min="1283" max="1283" width="13.28515625" style="5" customWidth="1"/>
    <col min="1284" max="1284" width="56.85546875" style="5" customWidth="1"/>
    <col min="1285" max="1285" width="4.28515625" style="5" customWidth="1"/>
    <col min="1286" max="1286" width="12.85546875" style="5" customWidth="1"/>
    <col min="1287" max="1287" width="12" style="5" customWidth="1"/>
    <col min="1288" max="1290" width="14.28515625" style="5" customWidth="1"/>
    <col min="1291" max="1293" width="11.7109375" style="5" customWidth="1"/>
    <col min="1294" max="1327" width="0" style="5" hidden="1" customWidth="1"/>
    <col min="1328" max="1536" width="11.5703125" style="5"/>
    <col min="1537" max="1537" width="3.7109375" style="5" customWidth="1"/>
    <col min="1538" max="1538" width="7" style="5" customWidth="1"/>
    <col min="1539" max="1539" width="13.28515625" style="5" customWidth="1"/>
    <col min="1540" max="1540" width="56.85546875" style="5" customWidth="1"/>
    <col min="1541" max="1541" width="4.28515625" style="5" customWidth="1"/>
    <col min="1542" max="1542" width="12.85546875" style="5" customWidth="1"/>
    <col min="1543" max="1543" width="12" style="5" customWidth="1"/>
    <col min="1544" max="1546" width="14.28515625" style="5" customWidth="1"/>
    <col min="1547" max="1549" width="11.7109375" style="5" customWidth="1"/>
    <col min="1550" max="1583" width="0" style="5" hidden="1" customWidth="1"/>
    <col min="1584" max="1792" width="11.5703125" style="5"/>
    <col min="1793" max="1793" width="3.7109375" style="5" customWidth="1"/>
    <col min="1794" max="1794" width="7" style="5" customWidth="1"/>
    <col min="1795" max="1795" width="13.28515625" style="5" customWidth="1"/>
    <col min="1796" max="1796" width="56.85546875" style="5" customWidth="1"/>
    <col min="1797" max="1797" width="4.28515625" style="5" customWidth="1"/>
    <col min="1798" max="1798" width="12.85546875" style="5" customWidth="1"/>
    <col min="1799" max="1799" width="12" style="5" customWidth="1"/>
    <col min="1800" max="1802" width="14.28515625" style="5" customWidth="1"/>
    <col min="1803" max="1805" width="11.7109375" style="5" customWidth="1"/>
    <col min="1806" max="1839" width="0" style="5" hidden="1" customWidth="1"/>
    <col min="1840" max="2048" width="11.5703125" style="5"/>
    <col min="2049" max="2049" width="3.7109375" style="5" customWidth="1"/>
    <col min="2050" max="2050" width="7" style="5" customWidth="1"/>
    <col min="2051" max="2051" width="13.28515625" style="5" customWidth="1"/>
    <col min="2052" max="2052" width="56.85546875" style="5" customWidth="1"/>
    <col min="2053" max="2053" width="4.28515625" style="5" customWidth="1"/>
    <col min="2054" max="2054" width="12.85546875" style="5" customWidth="1"/>
    <col min="2055" max="2055" width="12" style="5" customWidth="1"/>
    <col min="2056" max="2058" width="14.28515625" style="5" customWidth="1"/>
    <col min="2059" max="2061" width="11.7109375" style="5" customWidth="1"/>
    <col min="2062" max="2095" width="0" style="5" hidden="1" customWidth="1"/>
    <col min="2096" max="2304" width="11.5703125" style="5"/>
    <col min="2305" max="2305" width="3.7109375" style="5" customWidth="1"/>
    <col min="2306" max="2306" width="7" style="5" customWidth="1"/>
    <col min="2307" max="2307" width="13.28515625" style="5" customWidth="1"/>
    <col min="2308" max="2308" width="56.85546875" style="5" customWidth="1"/>
    <col min="2309" max="2309" width="4.28515625" style="5" customWidth="1"/>
    <col min="2310" max="2310" width="12.85546875" style="5" customWidth="1"/>
    <col min="2311" max="2311" width="12" style="5" customWidth="1"/>
    <col min="2312" max="2314" width="14.28515625" style="5" customWidth="1"/>
    <col min="2315" max="2317" width="11.7109375" style="5" customWidth="1"/>
    <col min="2318" max="2351" width="0" style="5" hidden="1" customWidth="1"/>
    <col min="2352" max="2560" width="11.5703125" style="5"/>
    <col min="2561" max="2561" width="3.7109375" style="5" customWidth="1"/>
    <col min="2562" max="2562" width="7" style="5" customWidth="1"/>
    <col min="2563" max="2563" width="13.28515625" style="5" customWidth="1"/>
    <col min="2564" max="2564" width="56.85546875" style="5" customWidth="1"/>
    <col min="2565" max="2565" width="4.28515625" style="5" customWidth="1"/>
    <col min="2566" max="2566" width="12.85546875" style="5" customWidth="1"/>
    <col min="2567" max="2567" width="12" style="5" customWidth="1"/>
    <col min="2568" max="2570" width="14.28515625" style="5" customWidth="1"/>
    <col min="2571" max="2573" width="11.7109375" style="5" customWidth="1"/>
    <col min="2574" max="2607" width="0" style="5" hidden="1" customWidth="1"/>
    <col min="2608" max="2816" width="11.5703125" style="5"/>
    <col min="2817" max="2817" width="3.7109375" style="5" customWidth="1"/>
    <col min="2818" max="2818" width="7" style="5" customWidth="1"/>
    <col min="2819" max="2819" width="13.28515625" style="5" customWidth="1"/>
    <col min="2820" max="2820" width="56.85546875" style="5" customWidth="1"/>
    <col min="2821" max="2821" width="4.28515625" style="5" customWidth="1"/>
    <col min="2822" max="2822" width="12.85546875" style="5" customWidth="1"/>
    <col min="2823" max="2823" width="12" style="5" customWidth="1"/>
    <col min="2824" max="2826" width="14.28515625" style="5" customWidth="1"/>
    <col min="2827" max="2829" width="11.7109375" style="5" customWidth="1"/>
    <col min="2830" max="2863" width="0" style="5" hidden="1" customWidth="1"/>
    <col min="2864" max="3072" width="11.5703125" style="5"/>
    <col min="3073" max="3073" width="3.7109375" style="5" customWidth="1"/>
    <col min="3074" max="3074" width="7" style="5" customWidth="1"/>
    <col min="3075" max="3075" width="13.28515625" style="5" customWidth="1"/>
    <col min="3076" max="3076" width="56.85546875" style="5" customWidth="1"/>
    <col min="3077" max="3077" width="4.28515625" style="5" customWidth="1"/>
    <col min="3078" max="3078" width="12.85546875" style="5" customWidth="1"/>
    <col min="3079" max="3079" width="12" style="5" customWidth="1"/>
    <col min="3080" max="3082" width="14.28515625" style="5" customWidth="1"/>
    <col min="3083" max="3085" width="11.7109375" style="5" customWidth="1"/>
    <col min="3086" max="3119" width="0" style="5" hidden="1" customWidth="1"/>
    <col min="3120" max="3328" width="11.5703125" style="5"/>
    <col min="3329" max="3329" width="3.7109375" style="5" customWidth="1"/>
    <col min="3330" max="3330" width="7" style="5" customWidth="1"/>
    <col min="3331" max="3331" width="13.28515625" style="5" customWidth="1"/>
    <col min="3332" max="3332" width="56.85546875" style="5" customWidth="1"/>
    <col min="3333" max="3333" width="4.28515625" style="5" customWidth="1"/>
    <col min="3334" max="3334" width="12.85546875" style="5" customWidth="1"/>
    <col min="3335" max="3335" width="12" style="5" customWidth="1"/>
    <col min="3336" max="3338" width="14.28515625" style="5" customWidth="1"/>
    <col min="3339" max="3341" width="11.7109375" style="5" customWidth="1"/>
    <col min="3342" max="3375" width="0" style="5" hidden="1" customWidth="1"/>
    <col min="3376" max="3584" width="11.5703125" style="5"/>
    <col min="3585" max="3585" width="3.7109375" style="5" customWidth="1"/>
    <col min="3586" max="3586" width="7" style="5" customWidth="1"/>
    <col min="3587" max="3587" width="13.28515625" style="5" customWidth="1"/>
    <col min="3588" max="3588" width="56.85546875" style="5" customWidth="1"/>
    <col min="3589" max="3589" width="4.28515625" style="5" customWidth="1"/>
    <col min="3590" max="3590" width="12.85546875" style="5" customWidth="1"/>
    <col min="3591" max="3591" width="12" style="5" customWidth="1"/>
    <col min="3592" max="3594" width="14.28515625" style="5" customWidth="1"/>
    <col min="3595" max="3597" width="11.7109375" style="5" customWidth="1"/>
    <col min="3598" max="3631" width="0" style="5" hidden="1" customWidth="1"/>
    <col min="3632" max="3840" width="11.5703125" style="5"/>
    <col min="3841" max="3841" width="3.7109375" style="5" customWidth="1"/>
    <col min="3842" max="3842" width="7" style="5" customWidth="1"/>
    <col min="3843" max="3843" width="13.28515625" style="5" customWidth="1"/>
    <col min="3844" max="3844" width="56.85546875" style="5" customWidth="1"/>
    <col min="3845" max="3845" width="4.28515625" style="5" customWidth="1"/>
    <col min="3846" max="3846" width="12.85546875" style="5" customWidth="1"/>
    <col min="3847" max="3847" width="12" style="5" customWidth="1"/>
    <col min="3848" max="3850" width="14.28515625" style="5" customWidth="1"/>
    <col min="3851" max="3853" width="11.7109375" style="5" customWidth="1"/>
    <col min="3854" max="3887" width="0" style="5" hidden="1" customWidth="1"/>
    <col min="3888" max="4096" width="11.5703125" style="5"/>
    <col min="4097" max="4097" width="3.7109375" style="5" customWidth="1"/>
    <col min="4098" max="4098" width="7" style="5" customWidth="1"/>
    <col min="4099" max="4099" width="13.28515625" style="5" customWidth="1"/>
    <col min="4100" max="4100" width="56.85546875" style="5" customWidth="1"/>
    <col min="4101" max="4101" width="4.28515625" style="5" customWidth="1"/>
    <col min="4102" max="4102" width="12.85546875" style="5" customWidth="1"/>
    <col min="4103" max="4103" width="12" style="5" customWidth="1"/>
    <col min="4104" max="4106" width="14.28515625" style="5" customWidth="1"/>
    <col min="4107" max="4109" width="11.7109375" style="5" customWidth="1"/>
    <col min="4110" max="4143" width="0" style="5" hidden="1" customWidth="1"/>
    <col min="4144" max="4352" width="11.5703125" style="5"/>
    <col min="4353" max="4353" width="3.7109375" style="5" customWidth="1"/>
    <col min="4354" max="4354" width="7" style="5" customWidth="1"/>
    <col min="4355" max="4355" width="13.28515625" style="5" customWidth="1"/>
    <col min="4356" max="4356" width="56.85546875" style="5" customWidth="1"/>
    <col min="4357" max="4357" width="4.28515625" style="5" customWidth="1"/>
    <col min="4358" max="4358" width="12.85546875" style="5" customWidth="1"/>
    <col min="4359" max="4359" width="12" style="5" customWidth="1"/>
    <col min="4360" max="4362" width="14.28515625" style="5" customWidth="1"/>
    <col min="4363" max="4365" width="11.7109375" style="5" customWidth="1"/>
    <col min="4366" max="4399" width="0" style="5" hidden="1" customWidth="1"/>
    <col min="4400" max="4608" width="11.5703125" style="5"/>
    <col min="4609" max="4609" width="3.7109375" style="5" customWidth="1"/>
    <col min="4610" max="4610" width="7" style="5" customWidth="1"/>
    <col min="4611" max="4611" width="13.28515625" style="5" customWidth="1"/>
    <col min="4612" max="4612" width="56.85546875" style="5" customWidth="1"/>
    <col min="4613" max="4613" width="4.28515625" style="5" customWidth="1"/>
    <col min="4614" max="4614" width="12.85546875" style="5" customWidth="1"/>
    <col min="4615" max="4615" width="12" style="5" customWidth="1"/>
    <col min="4616" max="4618" width="14.28515625" style="5" customWidth="1"/>
    <col min="4619" max="4621" width="11.7109375" style="5" customWidth="1"/>
    <col min="4622" max="4655" width="0" style="5" hidden="1" customWidth="1"/>
    <col min="4656" max="4864" width="11.5703125" style="5"/>
    <col min="4865" max="4865" width="3.7109375" style="5" customWidth="1"/>
    <col min="4866" max="4866" width="7" style="5" customWidth="1"/>
    <col min="4867" max="4867" width="13.28515625" style="5" customWidth="1"/>
    <col min="4868" max="4868" width="56.85546875" style="5" customWidth="1"/>
    <col min="4869" max="4869" width="4.28515625" style="5" customWidth="1"/>
    <col min="4870" max="4870" width="12.85546875" style="5" customWidth="1"/>
    <col min="4871" max="4871" width="12" style="5" customWidth="1"/>
    <col min="4872" max="4874" width="14.28515625" style="5" customWidth="1"/>
    <col min="4875" max="4877" width="11.7109375" style="5" customWidth="1"/>
    <col min="4878" max="4911" width="0" style="5" hidden="1" customWidth="1"/>
    <col min="4912" max="5120" width="11.5703125" style="5"/>
    <col min="5121" max="5121" width="3.7109375" style="5" customWidth="1"/>
    <col min="5122" max="5122" width="7" style="5" customWidth="1"/>
    <col min="5123" max="5123" width="13.28515625" style="5" customWidth="1"/>
    <col min="5124" max="5124" width="56.85546875" style="5" customWidth="1"/>
    <col min="5125" max="5125" width="4.28515625" style="5" customWidth="1"/>
    <col min="5126" max="5126" width="12.85546875" style="5" customWidth="1"/>
    <col min="5127" max="5127" width="12" style="5" customWidth="1"/>
    <col min="5128" max="5130" width="14.28515625" style="5" customWidth="1"/>
    <col min="5131" max="5133" width="11.7109375" style="5" customWidth="1"/>
    <col min="5134" max="5167" width="0" style="5" hidden="1" customWidth="1"/>
    <col min="5168" max="5376" width="11.5703125" style="5"/>
    <col min="5377" max="5377" width="3.7109375" style="5" customWidth="1"/>
    <col min="5378" max="5378" width="7" style="5" customWidth="1"/>
    <col min="5379" max="5379" width="13.28515625" style="5" customWidth="1"/>
    <col min="5380" max="5380" width="56.85546875" style="5" customWidth="1"/>
    <col min="5381" max="5381" width="4.28515625" style="5" customWidth="1"/>
    <col min="5382" max="5382" width="12.85546875" style="5" customWidth="1"/>
    <col min="5383" max="5383" width="12" style="5" customWidth="1"/>
    <col min="5384" max="5386" width="14.28515625" style="5" customWidth="1"/>
    <col min="5387" max="5389" width="11.7109375" style="5" customWidth="1"/>
    <col min="5390" max="5423" width="0" style="5" hidden="1" customWidth="1"/>
    <col min="5424" max="5632" width="11.5703125" style="5"/>
    <col min="5633" max="5633" width="3.7109375" style="5" customWidth="1"/>
    <col min="5634" max="5634" width="7" style="5" customWidth="1"/>
    <col min="5635" max="5635" width="13.28515625" style="5" customWidth="1"/>
    <col min="5636" max="5636" width="56.85546875" style="5" customWidth="1"/>
    <col min="5637" max="5637" width="4.28515625" style="5" customWidth="1"/>
    <col min="5638" max="5638" width="12.85546875" style="5" customWidth="1"/>
    <col min="5639" max="5639" width="12" style="5" customWidth="1"/>
    <col min="5640" max="5642" width="14.28515625" style="5" customWidth="1"/>
    <col min="5643" max="5645" width="11.7109375" style="5" customWidth="1"/>
    <col min="5646" max="5679" width="0" style="5" hidden="1" customWidth="1"/>
    <col min="5680" max="5888" width="11.5703125" style="5"/>
    <col min="5889" max="5889" width="3.7109375" style="5" customWidth="1"/>
    <col min="5890" max="5890" width="7" style="5" customWidth="1"/>
    <col min="5891" max="5891" width="13.28515625" style="5" customWidth="1"/>
    <col min="5892" max="5892" width="56.85546875" style="5" customWidth="1"/>
    <col min="5893" max="5893" width="4.28515625" style="5" customWidth="1"/>
    <col min="5894" max="5894" width="12.85546875" style="5" customWidth="1"/>
    <col min="5895" max="5895" width="12" style="5" customWidth="1"/>
    <col min="5896" max="5898" width="14.28515625" style="5" customWidth="1"/>
    <col min="5899" max="5901" width="11.7109375" style="5" customWidth="1"/>
    <col min="5902" max="5935" width="0" style="5" hidden="1" customWidth="1"/>
    <col min="5936" max="6144" width="11.5703125" style="5"/>
    <col min="6145" max="6145" width="3.7109375" style="5" customWidth="1"/>
    <col min="6146" max="6146" width="7" style="5" customWidth="1"/>
    <col min="6147" max="6147" width="13.28515625" style="5" customWidth="1"/>
    <col min="6148" max="6148" width="56.85546875" style="5" customWidth="1"/>
    <col min="6149" max="6149" width="4.28515625" style="5" customWidth="1"/>
    <col min="6150" max="6150" width="12.85546875" style="5" customWidth="1"/>
    <col min="6151" max="6151" width="12" style="5" customWidth="1"/>
    <col min="6152" max="6154" width="14.28515625" style="5" customWidth="1"/>
    <col min="6155" max="6157" width="11.7109375" style="5" customWidth="1"/>
    <col min="6158" max="6191" width="0" style="5" hidden="1" customWidth="1"/>
    <col min="6192" max="6400" width="11.5703125" style="5"/>
    <col min="6401" max="6401" width="3.7109375" style="5" customWidth="1"/>
    <col min="6402" max="6402" width="7" style="5" customWidth="1"/>
    <col min="6403" max="6403" width="13.28515625" style="5" customWidth="1"/>
    <col min="6404" max="6404" width="56.85546875" style="5" customWidth="1"/>
    <col min="6405" max="6405" width="4.28515625" style="5" customWidth="1"/>
    <col min="6406" max="6406" width="12.85546875" style="5" customWidth="1"/>
    <col min="6407" max="6407" width="12" style="5" customWidth="1"/>
    <col min="6408" max="6410" width="14.28515625" style="5" customWidth="1"/>
    <col min="6411" max="6413" width="11.7109375" style="5" customWidth="1"/>
    <col min="6414" max="6447" width="0" style="5" hidden="1" customWidth="1"/>
    <col min="6448" max="6656" width="11.5703125" style="5"/>
    <col min="6657" max="6657" width="3.7109375" style="5" customWidth="1"/>
    <col min="6658" max="6658" width="7" style="5" customWidth="1"/>
    <col min="6659" max="6659" width="13.28515625" style="5" customWidth="1"/>
    <col min="6660" max="6660" width="56.85546875" style="5" customWidth="1"/>
    <col min="6661" max="6661" width="4.28515625" style="5" customWidth="1"/>
    <col min="6662" max="6662" width="12.85546875" style="5" customWidth="1"/>
    <col min="6663" max="6663" width="12" style="5" customWidth="1"/>
    <col min="6664" max="6666" width="14.28515625" style="5" customWidth="1"/>
    <col min="6667" max="6669" width="11.7109375" style="5" customWidth="1"/>
    <col min="6670" max="6703" width="0" style="5" hidden="1" customWidth="1"/>
    <col min="6704" max="6912" width="11.5703125" style="5"/>
    <col min="6913" max="6913" width="3.7109375" style="5" customWidth="1"/>
    <col min="6914" max="6914" width="7" style="5" customWidth="1"/>
    <col min="6915" max="6915" width="13.28515625" style="5" customWidth="1"/>
    <col min="6916" max="6916" width="56.85546875" style="5" customWidth="1"/>
    <col min="6917" max="6917" width="4.28515625" style="5" customWidth="1"/>
    <col min="6918" max="6918" width="12.85546875" style="5" customWidth="1"/>
    <col min="6919" max="6919" width="12" style="5" customWidth="1"/>
    <col min="6920" max="6922" width="14.28515625" style="5" customWidth="1"/>
    <col min="6923" max="6925" width="11.7109375" style="5" customWidth="1"/>
    <col min="6926" max="6959" width="0" style="5" hidden="1" customWidth="1"/>
    <col min="6960" max="7168" width="11.5703125" style="5"/>
    <col min="7169" max="7169" width="3.7109375" style="5" customWidth="1"/>
    <col min="7170" max="7170" width="7" style="5" customWidth="1"/>
    <col min="7171" max="7171" width="13.28515625" style="5" customWidth="1"/>
    <col min="7172" max="7172" width="56.85546875" style="5" customWidth="1"/>
    <col min="7173" max="7173" width="4.28515625" style="5" customWidth="1"/>
    <col min="7174" max="7174" width="12.85546875" style="5" customWidth="1"/>
    <col min="7175" max="7175" width="12" style="5" customWidth="1"/>
    <col min="7176" max="7178" width="14.28515625" style="5" customWidth="1"/>
    <col min="7179" max="7181" width="11.7109375" style="5" customWidth="1"/>
    <col min="7182" max="7215" width="0" style="5" hidden="1" customWidth="1"/>
    <col min="7216" max="7424" width="11.5703125" style="5"/>
    <col min="7425" max="7425" width="3.7109375" style="5" customWidth="1"/>
    <col min="7426" max="7426" width="7" style="5" customWidth="1"/>
    <col min="7427" max="7427" width="13.28515625" style="5" customWidth="1"/>
    <col min="7428" max="7428" width="56.85546875" style="5" customWidth="1"/>
    <col min="7429" max="7429" width="4.28515625" style="5" customWidth="1"/>
    <col min="7430" max="7430" width="12.85546875" style="5" customWidth="1"/>
    <col min="7431" max="7431" width="12" style="5" customWidth="1"/>
    <col min="7432" max="7434" width="14.28515625" style="5" customWidth="1"/>
    <col min="7435" max="7437" width="11.7109375" style="5" customWidth="1"/>
    <col min="7438" max="7471" width="0" style="5" hidden="1" customWidth="1"/>
    <col min="7472" max="7680" width="11.5703125" style="5"/>
    <col min="7681" max="7681" width="3.7109375" style="5" customWidth="1"/>
    <col min="7682" max="7682" width="7" style="5" customWidth="1"/>
    <col min="7683" max="7683" width="13.28515625" style="5" customWidth="1"/>
    <col min="7684" max="7684" width="56.85546875" style="5" customWidth="1"/>
    <col min="7685" max="7685" width="4.28515625" style="5" customWidth="1"/>
    <col min="7686" max="7686" width="12.85546875" style="5" customWidth="1"/>
    <col min="7687" max="7687" width="12" style="5" customWidth="1"/>
    <col min="7688" max="7690" width="14.28515625" style="5" customWidth="1"/>
    <col min="7691" max="7693" width="11.7109375" style="5" customWidth="1"/>
    <col min="7694" max="7727" width="0" style="5" hidden="1" customWidth="1"/>
    <col min="7728" max="7936" width="11.5703125" style="5"/>
    <col min="7937" max="7937" width="3.7109375" style="5" customWidth="1"/>
    <col min="7938" max="7938" width="7" style="5" customWidth="1"/>
    <col min="7939" max="7939" width="13.28515625" style="5" customWidth="1"/>
    <col min="7940" max="7940" width="56.85546875" style="5" customWidth="1"/>
    <col min="7941" max="7941" width="4.28515625" style="5" customWidth="1"/>
    <col min="7942" max="7942" width="12.85546875" style="5" customWidth="1"/>
    <col min="7943" max="7943" width="12" style="5" customWidth="1"/>
    <col min="7944" max="7946" width="14.28515625" style="5" customWidth="1"/>
    <col min="7947" max="7949" width="11.7109375" style="5" customWidth="1"/>
    <col min="7950" max="7983" width="0" style="5" hidden="1" customWidth="1"/>
    <col min="7984" max="8192" width="11.5703125" style="5"/>
    <col min="8193" max="8193" width="3.7109375" style="5" customWidth="1"/>
    <col min="8194" max="8194" width="7" style="5" customWidth="1"/>
    <col min="8195" max="8195" width="13.28515625" style="5" customWidth="1"/>
    <col min="8196" max="8196" width="56.85546875" style="5" customWidth="1"/>
    <col min="8197" max="8197" width="4.28515625" style="5" customWidth="1"/>
    <col min="8198" max="8198" width="12.85546875" style="5" customWidth="1"/>
    <col min="8199" max="8199" width="12" style="5" customWidth="1"/>
    <col min="8200" max="8202" width="14.28515625" style="5" customWidth="1"/>
    <col min="8203" max="8205" width="11.7109375" style="5" customWidth="1"/>
    <col min="8206" max="8239" width="0" style="5" hidden="1" customWidth="1"/>
    <col min="8240" max="8448" width="11.5703125" style="5"/>
    <col min="8449" max="8449" width="3.7109375" style="5" customWidth="1"/>
    <col min="8450" max="8450" width="7" style="5" customWidth="1"/>
    <col min="8451" max="8451" width="13.28515625" style="5" customWidth="1"/>
    <col min="8452" max="8452" width="56.85546875" style="5" customWidth="1"/>
    <col min="8453" max="8453" width="4.28515625" style="5" customWidth="1"/>
    <col min="8454" max="8454" width="12.85546875" style="5" customWidth="1"/>
    <col min="8455" max="8455" width="12" style="5" customWidth="1"/>
    <col min="8456" max="8458" width="14.28515625" style="5" customWidth="1"/>
    <col min="8459" max="8461" width="11.7109375" style="5" customWidth="1"/>
    <col min="8462" max="8495" width="0" style="5" hidden="1" customWidth="1"/>
    <col min="8496" max="8704" width="11.5703125" style="5"/>
    <col min="8705" max="8705" width="3.7109375" style="5" customWidth="1"/>
    <col min="8706" max="8706" width="7" style="5" customWidth="1"/>
    <col min="8707" max="8707" width="13.28515625" style="5" customWidth="1"/>
    <col min="8708" max="8708" width="56.85546875" style="5" customWidth="1"/>
    <col min="8709" max="8709" width="4.28515625" style="5" customWidth="1"/>
    <col min="8710" max="8710" width="12.85546875" style="5" customWidth="1"/>
    <col min="8711" max="8711" width="12" style="5" customWidth="1"/>
    <col min="8712" max="8714" width="14.28515625" style="5" customWidth="1"/>
    <col min="8715" max="8717" width="11.7109375" style="5" customWidth="1"/>
    <col min="8718" max="8751" width="0" style="5" hidden="1" customWidth="1"/>
    <col min="8752" max="8960" width="11.5703125" style="5"/>
    <col min="8961" max="8961" width="3.7109375" style="5" customWidth="1"/>
    <col min="8962" max="8962" width="7" style="5" customWidth="1"/>
    <col min="8963" max="8963" width="13.28515625" style="5" customWidth="1"/>
    <col min="8964" max="8964" width="56.85546875" style="5" customWidth="1"/>
    <col min="8965" max="8965" width="4.28515625" style="5" customWidth="1"/>
    <col min="8966" max="8966" width="12.85546875" style="5" customWidth="1"/>
    <col min="8967" max="8967" width="12" style="5" customWidth="1"/>
    <col min="8968" max="8970" width="14.28515625" style="5" customWidth="1"/>
    <col min="8971" max="8973" width="11.7109375" style="5" customWidth="1"/>
    <col min="8974" max="9007" width="0" style="5" hidden="1" customWidth="1"/>
    <col min="9008" max="9216" width="11.5703125" style="5"/>
    <col min="9217" max="9217" width="3.7109375" style="5" customWidth="1"/>
    <col min="9218" max="9218" width="7" style="5" customWidth="1"/>
    <col min="9219" max="9219" width="13.28515625" style="5" customWidth="1"/>
    <col min="9220" max="9220" width="56.85546875" style="5" customWidth="1"/>
    <col min="9221" max="9221" width="4.28515625" style="5" customWidth="1"/>
    <col min="9222" max="9222" width="12.85546875" style="5" customWidth="1"/>
    <col min="9223" max="9223" width="12" style="5" customWidth="1"/>
    <col min="9224" max="9226" width="14.28515625" style="5" customWidth="1"/>
    <col min="9227" max="9229" width="11.7109375" style="5" customWidth="1"/>
    <col min="9230" max="9263" width="0" style="5" hidden="1" customWidth="1"/>
    <col min="9264" max="9472" width="11.5703125" style="5"/>
    <col min="9473" max="9473" width="3.7109375" style="5" customWidth="1"/>
    <col min="9474" max="9474" width="7" style="5" customWidth="1"/>
    <col min="9475" max="9475" width="13.28515625" style="5" customWidth="1"/>
    <col min="9476" max="9476" width="56.85546875" style="5" customWidth="1"/>
    <col min="9477" max="9477" width="4.28515625" style="5" customWidth="1"/>
    <col min="9478" max="9478" width="12.85546875" style="5" customWidth="1"/>
    <col min="9479" max="9479" width="12" style="5" customWidth="1"/>
    <col min="9480" max="9482" width="14.28515625" style="5" customWidth="1"/>
    <col min="9483" max="9485" width="11.7109375" style="5" customWidth="1"/>
    <col min="9486" max="9519" width="0" style="5" hidden="1" customWidth="1"/>
    <col min="9520" max="9728" width="11.5703125" style="5"/>
    <col min="9729" max="9729" width="3.7109375" style="5" customWidth="1"/>
    <col min="9730" max="9730" width="7" style="5" customWidth="1"/>
    <col min="9731" max="9731" width="13.28515625" style="5" customWidth="1"/>
    <col min="9732" max="9732" width="56.85546875" style="5" customWidth="1"/>
    <col min="9733" max="9733" width="4.28515625" style="5" customWidth="1"/>
    <col min="9734" max="9734" width="12.85546875" style="5" customWidth="1"/>
    <col min="9735" max="9735" width="12" style="5" customWidth="1"/>
    <col min="9736" max="9738" width="14.28515625" style="5" customWidth="1"/>
    <col min="9739" max="9741" width="11.7109375" style="5" customWidth="1"/>
    <col min="9742" max="9775" width="0" style="5" hidden="1" customWidth="1"/>
    <col min="9776" max="9984" width="11.5703125" style="5"/>
    <col min="9985" max="9985" width="3.7109375" style="5" customWidth="1"/>
    <col min="9986" max="9986" width="7" style="5" customWidth="1"/>
    <col min="9987" max="9987" width="13.28515625" style="5" customWidth="1"/>
    <col min="9988" max="9988" width="56.85546875" style="5" customWidth="1"/>
    <col min="9989" max="9989" width="4.28515625" style="5" customWidth="1"/>
    <col min="9990" max="9990" width="12.85546875" style="5" customWidth="1"/>
    <col min="9991" max="9991" width="12" style="5" customWidth="1"/>
    <col min="9992" max="9994" width="14.28515625" style="5" customWidth="1"/>
    <col min="9995" max="9997" width="11.7109375" style="5" customWidth="1"/>
    <col min="9998" max="10031" width="0" style="5" hidden="1" customWidth="1"/>
    <col min="10032" max="10240" width="11.5703125" style="5"/>
    <col min="10241" max="10241" width="3.7109375" style="5" customWidth="1"/>
    <col min="10242" max="10242" width="7" style="5" customWidth="1"/>
    <col min="10243" max="10243" width="13.28515625" style="5" customWidth="1"/>
    <col min="10244" max="10244" width="56.85546875" style="5" customWidth="1"/>
    <col min="10245" max="10245" width="4.28515625" style="5" customWidth="1"/>
    <col min="10246" max="10246" width="12.85546875" style="5" customWidth="1"/>
    <col min="10247" max="10247" width="12" style="5" customWidth="1"/>
    <col min="10248" max="10250" width="14.28515625" style="5" customWidth="1"/>
    <col min="10251" max="10253" width="11.7109375" style="5" customWidth="1"/>
    <col min="10254" max="10287" width="0" style="5" hidden="1" customWidth="1"/>
    <col min="10288" max="10496" width="11.5703125" style="5"/>
    <col min="10497" max="10497" width="3.7109375" style="5" customWidth="1"/>
    <col min="10498" max="10498" width="7" style="5" customWidth="1"/>
    <col min="10499" max="10499" width="13.28515625" style="5" customWidth="1"/>
    <col min="10500" max="10500" width="56.85546875" style="5" customWidth="1"/>
    <col min="10501" max="10501" width="4.28515625" style="5" customWidth="1"/>
    <col min="10502" max="10502" width="12.85546875" style="5" customWidth="1"/>
    <col min="10503" max="10503" width="12" style="5" customWidth="1"/>
    <col min="10504" max="10506" width="14.28515625" style="5" customWidth="1"/>
    <col min="10507" max="10509" width="11.7109375" style="5" customWidth="1"/>
    <col min="10510" max="10543" width="0" style="5" hidden="1" customWidth="1"/>
    <col min="10544" max="10752" width="11.5703125" style="5"/>
    <col min="10753" max="10753" width="3.7109375" style="5" customWidth="1"/>
    <col min="10754" max="10754" width="7" style="5" customWidth="1"/>
    <col min="10755" max="10755" width="13.28515625" style="5" customWidth="1"/>
    <col min="10756" max="10756" width="56.85546875" style="5" customWidth="1"/>
    <col min="10757" max="10757" width="4.28515625" style="5" customWidth="1"/>
    <col min="10758" max="10758" width="12.85546875" style="5" customWidth="1"/>
    <col min="10759" max="10759" width="12" style="5" customWidth="1"/>
    <col min="10760" max="10762" width="14.28515625" style="5" customWidth="1"/>
    <col min="10763" max="10765" width="11.7109375" style="5" customWidth="1"/>
    <col min="10766" max="10799" width="0" style="5" hidden="1" customWidth="1"/>
    <col min="10800" max="11008" width="11.5703125" style="5"/>
    <col min="11009" max="11009" width="3.7109375" style="5" customWidth="1"/>
    <col min="11010" max="11010" width="7" style="5" customWidth="1"/>
    <col min="11011" max="11011" width="13.28515625" style="5" customWidth="1"/>
    <col min="11012" max="11012" width="56.85546875" style="5" customWidth="1"/>
    <col min="11013" max="11013" width="4.28515625" style="5" customWidth="1"/>
    <col min="11014" max="11014" width="12.85546875" style="5" customWidth="1"/>
    <col min="11015" max="11015" width="12" style="5" customWidth="1"/>
    <col min="11016" max="11018" width="14.28515625" style="5" customWidth="1"/>
    <col min="11019" max="11021" width="11.7109375" style="5" customWidth="1"/>
    <col min="11022" max="11055" width="0" style="5" hidden="1" customWidth="1"/>
    <col min="11056" max="11264" width="11.5703125" style="5"/>
    <col min="11265" max="11265" width="3.7109375" style="5" customWidth="1"/>
    <col min="11266" max="11266" width="7" style="5" customWidth="1"/>
    <col min="11267" max="11267" width="13.28515625" style="5" customWidth="1"/>
    <col min="11268" max="11268" width="56.85546875" style="5" customWidth="1"/>
    <col min="11269" max="11269" width="4.28515625" style="5" customWidth="1"/>
    <col min="11270" max="11270" width="12.85546875" style="5" customWidth="1"/>
    <col min="11271" max="11271" width="12" style="5" customWidth="1"/>
    <col min="11272" max="11274" width="14.28515625" style="5" customWidth="1"/>
    <col min="11275" max="11277" width="11.7109375" style="5" customWidth="1"/>
    <col min="11278" max="11311" width="0" style="5" hidden="1" customWidth="1"/>
    <col min="11312" max="11520" width="11.5703125" style="5"/>
    <col min="11521" max="11521" width="3.7109375" style="5" customWidth="1"/>
    <col min="11522" max="11522" width="7" style="5" customWidth="1"/>
    <col min="11523" max="11523" width="13.28515625" style="5" customWidth="1"/>
    <col min="11524" max="11524" width="56.85546875" style="5" customWidth="1"/>
    <col min="11525" max="11525" width="4.28515625" style="5" customWidth="1"/>
    <col min="11526" max="11526" width="12.85546875" style="5" customWidth="1"/>
    <col min="11527" max="11527" width="12" style="5" customWidth="1"/>
    <col min="11528" max="11530" width="14.28515625" style="5" customWidth="1"/>
    <col min="11531" max="11533" width="11.7109375" style="5" customWidth="1"/>
    <col min="11534" max="11567" width="0" style="5" hidden="1" customWidth="1"/>
    <col min="11568" max="11776" width="11.5703125" style="5"/>
    <col min="11777" max="11777" width="3.7109375" style="5" customWidth="1"/>
    <col min="11778" max="11778" width="7" style="5" customWidth="1"/>
    <col min="11779" max="11779" width="13.28515625" style="5" customWidth="1"/>
    <col min="11780" max="11780" width="56.85546875" style="5" customWidth="1"/>
    <col min="11781" max="11781" width="4.28515625" style="5" customWidth="1"/>
    <col min="11782" max="11782" width="12.85546875" style="5" customWidth="1"/>
    <col min="11783" max="11783" width="12" style="5" customWidth="1"/>
    <col min="11784" max="11786" width="14.28515625" style="5" customWidth="1"/>
    <col min="11787" max="11789" width="11.7109375" style="5" customWidth="1"/>
    <col min="11790" max="11823" width="0" style="5" hidden="1" customWidth="1"/>
    <col min="11824" max="12032" width="11.5703125" style="5"/>
    <col min="12033" max="12033" width="3.7109375" style="5" customWidth="1"/>
    <col min="12034" max="12034" width="7" style="5" customWidth="1"/>
    <col min="12035" max="12035" width="13.28515625" style="5" customWidth="1"/>
    <col min="12036" max="12036" width="56.85546875" style="5" customWidth="1"/>
    <col min="12037" max="12037" width="4.28515625" style="5" customWidth="1"/>
    <col min="12038" max="12038" width="12.85546875" style="5" customWidth="1"/>
    <col min="12039" max="12039" width="12" style="5" customWidth="1"/>
    <col min="12040" max="12042" width="14.28515625" style="5" customWidth="1"/>
    <col min="12043" max="12045" width="11.7109375" style="5" customWidth="1"/>
    <col min="12046" max="12079" width="0" style="5" hidden="1" customWidth="1"/>
    <col min="12080" max="12288" width="11.5703125" style="5"/>
    <col min="12289" max="12289" width="3.7109375" style="5" customWidth="1"/>
    <col min="12290" max="12290" width="7" style="5" customWidth="1"/>
    <col min="12291" max="12291" width="13.28515625" style="5" customWidth="1"/>
    <col min="12292" max="12292" width="56.85546875" style="5" customWidth="1"/>
    <col min="12293" max="12293" width="4.28515625" style="5" customWidth="1"/>
    <col min="12294" max="12294" width="12.85546875" style="5" customWidth="1"/>
    <col min="12295" max="12295" width="12" style="5" customWidth="1"/>
    <col min="12296" max="12298" width="14.28515625" style="5" customWidth="1"/>
    <col min="12299" max="12301" width="11.7109375" style="5" customWidth="1"/>
    <col min="12302" max="12335" width="0" style="5" hidden="1" customWidth="1"/>
    <col min="12336" max="12544" width="11.5703125" style="5"/>
    <col min="12545" max="12545" width="3.7109375" style="5" customWidth="1"/>
    <col min="12546" max="12546" width="7" style="5" customWidth="1"/>
    <col min="12547" max="12547" width="13.28515625" style="5" customWidth="1"/>
    <col min="12548" max="12548" width="56.85546875" style="5" customWidth="1"/>
    <col min="12549" max="12549" width="4.28515625" style="5" customWidth="1"/>
    <col min="12550" max="12550" width="12.85546875" style="5" customWidth="1"/>
    <col min="12551" max="12551" width="12" style="5" customWidth="1"/>
    <col min="12552" max="12554" width="14.28515625" style="5" customWidth="1"/>
    <col min="12555" max="12557" width="11.7109375" style="5" customWidth="1"/>
    <col min="12558" max="12591" width="0" style="5" hidden="1" customWidth="1"/>
    <col min="12592" max="12800" width="11.5703125" style="5"/>
    <col min="12801" max="12801" width="3.7109375" style="5" customWidth="1"/>
    <col min="12802" max="12802" width="7" style="5" customWidth="1"/>
    <col min="12803" max="12803" width="13.28515625" style="5" customWidth="1"/>
    <col min="12804" max="12804" width="56.85546875" style="5" customWidth="1"/>
    <col min="12805" max="12805" width="4.28515625" style="5" customWidth="1"/>
    <col min="12806" max="12806" width="12.85546875" style="5" customWidth="1"/>
    <col min="12807" max="12807" width="12" style="5" customWidth="1"/>
    <col min="12808" max="12810" width="14.28515625" style="5" customWidth="1"/>
    <col min="12811" max="12813" width="11.7109375" style="5" customWidth="1"/>
    <col min="12814" max="12847" width="0" style="5" hidden="1" customWidth="1"/>
    <col min="12848" max="13056" width="11.5703125" style="5"/>
    <col min="13057" max="13057" width="3.7109375" style="5" customWidth="1"/>
    <col min="13058" max="13058" width="7" style="5" customWidth="1"/>
    <col min="13059" max="13059" width="13.28515625" style="5" customWidth="1"/>
    <col min="13060" max="13060" width="56.85546875" style="5" customWidth="1"/>
    <col min="13061" max="13061" width="4.28515625" style="5" customWidth="1"/>
    <col min="13062" max="13062" width="12.85546875" style="5" customWidth="1"/>
    <col min="13063" max="13063" width="12" style="5" customWidth="1"/>
    <col min="13064" max="13066" width="14.28515625" style="5" customWidth="1"/>
    <col min="13067" max="13069" width="11.7109375" style="5" customWidth="1"/>
    <col min="13070" max="13103" width="0" style="5" hidden="1" customWidth="1"/>
    <col min="13104" max="13312" width="11.5703125" style="5"/>
    <col min="13313" max="13313" width="3.7109375" style="5" customWidth="1"/>
    <col min="13314" max="13314" width="7" style="5" customWidth="1"/>
    <col min="13315" max="13315" width="13.28515625" style="5" customWidth="1"/>
    <col min="13316" max="13316" width="56.85546875" style="5" customWidth="1"/>
    <col min="13317" max="13317" width="4.28515625" style="5" customWidth="1"/>
    <col min="13318" max="13318" width="12.85546875" style="5" customWidth="1"/>
    <col min="13319" max="13319" width="12" style="5" customWidth="1"/>
    <col min="13320" max="13322" width="14.28515625" style="5" customWidth="1"/>
    <col min="13323" max="13325" width="11.7109375" style="5" customWidth="1"/>
    <col min="13326" max="13359" width="0" style="5" hidden="1" customWidth="1"/>
    <col min="13360" max="13568" width="11.5703125" style="5"/>
    <col min="13569" max="13569" width="3.7109375" style="5" customWidth="1"/>
    <col min="13570" max="13570" width="7" style="5" customWidth="1"/>
    <col min="13571" max="13571" width="13.28515625" style="5" customWidth="1"/>
    <col min="13572" max="13572" width="56.85546875" style="5" customWidth="1"/>
    <col min="13573" max="13573" width="4.28515625" style="5" customWidth="1"/>
    <col min="13574" max="13574" width="12.85546875" style="5" customWidth="1"/>
    <col min="13575" max="13575" width="12" style="5" customWidth="1"/>
    <col min="13576" max="13578" width="14.28515625" style="5" customWidth="1"/>
    <col min="13579" max="13581" width="11.7109375" style="5" customWidth="1"/>
    <col min="13582" max="13615" width="0" style="5" hidden="1" customWidth="1"/>
    <col min="13616" max="13824" width="11.5703125" style="5"/>
    <col min="13825" max="13825" width="3.7109375" style="5" customWidth="1"/>
    <col min="13826" max="13826" width="7" style="5" customWidth="1"/>
    <col min="13827" max="13827" width="13.28515625" style="5" customWidth="1"/>
    <col min="13828" max="13828" width="56.85546875" style="5" customWidth="1"/>
    <col min="13829" max="13829" width="4.28515625" style="5" customWidth="1"/>
    <col min="13830" max="13830" width="12.85546875" style="5" customWidth="1"/>
    <col min="13831" max="13831" width="12" style="5" customWidth="1"/>
    <col min="13832" max="13834" width="14.28515625" style="5" customWidth="1"/>
    <col min="13835" max="13837" width="11.7109375" style="5" customWidth="1"/>
    <col min="13838" max="13871" width="0" style="5" hidden="1" customWidth="1"/>
    <col min="13872" max="14080" width="11.5703125" style="5"/>
    <col min="14081" max="14081" width="3.7109375" style="5" customWidth="1"/>
    <col min="14082" max="14082" width="7" style="5" customWidth="1"/>
    <col min="14083" max="14083" width="13.28515625" style="5" customWidth="1"/>
    <col min="14084" max="14084" width="56.85546875" style="5" customWidth="1"/>
    <col min="14085" max="14085" width="4.28515625" style="5" customWidth="1"/>
    <col min="14086" max="14086" width="12.85546875" style="5" customWidth="1"/>
    <col min="14087" max="14087" width="12" style="5" customWidth="1"/>
    <col min="14088" max="14090" width="14.28515625" style="5" customWidth="1"/>
    <col min="14091" max="14093" width="11.7109375" style="5" customWidth="1"/>
    <col min="14094" max="14127" width="0" style="5" hidden="1" customWidth="1"/>
    <col min="14128" max="14336" width="11.5703125" style="5"/>
    <col min="14337" max="14337" width="3.7109375" style="5" customWidth="1"/>
    <col min="14338" max="14338" width="7" style="5" customWidth="1"/>
    <col min="14339" max="14339" width="13.28515625" style="5" customWidth="1"/>
    <col min="14340" max="14340" width="56.85546875" style="5" customWidth="1"/>
    <col min="14341" max="14341" width="4.28515625" style="5" customWidth="1"/>
    <col min="14342" max="14342" width="12.85546875" style="5" customWidth="1"/>
    <col min="14343" max="14343" width="12" style="5" customWidth="1"/>
    <col min="14344" max="14346" width="14.28515625" style="5" customWidth="1"/>
    <col min="14347" max="14349" width="11.7109375" style="5" customWidth="1"/>
    <col min="14350" max="14383" width="0" style="5" hidden="1" customWidth="1"/>
    <col min="14384" max="14592" width="11.5703125" style="5"/>
    <col min="14593" max="14593" width="3.7109375" style="5" customWidth="1"/>
    <col min="14594" max="14594" width="7" style="5" customWidth="1"/>
    <col min="14595" max="14595" width="13.28515625" style="5" customWidth="1"/>
    <col min="14596" max="14596" width="56.85546875" style="5" customWidth="1"/>
    <col min="14597" max="14597" width="4.28515625" style="5" customWidth="1"/>
    <col min="14598" max="14598" width="12.85546875" style="5" customWidth="1"/>
    <col min="14599" max="14599" width="12" style="5" customWidth="1"/>
    <col min="14600" max="14602" width="14.28515625" style="5" customWidth="1"/>
    <col min="14603" max="14605" width="11.7109375" style="5" customWidth="1"/>
    <col min="14606" max="14639" width="0" style="5" hidden="1" customWidth="1"/>
    <col min="14640" max="14848" width="11.5703125" style="5"/>
    <col min="14849" max="14849" width="3.7109375" style="5" customWidth="1"/>
    <col min="14850" max="14850" width="7" style="5" customWidth="1"/>
    <col min="14851" max="14851" width="13.28515625" style="5" customWidth="1"/>
    <col min="14852" max="14852" width="56.85546875" style="5" customWidth="1"/>
    <col min="14853" max="14853" width="4.28515625" style="5" customWidth="1"/>
    <col min="14854" max="14854" width="12.85546875" style="5" customWidth="1"/>
    <col min="14855" max="14855" width="12" style="5" customWidth="1"/>
    <col min="14856" max="14858" width="14.28515625" style="5" customWidth="1"/>
    <col min="14859" max="14861" width="11.7109375" style="5" customWidth="1"/>
    <col min="14862" max="14895" width="0" style="5" hidden="1" customWidth="1"/>
    <col min="14896" max="15104" width="11.5703125" style="5"/>
    <col min="15105" max="15105" width="3.7109375" style="5" customWidth="1"/>
    <col min="15106" max="15106" width="7" style="5" customWidth="1"/>
    <col min="15107" max="15107" width="13.28515625" style="5" customWidth="1"/>
    <col min="15108" max="15108" width="56.85546875" style="5" customWidth="1"/>
    <col min="15109" max="15109" width="4.28515625" style="5" customWidth="1"/>
    <col min="15110" max="15110" width="12.85546875" style="5" customWidth="1"/>
    <col min="15111" max="15111" width="12" style="5" customWidth="1"/>
    <col min="15112" max="15114" width="14.28515625" style="5" customWidth="1"/>
    <col min="15115" max="15117" width="11.7109375" style="5" customWidth="1"/>
    <col min="15118" max="15151" width="0" style="5" hidden="1" customWidth="1"/>
    <col min="15152" max="15360" width="11.5703125" style="5"/>
    <col min="15361" max="15361" width="3.7109375" style="5" customWidth="1"/>
    <col min="15362" max="15362" width="7" style="5" customWidth="1"/>
    <col min="15363" max="15363" width="13.28515625" style="5" customWidth="1"/>
    <col min="15364" max="15364" width="56.85546875" style="5" customWidth="1"/>
    <col min="15365" max="15365" width="4.28515625" style="5" customWidth="1"/>
    <col min="15366" max="15366" width="12.85546875" style="5" customWidth="1"/>
    <col min="15367" max="15367" width="12" style="5" customWidth="1"/>
    <col min="15368" max="15370" width="14.28515625" style="5" customWidth="1"/>
    <col min="15371" max="15373" width="11.7109375" style="5" customWidth="1"/>
    <col min="15374" max="15407" width="0" style="5" hidden="1" customWidth="1"/>
    <col min="15408" max="15616" width="11.5703125" style="5"/>
    <col min="15617" max="15617" width="3.7109375" style="5" customWidth="1"/>
    <col min="15618" max="15618" width="7" style="5" customWidth="1"/>
    <col min="15619" max="15619" width="13.28515625" style="5" customWidth="1"/>
    <col min="15620" max="15620" width="56.85546875" style="5" customWidth="1"/>
    <col min="15621" max="15621" width="4.28515625" style="5" customWidth="1"/>
    <col min="15622" max="15622" width="12.85546875" style="5" customWidth="1"/>
    <col min="15623" max="15623" width="12" style="5" customWidth="1"/>
    <col min="15624" max="15626" width="14.28515625" style="5" customWidth="1"/>
    <col min="15627" max="15629" width="11.7109375" style="5" customWidth="1"/>
    <col min="15630" max="15663" width="0" style="5" hidden="1" customWidth="1"/>
    <col min="15664" max="15872" width="11.5703125" style="5"/>
    <col min="15873" max="15873" width="3.7109375" style="5" customWidth="1"/>
    <col min="15874" max="15874" width="7" style="5" customWidth="1"/>
    <col min="15875" max="15875" width="13.28515625" style="5" customWidth="1"/>
    <col min="15876" max="15876" width="56.85546875" style="5" customWidth="1"/>
    <col min="15877" max="15877" width="4.28515625" style="5" customWidth="1"/>
    <col min="15878" max="15878" width="12.85546875" style="5" customWidth="1"/>
    <col min="15879" max="15879" width="12" style="5" customWidth="1"/>
    <col min="15880" max="15882" width="14.28515625" style="5" customWidth="1"/>
    <col min="15883" max="15885" width="11.7109375" style="5" customWidth="1"/>
    <col min="15886" max="15919" width="0" style="5" hidden="1" customWidth="1"/>
    <col min="15920" max="16128" width="11.5703125" style="5"/>
    <col min="16129" max="16129" width="3.7109375" style="5" customWidth="1"/>
    <col min="16130" max="16130" width="7" style="5" customWidth="1"/>
    <col min="16131" max="16131" width="13.28515625" style="5" customWidth="1"/>
    <col min="16132" max="16132" width="56.85546875" style="5" customWidth="1"/>
    <col min="16133" max="16133" width="4.28515625" style="5" customWidth="1"/>
    <col min="16134" max="16134" width="12.85546875" style="5" customWidth="1"/>
    <col min="16135" max="16135" width="12" style="5" customWidth="1"/>
    <col min="16136" max="16138" width="14.28515625" style="5" customWidth="1"/>
    <col min="16139" max="16141" width="11.7109375" style="5" customWidth="1"/>
    <col min="16142" max="16175" width="0" style="5" hidden="1" customWidth="1"/>
    <col min="16176" max="16384" width="11.5703125" style="5"/>
  </cols>
  <sheetData>
    <row r="1" spans="1:43" ht="21.95" customHeight="1" x14ac:dyDescent="0.25">
      <c r="A1" s="355" t="s">
        <v>5</v>
      </c>
      <c r="B1" s="356"/>
      <c r="C1" s="356"/>
      <c r="D1" s="356"/>
      <c r="E1" s="356"/>
      <c r="F1" s="356"/>
      <c r="G1" s="356"/>
      <c r="H1" s="356"/>
      <c r="I1" s="356"/>
      <c r="J1" s="356"/>
      <c r="K1" s="356"/>
      <c r="L1" s="356"/>
      <c r="M1" s="356"/>
    </row>
    <row r="2" spans="1:43" x14ac:dyDescent="0.25">
      <c r="A2" s="357" t="s">
        <v>6</v>
      </c>
      <c r="B2" s="358"/>
      <c r="C2" s="358"/>
      <c r="D2" s="359" t="s">
        <v>7</v>
      </c>
      <c r="E2" s="361" t="s">
        <v>8</v>
      </c>
      <c r="F2" s="358"/>
      <c r="G2" s="361"/>
      <c r="H2" s="358"/>
      <c r="I2" s="362" t="s">
        <v>9</v>
      </c>
      <c r="J2" s="362" t="s">
        <v>10</v>
      </c>
      <c r="K2" s="358"/>
      <c r="L2" s="358"/>
      <c r="M2" s="363"/>
      <c r="N2" s="6"/>
    </row>
    <row r="3" spans="1:43" x14ac:dyDescent="0.25">
      <c r="A3" s="354"/>
      <c r="B3" s="337"/>
      <c r="C3" s="337"/>
      <c r="D3" s="360"/>
      <c r="E3" s="337"/>
      <c r="F3" s="337"/>
      <c r="G3" s="337"/>
      <c r="H3" s="337"/>
      <c r="I3" s="337"/>
      <c r="J3" s="337"/>
      <c r="K3" s="337"/>
      <c r="L3" s="337"/>
      <c r="M3" s="352"/>
      <c r="N3" s="6"/>
    </row>
    <row r="4" spans="1:43" x14ac:dyDescent="0.25">
      <c r="A4" s="346" t="s">
        <v>11</v>
      </c>
      <c r="B4" s="337"/>
      <c r="C4" s="337"/>
      <c r="D4" s="336" t="s">
        <v>12</v>
      </c>
      <c r="E4" s="349" t="s">
        <v>13</v>
      </c>
      <c r="F4" s="337"/>
      <c r="G4" s="350">
        <v>44409</v>
      </c>
      <c r="H4" s="337"/>
      <c r="I4" s="336" t="s">
        <v>14</v>
      </c>
      <c r="J4" s="336" t="s">
        <v>15</v>
      </c>
      <c r="K4" s="337"/>
      <c r="L4" s="337"/>
      <c r="M4" s="352"/>
      <c r="N4" s="6"/>
    </row>
    <row r="5" spans="1:43" x14ac:dyDescent="0.25">
      <c r="A5" s="354"/>
      <c r="B5" s="337"/>
      <c r="C5" s="337"/>
      <c r="D5" s="337"/>
      <c r="E5" s="337"/>
      <c r="F5" s="337"/>
      <c r="G5" s="337"/>
      <c r="H5" s="337"/>
      <c r="I5" s="337"/>
      <c r="J5" s="337"/>
      <c r="K5" s="337"/>
      <c r="L5" s="337"/>
      <c r="M5" s="352"/>
      <c r="N5" s="6"/>
    </row>
    <row r="6" spans="1:43" x14ac:dyDescent="0.25">
      <c r="A6" s="346" t="s">
        <v>16</v>
      </c>
      <c r="B6" s="337"/>
      <c r="C6" s="337"/>
      <c r="D6" s="336" t="s">
        <v>17</v>
      </c>
      <c r="E6" s="349" t="s">
        <v>18</v>
      </c>
      <c r="F6" s="337"/>
      <c r="G6" s="337"/>
      <c r="H6" s="337"/>
      <c r="I6" s="336" t="s">
        <v>19</v>
      </c>
      <c r="J6" s="336" t="s">
        <v>20</v>
      </c>
      <c r="K6" s="337"/>
      <c r="L6" s="337"/>
      <c r="M6" s="352"/>
      <c r="N6" s="6"/>
    </row>
    <row r="7" spans="1:43" x14ac:dyDescent="0.25">
      <c r="A7" s="354"/>
      <c r="B7" s="337"/>
      <c r="C7" s="337"/>
      <c r="D7" s="337"/>
      <c r="E7" s="337"/>
      <c r="F7" s="337"/>
      <c r="G7" s="337"/>
      <c r="H7" s="337"/>
      <c r="I7" s="337"/>
      <c r="J7" s="337"/>
      <c r="K7" s="337"/>
      <c r="L7" s="337"/>
      <c r="M7" s="352"/>
      <c r="N7" s="6"/>
    </row>
    <row r="8" spans="1:43" x14ac:dyDescent="0.25">
      <c r="A8" s="346" t="s">
        <v>21</v>
      </c>
      <c r="B8" s="337"/>
      <c r="C8" s="337"/>
      <c r="D8" s="336">
        <v>8016</v>
      </c>
      <c r="E8" s="349" t="s">
        <v>22</v>
      </c>
      <c r="F8" s="337"/>
      <c r="G8" s="350">
        <v>44228</v>
      </c>
      <c r="H8" s="337"/>
      <c r="I8" s="336" t="s">
        <v>23</v>
      </c>
      <c r="J8" s="336" t="s">
        <v>24</v>
      </c>
      <c r="K8" s="337"/>
      <c r="L8" s="337"/>
      <c r="M8" s="352"/>
      <c r="N8" s="6"/>
    </row>
    <row r="9" spans="1:43" ht="13.5" thickBot="1" x14ac:dyDescent="0.3">
      <c r="A9" s="347"/>
      <c r="B9" s="348"/>
      <c r="C9" s="348"/>
      <c r="D9" s="348"/>
      <c r="E9" s="348"/>
      <c r="F9" s="348"/>
      <c r="G9" s="348"/>
      <c r="H9" s="348"/>
      <c r="I9" s="348"/>
      <c r="J9" s="348"/>
      <c r="K9" s="348"/>
      <c r="L9" s="348"/>
      <c r="M9" s="353"/>
      <c r="N9" s="6"/>
    </row>
    <row r="10" spans="1:43" x14ac:dyDescent="0.25">
      <c r="A10" s="7" t="s">
        <v>25</v>
      </c>
      <c r="B10" s="8" t="s">
        <v>26</v>
      </c>
      <c r="C10" s="8" t="s">
        <v>27</v>
      </c>
      <c r="D10" s="8" t="s">
        <v>28</v>
      </c>
      <c r="E10" s="8" t="s">
        <v>29</v>
      </c>
      <c r="F10" s="9" t="s">
        <v>30</v>
      </c>
      <c r="G10" s="318" t="s">
        <v>31</v>
      </c>
      <c r="H10" s="342" t="s">
        <v>32</v>
      </c>
      <c r="I10" s="351"/>
      <c r="J10" s="343"/>
      <c r="K10" s="342" t="s">
        <v>33</v>
      </c>
      <c r="L10" s="343"/>
      <c r="M10" s="11" t="s">
        <v>34</v>
      </c>
      <c r="N10" s="12"/>
    </row>
    <row r="11" spans="1:43" ht="13.5" thickBot="1" x14ac:dyDescent="0.3">
      <c r="A11" s="13" t="s">
        <v>35</v>
      </c>
      <c r="B11" s="14" t="s">
        <v>35</v>
      </c>
      <c r="C11" s="14" t="s">
        <v>35</v>
      </c>
      <c r="D11" s="15" t="s">
        <v>36</v>
      </c>
      <c r="E11" s="14" t="s">
        <v>35</v>
      </c>
      <c r="F11" s="14" t="s">
        <v>35</v>
      </c>
      <c r="G11" s="319" t="s">
        <v>37</v>
      </c>
      <c r="H11" s="17" t="s">
        <v>38</v>
      </c>
      <c r="I11" s="18" t="s">
        <v>39</v>
      </c>
      <c r="J11" s="19" t="s">
        <v>40</v>
      </c>
      <c r="K11" s="17" t="s">
        <v>31</v>
      </c>
      <c r="L11" s="19" t="s">
        <v>40</v>
      </c>
      <c r="M11" s="20" t="s">
        <v>41</v>
      </c>
      <c r="N11" s="12"/>
      <c r="P11" s="21" t="s">
        <v>42</v>
      </c>
      <c r="Q11" s="21" t="s">
        <v>43</v>
      </c>
      <c r="R11" s="21" t="s">
        <v>44</v>
      </c>
      <c r="S11" s="21" t="s">
        <v>45</v>
      </c>
      <c r="T11" s="21" t="s">
        <v>46</v>
      </c>
      <c r="U11" s="21" t="s">
        <v>47</v>
      </c>
      <c r="V11" s="21" t="s">
        <v>48</v>
      </c>
      <c r="W11" s="21" t="s">
        <v>49</v>
      </c>
      <c r="X11" s="21" t="s">
        <v>50</v>
      </c>
    </row>
    <row r="12" spans="1:43" x14ac:dyDescent="0.25">
      <c r="A12" s="22"/>
      <c r="B12" s="23" t="s">
        <v>51</v>
      </c>
      <c r="C12" s="23"/>
      <c r="D12" s="344" t="s">
        <v>51</v>
      </c>
      <c r="E12" s="345"/>
      <c r="F12" s="345"/>
      <c r="G12" s="345"/>
      <c r="H12" s="24">
        <f>H13+H18+H20+H23+H25+H27+H29+H32</f>
        <v>0</v>
      </c>
      <c r="I12" s="24">
        <f>I13+I18+I20+I23+I25+I27+I29+I32</f>
        <v>0</v>
      </c>
      <c r="J12" s="24">
        <f>H12+I12</f>
        <v>0</v>
      </c>
      <c r="K12" s="25"/>
      <c r="L12" s="24">
        <f>L13+L18+L20+L23+L25+L27+L29+L32</f>
        <v>1.1031039999999999</v>
      </c>
      <c r="M12" s="25"/>
    </row>
    <row r="13" spans="1:43" x14ac:dyDescent="0.25">
      <c r="A13" s="26"/>
      <c r="B13" s="27" t="s">
        <v>51</v>
      </c>
      <c r="C13" s="27" t="s">
        <v>52</v>
      </c>
      <c r="D13" s="338" t="s">
        <v>53</v>
      </c>
      <c r="E13" s="339"/>
      <c r="F13" s="339"/>
      <c r="G13" s="339"/>
      <c r="H13" s="28">
        <f>SUM(H14:H16)</f>
        <v>0</v>
      </c>
      <c r="I13" s="28">
        <f>SUM(I14:I16)</f>
        <v>0</v>
      </c>
      <c r="J13" s="28">
        <f>H13+I13</f>
        <v>0</v>
      </c>
      <c r="K13" s="21"/>
      <c r="L13" s="28">
        <f>SUM(L14:L16)</f>
        <v>0.40966799999999998</v>
      </c>
      <c r="M13" s="21"/>
      <c r="P13" s="28">
        <f>IF(Q13="PR",J13,SUM(O14:O16))</f>
        <v>0</v>
      </c>
      <c r="Q13" s="21" t="s">
        <v>54</v>
      </c>
      <c r="R13" s="28">
        <f>IF(Q13="HS",H13,0)</f>
        <v>0</v>
      </c>
      <c r="S13" s="28">
        <f>IF(Q13="HS",I13-P13,0)</f>
        <v>0</v>
      </c>
      <c r="T13" s="28">
        <f>IF(Q13="PS",H13,0)</f>
        <v>0</v>
      </c>
      <c r="U13" s="28">
        <f>IF(Q13="PS",I13-P13,0)</f>
        <v>0</v>
      </c>
      <c r="V13" s="28">
        <f>IF(Q13="MP",H13,0)</f>
        <v>0</v>
      </c>
      <c r="W13" s="28">
        <f>IF(Q13="MP",I13-P13,0)</f>
        <v>0</v>
      </c>
      <c r="X13" s="28">
        <f>IF(Q13="OM",H13,0)</f>
        <v>0</v>
      </c>
      <c r="Y13" s="21" t="s">
        <v>51</v>
      </c>
      <c r="AI13" s="28">
        <f>SUM(Z14:Z16)</f>
        <v>0</v>
      </c>
      <c r="AJ13" s="28">
        <f>SUM(AA14:AA16)</f>
        <v>0</v>
      </c>
      <c r="AK13" s="28">
        <f>SUM(AB14:AB16)</f>
        <v>0</v>
      </c>
    </row>
    <row r="14" spans="1:43" x14ac:dyDescent="0.25">
      <c r="A14" s="29" t="s">
        <v>55</v>
      </c>
      <c r="B14" s="29" t="s">
        <v>51</v>
      </c>
      <c r="C14" s="29" t="s">
        <v>56</v>
      </c>
      <c r="D14" s="29" t="s">
        <v>57</v>
      </c>
      <c r="E14" s="29" t="s">
        <v>58</v>
      </c>
      <c r="F14" s="30">
        <v>34.32</v>
      </c>
      <c r="G14" s="317">
        <v>0</v>
      </c>
      <c r="H14" s="30">
        <f>ROUND(F14*AE14,2)</f>
        <v>0</v>
      </c>
      <c r="I14" s="30">
        <f>J14-H14</f>
        <v>0</v>
      </c>
      <c r="J14" s="30">
        <f>ROUND(F14*G14,2)</f>
        <v>0</v>
      </c>
      <c r="K14" s="30">
        <v>1.001E-2</v>
      </c>
      <c r="L14" s="30">
        <f>F14*K14</f>
        <v>0.34354319999999999</v>
      </c>
      <c r="M14" s="258" t="s">
        <v>2291</v>
      </c>
      <c r="N14" s="31" t="s">
        <v>59</v>
      </c>
      <c r="O14" s="30">
        <f>IF(N14="5",I14,0)</f>
        <v>0</v>
      </c>
      <c r="Z14" s="30">
        <f>IF(AD14=0,J14,0)</f>
        <v>0</v>
      </c>
      <c r="AA14" s="30">
        <f>IF(AD14=15,J14,0)</f>
        <v>0</v>
      </c>
      <c r="AB14" s="30">
        <f>IF(AD14=21,J14,0)</f>
        <v>0</v>
      </c>
      <c r="AD14" s="32">
        <v>21</v>
      </c>
      <c r="AE14" s="32">
        <f>G14*0.0756575801052128</f>
        <v>0</v>
      </c>
      <c r="AF14" s="32">
        <f>G14*(1-0.0756575801052128)</f>
        <v>0</v>
      </c>
      <c r="AM14" s="32">
        <f>F14*AE14</f>
        <v>0</v>
      </c>
      <c r="AN14" s="32">
        <f>F14*AF14</f>
        <v>0</v>
      </c>
      <c r="AO14" s="33" t="s">
        <v>60</v>
      </c>
      <c r="AP14" s="33" t="s">
        <v>61</v>
      </c>
      <c r="AQ14" s="21" t="s">
        <v>62</v>
      </c>
    </row>
    <row r="15" spans="1:43" ht="25.7" customHeight="1" x14ac:dyDescent="0.25">
      <c r="C15" s="34" t="s">
        <v>63</v>
      </c>
      <c r="D15" s="340" t="s">
        <v>64</v>
      </c>
      <c r="E15" s="341"/>
      <c r="F15" s="341"/>
      <c r="G15" s="341"/>
      <c r="H15" s="341"/>
      <c r="I15" s="341"/>
      <c r="J15" s="341"/>
      <c r="K15" s="341"/>
      <c r="L15" s="341"/>
      <c r="M15" s="341"/>
    </row>
    <row r="16" spans="1:43" x14ac:dyDescent="0.25">
      <c r="A16" s="29" t="s">
        <v>65</v>
      </c>
      <c r="B16" s="29" t="s">
        <v>51</v>
      </c>
      <c r="C16" s="29" t="s">
        <v>66</v>
      </c>
      <c r="D16" s="29" t="s">
        <v>67</v>
      </c>
      <c r="E16" s="29" t="s">
        <v>58</v>
      </c>
      <c r="F16" s="30">
        <v>6.72</v>
      </c>
      <c r="G16" s="317">
        <v>0</v>
      </c>
      <c r="H16" s="30">
        <f>ROUND(F16*AE16,2)</f>
        <v>0</v>
      </c>
      <c r="I16" s="30">
        <f>J16-H16</f>
        <v>0</v>
      </c>
      <c r="J16" s="30">
        <f>ROUND(F16*G16,2)</f>
        <v>0</v>
      </c>
      <c r="K16" s="30">
        <v>9.8399999999999998E-3</v>
      </c>
      <c r="L16" s="30">
        <f>F16*K16</f>
        <v>6.6124799999999997E-2</v>
      </c>
      <c r="M16" s="258" t="s">
        <v>2291</v>
      </c>
      <c r="N16" s="31" t="s">
        <v>59</v>
      </c>
      <c r="O16" s="30">
        <f>IF(N16="5",I16,0)</f>
        <v>0</v>
      </c>
      <c r="Z16" s="30">
        <f>IF(AD16=0,J16,0)</f>
        <v>0</v>
      </c>
      <c r="AA16" s="30">
        <f>IF(AD16=15,J16,0)</f>
        <v>0</v>
      </c>
      <c r="AB16" s="30">
        <f>IF(AD16=21,J16,0)</f>
        <v>0</v>
      </c>
      <c r="AD16" s="32">
        <v>21</v>
      </c>
      <c r="AE16" s="32">
        <f>G16*0.160304682766381</f>
        <v>0</v>
      </c>
      <c r="AF16" s="32">
        <f>G16*(1-0.160304682766381)</f>
        <v>0</v>
      </c>
      <c r="AM16" s="32">
        <f>F16*AE16</f>
        <v>0</v>
      </c>
      <c r="AN16" s="32">
        <f>F16*AF16</f>
        <v>0</v>
      </c>
      <c r="AO16" s="33" t="s">
        <v>60</v>
      </c>
      <c r="AP16" s="33" t="s">
        <v>61</v>
      </c>
      <c r="AQ16" s="21" t="s">
        <v>62</v>
      </c>
    </row>
    <row r="17" spans="1:43" ht="25.7" customHeight="1" x14ac:dyDescent="0.25">
      <c r="C17" s="34" t="s">
        <v>63</v>
      </c>
      <c r="D17" s="340" t="s">
        <v>64</v>
      </c>
      <c r="E17" s="341"/>
      <c r="F17" s="341"/>
      <c r="G17" s="341"/>
      <c r="H17" s="341"/>
      <c r="I17" s="341"/>
      <c r="J17" s="341"/>
      <c r="K17" s="341"/>
      <c r="L17" s="341"/>
      <c r="M17" s="341"/>
    </row>
    <row r="18" spans="1:43" x14ac:dyDescent="0.25">
      <c r="A18" s="26"/>
      <c r="B18" s="27" t="s">
        <v>51</v>
      </c>
      <c r="C18" s="27" t="s">
        <v>68</v>
      </c>
      <c r="D18" s="338" t="s">
        <v>69</v>
      </c>
      <c r="E18" s="339"/>
      <c r="F18" s="339"/>
      <c r="G18" s="339"/>
      <c r="H18" s="28">
        <f>SUM(H19:H19)</f>
        <v>0</v>
      </c>
      <c r="I18" s="28">
        <f>SUM(I19:I19)</f>
        <v>0</v>
      </c>
      <c r="J18" s="28">
        <f>H18+I18</f>
        <v>0</v>
      </c>
      <c r="K18" s="21"/>
      <c r="L18" s="28">
        <f>SUM(L19:L19)</f>
        <v>0.33492480000000002</v>
      </c>
      <c r="M18" s="21"/>
      <c r="P18" s="28">
        <f>IF(Q18="PR",J18,SUM(O19:O19))</f>
        <v>0</v>
      </c>
      <c r="Q18" s="21" t="s">
        <v>54</v>
      </c>
      <c r="R18" s="28">
        <f>IF(Q18="HS",H18,0)</f>
        <v>0</v>
      </c>
      <c r="S18" s="28">
        <f>IF(Q18="HS",I18-P18,0)</f>
        <v>0</v>
      </c>
      <c r="T18" s="28">
        <f>IF(Q18="PS",H18,0)</f>
        <v>0</v>
      </c>
      <c r="U18" s="28">
        <f>IF(Q18="PS",I18-P18,0)</f>
        <v>0</v>
      </c>
      <c r="V18" s="28">
        <f>IF(Q18="MP",H18,0)</f>
        <v>0</v>
      </c>
      <c r="W18" s="28">
        <f>IF(Q18="MP",I18-P18,0)</f>
        <v>0</v>
      </c>
      <c r="X18" s="28">
        <f>IF(Q18="OM",H18,0)</f>
        <v>0</v>
      </c>
      <c r="Y18" s="21" t="s">
        <v>51</v>
      </c>
      <c r="AI18" s="28">
        <f>SUM(Z19:Z19)</f>
        <v>0</v>
      </c>
      <c r="AJ18" s="28">
        <f>SUM(AA19:AA19)</f>
        <v>0</v>
      </c>
      <c r="AK18" s="28">
        <f>SUM(AB19:AB19)</f>
        <v>0</v>
      </c>
    </row>
    <row r="19" spans="1:43" x14ac:dyDescent="0.25">
      <c r="A19" s="29" t="s">
        <v>59</v>
      </c>
      <c r="B19" s="29" t="s">
        <v>51</v>
      </c>
      <c r="C19" s="29" t="s">
        <v>70</v>
      </c>
      <c r="D19" s="29" t="s">
        <v>71</v>
      </c>
      <c r="E19" s="29" t="s">
        <v>58</v>
      </c>
      <c r="F19" s="30">
        <v>6.72</v>
      </c>
      <c r="G19" s="317">
        <v>0</v>
      </c>
      <c r="H19" s="30">
        <f>ROUND(F19*AE19,2)</f>
        <v>0</v>
      </c>
      <c r="I19" s="30">
        <f>J19-H19</f>
        <v>0</v>
      </c>
      <c r="J19" s="30">
        <f>ROUND(F19*G19,2)</f>
        <v>0</v>
      </c>
      <c r="K19" s="30">
        <v>4.9840000000000002E-2</v>
      </c>
      <c r="L19" s="30">
        <f>F19*K19</f>
        <v>0.33492480000000002</v>
      </c>
      <c r="M19" s="258" t="s">
        <v>2291</v>
      </c>
      <c r="N19" s="31" t="s">
        <v>59</v>
      </c>
      <c r="O19" s="30">
        <f>IF(N19="5",I19,0)</f>
        <v>0</v>
      </c>
      <c r="Z19" s="30">
        <f>IF(AD19=0,J19,0)</f>
        <v>0</v>
      </c>
      <c r="AA19" s="30">
        <f>IF(AD19=15,J19,0)</f>
        <v>0</v>
      </c>
      <c r="AB19" s="30">
        <f>IF(AD19=21,J19,0)</f>
        <v>0</v>
      </c>
      <c r="AD19" s="32">
        <v>21</v>
      </c>
      <c r="AE19" s="32">
        <f>G19*0.411768721414431</f>
        <v>0</v>
      </c>
      <c r="AF19" s="32">
        <f>G19*(1-0.411768721414431)</f>
        <v>0</v>
      </c>
      <c r="AM19" s="32">
        <f>F19*AE19</f>
        <v>0</v>
      </c>
      <c r="AN19" s="32">
        <f>F19*AF19</f>
        <v>0</v>
      </c>
      <c r="AO19" s="33" t="s">
        <v>72</v>
      </c>
      <c r="AP19" s="33" t="s">
        <v>61</v>
      </c>
      <c r="AQ19" s="21" t="s">
        <v>62</v>
      </c>
    </row>
    <row r="20" spans="1:43" x14ac:dyDescent="0.25">
      <c r="A20" s="26"/>
      <c r="B20" s="27" t="s">
        <v>51</v>
      </c>
      <c r="C20" s="27" t="s">
        <v>73</v>
      </c>
      <c r="D20" s="338" t="s">
        <v>74</v>
      </c>
      <c r="E20" s="339"/>
      <c r="F20" s="339"/>
      <c r="G20" s="339"/>
      <c r="H20" s="28">
        <f>SUM(H21:H21)</f>
        <v>0</v>
      </c>
      <c r="I20" s="28">
        <f>SUM(I21:I21)</f>
        <v>0</v>
      </c>
      <c r="J20" s="28">
        <f>H20+I20</f>
        <v>0</v>
      </c>
      <c r="K20" s="21"/>
      <c r="L20" s="28">
        <f>SUM(L21:L21)</f>
        <v>0.108192</v>
      </c>
      <c r="M20" s="21"/>
      <c r="P20" s="28">
        <f>IF(Q20="PR",J20,SUM(O21:O21))</f>
        <v>0</v>
      </c>
      <c r="Q20" s="21" t="s">
        <v>75</v>
      </c>
      <c r="R20" s="28">
        <f>IF(Q20="HS",H20,0)</f>
        <v>0</v>
      </c>
      <c r="S20" s="28">
        <f>IF(Q20="HS",I20-P20,0)</f>
        <v>0</v>
      </c>
      <c r="T20" s="28">
        <f>IF(Q20="PS",H20,0)</f>
        <v>0</v>
      </c>
      <c r="U20" s="28">
        <f>IF(Q20="PS",I20-P20,0)</f>
        <v>0</v>
      </c>
      <c r="V20" s="28">
        <f>IF(Q20="MP",H20,0)</f>
        <v>0</v>
      </c>
      <c r="W20" s="28">
        <f>IF(Q20="MP",I20-P20,0)</f>
        <v>0</v>
      </c>
      <c r="X20" s="28">
        <f>IF(Q20="OM",H20,0)</f>
        <v>0</v>
      </c>
      <c r="Y20" s="21" t="s">
        <v>51</v>
      </c>
      <c r="AI20" s="28">
        <f>SUM(Z21:Z21)</f>
        <v>0</v>
      </c>
      <c r="AJ20" s="28">
        <f>SUM(AA21:AA21)</f>
        <v>0</v>
      </c>
      <c r="AK20" s="28">
        <f>SUM(AB21:AB21)</f>
        <v>0</v>
      </c>
    </row>
    <row r="21" spans="1:43" x14ac:dyDescent="0.25">
      <c r="A21" s="29" t="s">
        <v>76</v>
      </c>
      <c r="B21" s="29" t="s">
        <v>51</v>
      </c>
      <c r="C21" s="29" t="s">
        <v>77</v>
      </c>
      <c r="D21" s="29" t="s">
        <v>2277</v>
      </c>
      <c r="E21" s="29" t="s">
        <v>58</v>
      </c>
      <c r="F21" s="30">
        <v>6.72</v>
      </c>
      <c r="G21" s="317">
        <v>0</v>
      </c>
      <c r="H21" s="30">
        <f>ROUND(F21*AE21,2)</f>
        <v>0</v>
      </c>
      <c r="I21" s="30">
        <f>J21-H21</f>
        <v>0</v>
      </c>
      <c r="J21" s="30">
        <f>ROUND(F21*G21,2)</f>
        <v>0</v>
      </c>
      <c r="K21" s="30">
        <v>1.61E-2</v>
      </c>
      <c r="L21" s="30">
        <f>F21*K21</f>
        <v>0.108192</v>
      </c>
      <c r="M21" s="258" t="s">
        <v>2291</v>
      </c>
      <c r="N21" s="31" t="s">
        <v>59</v>
      </c>
      <c r="O21" s="30">
        <f>IF(N21="5",I21,0)</f>
        <v>0</v>
      </c>
      <c r="Z21" s="30">
        <f>IF(AD21=0,J21,0)</f>
        <v>0</v>
      </c>
      <c r="AA21" s="30">
        <f>IF(AD21=15,J21,0)</f>
        <v>0</v>
      </c>
      <c r="AB21" s="30">
        <f>IF(AD21=21,J21,0)</f>
        <v>0</v>
      </c>
      <c r="AD21" s="32">
        <v>21</v>
      </c>
      <c r="AE21" s="32">
        <f>G21*0.787221324717286</f>
        <v>0</v>
      </c>
      <c r="AF21" s="32">
        <f>G21*(1-0.787221324717286)</f>
        <v>0</v>
      </c>
      <c r="AM21" s="32">
        <f>F21*AE21</f>
        <v>0</v>
      </c>
      <c r="AN21" s="32">
        <f>F21*AF21</f>
        <v>0</v>
      </c>
      <c r="AO21" s="33" t="s">
        <v>78</v>
      </c>
      <c r="AP21" s="33" t="s">
        <v>79</v>
      </c>
      <c r="AQ21" s="21" t="s">
        <v>62</v>
      </c>
    </row>
    <row r="22" spans="1:43" x14ac:dyDescent="0.25">
      <c r="C22" s="34" t="s">
        <v>63</v>
      </c>
      <c r="D22" s="340" t="s">
        <v>2280</v>
      </c>
      <c r="E22" s="341"/>
      <c r="F22" s="341"/>
      <c r="G22" s="341"/>
      <c r="H22" s="341"/>
      <c r="I22" s="341"/>
      <c r="J22" s="341"/>
      <c r="K22" s="341"/>
      <c r="L22" s="341"/>
      <c r="M22" s="341"/>
    </row>
    <row r="23" spans="1:43" x14ac:dyDescent="0.25">
      <c r="A23" s="26"/>
      <c r="B23" s="27" t="s">
        <v>51</v>
      </c>
      <c r="C23" s="27" t="s">
        <v>80</v>
      </c>
      <c r="D23" s="338" t="s">
        <v>81</v>
      </c>
      <c r="E23" s="339"/>
      <c r="F23" s="339"/>
      <c r="G23" s="339"/>
      <c r="H23" s="28">
        <f>SUM(H24:H24)</f>
        <v>0</v>
      </c>
      <c r="I23" s="28">
        <f>SUM(I24:I24)</f>
        <v>0</v>
      </c>
      <c r="J23" s="28">
        <f>H23+I23</f>
        <v>0</v>
      </c>
      <c r="K23" s="21"/>
      <c r="L23" s="28">
        <f>SUM(L24:L24)</f>
        <v>2.7283200000000001E-2</v>
      </c>
      <c r="M23" s="21"/>
      <c r="P23" s="28">
        <f>IF(Q23="PR",J23,SUM(O24:O24))</f>
        <v>0</v>
      </c>
      <c r="Q23" s="21" t="s">
        <v>75</v>
      </c>
      <c r="R23" s="28">
        <f>IF(Q23="HS",H23,0)</f>
        <v>0</v>
      </c>
      <c r="S23" s="28">
        <f>IF(Q23="HS",I23-P23,0)</f>
        <v>0</v>
      </c>
      <c r="T23" s="28">
        <f>IF(Q23="PS",H23,0)</f>
        <v>0</v>
      </c>
      <c r="U23" s="28">
        <f>IF(Q23="PS",I23-P23,0)</f>
        <v>0</v>
      </c>
      <c r="V23" s="28">
        <f>IF(Q23="MP",H23,0)</f>
        <v>0</v>
      </c>
      <c r="W23" s="28">
        <f>IF(Q23="MP",I23-P23,0)</f>
        <v>0</v>
      </c>
      <c r="X23" s="28">
        <f>IF(Q23="OM",H23,0)</f>
        <v>0</v>
      </c>
      <c r="Y23" s="21" t="s">
        <v>51</v>
      </c>
      <c r="AI23" s="28">
        <f>SUM(Z24:Z24)</f>
        <v>0</v>
      </c>
      <c r="AJ23" s="28">
        <f>SUM(AA24:AA24)</f>
        <v>0</v>
      </c>
      <c r="AK23" s="28">
        <f>SUM(AB24:AB24)</f>
        <v>0</v>
      </c>
    </row>
    <row r="24" spans="1:43" x14ac:dyDescent="0.25">
      <c r="A24" s="29" t="s">
        <v>82</v>
      </c>
      <c r="B24" s="29" t="s">
        <v>51</v>
      </c>
      <c r="C24" s="29" t="s">
        <v>83</v>
      </c>
      <c r="D24" s="29" t="s">
        <v>84</v>
      </c>
      <c r="E24" s="29" t="s">
        <v>58</v>
      </c>
      <c r="F24" s="30">
        <v>6.72</v>
      </c>
      <c r="G24" s="317">
        <v>0</v>
      </c>
      <c r="H24" s="30">
        <f>ROUND(F24*AE24,2)</f>
        <v>0</v>
      </c>
      <c r="I24" s="30">
        <f>J24-H24</f>
        <v>0</v>
      </c>
      <c r="J24" s="30">
        <f>ROUND(F24*G24,2)</f>
        <v>0</v>
      </c>
      <c r="K24" s="30">
        <v>4.0600000000000002E-3</v>
      </c>
      <c r="L24" s="30">
        <f>F24*K24</f>
        <v>2.7283200000000001E-2</v>
      </c>
      <c r="M24" s="258" t="s">
        <v>2291</v>
      </c>
      <c r="N24" s="31" t="s">
        <v>59</v>
      </c>
      <c r="O24" s="30">
        <f>IF(N24="5",I24,0)</f>
        <v>0</v>
      </c>
      <c r="Z24" s="30">
        <f>IF(AD24=0,J24,0)</f>
        <v>0</v>
      </c>
      <c r="AA24" s="30">
        <f>IF(AD24=15,J24,0)</f>
        <v>0</v>
      </c>
      <c r="AB24" s="30">
        <f>IF(AD24=21,J24,0)</f>
        <v>0</v>
      </c>
      <c r="AD24" s="32">
        <v>21</v>
      </c>
      <c r="AE24" s="32">
        <f>G24*0.67230605738576</f>
        <v>0</v>
      </c>
      <c r="AF24" s="32">
        <f>G24*(1-0.67230605738576)</f>
        <v>0</v>
      </c>
      <c r="AM24" s="32">
        <f>F24*AE24</f>
        <v>0</v>
      </c>
      <c r="AN24" s="32">
        <f>F24*AF24</f>
        <v>0</v>
      </c>
      <c r="AO24" s="33" t="s">
        <v>85</v>
      </c>
      <c r="AP24" s="33" t="s">
        <v>79</v>
      </c>
      <c r="AQ24" s="21" t="s">
        <v>62</v>
      </c>
    </row>
    <row r="25" spans="1:43" x14ac:dyDescent="0.25">
      <c r="A25" s="26"/>
      <c r="B25" s="27" t="s">
        <v>51</v>
      </c>
      <c r="C25" s="27" t="s">
        <v>86</v>
      </c>
      <c r="D25" s="338" t="s">
        <v>87</v>
      </c>
      <c r="E25" s="339"/>
      <c r="F25" s="339"/>
      <c r="G25" s="339"/>
      <c r="H25" s="28">
        <f>SUM(H26:H26)</f>
        <v>0</v>
      </c>
      <c r="I25" s="28">
        <f>SUM(I26:I26)</f>
        <v>0</v>
      </c>
      <c r="J25" s="28">
        <f>H25+I25</f>
        <v>0</v>
      </c>
      <c r="K25" s="21"/>
      <c r="L25" s="28">
        <f>SUM(L26:L26)</f>
        <v>5.4000000000000001E-4</v>
      </c>
      <c r="M25" s="21"/>
      <c r="P25" s="28">
        <f>IF(Q25="PR",J25,SUM(O26:O26))</f>
        <v>0</v>
      </c>
      <c r="Q25" s="21" t="s">
        <v>75</v>
      </c>
      <c r="R25" s="28">
        <f>IF(Q25="HS",H25,0)</f>
        <v>0</v>
      </c>
      <c r="S25" s="28">
        <f>IF(Q25="HS",I25-P25,0)</f>
        <v>0</v>
      </c>
      <c r="T25" s="28">
        <f>IF(Q25="PS",H25,0)</f>
        <v>0</v>
      </c>
      <c r="U25" s="28">
        <f>IF(Q25="PS",I25-P25,0)</f>
        <v>0</v>
      </c>
      <c r="V25" s="28">
        <f>IF(Q25="MP",H25,0)</f>
        <v>0</v>
      </c>
      <c r="W25" s="28">
        <f>IF(Q25="MP",I25-P25,0)</f>
        <v>0</v>
      </c>
      <c r="X25" s="28">
        <f>IF(Q25="OM",H25,0)</f>
        <v>0</v>
      </c>
      <c r="Y25" s="21" t="s">
        <v>51</v>
      </c>
      <c r="AI25" s="28">
        <f>SUM(Z26:Z26)</f>
        <v>0</v>
      </c>
      <c r="AJ25" s="28">
        <f>SUM(AA26:AA26)</f>
        <v>0</v>
      </c>
      <c r="AK25" s="28">
        <f>SUM(AB26:AB26)</f>
        <v>0</v>
      </c>
    </row>
    <row r="26" spans="1:43" x14ac:dyDescent="0.25">
      <c r="A26" s="29" t="s">
        <v>88</v>
      </c>
      <c r="B26" s="29" t="s">
        <v>51</v>
      </c>
      <c r="C26" s="29" t="s">
        <v>89</v>
      </c>
      <c r="D26" s="29" t="s">
        <v>90</v>
      </c>
      <c r="E26" s="29" t="s">
        <v>58</v>
      </c>
      <c r="F26" s="30">
        <v>2</v>
      </c>
      <c r="G26" s="317">
        <v>0</v>
      </c>
      <c r="H26" s="30">
        <f>ROUND(F26*AE26,2)</f>
        <v>0</v>
      </c>
      <c r="I26" s="30">
        <f>J26-H26</f>
        <v>0</v>
      </c>
      <c r="J26" s="30">
        <f>ROUND(F26*G26,2)</f>
        <v>0</v>
      </c>
      <c r="K26" s="30">
        <v>2.7E-4</v>
      </c>
      <c r="L26" s="30">
        <f>F26*K26</f>
        <v>5.4000000000000001E-4</v>
      </c>
      <c r="M26" s="258" t="s">
        <v>2291</v>
      </c>
      <c r="N26" s="31" t="s">
        <v>59</v>
      </c>
      <c r="O26" s="30">
        <f>IF(N26="5",I26,0)</f>
        <v>0</v>
      </c>
      <c r="Z26" s="30">
        <f>IF(AD26=0,J26,0)</f>
        <v>0</v>
      </c>
      <c r="AA26" s="30">
        <f>IF(AD26=15,J26,0)</f>
        <v>0</v>
      </c>
      <c r="AB26" s="30">
        <f>IF(AD26=21,J26,0)</f>
        <v>0</v>
      </c>
      <c r="AD26" s="32">
        <v>21</v>
      </c>
      <c r="AE26" s="32">
        <f>G26*0.186098187625859</f>
        <v>0</v>
      </c>
      <c r="AF26" s="32">
        <f>G26*(1-0.186098187625859)</f>
        <v>0</v>
      </c>
      <c r="AM26" s="32">
        <f>F26*AE26</f>
        <v>0</v>
      </c>
      <c r="AN26" s="32">
        <f>F26*AF26</f>
        <v>0</v>
      </c>
      <c r="AO26" s="33" t="s">
        <v>91</v>
      </c>
      <c r="AP26" s="33" t="s">
        <v>92</v>
      </c>
      <c r="AQ26" s="21" t="s">
        <v>62</v>
      </c>
    </row>
    <row r="27" spans="1:43" x14ac:dyDescent="0.25">
      <c r="A27" s="26"/>
      <c r="B27" s="27" t="s">
        <v>51</v>
      </c>
      <c r="C27" s="27" t="s">
        <v>93</v>
      </c>
      <c r="D27" s="338" t="s">
        <v>94</v>
      </c>
      <c r="E27" s="339"/>
      <c r="F27" s="339"/>
      <c r="G27" s="339"/>
      <c r="H27" s="28">
        <f>SUM(H28:H28)</f>
        <v>0</v>
      </c>
      <c r="I27" s="28">
        <f>SUM(I28:I28)</f>
        <v>0</v>
      </c>
      <c r="J27" s="28">
        <f>H27+I27</f>
        <v>0</v>
      </c>
      <c r="K27" s="21"/>
      <c r="L27" s="28">
        <f>SUM(L28:L28)</f>
        <v>2.6675999999999998E-2</v>
      </c>
      <c r="M27" s="21"/>
      <c r="P27" s="28">
        <f>IF(Q27="PR",J27,SUM(O28:O28))</f>
        <v>0</v>
      </c>
      <c r="Q27" s="21" t="s">
        <v>75</v>
      </c>
      <c r="R27" s="28">
        <f>IF(Q27="HS",H27,0)</f>
        <v>0</v>
      </c>
      <c r="S27" s="28">
        <f>IF(Q27="HS",I27-P27,0)</f>
        <v>0</v>
      </c>
      <c r="T27" s="28">
        <f>IF(Q27="PS",H27,0)</f>
        <v>0</v>
      </c>
      <c r="U27" s="28">
        <f>IF(Q27="PS",I27-P27,0)</f>
        <v>0</v>
      </c>
      <c r="V27" s="28">
        <f>IF(Q27="MP",H27,0)</f>
        <v>0</v>
      </c>
      <c r="W27" s="28">
        <f>IF(Q27="MP",I27-P27,0)</f>
        <v>0</v>
      </c>
      <c r="X27" s="28">
        <f>IF(Q27="OM",H27,0)</f>
        <v>0</v>
      </c>
      <c r="Y27" s="21" t="s">
        <v>51</v>
      </c>
      <c r="AI27" s="28">
        <f>SUM(Z28:Z28)</f>
        <v>0</v>
      </c>
      <c r="AJ27" s="28">
        <f>SUM(AA28:AA28)</f>
        <v>0</v>
      </c>
      <c r="AK27" s="28">
        <f>SUM(AB28:AB28)</f>
        <v>0</v>
      </c>
    </row>
    <row r="28" spans="1:43" x14ac:dyDescent="0.25">
      <c r="A28" s="29" t="s">
        <v>95</v>
      </c>
      <c r="B28" s="29" t="s">
        <v>51</v>
      </c>
      <c r="C28" s="29" t="s">
        <v>96</v>
      </c>
      <c r="D28" s="29" t="s">
        <v>97</v>
      </c>
      <c r="E28" s="29" t="s">
        <v>58</v>
      </c>
      <c r="F28" s="30">
        <v>41.04</v>
      </c>
      <c r="G28" s="317">
        <v>0</v>
      </c>
      <c r="H28" s="30">
        <f>ROUND(F28*AE28,2)</f>
        <v>0</v>
      </c>
      <c r="I28" s="30">
        <f>J28-H28</f>
        <v>0</v>
      </c>
      <c r="J28" s="30">
        <f>ROUND(F28*G28,2)</f>
        <v>0</v>
      </c>
      <c r="K28" s="30">
        <v>6.4999999999999997E-4</v>
      </c>
      <c r="L28" s="30">
        <f>F28*K28</f>
        <v>2.6675999999999998E-2</v>
      </c>
      <c r="M28" s="258" t="s">
        <v>2291</v>
      </c>
      <c r="N28" s="31" t="s">
        <v>59</v>
      </c>
      <c r="O28" s="30">
        <f>IF(N28="5",I28,0)</f>
        <v>0</v>
      </c>
      <c r="Z28" s="30">
        <f>IF(AD28=0,J28,0)</f>
        <v>0</v>
      </c>
      <c r="AA28" s="30">
        <f>IF(AD28=15,J28,0)</f>
        <v>0</v>
      </c>
      <c r="AB28" s="30">
        <f>IF(AD28=21,J28,0)</f>
        <v>0</v>
      </c>
      <c r="AD28" s="32">
        <v>21</v>
      </c>
      <c r="AE28" s="32">
        <f>G28*0.333747476316198</f>
        <v>0</v>
      </c>
      <c r="AF28" s="32">
        <f>G28*(1-0.333747476316198)</f>
        <v>0</v>
      </c>
      <c r="AM28" s="32">
        <f>F28*AE28</f>
        <v>0</v>
      </c>
      <c r="AN28" s="32">
        <f>F28*AF28</f>
        <v>0</v>
      </c>
      <c r="AO28" s="33" t="s">
        <v>98</v>
      </c>
      <c r="AP28" s="33" t="s">
        <v>92</v>
      </c>
      <c r="AQ28" s="21" t="s">
        <v>62</v>
      </c>
    </row>
    <row r="29" spans="1:43" x14ac:dyDescent="0.25">
      <c r="A29" s="26"/>
      <c r="B29" s="27" t="s">
        <v>51</v>
      </c>
      <c r="C29" s="27" t="s">
        <v>99</v>
      </c>
      <c r="D29" s="338" t="s">
        <v>100</v>
      </c>
      <c r="E29" s="339"/>
      <c r="F29" s="339"/>
      <c r="G29" s="339"/>
      <c r="H29" s="28">
        <f>SUM(H30:H30)</f>
        <v>0</v>
      </c>
      <c r="I29" s="28">
        <f>SUM(I30:I30)</f>
        <v>0</v>
      </c>
      <c r="J29" s="28">
        <f>H29+I29</f>
        <v>0</v>
      </c>
      <c r="K29" s="21"/>
      <c r="L29" s="28">
        <f>SUM(L30:L30)</f>
        <v>0</v>
      </c>
      <c r="M29" s="21"/>
      <c r="P29" s="28">
        <f>IF(Q29="PR",J29,SUM(O30:O30))</f>
        <v>0</v>
      </c>
      <c r="Q29" s="21" t="s">
        <v>54</v>
      </c>
      <c r="R29" s="28">
        <f>IF(Q29="HS",H29,0)</f>
        <v>0</v>
      </c>
      <c r="S29" s="28">
        <f>IF(Q29="HS",I29-P29,0)</f>
        <v>0</v>
      </c>
      <c r="T29" s="28">
        <f>IF(Q29="PS",H29,0)</f>
        <v>0</v>
      </c>
      <c r="U29" s="28">
        <f>IF(Q29="PS",I29-P29,0)</f>
        <v>0</v>
      </c>
      <c r="V29" s="28">
        <f>IF(Q29="MP",H29,0)</f>
        <v>0</v>
      </c>
      <c r="W29" s="28">
        <f>IF(Q29="MP",I29-P29,0)</f>
        <v>0</v>
      </c>
      <c r="X29" s="28">
        <f>IF(Q29="OM",H29,0)</f>
        <v>0</v>
      </c>
      <c r="Y29" s="21" t="s">
        <v>51</v>
      </c>
      <c r="AI29" s="28">
        <f>SUM(Z30:Z30)</f>
        <v>0</v>
      </c>
      <c r="AJ29" s="28">
        <f>SUM(AA30:AA30)</f>
        <v>0</v>
      </c>
      <c r="AK29" s="28">
        <f>SUM(AB30:AB30)</f>
        <v>0</v>
      </c>
    </row>
    <row r="30" spans="1:43" x14ac:dyDescent="0.25">
      <c r="A30" s="29" t="s">
        <v>101</v>
      </c>
      <c r="B30" s="29" t="s">
        <v>51</v>
      </c>
      <c r="C30" s="29" t="s">
        <v>102</v>
      </c>
      <c r="D30" s="29" t="s">
        <v>103</v>
      </c>
      <c r="E30" s="29" t="s">
        <v>104</v>
      </c>
      <c r="F30" s="30">
        <v>2.4</v>
      </c>
      <c r="G30" s="317">
        <v>0</v>
      </c>
      <c r="H30" s="30">
        <f>ROUND(F30*AE30,2)</f>
        <v>0</v>
      </c>
      <c r="I30" s="30">
        <f>J30-H30</f>
        <v>0</v>
      </c>
      <c r="J30" s="30">
        <f>ROUND(F30*G30,2)</f>
        <v>0</v>
      </c>
      <c r="K30" s="30">
        <v>0</v>
      </c>
      <c r="L30" s="30">
        <f>F30*K30</f>
        <v>0</v>
      </c>
      <c r="M30" s="258" t="s">
        <v>2291</v>
      </c>
      <c r="N30" s="31" t="s">
        <v>55</v>
      </c>
      <c r="O30" s="30">
        <f>IF(N30="5",I30,0)</f>
        <v>0</v>
      </c>
      <c r="Z30" s="30">
        <f>IF(AD30=0,J30,0)</f>
        <v>0</v>
      </c>
      <c r="AA30" s="30">
        <f>IF(AD30=15,J30,0)</f>
        <v>0</v>
      </c>
      <c r="AB30" s="30">
        <f>IF(AD30=21,J30,0)</f>
        <v>0</v>
      </c>
      <c r="AD30" s="32">
        <v>21</v>
      </c>
      <c r="AE30" s="32">
        <f>G30*0</f>
        <v>0</v>
      </c>
      <c r="AF30" s="32">
        <f>G30*(1-0)</f>
        <v>0</v>
      </c>
      <c r="AM30" s="32">
        <f>F30*AE30</f>
        <v>0</v>
      </c>
      <c r="AN30" s="32">
        <f>F30*AF30</f>
        <v>0</v>
      </c>
      <c r="AO30" s="33" t="s">
        <v>105</v>
      </c>
      <c r="AP30" s="33" t="s">
        <v>106</v>
      </c>
      <c r="AQ30" s="21" t="s">
        <v>62</v>
      </c>
    </row>
    <row r="31" spans="1:43" x14ac:dyDescent="0.25">
      <c r="C31" s="34" t="s">
        <v>63</v>
      </c>
      <c r="D31" s="340" t="s">
        <v>107</v>
      </c>
      <c r="E31" s="341"/>
      <c r="F31" s="341"/>
      <c r="G31" s="341"/>
      <c r="H31" s="341"/>
      <c r="I31" s="341"/>
      <c r="J31" s="341"/>
      <c r="K31" s="341"/>
      <c r="L31" s="341"/>
      <c r="M31" s="341"/>
    </row>
    <row r="32" spans="1:43" x14ac:dyDescent="0.25">
      <c r="A32" s="26"/>
      <c r="B32" s="27" t="s">
        <v>51</v>
      </c>
      <c r="C32" s="27" t="s">
        <v>108</v>
      </c>
      <c r="D32" s="338" t="s">
        <v>109</v>
      </c>
      <c r="E32" s="339"/>
      <c r="F32" s="339"/>
      <c r="G32" s="339"/>
      <c r="H32" s="28">
        <f>SUM(H33:H33)</f>
        <v>0</v>
      </c>
      <c r="I32" s="28">
        <f>SUM(I33:I33)</f>
        <v>0</v>
      </c>
      <c r="J32" s="28">
        <f>H32+I32</f>
        <v>0</v>
      </c>
      <c r="K32" s="21"/>
      <c r="L32" s="28">
        <f>SUM(L33:L33)</f>
        <v>0.19581999999999999</v>
      </c>
      <c r="M32" s="21"/>
      <c r="P32" s="28">
        <f>IF(Q32="PR",J32,SUM(O33:O33))</f>
        <v>0</v>
      </c>
      <c r="Q32" s="21" t="s">
        <v>54</v>
      </c>
      <c r="R32" s="28">
        <f>IF(Q32="HS",H32,0)</f>
        <v>0</v>
      </c>
      <c r="S32" s="28">
        <f>IF(Q32="HS",I32-P32,0)</f>
        <v>0</v>
      </c>
      <c r="T32" s="28">
        <f>IF(Q32="PS",H32,0)</f>
        <v>0</v>
      </c>
      <c r="U32" s="28">
        <f>IF(Q32="PS",I32-P32,0)</f>
        <v>0</v>
      </c>
      <c r="V32" s="28">
        <f>IF(Q32="MP",H32,0)</f>
        <v>0</v>
      </c>
      <c r="W32" s="28">
        <f>IF(Q32="MP",I32-P32,0)</f>
        <v>0</v>
      </c>
      <c r="X32" s="28">
        <f>IF(Q32="OM",H32,0)</f>
        <v>0</v>
      </c>
      <c r="Y32" s="21" t="s">
        <v>51</v>
      </c>
      <c r="AI32" s="28">
        <f>SUM(Z33:Z33)</f>
        <v>0</v>
      </c>
      <c r="AJ32" s="28">
        <f>SUM(AA33:AA33)</f>
        <v>0</v>
      </c>
      <c r="AK32" s="28">
        <f>SUM(AB33:AB33)</f>
        <v>0</v>
      </c>
    </row>
    <row r="33" spans="1:43" x14ac:dyDescent="0.25">
      <c r="A33" s="29" t="s">
        <v>110</v>
      </c>
      <c r="B33" s="29" t="s">
        <v>51</v>
      </c>
      <c r="C33" s="29" t="s">
        <v>111</v>
      </c>
      <c r="D33" s="29" t="s">
        <v>112</v>
      </c>
      <c r="E33" s="29" t="s">
        <v>113</v>
      </c>
      <c r="F33" s="30">
        <v>2</v>
      </c>
      <c r="G33" s="317">
        <v>0</v>
      </c>
      <c r="H33" s="30">
        <f>ROUND(F33*AE33,2)</f>
        <v>0</v>
      </c>
      <c r="I33" s="30">
        <f>J33-H33</f>
        <v>0</v>
      </c>
      <c r="J33" s="30">
        <f>ROUND(F33*G33,2)</f>
        <v>0</v>
      </c>
      <c r="K33" s="30">
        <v>9.7909999999999997E-2</v>
      </c>
      <c r="L33" s="30">
        <f>F33*K33</f>
        <v>0.19581999999999999</v>
      </c>
      <c r="M33" s="258" t="s">
        <v>2291</v>
      </c>
      <c r="N33" s="31" t="s">
        <v>55</v>
      </c>
      <c r="O33" s="30">
        <f>IF(N33="5",I33,0)</f>
        <v>0</v>
      </c>
      <c r="Z33" s="30">
        <f>IF(AD33=0,J33,0)</f>
        <v>0</v>
      </c>
      <c r="AA33" s="30">
        <f>IF(AD33=15,J33,0)</f>
        <v>0</v>
      </c>
      <c r="AB33" s="30">
        <f>IF(AD33=21,J33,0)</f>
        <v>0</v>
      </c>
      <c r="AD33" s="32">
        <v>21</v>
      </c>
      <c r="AE33" s="32">
        <f>G33*0.0762897526501767</f>
        <v>0</v>
      </c>
      <c r="AF33" s="32">
        <f>G33*(1-0.0762897526501767)</f>
        <v>0</v>
      </c>
      <c r="AM33" s="32">
        <f>F33*AE33</f>
        <v>0</v>
      </c>
      <c r="AN33" s="32">
        <f>F33*AF33</f>
        <v>0</v>
      </c>
      <c r="AO33" s="33" t="s">
        <v>114</v>
      </c>
      <c r="AP33" s="33" t="s">
        <v>106</v>
      </c>
      <c r="AQ33" s="21" t="s">
        <v>62</v>
      </c>
    </row>
    <row r="34" spans="1:43" x14ac:dyDescent="0.25">
      <c r="C34" s="34" t="s">
        <v>63</v>
      </c>
      <c r="D34" s="340" t="s">
        <v>107</v>
      </c>
      <c r="E34" s="341"/>
      <c r="F34" s="341"/>
      <c r="G34" s="341"/>
      <c r="H34" s="341"/>
      <c r="I34" s="341"/>
      <c r="J34" s="341"/>
      <c r="K34" s="341"/>
      <c r="L34" s="341"/>
      <c r="M34" s="341"/>
    </row>
    <row r="35" spans="1:43" x14ac:dyDescent="0.25">
      <c r="A35" s="26"/>
      <c r="B35" s="27" t="s">
        <v>115</v>
      </c>
      <c r="C35" s="27"/>
      <c r="D35" s="338" t="s">
        <v>115</v>
      </c>
      <c r="E35" s="339"/>
      <c r="F35" s="339"/>
      <c r="G35" s="339"/>
      <c r="H35" s="28">
        <f>H36+H41+H43+H47</f>
        <v>0</v>
      </c>
      <c r="I35" s="28">
        <f>I36+I41+I43+I47</f>
        <v>0</v>
      </c>
      <c r="J35" s="28">
        <f>H35+I35</f>
        <v>0</v>
      </c>
      <c r="K35" s="21"/>
      <c r="L35" s="28">
        <f>L36+L41+L43+L47</f>
        <v>1.4226539000000002</v>
      </c>
      <c r="M35" s="21"/>
    </row>
    <row r="36" spans="1:43" x14ac:dyDescent="0.25">
      <c r="A36" s="26"/>
      <c r="B36" s="27" t="s">
        <v>115</v>
      </c>
      <c r="C36" s="27" t="s">
        <v>52</v>
      </c>
      <c r="D36" s="338" t="s">
        <v>53</v>
      </c>
      <c r="E36" s="339"/>
      <c r="F36" s="339"/>
      <c r="G36" s="339"/>
      <c r="H36" s="28">
        <f>SUM(H37:H39)</f>
        <v>0</v>
      </c>
      <c r="I36" s="28">
        <f>SUM(I37:I39)</f>
        <v>0</v>
      </c>
      <c r="J36" s="28">
        <f>H36+I36</f>
        <v>0</v>
      </c>
      <c r="K36" s="21"/>
      <c r="L36" s="28">
        <f>SUM(L37:L39)</f>
        <v>0.35032170000000001</v>
      </c>
      <c r="M36" s="21"/>
      <c r="P36" s="28">
        <f>IF(Q36="PR",J36,SUM(O37:O39))</f>
        <v>0</v>
      </c>
      <c r="Q36" s="21" t="s">
        <v>54</v>
      </c>
      <c r="R36" s="28">
        <f>IF(Q36="HS",H36,0)</f>
        <v>0</v>
      </c>
      <c r="S36" s="28">
        <f>IF(Q36="HS",I36-P36,0)</f>
        <v>0</v>
      </c>
      <c r="T36" s="28">
        <f>IF(Q36="PS",H36,0)</f>
        <v>0</v>
      </c>
      <c r="U36" s="28">
        <f>IF(Q36="PS",I36-P36,0)</f>
        <v>0</v>
      </c>
      <c r="V36" s="28">
        <f>IF(Q36="MP",H36,0)</f>
        <v>0</v>
      </c>
      <c r="W36" s="28">
        <f>IF(Q36="MP",I36-P36,0)</f>
        <v>0</v>
      </c>
      <c r="X36" s="28">
        <f>IF(Q36="OM",H36,0)</f>
        <v>0</v>
      </c>
      <c r="Y36" s="21" t="s">
        <v>115</v>
      </c>
      <c r="AI36" s="28">
        <f>SUM(Z37:Z39)</f>
        <v>0</v>
      </c>
      <c r="AJ36" s="28">
        <f>SUM(AA37:AA39)</f>
        <v>0</v>
      </c>
      <c r="AK36" s="28">
        <f>SUM(AB37:AB39)</f>
        <v>0</v>
      </c>
    </row>
    <row r="37" spans="1:43" x14ac:dyDescent="0.25">
      <c r="A37" s="29" t="s">
        <v>116</v>
      </c>
      <c r="B37" s="29" t="s">
        <v>115</v>
      </c>
      <c r="C37" s="29" t="s">
        <v>66</v>
      </c>
      <c r="D37" s="29" t="s">
        <v>67</v>
      </c>
      <c r="E37" s="29" t="s">
        <v>58</v>
      </c>
      <c r="F37" s="30">
        <v>8.41</v>
      </c>
      <c r="G37" s="317">
        <v>0</v>
      </c>
      <c r="H37" s="30">
        <f>ROUND(F37*AE37,2)</f>
        <v>0</v>
      </c>
      <c r="I37" s="30">
        <f>J37-H37</f>
        <v>0</v>
      </c>
      <c r="J37" s="30">
        <f>ROUND(F37*G37,2)</f>
        <v>0</v>
      </c>
      <c r="K37" s="30">
        <v>9.8399999999999998E-3</v>
      </c>
      <c r="L37" s="30">
        <f>F37*K37</f>
        <v>8.2754400000000006E-2</v>
      </c>
      <c r="M37" s="258" t="s">
        <v>2291</v>
      </c>
      <c r="N37" s="31" t="s">
        <v>59</v>
      </c>
      <c r="O37" s="30">
        <f>IF(N37="5",I37,0)</f>
        <v>0</v>
      </c>
      <c r="Z37" s="30">
        <f>IF(AD37=0,J37,0)</f>
        <v>0</v>
      </c>
      <c r="AA37" s="30">
        <f>IF(AD37=15,J37,0)</f>
        <v>0</v>
      </c>
      <c r="AB37" s="30">
        <f>IF(AD37=21,J37,0)</f>
        <v>0</v>
      </c>
      <c r="AD37" s="32">
        <v>21</v>
      </c>
      <c r="AE37" s="32">
        <f>G37*0.160304682766381</f>
        <v>0</v>
      </c>
      <c r="AF37" s="32">
        <f>G37*(1-0.160304682766381)</f>
        <v>0</v>
      </c>
      <c r="AM37" s="32">
        <f>F37*AE37</f>
        <v>0</v>
      </c>
      <c r="AN37" s="32">
        <f>F37*AF37</f>
        <v>0</v>
      </c>
      <c r="AO37" s="33" t="s">
        <v>60</v>
      </c>
      <c r="AP37" s="33" t="s">
        <v>61</v>
      </c>
      <c r="AQ37" s="21" t="s">
        <v>117</v>
      </c>
    </row>
    <row r="38" spans="1:43" ht="25.7" customHeight="1" x14ac:dyDescent="0.25">
      <c r="C38" s="34" t="s">
        <v>63</v>
      </c>
      <c r="D38" s="340" t="s">
        <v>64</v>
      </c>
      <c r="E38" s="341"/>
      <c r="F38" s="341"/>
      <c r="G38" s="341"/>
      <c r="H38" s="341"/>
      <c r="I38" s="341"/>
      <c r="J38" s="341"/>
      <c r="K38" s="341"/>
      <c r="L38" s="341"/>
      <c r="M38" s="341"/>
    </row>
    <row r="39" spans="1:43" x14ac:dyDescent="0.25">
      <c r="A39" s="29" t="s">
        <v>118</v>
      </c>
      <c r="B39" s="29" t="s">
        <v>115</v>
      </c>
      <c r="C39" s="29" t="s">
        <v>56</v>
      </c>
      <c r="D39" s="29" t="s">
        <v>57</v>
      </c>
      <c r="E39" s="29" t="s">
        <v>58</v>
      </c>
      <c r="F39" s="30">
        <v>26.73</v>
      </c>
      <c r="G39" s="317">
        <v>0</v>
      </c>
      <c r="H39" s="30">
        <f>ROUND(F39*AE39,2)</f>
        <v>0</v>
      </c>
      <c r="I39" s="30">
        <f>J39-H39</f>
        <v>0</v>
      </c>
      <c r="J39" s="30">
        <f>ROUND(F39*G39,2)</f>
        <v>0</v>
      </c>
      <c r="K39" s="30">
        <v>1.001E-2</v>
      </c>
      <c r="L39" s="30">
        <f>F39*K39</f>
        <v>0.26756730000000001</v>
      </c>
      <c r="M39" s="258" t="s">
        <v>2291</v>
      </c>
      <c r="N39" s="31" t="s">
        <v>59</v>
      </c>
      <c r="O39" s="30">
        <f>IF(N39="5",I39,0)</f>
        <v>0</v>
      </c>
      <c r="Z39" s="30">
        <f>IF(AD39=0,J39,0)</f>
        <v>0</v>
      </c>
      <c r="AA39" s="30">
        <f>IF(AD39=15,J39,0)</f>
        <v>0</v>
      </c>
      <c r="AB39" s="30">
        <f>IF(AD39=21,J39,0)</f>
        <v>0</v>
      </c>
      <c r="AD39" s="32">
        <v>21</v>
      </c>
      <c r="AE39" s="32">
        <f>G39*0.0756575801052128</f>
        <v>0</v>
      </c>
      <c r="AF39" s="32">
        <f>G39*(1-0.0756575801052128)</f>
        <v>0</v>
      </c>
      <c r="AM39" s="32">
        <f>F39*AE39</f>
        <v>0</v>
      </c>
      <c r="AN39" s="32">
        <f>F39*AF39</f>
        <v>0</v>
      </c>
      <c r="AO39" s="33" t="s">
        <v>60</v>
      </c>
      <c r="AP39" s="33" t="s">
        <v>61</v>
      </c>
      <c r="AQ39" s="21" t="s">
        <v>117</v>
      </c>
    </row>
    <row r="40" spans="1:43" ht="25.7" customHeight="1" x14ac:dyDescent="0.25">
      <c r="C40" s="34" t="s">
        <v>63</v>
      </c>
      <c r="D40" s="340" t="s">
        <v>64</v>
      </c>
      <c r="E40" s="341"/>
      <c r="F40" s="341"/>
      <c r="G40" s="341"/>
      <c r="H40" s="341"/>
      <c r="I40" s="341"/>
      <c r="J40" s="341"/>
      <c r="K40" s="341"/>
      <c r="L40" s="341"/>
      <c r="M40" s="341"/>
    </row>
    <row r="41" spans="1:43" x14ac:dyDescent="0.25">
      <c r="A41" s="26"/>
      <c r="B41" s="27" t="s">
        <v>115</v>
      </c>
      <c r="C41" s="27" t="s">
        <v>68</v>
      </c>
      <c r="D41" s="338" t="s">
        <v>69</v>
      </c>
      <c r="E41" s="339"/>
      <c r="F41" s="339"/>
      <c r="G41" s="339"/>
      <c r="H41" s="28">
        <f>SUM(H42:H42)</f>
        <v>0</v>
      </c>
      <c r="I41" s="28">
        <f>SUM(I42:I42)</f>
        <v>0</v>
      </c>
      <c r="J41" s="28">
        <f>H41+I41</f>
        <v>0</v>
      </c>
      <c r="K41" s="21"/>
      <c r="L41" s="28">
        <f>SUM(L42:L42)</f>
        <v>0.36333360000000003</v>
      </c>
      <c r="M41" s="21"/>
      <c r="P41" s="28">
        <f>IF(Q41="PR",J41,SUM(O42:O42))</f>
        <v>0</v>
      </c>
      <c r="Q41" s="21" t="s">
        <v>54</v>
      </c>
      <c r="R41" s="28">
        <f>IF(Q41="HS",H41,0)</f>
        <v>0</v>
      </c>
      <c r="S41" s="28">
        <f>IF(Q41="HS",I41-P41,0)</f>
        <v>0</v>
      </c>
      <c r="T41" s="28">
        <f>IF(Q41="PS",H41,0)</f>
        <v>0</v>
      </c>
      <c r="U41" s="28">
        <f>IF(Q41="PS",I41-P41,0)</f>
        <v>0</v>
      </c>
      <c r="V41" s="28">
        <f>IF(Q41="MP",H41,0)</f>
        <v>0</v>
      </c>
      <c r="W41" s="28">
        <f>IF(Q41="MP",I41-P41,0)</f>
        <v>0</v>
      </c>
      <c r="X41" s="28">
        <f>IF(Q41="OM",H41,0)</f>
        <v>0</v>
      </c>
      <c r="Y41" s="21" t="s">
        <v>115</v>
      </c>
      <c r="AI41" s="28">
        <f>SUM(Z42:Z42)</f>
        <v>0</v>
      </c>
      <c r="AJ41" s="28">
        <f>SUM(AA42:AA42)</f>
        <v>0</v>
      </c>
      <c r="AK41" s="28">
        <f>SUM(AB42:AB42)</f>
        <v>0</v>
      </c>
    </row>
    <row r="42" spans="1:43" x14ac:dyDescent="0.25">
      <c r="A42" s="29" t="s">
        <v>119</v>
      </c>
      <c r="B42" s="29" t="s">
        <v>115</v>
      </c>
      <c r="C42" s="29" t="s">
        <v>70</v>
      </c>
      <c r="D42" s="29" t="s">
        <v>71</v>
      </c>
      <c r="E42" s="29" t="s">
        <v>58</v>
      </c>
      <c r="F42" s="30">
        <v>7.29</v>
      </c>
      <c r="G42" s="317">
        <v>0</v>
      </c>
      <c r="H42" s="30">
        <f>ROUND(F42*AE42,2)</f>
        <v>0</v>
      </c>
      <c r="I42" s="30">
        <f>J42-H42</f>
        <v>0</v>
      </c>
      <c r="J42" s="30">
        <f>ROUND(F42*G42,2)</f>
        <v>0</v>
      </c>
      <c r="K42" s="30">
        <v>4.9840000000000002E-2</v>
      </c>
      <c r="L42" s="30">
        <f>F42*K42</f>
        <v>0.36333360000000003</v>
      </c>
      <c r="M42" s="258" t="s">
        <v>2291</v>
      </c>
      <c r="N42" s="31" t="s">
        <v>59</v>
      </c>
      <c r="O42" s="30">
        <f>IF(N42="5",I42,0)</f>
        <v>0</v>
      </c>
      <c r="Z42" s="30">
        <f>IF(AD42=0,J42,0)</f>
        <v>0</v>
      </c>
      <c r="AA42" s="30">
        <f>IF(AD42=15,J42,0)</f>
        <v>0</v>
      </c>
      <c r="AB42" s="30">
        <f>IF(AD42=21,J42,0)</f>
        <v>0</v>
      </c>
      <c r="AD42" s="32">
        <v>21</v>
      </c>
      <c r="AE42" s="32">
        <f>G42*0.411768721414431</f>
        <v>0</v>
      </c>
      <c r="AF42" s="32">
        <f>G42*(1-0.411768721414431)</f>
        <v>0</v>
      </c>
      <c r="AM42" s="32">
        <f>F42*AE42</f>
        <v>0</v>
      </c>
      <c r="AN42" s="32">
        <f>F42*AF42</f>
        <v>0</v>
      </c>
      <c r="AO42" s="33" t="s">
        <v>72</v>
      </c>
      <c r="AP42" s="33" t="s">
        <v>61</v>
      </c>
      <c r="AQ42" s="21" t="s">
        <v>117</v>
      </c>
    </row>
    <row r="43" spans="1:43" x14ac:dyDescent="0.25">
      <c r="A43" s="26"/>
      <c r="B43" s="27" t="s">
        <v>115</v>
      </c>
      <c r="C43" s="27" t="s">
        <v>73</v>
      </c>
      <c r="D43" s="338" t="s">
        <v>74</v>
      </c>
      <c r="E43" s="339"/>
      <c r="F43" s="339"/>
      <c r="G43" s="339"/>
      <c r="H43" s="28">
        <f>SUM(H44:H46)</f>
        <v>0</v>
      </c>
      <c r="I43" s="28">
        <f>SUM(I44:I46)</f>
        <v>0</v>
      </c>
      <c r="J43" s="28">
        <f>H43+I43</f>
        <v>0</v>
      </c>
      <c r="K43" s="21"/>
      <c r="L43" s="28">
        <f>SUM(L44:L46)</f>
        <v>0.67242960000000007</v>
      </c>
      <c r="M43" s="21"/>
      <c r="P43" s="28">
        <f>IF(Q43="PR",J43,SUM(O44:O46))</f>
        <v>0</v>
      </c>
      <c r="Q43" s="21" t="s">
        <v>75</v>
      </c>
      <c r="R43" s="28">
        <f>IF(Q43="HS",H43,0)</f>
        <v>0</v>
      </c>
      <c r="S43" s="28">
        <f>IF(Q43="HS",I43-P43,0)</f>
        <v>0</v>
      </c>
      <c r="T43" s="28">
        <f>IF(Q43="PS",H43,0)</f>
        <v>0</v>
      </c>
      <c r="U43" s="28">
        <f>IF(Q43="PS",I43-P43,0)</f>
        <v>0</v>
      </c>
      <c r="V43" s="28">
        <f>IF(Q43="MP",H43,0)</f>
        <v>0</v>
      </c>
      <c r="W43" s="28">
        <f>IF(Q43="MP",I43-P43,0)</f>
        <v>0</v>
      </c>
      <c r="X43" s="28">
        <f>IF(Q43="OM",H43,0)</f>
        <v>0</v>
      </c>
      <c r="Y43" s="21" t="s">
        <v>115</v>
      </c>
      <c r="AI43" s="28">
        <f>SUM(Z44:Z46)</f>
        <v>0</v>
      </c>
      <c r="AJ43" s="28">
        <f>SUM(AA44:AA46)</f>
        <v>0</v>
      </c>
      <c r="AK43" s="28">
        <f>SUM(AB44:AB46)</f>
        <v>0</v>
      </c>
    </row>
    <row r="44" spans="1:43" x14ac:dyDescent="0.25">
      <c r="A44" s="29" t="s">
        <v>120</v>
      </c>
      <c r="B44" s="29" t="s">
        <v>115</v>
      </c>
      <c r="C44" s="29" t="s">
        <v>77</v>
      </c>
      <c r="D44" s="29" t="s">
        <v>2277</v>
      </c>
      <c r="E44" s="29" t="s">
        <v>58</v>
      </c>
      <c r="F44" s="30">
        <v>7.29</v>
      </c>
      <c r="G44" s="317">
        <v>0</v>
      </c>
      <c r="H44" s="30">
        <f>ROUND(F44*AE44,2)</f>
        <v>0</v>
      </c>
      <c r="I44" s="30">
        <f>J44-H44</f>
        <v>0</v>
      </c>
      <c r="J44" s="30">
        <f>ROUND(F44*G44,2)</f>
        <v>0</v>
      </c>
      <c r="K44" s="30">
        <v>1.61E-2</v>
      </c>
      <c r="L44" s="30">
        <f>F44*K44</f>
        <v>0.117369</v>
      </c>
      <c r="M44" s="258" t="s">
        <v>2291</v>
      </c>
      <c r="N44" s="31" t="s">
        <v>59</v>
      </c>
      <c r="O44" s="30">
        <f>IF(N44="5",I44,0)</f>
        <v>0</v>
      </c>
      <c r="Z44" s="30">
        <f>IF(AD44=0,J44,0)</f>
        <v>0</v>
      </c>
      <c r="AA44" s="30">
        <f>IF(AD44=15,J44,0)</f>
        <v>0</v>
      </c>
      <c r="AB44" s="30">
        <f>IF(AD44=21,J44,0)</f>
        <v>0</v>
      </c>
      <c r="AD44" s="32">
        <v>21</v>
      </c>
      <c r="AE44" s="32">
        <f>G44*0.787221324717286</f>
        <v>0</v>
      </c>
      <c r="AF44" s="32">
        <f>G44*(1-0.787221324717286)</f>
        <v>0</v>
      </c>
      <c r="AM44" s="32">
        <f>F44*AE44</f>
        <v>0</v>
      </c>
      <c r="AN44" s="32">
        <f>F44*AF44</f>
        <v>0</v>
      </c>
      <c r="AO44" s="33" t="s">
        <v>78</v>
      </c>
      <c r="AP44" s="33" t="s">
        <v>79</v>
      </c>
      <c r="AQ44" s="21" t="s">
        <v>117</v>
      </c>
    </row>
    <row r="45" spans="1:43" ht="12.75" customHeight="1" x14ac:dyDescent="0.25">
      <c r="C45" s="34" t="s">
        <v>63</v>
      </c>
      <c r="D45" s="340" t="s">
        <v>2280</v>
      </c>
      <c r="E45" s="341"/>
      <c r="F45" s="341"/>
      <c r="G45" s="341"/>
      <c r="H45" s="341"/>
      <c r="I45" s="341"/>
      <c r="J45" s="341"/>
      <c r="K45" s="341"/>
      <c r="L45" s="341"/>
      <c r="M45" s="341"/>
    </row>
    <row r="46" spans="1:43" x14ac:dyDescent="0.25">
      <c r="A46" s="29" t="s">
        <v>121</v>
      </c>
      <c r="B46" s="29" t="s">
        <v>115</v>
      </c>
      <c r="C46" s="29" t="s">
        <v>122</v>
      </c>
      <c r="D46" s="29" t="s">
        <v>123</v>
      </c>
      <c r="E46" s="29" t="s">
        <v>58</v>
      </c>
      <c r="F46" s="30">
        <v>7.29</v>
      </c>
      <c r="G46" s="317">
        <v>0</v>
      </c>
      <c r="H46" s="30">
        <f>ROUND(F46*AE46,2)</f>
        <v>0</v>
      </c>
      <c r="I46" s="30">
        <f>J46-H46</f>
        <v>0</v>
      </c>
      <c r="J46" s="30">
        <f>ROUND(F46*G46,2)</f>
        <v>0</v>
      </c>
      <c r="K46" s="30">
        <v>7.6139999999999999E-2</v>
      </c>
      <c r="L46" s="30">
        <f>F46*K46</f>
        <v>0.55506060000000002</v>
      </c>
      <c r="M46" s="258" t="s">
        <v>2291</v>
      </c>
      <c r="N46" s="31" t="s">
        <v>59</v>
      </c>
      <c r="O46" s="30">
        <f>IF(N46="5",I46,0)</f>
        <v>0</v>
      </c>
      <c r="Z46" s="30">
        <f>IF(AD46=0,J46,0)</f>
        <v>0</v>
      </c>
      <c r="AA46" s="30">
        <f>IF(AD46=15,J46,0)</f>
        <v>0</v>
      </c>
      <c r="AB46" s="30">
        <f>IF(AD46=21,J46,0)</f>
        <v>0</v>
      </c>
      <c r="AD46" s="32">
        <v>21</v>
      </c>
      <c r="AE46" s="32">
        <f>G46*0.547569562266712</f>
        <v>0</v>
      </c>
      <c r="AF46" s="32">
        <f>G46*(1-0.547569562266712)</f>
        <v>0</v>
      </c>
      <c r="AM46" s="32">
        <f>F46*AE46</f>
        <v>0</v>
      </c>
      <c r="AN46" s="32">
        <f>F46*AF46</f>
        <v>0</v>
      </c>
      <c r="AO46" s="33" t="s">
        <v>78</v>
      </c>
      <c r="AP46" s="33" t="s">
        <v>79</v>
      </c>
      <c r="AQ46" s="21" t="s">
        <v>117</v>
      </c>
    </row>
    <row r="47" spans="1:43" x14ac:dyDescent="0.25">
      <c r="A47" s="26"/>
      <c r="B47" s="27" t="s">
        <v>115</v>
      </c>
      <c r="C47" s="27" t="s">
        <v>93</v>
      </c>
      <c r="D47" s="338" t="s">
        <v>94</v>
      </c>
      <c r="E47" s="339"/>
      <c r="F47" s="339"/>
      <c r="G47" s="339"/>
      <c r="H47" s="28">
        <f>SUM(H48:H48)</f>
        <v>0</v>
      </c>
      <c r="I47" s="28">
        <f>SUM(I48:I48)</f>
        <v>0</v>
      </c>
      <c r="J47" s="28">
        <f>H47+I47</f>
        <v>0</v>
      </c>
      <c r="K47" s="21"/>
      <c r="L47" s="28">
        <f>SUM(L48:L48)</f>
        <v>3.6568999999999997E-2</v>
      </c>
      <c r="M47" s="21"/>
      <c r="P47" s="28">
        <f>IF(Q47="PR",J47,SUM(O48:O48))</f>
        <v>0</v>
      </c>
      <c r="Q47" s="21" t="s">
        <v>75</v>
      </c>
      <c r="R47" s="28">
        <f>IF(Q47="HS",H47,0)</f>
        <v>0</v>
      </c>
      <c r="S47" s="28">
        <f>IF(Q47="HS",I47-P47,0)</f>
        <v>0</v>
      </c>
      <c r="T47" s="28">
        <f>IF(Q47="PS",H47,0)</f>
        <v>0</v>
      </c>
      <c r="U47" s="28">
        <f>IF(Q47="PS",I47-P47,0)</f>
        <v>0</v>
      </c>
      <c r="V47" s="28">
        <f>IF(Q47="MP",H47,0)</f>
        <v>0</v>
      </c>
      <c r="W47" s="28">
        <f>IF(Q47="MP",I47-P47,0)</f>
        <v>0</v>
      </c>
      <c r="X47" s="28">
        <f>IF(Q47="OM",H47,0)</f>
        <v>0</v>
      </c>
      <c r="Y47" s="21" t="s">
        <v>115</v>
      </c>
      <c r="AI47" s="28">
        <f>SUM(Z48:Z48)</f>
        <v>0</v>
      </c>
      <c r="AJ47" s="28">
        <f>SUM(AA48:AA48)</f>
        <v>0</v>
      </c>
      <c r="AK47" s="28">
        <f>SUM(AB48:AB48)</f>
        <v>0</v>
      </c>
    </row>
    <row r="48" spans="1:43" x14ac:dyDescent="0.25">
      <c r="A48" s="29" t="s">
        <v>124</v>
      </c>
      <c r="B48" s="29" t="s">
        <v>115</v>
      </c>
      <c r="C48" s="29" t="s">
        <v>96</v>
      </c>
      <c r="D48" s="29" t="s">
        <v>97</v>
      </c>
      <c r="E48" s="29" t="s">
        <v>58</v>
      </c>
      <c r="F48" s="30">
        <v>56.26</v>
      </c>
      <c r="G48" s="317">
        <v>0</v>
      </c>
      <c r="H48" s="30">
        <f>ROUND(F48*AE48,2)</f>
        <v>0</v>
      </c>
      <c r="I48" s="30">
        <f>J48-H48</f>
        <v>0</v>
      </c>
      <c r="J48" s="30">
        <f>ROUND(F48*G48,2)</f>
        <v>0</v>
      </c>
      <c r="K48" s="30">
        <v>6.4999999999999997E-4</v>
      </c>
      <c r="L48" s="30">
        <f>F48*K48</f>
        <v>3.6568999999999997E-2</v>
      </c>
      <c r="M48" s="258" t="s">
        <v>2291</v>
      </c>
      <c r="N48" s="31" t="s">
        <v>59</v>
      </c>
      <c r="O48" s="30">
        <f>IF(N48="5",I48,0)</f>
        <v>0</v>
      </c>
      <c r="Z48" s="30">
        <f>IF(AD48=0,J48,0)</f>
        <v>0</v>
      </c>
      <c r="AA48" s="30">
        <f>IF(AD48=15,J48,0)</f>
        <v>0</v>
      </c>
      <c r="AB48" s="30">
        <f>IF(AD48=21,J48,0)</f>
        <v>0</v>
      </c>
      <c r="AD48" s="32">
        <v>21</v>
      </c>
      <c r="AE48" s="32">
        <f>G48*0.333747476316198</f>
        <v>0</v>
      </c>
      <c r="AF48" s="32">
        <f>G48*(1-0.333747476316198)</f>
        <v>0</v>
      </c>
      <c r="AM48" s="32">
        <f>F48*AE48</f>
        <v>0</v>
      </c>
      <c r="AN48" s="32">
        <f>F48*AF48</f>
        <v>0</v>
      </c>
      <c r="AO48" s="33" t="s">
        <v>98</v>
      </c>
      <c r="AP48" s="33" t="s">
        <v>92</v>
      </c>
      <c r="AQ48" s="21" t="s">
        <v>117</v>
      </c>
    </row>
    <row r="49" spans="1:43" x14ac:dyDescent="0.25">
      <c r="A49" s="26"/>
      <c r="B49" s="27" t="s">
        <v>125</v>
      </c>
      <c r="C49" s="27"/>
      <c r="D49" s="338" t="s">
        <v>125</v>
      </c>
      <c r="E49" s="339"/>
      <c r="F49" s="339"/>
      <c r="G49" s="339"/>
      <c r="H49" s="28">
        <f>H50+H55+H57+H61+H65+H70</f>
        <v>0</v>
      </c>
      <c r="I49" s="28">
        <f>I50+I55+I57+I61+I65+I70</f>
        <v>0</v>
      </c>
      <c r="J49" s="28">
        <f>H49+I49</f>
        <v>0</v>
      </c>
      <c r="K49" s="21"/>
      <c r="L49" s="28">
        <f>L50+L55+L57+L61+L65+L70</f>
        <v>7.8518922000000009</v>
      </c>
      <c r="M49" s="21"/>
    </row>
    <row r="50" spans="1:43" x14ac:dyDescent="0.25">
      <c r="A50" s="26"/>
      <c r="B50" s="27" t="s">
        <v>125</v>
      </c>
      <c r="C50" s="27" t="s">
        <v>52</v>
      </c>
      <c r="D50" s="338" t="s">
        <v>53</v>
      </c>
      <c r="E50" s="339"/>
      <c r="F50" s="339"/>
      <c r="G50" s="339"/>
      <c r="H50" s="28">
        <f>SUM(H51:H53)</f>
        <v>0</v>
      </c>
      <c r="I50" s="28">
        <f>SUM(I51:I53)</f>
        <v>0</v>
      </c>
      <c r="J50" s="28">
        <f>H50+I50</f>
        <v>0</v>
      </c>
      <c r="K50" s="21"/>
      <c r="L50" s="28">
        <f>SUM(L51:L53)</f>
        <v>0.56173289999999998</v>
      </c>
      <c r="M50" s="21"/>
      <c r="P50" s="28">
        <f>IF(Q50="PR",J50,SUM(O51:O53))</f>
        <v>0</v>
      </c>
      <c r="Q50" s="21" t="s">
        <v>54</v>
      </c>
      <c r="R50" s="28">
        <f>IF(Q50="HS",H50,0)</f>
        <v>0</v>
      </c>
      <c r="S50" s="28">
        <f>IF(Q50="HS",I50-P50,0)</f>
        <v>0</v>
      </c>
      <c r="T50" s="28">
        <f>IF(Q50="PS",H50,0)</f>
        <v>0</v>
      </c>
      <c r="U50" s="28">
        <f>IF(Q50="PS",I50-P50,0)</f>
        <v>0</v>
      </c>
      <c r="V50" s="28">
        <f>IF(Q50="MP",H50,0)</f>
        <v>0</v>
      </c>
      <c r="W50" s="28">
        <f>IF(Q50="MP",I50-P50,0)</f>
        <v>0</v>
      </c>
      <c r="X50" s="28">
        <f>IF(Q50="OM",H50,0)</f>
        <v>0</v>
      </c>
      <c r="Y50" s="21" t="s">
        <v>125</v>
      </c>
      <c r="AI50" s="28">
        <f>SUM(Z51:Z53)</f>
        <v>0</v>
      </c>
      <c r="AJ50" s="28">
        <f>SUM(AA51:AA53)</f>
        <v>0</v>
      </c>
      <c r="AK50" s="28">
        <f>SUM(AB51:AB53)</f>
        <v>0</v>
      </c>
    </row>
    <row r="51" spans="1:43" x14ac:dyDescent="0.25">
      <c r="A51" s="29" t="s">
        <v>126</v>
      </c>
      <c r="B51" s="29" t="s">
        <v>125</v>
      </c>
      <c r="C51" s="29" t="s">
        <v>66</v>
      </c>
      <c r="D51" s="29" t="s">
        <v>67</v>
      </c>
      <c r="E51" s="29" t="s">
        <v>58</v>
      </c>
      <c r="F51" s="30">
        <v>8.41</v>
      </c>
      <c r="G51" s="317">
        <v>0</v>
      </c>
      <c r="H51" s="30">
        <f>ROUND(F51*AE51,2)</f>
        <v>0</v>
      </c>
      <c r="I51" s="30">
        <f>J51-H51</f>
        <v>0</v>
      </c>
      <c r="J51" s="30">
        <f>ROUND(F51*G51,2)</f>
        <v>0</v>
      </c>
      <c r="K51" s="30">
        <v>9.8399999999999998E-3</v>
      </c>
      <c r="L51" s="30">
        <f>F51*K51</f>
        <v>8.2754400000000006E-2</v>
      </c>
      <c r="M51" s="258" t="s">
        <v>2291</v>
      </c>
      <c r="N51" s="31" t="s">
        <v>59</v>
      </c>
      <c r="O51" s="30">
        <f>IF(N51="5",I51,0)</f>
        <v>0</v>
      </c>
      <c r="Z51" s="30">
        <f>IF(AD51=0,J51,0)</f>
        <v>0</v>
      </c>
      <c r="AA51" s="30">
        <f>IF(AD51=15,J51,0)</f>
        <v>0</v>
      </c>
      <c r="AB51" s="30">
        <f>IF(AD51=21,J51,0)</f>
        <v>0</v>
      </c>
      <c r="AD51" s="32">
        <v>21</v>
      </c>
      <c r="AE51" s="32">
        <f>G51*0.160304682766381</f>
        <v>0</v>
      </c>
      <c r="AF51" s="32">
        <f>G51*(1-0.160304682766381)</f>
        <v>0</v>
      </c>
      <c r="AM51" s="32">
        <f>F51*AE51</f>
        <v>0</v>
      </c>
      <c r="AN51" s="32">
        <f>F51*AF51</f>
        <v>0</v>
      </c>
      <c r="AO51" s="33" t="s">
        <v>60</v>
      </c>
      <c r="AP51" s="33" t="s">
        <v>61</v>
      </c>
      <c r="AQ51" s="21" t="s">
        <v>127</v>
      </c>
    </row>
    <row r="52" spans="1:43" ht="25.7" customHeight="1" x14ac:dyDescent="0.25">
      <c r="C52" s="34" t="s">
        <v>63</v>
      </c>
      <c r="D52" s="340" t="s">
        <v>64</v>
      </c>
      <c r="E52" s="341"/>
      <c r="F52" s="341"/>
      <c r="G52" s="341"/>
      <c r="H52" s="341"/>
      <c r="I52" s="341"/>
      <c r="J52" s="341"/>
      <c r="K52" s="341"/>
      <c r="L52" s="341"/>
      <c r="M52" s="341"/>
    </row>
    <row r="53" spans="1:43" x14ac:dyDescent="0.25">
      <c r="A53" s="29" t="s">
        <v>128</v>
      </c>
      <c r="B53" s="29" t="s">
        <v>125</v>
      </c>
      <c r="C53" s="29" t="s">
        <v>56</v>
      </c>
      <c r="D53" s="29" t="s">
        <v>57</v>
      </c>
      <c r="E53" s="29" t="s">
        <v>58</v>
      </c>
      <c r="F53" s="30">
        <v>47.85</v>
      </c>
      <c r="G53" s="317">
        <v>0</v>
      </c>
      <c r="H53" s="30">
        <f>ROUND(F53*AE53,2)</f>
        <v>0</v>
      </c>
      <c r="I53" s="30">
        <f>J53-H53</f>
        <v>0</v>
      </c>
      <c r="J53" s="30">
        <f>ROUND(F53*G53,2)</f>
        <v>0</v>
      </c>
      <c r="K53" s="30">
        <v>1.001E-2</v>
      </c>
      <c r="L53" s="30">
        <f>F53*K53</f>
        <v>0.47897850000000003</v>
      </c>
      <c r="M53" s="258" t="s">
        <v>2291</v>
      </c>
      <c r="N53" s="31" t="s">
        <v>59</v>
      </c>
      <c r="O53" s="30">
        <f>IF(N53="5",I53,0)</f>
        <v>0</v>
      </c>
      <c r="Z53" s="30">
        <f>IF(AD53=0,J53,0)</f>
        <v>0</v>
      </c>
      <c r="AA53" s="30">
        <f>IF(AD53=15,J53,0)</f>
        <v>0</v>
      </c>
      <c r="AB53" s="30">
        <f>IF(AD53=21,J53,0)</f>
        <v>0</v>
      </c>
      <c r="AD53" s="32">
        <v>21</v>
      </c>
      <c r="AE53" s="32">
        <f>G53*0.0756575801052128</f>
        <v>0</v>
      </c>
      <c r="AF53" s="32">
        <f>G53*(1-0.0756575801052128)</f>
        <v>0</v>
      </c>
      <c r="AM53" s="32">
        <f>F53*AE53</f>
        <v>0</v>
      </c>
      <c r="AN53" s="32">
        <f>F53*AF53</f>
        <v>0</v>
      </c>
      <c r="AO53" s="33" t="s">
        <v>60</v>
      </c>
      <c r="AP53" s="33" t="s">
        <v>61</v>
      </c>
      <c r="AQ53" s="21" t="s">
        <v>127</v>
      </c>
    </row>
    <row r="54" spans="1:43" ht="25.7" customHeight="1" x14ac:dyDescent="0.25">
      <c r="C54" s="34" t="s">
        <v>63</v>
      </c>
      <c r="D54" s="340" t="s">
        <v>64</v>
      </c>
      <c r="E54" s="341"/>
      <c r="F54" s="341"/>
      <c r="G54" s="341"/>
      <c r="H54" s="341"/>
      <c r="I54" s="341"/>
      <c r="J54" s="341"/>
      <c r="K54" s="341"/>
      <c r="L54" s="341"/>
      <c r="M54" s="341"/>
    </row>
    <row r="55" spans="1:43" x14ac:dyDescent="0.25">
      <c r="A55" s="26"/>
      <c r="B55" s="27" t="s">
        <v>125</v>
      </c>
      <c r="C55" s="27" t="s">
        <v>68</v>
      </c>
      <c r="D55" s="338" t="s">
        <v>69</v>
      </c>
      <c r="E55" s="339"/>
      <c r="F55" s="339"/>
      <c r="G55" s="339"/>
      <c r="H55" s="28">
        <f>SUM(H56:H56)</f>
        <v>0</v>
      </c>
      <c r="I55" s="28">
        <f>SUM(I56:I56)</f>
        <v>0</v>
      </c>
      <c r="J55" s="28">
        <f>H55+I55</f>
        <v>0</v>
      </c>
      <c r="K55" s="21"/>
      <c r="L55" s="28">
        <f>SUM(L56:L56)</f>
        <v>1.0695664</v>
      </c>
      <c r="M55" s="21"/>
      <c r="P55" s="28">
        <f>IF(Q55="PR",J55,SUM(O56:O56))</f>
        <v>0</v>
      </c>
      <c r="Q55" s="21" t="s">
        <v>54</v>
      </c>
      <c r="R55" s="28">
        <f>IF(Q55="HS",H55,0)</f>
        <v>0</v>
      </c>
      <c r="S55" s="28">
        <f>IF(Q55="HS",I55-P55,0)</f>
        <v>0</v>
      </c>
      <c r="T55" s="28">
        <f>IF(Q55="PS",H55,0)</f>
        <v>0</v>
      </c>
      <c r="U55" s="28">
        <f>IF(Q55="PS",I55-P55,0)</f>
        <v>0</v>
      </c>
      <c r="V55" s="28">
        <f>IF(Q55="MP",H55,0)</f>
        <v>0</v>
      </c>
      <c r="W55" s="28">
        <f>IF(Q55="MP",I55-P55,0)</f>
        <v>0</v>
      </c>
      <c r="X55" s="28">
        <f>IF(Q55="OM",H55,0)</f>
        <v>0</v>
      </c>
      <c r="Y55" s="21" t="s">
        <v>125</v>
      </c>
      <c r="AI55" s="28">
        <f>SUM(Z56:Z56)</f>
        <v>0</v>
      </c>
      <c r="AJ55" s="28">
        <f>SUM(AA56:AA56)</f>
        <v>0</v>
      </c>
      <c r="AK55" s="28">
        <f>SUM(AB56:AB56)</f>
        <v>0</v>
      </c>
    </row>
    <row r="56" spans="1:43" x14ac:dyDescent="0.25">
      <c r="A56" s="29" t="s">
        <v>129</v>
      </c>
      <c r="B56" s="29" t="s">
        <v>125</v>
      </c>
      <c r="C56" s="29" t="s">
        <v>70</v>
      </c>
      <c r="D56" s="29" t="s">
        <v>71</v>
      </c>
      <c r="E56" s="29" t="s">
        <v>58</v>
      </c>
      <c r="F56" s="30">
        <v>21.46</v>
      </c>
      <c r="G56" s="317">
        <v>0</v>
      </c>
      <c r="H56" s="30">
        <f>ROUND(F56*AE56,2)</f>
        <v>0</v>
      </c>
      <c r="I56" s="30">
        <f>J56-H56</f>
        <v>0</v>
      </c>
      <c r="J56" s="30">
        <f>ROUND(F56*G56,2)</f>
        <v>0</v>
      </c>
      <c r="K56" s="30">
        <v>4.9840000000000002E-2</v>
      </c>
      <c r="L56" s="30">
        <f>F56*K56</f>
        <v>1.0695664</v>
      </c>
      <c r="M56" s="258" t="s">
        <v>2291</v>
      </c>
      <c r="N56" s="31" t="s">
        <v>59</v>
      </c>
      <c r="O56" s="30">
        <f>IF(N56="5",I56,0)</f>
        <v>0</v>
      </c>
      <c r="Z56" s="30">
        <f>IF(AD56=0,J56,0)</f>
        <v>0</v>
      </c>
      <c r="AA56" s="30">
        <f>IF(AD56=15,J56,0)</f>
        <v>0</v>
      </c>
      <c r="AB56" s="30">
        <f>IF(AD56=21,J56,0)</f>
        <v>0</v>
      </c>
      <c r="AD56" s="32">
        <v>21</v>
      </c>
      <c r="AE56" s="32">
        <f>G56*0.411768721414431</f>
        <v>0</v>
      </c>
      <c r="AF56" s="32">
        <f>G56*(1-0.411768721414431)</f>
        <v>0</v>
      </c>
      <c r="AM56" s="32">
        <f>F56*AE56</f>
        <v>0</v>
      </c>
      <c r="AN56" s="32">
        <f>F56*AF56</f>
        <v>0</v>
      </c>
      <c r="AO56" s="33" t="s">
        <v>72</v>
      </c>
      <c r="AP56" s="33" t="s">
        <v>61</v>
      </c>
      <c r="AQ56" s="21" t="s">
        <v>127</v>
      </c>
    </row>
    <row r="57" spans="1:43" x14ac:dyDescent="0.25">
      <c r="A57" s="26"/>
      <c r="B57" s="27" t="s">
        <v>125</v>
      </c>
      <c r="C57" s="27" t="s">
        <v>130</v>
      </c>
      <c r="D57" s="338" t="s">
        <v>131</v>
      </c>
      <c r="E57" s="339"/>
      <c r="F57" s="339"/>
      <c r="G57" s="339"/>
      <c r="H57" s="28">
        <f>SUM(H58:H60)</f>
        <v>0</v>
      </c>
      <c r="I57" s="28">
        <f>SUM(I58:I60)</f>
        <v>0</v>
      </c>
      <c r="J57" s="28">
        <f>H57+I57</f>
        <v>0</v>
      </c>
      <c r="K57" s="21"/>
      <c r="L57" s="28">
        <f>SUM(L58:L60)</f>
        <v>4.10473</v>
      </c>
      <c r="M57" s="21"/>
      <c r="P57" s="28">
        <f>IF(Q57="PR",J57,SUM(O58:O60))</f>
        <v>0</v>
      </c>
      <c r="Q57" s="21" t="s">
        <v>54</v>
      </c>
      <c r="R57" s="28">
        <f>IF(Q57="HS",H57,0)</f>
        <v>0</v>
      </c>
      <c r="S57" s="28">
        <f>IF(Q57="HS",I57-P57,0)</f>
        <v>0</v>
      </c>
      <c r="T57" s="28">
        <f>IF(Q57="PS",H57,0)</f>
        <v>0</v>
      </c>
      <c r="U57" s="28">
        <f>IF(Q57="PS",I57-P57,0)</f>
        <v>0</v>
      </c>
      <c r="V57" s="28">
        <f>IF(Q57="MP",H57,0)</f>
        <v>0</v>
      </c>
      <c r="W57" s="28">
        <f>IF(Q57="MP",I57-P57,0)</f>
        <v>0</v>
      </c>
      <c r="X57" s="28">
        <f>IF(Q57="OM",H57,0)</f>
        <v>0</v>
      </c>
      <c r="Y57" s="21" t="s">
        <v>125</v>
      </c>
      <c r="AI57" s="28">
        <f>SUM(Z58:Z60)</f>
        <v>0</v>
      </c>
      <c r="AJ57" s="28">
        <f>SUM(AA58:AA60)</f>
        <v>0</v>
      </c>
      <c r="AK57" s="28">
        <f>SUM(AB58:AB60)</f>
        <v>0</v>
      </c>
    </row>
    <row r="58" spans="1:43" x14ac:dyDescent="0.25">
      <c r="A58" s="29" t="s">
        <v>132</v>
      </c>
      <c r="B58" s="29" t="s">
        <v>125</v>
      </c>
      <c r="C58" s="29" t="s">
        <v>133</v>
      </c>
      <c r="D58" s="29" t="s">
        <v>134</v>
      </c>
      <c r="E58" s="29" t="s">
        <v>113</v>
      </c>
      <c r="F58" s="30">
        <v>1</v>
      </c>
      <c r="G58" s="317">
        <v>0</v>
      </c>
      <c r="H58" s="30">
        <f>ROUND(F58*AE58,2)</f>
        <v>0</v>
      </c>
      <c r="I58" s="30">
        <f>J58-H58</f>
        <v>0</v>
      </c>
      <c r="J58" s="30">
        <f>ROUND(F58*G58,2)</f>
        <v>0</v>
      </c>
      <c r="K58" s="30">
        <v>4.02386</v>
      </c>
      <c r="L58" s="30">
        <f>F58*K58</f>
        <v>4.02386</v>
      </c>
      <c r="M58" s="258" t="s">
        <v>2291</v>
      </c>
      <c r="N58" s="31" t="s">
        <v>59</v>
      </c>
      <c r="O58" s="30">
        <f>IF(N58="5",I58,0)</f>
        <v>0</v>
      </c>
      <c r="Z58" s="30">
        <f>IF(AD58=0,J58,0)</f>
        <v>0</v>
      </c>
      <c r="AA58" s="30">
        <f>IF(AD58=15,J58,0)</f>
        <v>0</v>
      </c>
      <c r="AB58" s="30">
        <f>IF(AD58=21,J58,0)</f>
        <v>0</v>
      </c>
      <c r="AD58" s="32">
        <v>21</v>
      </c>
      <c r="AE58" s="32">
        <f>G58*0.425369632778091</f>
        <v>0</v>
      </c>
      <c r="AF58" s="32">
        <f>G58*(1-0.425369632778091)</f>
        <v>0</v>
      </c>
      <c r="AM58" s="32">
        <f>F58*AE58</f>
        <v>0</v>
      </c>
      <c r="AN58" s="32">
        <f>F58*AF58</f>
        <v>0</v>
      </c>
      <c r="AO58" s="33" t="s">
        <v>135</v>
      </c>
      <c r="AP58" s="33" t="s">
        <v>61</v>
      </c>
      <c r="AQ58" s="21" t="s">
        <v>127</v>
      </c>
    </row>
    <row r="59" spans="1:43" ht="25.7" customHeight="1" x14ac:dyDescent="0.25">
      <c r="C59" s="34" t="s">
        <v>63</v>
      </c>
      <c r="D59" s="340" t="s">
        <v>136</v>
      </c>
      <c r="E59" s="341"/>
      <c r="F59" s="341"/>
      <c r="G59" s="341"/>
      <c r="H59" s="341"/>
      <c r="I59" s="341"/>
      <c r="J59" s="341"/>
      <c r="K59" s="341"/>
      <c r="L59" s="341"/>
      <c r="M59" s="341"/>
    </row>
    <row r="60" spans="1:43" x14ac:dyDescent="0.25">
      <c r="A60" s="29" t="s">
        <v>137</v>
      </c>
      <c r="B60" s="29" t="s">
        <v>125</v>
      </c>
      <c r="C60" s="29" t="s">
        <v>138</v>
      </c>
      <c r="D60" s="29" t="s">
        <v>139</v>
      </c>
      <c r="E60" s="29" t="s">
        <v>113</v>
      </c>
      <c r="F60" s="30">
        <v>1</v>
      </c>
      <c r="G60" s="317">
        <v>0</v>
      </c>
      <c r="H60" s="30">
        <f>ROUND(F60*AE60,2)</f>
        <v>0</v>
      </c>
      <c r="I60" s="30">
        <f>J60-H60</f>
        <v>0</v>
      </c>
      <c r="J60" s="30">
        <f>ROUND(F60*G60,2)</f>
        <v>0</v>
      </c>
      <c r="K60" s="30">
        <v>8.0869999999999997E-2</v>
      </c>
      <c r="L60" s="30">
        <f>F60*K60</f>
        <v>8.0869999999999997E-2</v>
      </c>
      <c r="M60" s="258" t="s">
        <v>2291</v>
      </c>
      <c r="N60" s="31" t="s">
        <v>59</v>
      </c>
      <c r="O60" s="30">
        <f>IF(N60="5",I60,0)</f>
        <v>0</v>
      </c>
      <c r="Z60" s="30">
        <f>IF(AD60=0,J60,0)</f>
        <v>0</v>
      </c>
      <c r="AA60" s="30">
        <f>IF(AD60=15,J60,0)</f>
        <v>0</v>
      </c>
      <c r="AB60" s="30">
        <f>IF(AD60=21,J60,0)</f>
        <v>0</v>
      </c>
      <c r="AD60" s="32">
        <v>21</v>
      </c>
      <c r="AE60" s="32">
        <f>G60*0.927547713673244</f>
        <v>0</v>
      </c>
      <c r="AF60" s="32">
        <f>G60*(1-0.927547713673244)</f>
        <v>0</v>
      </c>
      <c r="AM60" s="32">
        <f>F60*AE60</f>
        <v>0</v>
      </c>
      <c r="AN60" s="32">
        <f>F60*AF60</f>
        <v>0</v>
      </c>
      <c r="AO60" s="33" t="s">
        <v>135</v>
      </c>
      <c r="AP60" s="33" t="s">
        <v>61</v>
      </c>
      <c r="AQ60" s="21" t="s">
        <v>127</v>
      </c>
    </row>
    <row r="61" spans="1:43" x14ac:dyDescent="0.25">
      <c r="A61" s="26"/>
      <c r="B61" s="27" t="s">
        <v>125</v>
      </c>
      <c r="C61" s="27" t="s">
        <v>73</v>
      </c>
      <c r="D61" s="338" t="s">
        <v>74</v>
      </c>
      <c r="E61" s="339"/>
      <c r="F61" s="339"/>
      <c r="G61" s="339"/>
      <c r="H61" s="28">
        <f>SUM(H62:H64)</f>
        <v>0</v>
      </c>
      <c r="I61" s="28">
        <f>SUM(I62:I64)</f>
        <v>0</v>
      </c>
      <c r="J61" s="28">
        <f>H61+I61</f>
        <v>0</v>
      </c>
      <c r="K61" s="21"/>
      <c r="L61" s="28">
        <f>SUM(L62:L64)</f>
        <v>1.9794704000000001</v>
      </c>
      <c r="M61" s="21"/>
      <c r="P61" s="28">
        <f>IF(Q61="PR",J61,SUM(O62:O64))</f>
        <v>0</v>
      </c>
      <c r="Q61" s="21" t="s">
        <v>75</v>
      </c>
      <c r="R61" s="28">
        <f>IF(Q61="HS",H61,0)</f>
        <v>0</v>
      </c>
      <c r="S61" s="28">
        <f>IF(Q61="HS",I61-P61,0)</f>
        <v>0</v>
      </c>
      <c r="T61" s="28">
        <f>IF(Q61="PS",H61,0)</f>
        <v>0</v>
      </c>
      <c r="U61" s="28">
        <f>IF(Q61="PS",I61-P61,0)</f>
        <v>0</v>
      </c>
      <c r="V61" s="28">
        <f>IF(Q61="MP",H61,0)</f>
        <v>0</v>
      </c>
      <c r="W61" s="28">
        <f>IF(Q61="MP",I61-P61,0)</f>
        <v>0</v>
      </c>
      <c r="X61" s="28">
        <f>IF(Q61="OM",H61,0)</f>
        <v>0</v>
      </c>
      <c r="Y61" s="21" t="s">
        <v>125</v>
      </c>
      <c r="AI61" s="28">
        <f>SUM(Z62:Z64)</f>
        <v>0</v>
      </c>
      <c r="AJ61" s="28">
        <f>SUM(AA62:AA64)</f>
        <v>0</v>
      </c>
      <c r="AK61" s="28">
        <f>SUM(AB62:AB64)</f>
        <v>0</v>
      </c>
    </row>
    <row r="62" spans="1:43" x14ac:dyDescent="0.25">
      <c r="A62" s="29" t="s">
        <v>140</v>
      </c>
      <c r="B62" s="29" t="s">
        <v>125</v>
      </c>
      <c r="C62" s="29" t="s">
        <v>77</v>
      </c>
      <c r="D62" s="29" t="s">
        <v>2278</v>
      </c>
      <c r="E62" s="29" t="s">
        <v>58</v>
      </c>
      <c r="F62" s="30">
        <v>21.46</v>
      </c>
      <c r="G62" s="317">
        <v>0</v>
      </c>
      <c r="H62" s="30">
        <f>ROUND(F62*AE62,2)</f>
        <v>0</v>
      </c>
      <c r="I62" s="30">
        <f>J62-H62</f>
        <v>0</v>
      </c>
      <c r="J62" s="30">
        <f>ROUND(F62*G62,2)</f>
        <v>0</v>
      </c>
      <c r="K62" s="30">
        <v>1.61E-2</v>
      </c>
      <c r="L62" s="30">
        <f>F62*K62</f>
        <v>0.34550600000000004</v>
      </c>
      <c r="M62" s="258" t="s">
        <v>2291</v>
      </c>
      <c r="N62" s="31" t="s">
        <v>59</v>
      </c>
      <c r="O62" s="30">
        <f>IF(N62="5",I62,0)</f>
        <v>0</v>
      </c>
      <c r="Z62" s="30">
        <f>IF(AD62=0,J62,0)</f>
        <v>0</v>
      </c>
      <c r="AA62" s="30">
        <f>IF(AD62=15,J62,0)</f>
        <v>0</v>
      </c>
      <c r="AB62" s="30">
        <f>IF(AD62=21,J62,0)</f>
        <v>0</v>
      </c>
      <c r="AD62" s="32">
        <v>21</v>
      </c>
      <c r="AE62" s="32">
        <f>G62*0.787221324717286</f>
        <v>0</v>
      </c>
      <c r="AF62" s="32">
        <f>G62*(1-0.787221324717286)</f>
        <v>0</v>
      </c>
      <c r="AM62" s="32">
        <f>F62*AE62</f>
        <v>0</v>
      </c>
      <c r="AN62" s="32">
        <f>F62*AF62</f>
        <v>0</v>
      </c>
      <c r="AO62" s="33" t="s">
        <v>78</v>
      </c>
      <c r="AP62" s="33" t="s">
        <v>79</v>
      </c>
      <c r="AQ62" s="21" t="s">
        <v>127</v>
      </c>
    </row>
    <row r="63" spans="1:43" ht="12.75" customHeight="1" x14ac:dyDescent="0.25">
      <c r="C63" s="34" t="s">
        <v>63</v>
      </c>
      <c r="D63" s="340" t="s">
        <v>2280</v>
      </c>
      <c r="E63" s="341"/>
      <c r="F63" s="341"/>
      <c r="G63" s="341"/>
      <c r="H63" s="341"/>
      <c r="I63" s="341"/>
      <c r="J63" s="341"/>
      <c r="K63" s="341"/>
      <c r="L63" s="341"/>
      <c r="M63" s="341"/>
    </row>
    <row r="64" spans="1:43" x14ac:dyDescent="0.25">
      <c r="A64" s="29" t="s">
        <v>141</v>
      </c>
      <c r="B64" s="29" t="s">
        <v>125</v>
      </c>
      <c r="C64" s="29" t="s">
        <v>122</v>
      </c>
      <c r="D64" s="29" t="s">
        <v>123</v>
      </c>
      <c r="E64" s="29" t="s">
        <v>58</v>
      </c>
      <c r="F64" s="30">
        <v>21.46</v>
      </c>
      <c r="G64" s="317">
        <v>0</v>
      </c>
      <c r="H64" s="30">
        <f>ROUND(F64*AE64,2)</f>
        <v>0</v>
      </c>
      <c r="I64" s="30">
        <f>J64-H64</f>
        <v>0</v>
      </c>
      <c r="J64" s="30">
        <f>ROUND(F64*G64,2)</f>
        <v>0</v>
      </c>
      <c r="K64" s="30">
        <v>7.6139999999999999E-2</v>
      </c>
      <c r="L64" s="30">
        <f>F64*K64</f>
        <v>1.6339644</v>
      </c>
      <c r="M64" s="258" t="s">
        <v>2291</v>
      </c>
      <c r="N64" s="31" t="s">
        <v>59</v>
      </c>
      <c r="O64" s="30">
        <f>IF(N64="5",I64,0)</f>
        <v>0</v>
      </c>
      <c r="Z64" s="30">
        <f>IF(AD64=0,J64,0)</f>
        <v>0</v>
      </c>
      <c r="AA64" s="30">
        <f>IF(AD64=15,J64,0)</f>
        <v>0</v>
      </c>
      <c r="AB64" s="30">
        <f>IF(AD64=21,J64,0)</f>
        <v>0</v>
      </c>
      <c r="AD64" s="32">
        <v>21</v>
      </c>
      <c r="AE64" s="32">
        <f>G64*0.547569562266712</f>
        <v>0</v>
      </c>
      <c r="AF64" s="32">
        <f>G64*(1-0.547569562266712)</f>
        <v>0</v>
      </c>
      <c r="AM64" s="32">
        <f>F64*AE64</f>
        <v>0</v>
      </c>
      <c r="AN64" s="32">
        <f>F64*AF64</f>
        <v>0</v>
      </c>
      <c r="AO64" s="33" t="s">
        <v>78</v>
      </c>
      <c r="AP64" s="33" t="s">
        <v>79</v>
      </c>
      <c r="AQ64" s="21" t="s">
        <v>127</v>
      </c>
    </row>
    <row r="65" spans="1:43" x14ac:dyDescent="0.25">
      <c r="A65" s="26"/>
      <c r="B65" s="27" t="s">
        <v>125</v>
      </c>
      <c r="C65" s="27" t="s">
        <v>80</v>
      </c>
      <c r="D65" s="338" t="s">
        <v>81</v>
      </c>
      <c r="E65" s="339"/>
      <c r="F65" s="339"/>
      <c r="G65" s="339"/>
      <c r="H65" s="28">
        <f>SUM(H66:H69)</f>
        <v>0</v>
      </c>
      <c r="I65" s="28">
        <f>SUM(I66:I69)</f>
        <v>0</v>
      </c>
      <c r="J65" s="28">
        <f>H65+I65</f>
        <v>0</v>
      </c>
      <c r="K65" s="21"/>
      <c r="L65" s="28">
        <f>SUM(L66:L69)</f>
        <v>9.9823499999999996E-2</v>
      </c>
      <c r="M65" s="21"/>
      <c r="P65" s="28">
        <f>IF(Q65="PR",J65,SUM(O66:O69))</f>
        <v>0</v>
      </c>
      <c r="Q65" s="21" t="s">
        <v>75</v>
      </c>
      <c r="R65" s="28">
        <f>IF(Q65="HS",H65,0)</f>
        <v>0</v>
      </c>
      <c r="S65" s="28">
        <f>IF(Q65="HS",I65-P65,0)</f>
        <v>0</v>
      </c>
      <c r="T65" s="28">
        <f>IF(Q65="PS",H65,0)</f>
        <v>0</v>
      </c>
      <c r="U65" s="28">
        <f>IF(Q65="PS",I65-P65,0)</f>
        <v>0</v>
      </c>
      <c r="V65" s="28">
        <f>IF(Q65="MP",H65,0)</f>
        <v>0</v>
      </c>
      <c r="W65" s="28">
        <f>IF(Q65="MP",I65-P65,0)</f>
        <v>0</v>
      </c>
      <c r="X65" s="28">
        <f>IF(Q65="OM",H65,0)</f>
        <v>0</v>
      </c>
      <c r="Y65" s="21" t="s">
        <v>125</v>
      </c>
      <c r="AI65" s="28">
        <f>SUM(Z66:Z69)</f>
        <v>0</v>
      </c>
      <c r="AJ65" s="28">
        <f>SUM(AA66:AA69)</f>
        <v>0</v>
      </c>
      <c r="AK65" s="28">
        <f>SUM(AB66:AB69)</f>
        <v>0</v>
      </c>
    </row>
    <row r="66" spans="1:43" x14ac:dyDescent="0.25">
      <c r="A66" s="29" t="s">
        <v>142</v>
      </c>
      <c r="B66" s="29" t="s">
        <v>125</v>
      </c>
      <c r="C66" s="29" t="s">
        <v>143</v>
      </c>
      <c r="D66" s="29" t="s">
        <v>144</v>
      </c>
      <c r="E66" s="29" t="s">
        <v>58</v>
      </c>
      <c r="F66" s="30">
        <v>4.3499999999999996</v>
      </c>
      <c r="G66" s="317">
        <v>0</v>
      </c>
      <c r="H66" s="30">
        <f>ROUND(F66*AE66,2)</f>
        <v>0</v>
      </c>
      <c r="I66" s="30">
        <f>J66-H66</f>
        <v>0</v>
      </c>
      <c r="J66" s="30">
        <f>ROUND(F66*G66,2)</f>
        <v>0</v>
      </c>
      <c r="K66" s="30">
        <v>1E-3</v>
      </c>
      <c r="L66" s="30">
        <f>F66*K66</f>
        <v>4.3499999999999997E-3</v>
      </c>
      <c r="M66" s="258" t="s">
        <v>2291</v>
      </c>
      <c r="N66" s="31" t="s">
        <v>59</v>
      </c>
      <c r="O66" s="30">
        <f>IF(N66="5",I66,0)</f>
        <v>0</v>
      </c>
      <c r="Z66" s="30">
        <f>IF(AD66=0,J66,0)</f>
        <v>0</v>
      </c>
      <c r="AA66" s="30">
        <f>IF(AD66=15,J66,0)</f>
        <v>0</v>
      </c>
      <c r="AB66" s="30">
        <f>IF(AD66=21,J66,0)</f>
        <v>0</v>
      </c>
      <c r="AD66" s="32">
        <v>21</v>
      </c>
      <c r="AE66" s="32">
        <f>G66*0</f>
        <v>0</v>
      </c>
      <c r="AF66" s="32">
        <f>G66*(1-0)</f>
        <v>0</v>
      </c>
      <c r="AM66" s="32">
        <f>F66*AE66</f>
        <v>0</v>
      </c>
      <c r="AN66" s="32">
        <f>F66*AF66</f>
        <v>0</v>
      </c>
      <c r="AO66" s="33" t="s">
        <v>85</v>
      </c>
      <c r="AP66" s="33" t="s">
        <v>79</v>
      </c>
      <c r="AQ66" s="21" t="s">
        <v>127</v>
      </c>
    </row>
    <row r="67" spans="1:43" ht="25.7" customHeight="1" x14ac:dyDescent="0.25">
      <c r="C67" s="34" t="s">
        <v>63</v>
      </c>
      <c r="D67" s="340" t="s">
        <v>145</v>
      </c>
      <c r="E67" s="341"/>
      <c r="F67" s="341"/>
      <c r="G67" s="341"/>
      <c r="H67" s="341"/>
      <c r="I67" s="341"/>
      <c r="J67" s="341"/>
      <c r="K67" s="341"/>
      <c r="L67" s="341"/>
      <c r="M67" s="341"/>
    </row>
    <row r="68" spans="1:43" x14ac:dyDescent="0.25">
      <c r="A68" s="29" t="s">
        <v>146</v>
      </c>
      <c r="B68" s="29" t="s">
        <v>125</v>
      </c>
      <c r="C68" s="29" t="s">
        <v>147</v>
      </c>
      <c r="D68" s="29" t="s">
        <v>148</v>
      </c>
      <c r="E68" s="29" t="s">
        <v>104</v>
      </c>
      <c r="F68" s="30">
        <v>31.25</v>
      </c>
      <c r="G68" s="317">
        <v>0</v>
      </c>
      <c r="H68" s="30">
        <f>ROUND(F68*AE68,2)</f>
        <v>0</v>
      </c>
      <c r="I68" s="30">
        <f>J68-H68</f>
        <v>0</v>
      </c>
      <c r="J68" s="30">
        <f>ROUND(F68*G68,2)</f>
        <v>0</v>
      </c>
      <c r="K68" s="30">
        <v>2.49E-3</v>
      </c>
      <c r="L68" s="30">
        <f>F68*K68</f>
        <v>7.7812500000000007E-2</v>
      </c>
      <c r="M68" s="258" t="s">
        <v>2291</v>
      </c>
      <c r="N68" s="31" t="s">
        <v>59</v>
      </c>
      <c r="O68" s="30">
        <f>IF(N68="5",I68,0)</f>
        <v>0</v>
      </c>
      <c r="Z68" s="30">
        <f>IF(AD68=0,J68,0)</f>
        <v>0</v>
      </c>
      <c r="AA68" s="30">
        <f>IF(AD68=15,J68,0)</f>
        <v>0</v>
      </c>
      <c r="AB68" s="30">
        <f>IF(AD68=21,J68,0)</f>
        <v>0</v>
      </c>
      <c r="AD68" s="32">
        <v>21</v>
      </c>
      <c r="AE68" s="32">
        <f>G68*0.640489690721649</f>
        <v>0</v>
      </c>
      <c r="AF68" s="32">
        <f>G68*(1-0.640489690721649)</f>
        <v>0</v>
      </c>
      <c r="AM68" s="32">
        <f>F68*AE68</f>
        <v>0</v>
      </c>
      <c r="AN68" s="32">
        <f>F68*AF68</f>
        <v>0</v>
      </c>
      <c r="AO68" s="33" t="s">
        <v>85</v>
      </c>
      <c r="AP68" s="33" t="s">
        <v>79</v>
      </c>
      <c r="AQ68" s="21" t="s">
        <v>127</v>
      </c>
    </row>
    <row r="69" spans="1:43" x14ac:dyDescent="0.25">
      <c r="A69" s="29" t="s">
        <v>149</v>
      </c>
      <c r="B69" s="29" t="s">
        <v>125</v>
      </c>
      <c r="C69" s="29" t="s">
        <v>83</v>
      </c>
      <c r="D69" s="29" t="s">
        <v>84</v>
      </c>
      <c r="E69" s="29" t="s">
        <v>58</v>
      </c>
      <c r="F69" s="30">
        <v>4.3499999999999996</v>
      </c>
      <c r="G69" s="317">
        <v>0</v>
      </c>
      <c r="H69" s="30">
        <f>ROUND(F69*AE69,2)</f>
        <v>0</v>
      </c>
      <c r="I69" s="30">
        <f>J69-H69</f>
        <v>0</v>
      </c>
      <c r="J69" s="30">
        <f>ROUND(F69*G69,2)</f>
        <v>0</v>
      </c>
      <c r="K69" s="30">
        <v>4.0600000000000002E-3</v>
      </c>
      <c r="L69" s="30">
        <f>F69*K69</f>
        <v>1.7661E-2</v>
      </c>
      <c r="M69" s="258" t="s">
        <v>2291</v>
      </c>
      <c r="N69" s="31" t="s">
        <v>59</v>
      </c>
      <c r="O69" s="30">
        <f>IF(N69="5",I69,0)</f>
        <v>0</v>
      </c>
      <c r="Z69" s="30">
        <f>IF(AD69=0,J69,0)</f>
        <v>0</v>
      </c>
      <c r="AA69" s="30">
        <f>IF(AD69=15,J69,0)</f>
        <v>0</v>
      </c>
      <c r="AB69" s="30">
        <f>IF(AD69=21,J69,0)</f>
        <v>0</v>
      </c>
      <c r="AD69" s="32">
        <v>21</v>
      </c>
      <c r="AE69" s="32">
        <f>G69*0.67230605738576</f>
        <v>0</v>
      </c>
      <c r="AF69" s="32">
        <f>G69*(1-0.67230605738576)</f>
        <v>0</v>
      </c>
      <c r="AM69" s="32">
        <f>F69*AE69</f>
        <v>0</v>
      </c>
      <c r="AN69" s="32">
        <f>F69*AF69</f>
        <v>0</v>
      </c>
      <c r="AO69" s="33" t="s">
        <v>85</v>
      </c>
      <c r="AP69" s="33" t="s">
        <v>79</v>
      </c>
      <c r="AQ69" s="21" t="s">
        <v>127</v>
      </c>
    </row>
    <row r="70" spans="1:43" x14ac:dyDescent="0.25">
      <c r="A70" s="26"/>
      <c r="B70" s="27" t="s">
        <v>125</v>
      </c>
      <c r="C70" s="27" t="s">
        <v>93</v>
      </c>
      <c r="D70" s="338" t="s">
        <v>94</v>
      </c>
      <c r="E70" s="339"/>
      <c r="F70" s="339"/>
      <c r="G70" s="339"/>
      <c r="H70" s="28">
        <f>SUM(H71:H71)</f>
        <v>0</v>
      </c>
      <c r="I70" s="28">
        <f>SUM(I71:I71)</f>
        <v>0</v>
      </c>
      <c r="J70" s="28">
        <f>H70+I70</f>
        <v>0</v>
      </c>
      <c r="K70" s="21"/>
      <c r="L70" s="28">
        <f>SUM(L71:L71)</f>
        <v>3.6568999999999997E-2</v>
      </c>
      <c r="M70" s="21"/>
      <c r="P70" s="28">
        <f>IF(Q70="PR",J70,SUM(O71:O71))</f>
        <v>0</v>
      </c>
      <c r="Q70" s="21" t="s">
        <v>75</v>
      </c>
      <c r="R70" s="28">
        <f>IF(Q70="HS",H70,0)</f>
        <v>0</v>
      </c>
      <c r="S70" s="28">
        <f>IF(Q70="HS",I70-P70,0)</f>
        <v>0</v>
      </c>
      <c r="T70" s="28">
        <f>IF(Q70="PS",H70,0)</f>
        <v>0</v>
      </c>
      <c r="U70" s="28">
        <f>IF(Q70="PS",I70-P70,0)</f>
        <v>0</v>
      </c>
      <c r="V70" s="28">
        <f>IF(Q70="MP",H70,0)</f>
        <v>0</v>
      </c>
      <c r="W70" s="28">
        <f>IF(Q70="MP",I70-P70,0)</f>
        <v>0</v>
      </c>
      <c r="X70" s="28">
        <f>IF(Q70="OM",H70,0)</f>
        <v>0</v>
      </c>
      <c r="Y70" s="21" t="s">
        <v>125</v>
      </c>
      <c r="AI70" s="28">
        <f>SUM(Z71:Z71)</f>
        <v>0</v>
      </c>
      <c r="AJ70" s="28">
        <f>SUM(AA71:AA71)</f>
        <v>0</v>
      </c>
      <c r="AK70" s="28">
        <f>SUM(AB71:AB71)</f>
        <v>0</v>
      </c>
    </row>
    <row r="71" spans="1:43" x14ac:dyDescent="0.25">
      <c r="A71" s="29" t="s">
        <v>150</v>
      </c>
      <c r="B71" s="29" t="s">
        <v>125</v>
      </c>
      <c r="C71" s="29" t="s">
        <v>96</v>
      </c>
      <c r="D71" s="29" t="s">
        <v>97</v>
      </c>
      <c r="E71" s="29" t="s">
        <v>58</v>
      </c>
      <c r="F71" s="30">
        <v>56.26</v>
      </c>
      <c r="G71" s="317">
        <v>0</v>
      </c>
      <c r="H71" s="30">
        <f>ROUND(F71*AE71,2)</f>
        <v>0</v>
      </c>
      <c r="I71" s="30">
        <f>J71-H71</f>
        <v>0</v>
      </c>
      <c r="J71" s="30">
        <f>ROUND(F71*G71,2)</f>
        <v>0</v>
      </c>
      <c r="K71" s="30">
        <v>6.4999999999999997E-4</v>
      </c>
      <c r="L71" s="30">
        <f>F71*K71</f>
        <v>3.6568999999999997E-2</v>
      </c>
      <c r="M71" s="258" t="s">
        <v>2291</v>
      </c>
      <c r="N71" s="31" t="s">
        <v>59</v>
      </c>
      <c r="O71" s="30">
        <f>IF(N71="5",I71,0)</f>
        <v>0</v>
      </c>
      <c r="Z71" s="30">
        <f>IF(AD71=0,J71,0)</f>
        <v>0</v>
      </c>
      <c r="AA71" s="30">
        <f>IF(AD71=15,J71,0)</f>
        <v>0</v>
      </c>
      <c r="AB71" s="30">
        <f>IF(AD71=21,J71,0)</f>
        <v>0</v>
      </c>
      <c r="AD71" s="32">
        <v>21</v>
      </c>
      <c r="AE71" s="32">
        <f>G71*0.333747476316198</f>
        <v>0</v>
      </c>
      <c r="AF71" s="32">
        <f>G71*(1-0.333747476316198)</f>
        <v>0</v>
      </c>
      <c r="AM71" s="32">
        <f>F71*AE71</f>
        <v>0</v>
      </c>
      <c r="AN71" s="32">
        <f>F71*AF71</f>
        <v>0</v>
      </c>
      <c r="AO71" s="33" t="s">
        <v>98</v>
      </c>
      <c r="AP71" s="33" t="s">
        <v>92</v>
      </c>
      <c r="AQ71" s="21" t="s">
        <v>127</v>
      </c>
    </row>
    <row r="72" spans="1:43" x14ac:dyDescent="0.25">
      <c r="A72" s="26"/>
      <c r="B72" s="27" t="s">
        <v>151</v>
      </c>
      <c r="C72" s="27"/>
      <c r="D72" s="338" t="s">
        <v>151</v>
      </c>
      <c r="E72" s="339"/>
      <c r="F72" s="339"/>
      <c r="G72" s="339"/>
      <c r="H72" s="28">
        <f>H73+H80+H82+H85+H87+H89+H91+H94</f>
        <v>0</v>
      </c>
      <c r="I72" s="28">
        <f>I73+I80+I82+I85+I87+I89+I91+I94</f>
        <v>0</v>
      </c>
      <c r="J72" s="28">
        <f>H72+I72</f>
        <v>0</v>
      </c>
      <c r="K72" s="21"/>
      <c r="L72" s="28">
        <f>L73+L80+L82+L85+L87+L89+L91+L94</f>
        <v>2.8585971000000003</v>
      </c>
      <c r="M72" s="21"/>
    </row>
    <row r="73" spans="1:43" x14ac:dyDescent="0.25">
      <c r="A73" s="26"/>
      <c r="B73" s="27" t="s">
        <v>151</v>
      </c>
      <c r="C73" s="27" t="s">
        <v>52</v>
      </c>
      <c r="D73" s="338" t="s">
        <v>53</v>
      </c>
      <c r="E73" s="339"/>
      <c r="F73" s="339"/>
      <c r="G73" s="339"/>
      <c r="H73" s="28">
        <f>SUM(H74:H78)</f>
        <v>0</v>
      </c>
      <c r="I73" s="28">
        <f>SUM(I74:I78)</f>
        <v>0</v>
      </c>
      <c r="J73" s="28">
        <f>H73+I73</f>
        <v>0</v>
      </c>
      <c r="K73" s="21"/>
      <c r="L73" s="28">
        <f>SUM(L74:L78)</f>
        <v>1.1274960999999999</v>
      </c>
      <c r="M73" s="21"/>
      <c r="P73" s="28">
        <f>IF(Q73="PR",J73,SUM(O74:O78))</f>
        <v>0</v>
      </c>
      <c r="Q73" s="21" t="s">
        <v>54</v>
      </c>
      <c r="R73" s="28">
        <f>IF(Q73="HS",H73,0)</f>
        <v>0</v>
      </c>
      <c r="S73" s="28">
        <f>IF(Q73="HS",I73-P73,0)</f>
        <v>0</v>
      </c>
      <c r="T73" s="28">
        <f>IF(Q73="PS",H73,0)</f>
        <v>0</v>
      </c>
      <c r="U73" s="28">
        <f>IF(Q73="PS",I73-P73,0)</f>
        <v>0</v>
      </c>
      <c r="V73" s="28">
        <f>IF(Q73="MP",H73,0)</f>
        <v>0</v>
      </c>
      <c r="W73" s="28">
        <f>IF(Q73="MP",I73-P73,0)</f>
        <v>0</v>
      </c>
      <c r="X73" s="28">
        <f>IF(Q73="OM",H73,0)</f>
        <v>0</v>
      </c>
      <c r="Y73" s="21" t="s">
        <v>151</v>
      </c>
      <c r="AI73" s="28">
        <f>SUM(Z74:Z78)</f>
        <v>0</v>
      </c>
      <c r="AJ73" s="28">
        <f>SUM(AA74:AA78)</f>
        <v>0</v>
      </c>
      <c r="AK73" s="28">
        <f>SUM(AB74:AB78)</f>
        <v>0</v>
      </c>
    </row>
    <row r="74" spans="1:43" x14ac:dyDescent="0.25">
      <c r="A74" s="29" t="s">
        <v>152</v>
      </c>
      <c r="B74" s="29" t="s">
        <v>151</v>
      </c>
      <c r="C74" s="29" t="s">
        <v>56</v>
      </c>
      <c r="D74" s="29" t="s">
        <v>57</v>
      </c>
      <c r="E74" s="29" t="s">
        <v>58</v>
      </c>
      <c r="F74" s="30">
        <v>51.32</v>
      </c>
      <c r="G74" s="317">
        <v>0</v>
      </c>
      <c r="H74" s="30">
        <f>ROUND(F74*AE74,2)</f>
        <v>0</v>
      </c>
      <c r="I74" s="30">
        <f>J74-H74</f>
        <v>0</v>
      </c>
      <c r="J74" s="30">
        <f>ROUND(F74*G74,2)</f>
        <v>0</v>
      </c>
      <c r="K74" s="30">
        <v>1.001E-2</v>
      </c>
      <c r="L74" s="30">
        <f>F74*K74</f>
        <v>0.51371319999999998</v>
      </c>
      <c r="M74" s="258" t="s">
        <v>2291</v>
      </c>
      <c r="N74" s="31" t="s">
        <v>59</v>
      </c>
      <c r="O74" s="30">
        <f>IF(N74="5",I74,0)</f>
        <v>0</v>
      </c>
      <c r="Z74" s="30">
        <f>IF(AD74=0,J74,0)</f>
        <v>0</v>
      </c>
      <c r="AA74" s="30">
        <f>IF(AD74=15,J74,0)</f>
        <v>0</v>
      </c>
      <c r="AB74" s="30">
        <f>IF(AD74=21,J74,0)</f>
        <v>0</v>
      </c>
      <c r="AD74" s="32">
        <v>21</v>
      </c>
      <c r="AE74" s="32">
        <f>G74*0.0756575801052128</f>
        <v>0</v>
      </c>
      <c r="AF74" s="32">
        <f>G74*(1-0.0756575801052128)</f>
        <v>0</v>
      </c>
      <c r="AM74" s="32">
        <f>F74*AE74</f>
        <v>0</v>
      </c>
      <c r="AN74" s="32">
        <f>F74*AF74</f>
        <v>0</v>
      </c>
      <c r="AO74" s="33" t="s">
        <v>60</v>
      </c>
      <c r="AP74" s="33" t="s">
        <v>61</v>
      </c>
      <c r="AQ74" s="21" t="s">
        <v>153</v>
      </c>
    </row>
    <row r="75" spans="1:43" ht="25.7" customHeight="1" x14ac:dyDescent="0.25">
      <c r="C75" s="34" t="s">
        <v>63</v>
      </c>
      <c r="D75" s="340" t="s">
        <v>64</v>
      </c>
      <c r="E75" s="341"/>
      <c r="F75" s="341"/>
      <c r="G75" s="341"/>
      <c r="H75" s="341"/>
      <c r="I75" s="341"/>
      <c r="J75" s="341"/>
      <c r="K75" s="341"/>
      <c r="L75" s="341"/>
      <c r="M75" s="341"/>
    </row>
    <row r="76" spans="1:43" x14ac:dyDescent="0.25">
      <c r="A76" s="29" t="s">
        <v>154</v>
      </c>
      <c r="B76" s="29" t="s">
        <v>151</v>
      </c>
      <c r="C76" s="29" t="s">
        <v>66</v>
      </c>
      <c r="D76" s="29" t="s">
        <v>67</v>
      </c>
      <c r="E76" s="29" t="s">
        <v>58</v>
      </c>
      <c r="F76" s="30">
        <v>22.52</v>
      </c>
      <c r="G76" s="317">
        <v>0</v>
      </c>
      <c r="H76" s="30">
        <f>ROUND(F76*AE76,2)</f>
        <v>0</v>
      </c>
      <c r="I76" s="30">
        <f>J76-H76</f>
        <v>0</v>
      </c>
      <c r="J76" s="30">
        <f>ROUND(F76*G76,2)</f>
        <v>0</v>
      </c>
      <c r="K76" s="30">
        <v>9.8399999999999998E-3</v>
      </c>
      <c r="L76" s="30">
        <f>F76*K76</f>
        <v>0.22159679999999998</v>
      </c>
      <c r="M76" s="258" t="s">
        <v>2291</v>
      </c>
      <c r="N76" s="31" t="s">
        <v>59</v>
      </c>
      <c r="O76" s="30">
        <f>IF(N76="5",I76,0)</f>
        <v>0</v>
      </c>
      <c r="Z76" s="30">
        <f>IF(AD76=0,J76,0)</f>
        <v>0</v>
      </c>
      <c r="AA76" s="30">
        <f>IF(AD76=15,J76,0)</f>
        <v>0</v>
      </c>
      <c r="AB76" s="30">
        <f>IF(AD76=21,J76,0)</f>
        <v>0</v>
      </c>
      <c r="AD76" s="32">
        <v>21</v>
      </c>
      <c r="AE76" s="32">
        <f>G76*0.160304682766381</f>
        <v>0</v>
      </c>
      <c r="AF76" s="32">
        <f>G76*(1-0.160304682766381)</f>
        <v>0</v>
      </c>
      <c r="AM76" s="32">
        <f>F76*AE76</f>
        <v>0</v>
      </c>
      <c r="AN76" s="32">
        <f>F76*AF76</f>
        <v>0</v>
      </c>
      <c r="AO76" s="33" t="s">
        <v>60</v>
      </c>
      <c r="AP76" s="33" t="s">
        <v>61</v>
      </c>
      <c r="AQ76" s="21" t="s">
        <v>153</v>
      </c>
    </row>
    <row r="77" spans="1:43" ht="25.7" customHeight="1" x14ac:dyDescent="0.25">
      <c r="C77" s="34" t="s">
        <v>63</v>
      </c>
      <c r="D77" s="340" t="s">
        <v>64</v>
      </c>
      <c r="E77" s="341"/>
      <c r="F77" s="341"/>
      <c r="G77" s="341"/>
      <c r="H77" s="341"/>
      <c r="I77" s="341"/>
      <c r="J77" s="341"/>
      <c r="K77" s="341"/>
      <c r="L77" s="341"/>
      <c r="M77" s="341"/>
    </row>
    <row r="78" spans="1:43" x14ac:dyDescent="0.25">
      <c r="A78" s="29" t="s">
        <v>155</v>
      </c>
      <c r="B78" s="29" t="s">
        <v>151</v>
      </c>
      <c r="C78" s="29" t="s">
        <v>156</v>
      </c>
      <c r="D78" s="29" t="s">
        <v>2279</v>
      </c>
      <c r="E78" s="29" t="s">
        <v>58</v>
      </c>
      <c r="F78" s="30">
        <v>19.309999999999999</v>
      </c>
      <c r="G78" s="317">
        <v>0</v>
      </c>
      <c r="H78" s="30">
        <f>ROUND(F78*AE78,2)</f>
        <v>0</v>
      </c>
      <c r="I78" s="30">
        <f>J78-H78</f>
        <v>0</v>
      </c>
      <c r="J78" s="30">
        <f>ROUND(F78*G78,2)</f>
        <v>0</v>
      </c>
      <c r="K78" s="30">
        <v>2.0310000000000002E-2</v>
      </c>
      <c r="L78" s="30">
        <f>F78*K78</f>
        <v>0.39218609999999998</v>
      </c>
      <c r="M78" s="258" t="s">
        <v>2291</v>
      </c>
      <c r="N78" s="31" t="s">
        <v>55</v>
      </c>
      <c r="O78" s="30">
        <f>IF(N78="5",I78,0)</f>
        <v>0</v>
      </c>
      <c r="Z78" s="30">
        <f>IF(AD78=0,J78,0)</f>
        <v>0</v>
      </c>
      <c r="AA78" s="30">
        <f>IF(AD78=15,J78,0)</f>
        <v>0</v>
      </c>
      <c r="AB78" s="30">
        <f>IF(AD78=21,J78,0)</f>
        <v>0</v>
      </c>
      <c r="AD78" s="32">
        <v>21</v>
      </c>
      <c r="AE78" s="32">
        <f>G78*0.423217647685695</f>
        <v>0</v>
      </c>
      <c r="AF78" s="32">
        <f>G78*(1-0.423217647685695)</f>
        <v>0</v>
      </c>
      <c r="AM78" s="32">
        <f>F78*AE78</f>
        <v>0</v>
      </c>
      <c r="AN78" s="32">
        <f>F78*AF78</f>
        <v>0</v>
      </c>
      <c r="AO78" s="33" t="s">
        <v>60</v>
      </c>
      <c r="AP78" s="33" t="s">
        <v>61</v>
      </c>
      <c r="AQ78" s="21" t="s">
        <v>153</v>
      </c>
    </row>
    <row r="79" spans="1:43" ht="25.7" customHeight="1" x14ac:dyDescent="0.25">
      <c r="C79" s="34" t="s">
        <v>63</v>
      </c>
      <c r="D79" s="340" t="s">
        <v>157</v>
      </c>
      <c r="E79" s="341"/>
      <c r="F79" s="341"/>
      <c r="G79" s="341"/>
      <c r="H79" s="341"/>
      <c r="I79" s="341"/>
      <c r="J79" s="341"/>
      <c r="K79" s="341"/>
      <c r="L79" s="341"/>
      <c r="M79" s="341"/>
    </row>
    <row r="80" spans="1:43" x14ac:dyDescent="0.25">
      <c r="A80" s="26"/>
      <c r="B80" s="27" t="s">
        <v>151</v>
      </c>
      <c r="C80" s="27" t="s">
        <v>68</v>
      </c>
      <c r="D80" s="338" t="s">
        <v>69</v>
      </c>
      <c r="E80" s="339"/>
      <c r="F80" s="339"/>
      <c r="G80" s="339"/>
      <c r="H80" s="28">
        <f>SUM(H81:H81)</f>
        <v>0</v>
      </c>
      <c r="I80" s="28">
        <f>SUM(I81:I81)</f>
        <v>0</v>
      </c>
      <c r="J80" s="28">
        <f>H80+I80</f>
        <v>0</v>
      </c>
      <c r="K80" s="21"/>
      <c r="L80" s="28">
        <f>SUM(L81:L81)</f>
        <v>1.1223968</v>
      </c>
      <c r="M80" s="21"/>
      <c r="P80" s="28">
        <f>IF(Q80="PR",J80,SUM(O81:O81))</f>
        <v>0</v>
      </c>
      <c r="Q80" s="21" t="s">
        <v>54</v>
      </c>
      <c r="R80" s="28">
        <f>IF(Q80="HS",H80,0)</f>
        <v>0</v>
      </c>
      <c r="S80" s="28">
        <f>IF(Q80="HS",I80-P80,0)</f>
        <v>0</v>
      </c>
      <c r="T80" s="28">
        <f>IF(Q80="PS",H80,0)</f>
        <v>0</v>
      </c>
      <c r="U80" s="28">
        <f>IF(Q80="PS",I80-P80,0)</f>
        <v>0</v>
      </c>
      <c r="V80" s="28">
        <f>IF(Q80="MP",H80,0)</f>
        <v>0</v>
      </c>
      <c r="W80" s="28">
        <f>IF(Q80="MP",I80-P80,0)</f>
        <v>0</v>
      </c>
      <c r="X80" s="28">
        <f>IF(Q80="OM",H80,0)</f>
        <v>0</v>
      </c>
      <c r="Y80" s="21" t="s">
        <v>151</v>
      </c>
      <c r="AI80" s="28">
        <f>SUM(Z81:Z81)</f>
        <v>0</v>
      </c>
      <c r="AJ80" s="28">
        <f>SUM(AA81:AA81)</f>
        <v>0</v>
      </c>
      <c r="AK80" s="28">
        <f>SUM(AB81:AB81)</f>
        <v>0</v>
      </c>
    </row>
    <row r="81" spans="1:43" x14ac:dyDescent="0.25">
      <c r="A81" s="29" t="s">
        <v>158</v>
      </c>
      <c r="B81" s="29" t="s">
        <v>151</v>
      </c>
      <c r="C81" s="29" t="s">
        <v>70</v>
      </c>
      <c r="D81" s="29" t="s">
        <v>71</v>
      </c>
      <c r="E81" s="29" t="s">
        <v>58</v>
      </c>
      <c r="F81" s="30">
        <v>22.52</v>
      </c>
      <c r="G81" s="317">
        <v>0</v>
      </c>
      <c r="H81" s="30">
        <f>ROUND(F81*AE81,2)</f>
        <v>0</v>
      </c>
      <c r="I81" s="30">
        <f>J81-H81</f>
        <v>0</v>
      </c>
      <c r="J81" s="30">
        <f>ROUND(F81*G81,2)</f>
        <v>0</v>
      </c>
      <c r="K81" s="30">
        <v>4.9840000000000002E-2</v>
      </c>
      <c r="L81" s="30">
        <f>F81*K81</f>
        <v>1.1223968</v>
      </c>
      <c r="M81" s="258" t="s">
        <v>2291</v>
      </c>
      <c r="N81" s="31" t="s">
        <v>59</v>
      </c>
      <c r="O81" s="30">
        <f>IF(N81="5",I81,0)</f>
        <v>0</v>
      </c>
      <c r="Z81" s="30">
        <f>IF(AD81=0,J81,0)</f>
        <v>0</v>
      </c>
      <c r="AA81" s="30">
        <f>IF(AD81=15,J81,0)</f>
        <v>0</v>
      </c>
      <c r="AB81" s="30">
        <f>IF(AD81=21,J81,0)</f>
        <v>0</v>
      </c>
      <c r="AD81" s="32">
        <v>21</v>
      </c>
      <c r="AE81" s="32">
        <f>G81*0.411768721414431</f>
        <v>0</v>
      </c>
      <c r="AF81" s="32">
        <f>G81*(1-0.411768721414431)</f>
        <v>0</v>
      </c>
      <c r="AM81" s="32">
        <f>F81*AE81</f>
        <v>0</v>
      </c>
      <c r="AN81" s="32">
        <f>F81*AF81</f>
        <v>0</v>
      </c>
      <c r="AO81" s="33" t="s">
        <v>72</v>
      </c>
      <c r="AP81" s="33" t="s">
        <v>61</v>
      </c>
      <c r="AQ81" s="21" t="s">
        <v>153</v>
      </c>
    </row>
    <row r="82" spans="1:43" x14ac:dyDescent="0.25">
      <c r="A82" s="26"/>
      <c r="B82" s="27" t="s">
        <v>151</v>
      </c>
      <c r="C82" s="27" t="s">
        <v>73</v>
      </c>
      <c r="D82" s="338" t="s">
        <v>74</v>
      </c>
      <c r="E82" s="339"/>
      <c r="F82" s="339"/>
      <c r="G82" s="339"/>
      <c r="H82" s="28">
        <f>SUM(H83:H83)</f>
        <v>0</v>
      </c>
      <c r="I82" s="28">
        <f>SUM(I83:I83)</f>
        <v>0</v>
      </c>
      <c r="J82" s="28">
        <f>H82+I82</f>
        <v>0</v>
      </c>
      <c r="K82" s="21"/>
      <c r="L82" s="28">
        <f>SUM(L83:L83)</f>
        <v>0.36257200000000001</v>
      </c>
      <c r="M82" s="21"/>
      <c r="P82" s="28">
        <f>IF(Q82="PR",J82,SUM(O83:O83))</f>
        <v>0</v>
      </c>
      <c r="Q82" s="21" t="s">
        <v>75</v>
      </c>
      <c r="R82" s="28">
        <f>IF(Q82="HS",H82,0)</f>
        <v>0</v>
      </c>
      <c r="S82" s="28">
        <f>IF(Q82="HS",I82-P82,0)</f>
        <v>0</v>
      </c>
      <c r="T82" s="28">
        <f>IF(Q82="PS",H82,0)</f>
        <v>0</v>
      </c>
      <c r="U82" s="28">
        <f>IF(Q82="PS",I82-P82,0)</f>
        <v>0</v>
      </c>
      <c r="V82" s="28">
        <f>IF(Q82="MP",H82,0)</f>
        <v>0</v>
      </c>
      <c r="W82" s="28">
        <f>IF(Q82="MP",I82-P82,0)</f>
        <v>0</v>
      </c>
      <c r="X82" s="28">
        <f>IF(Q82="OM",H82,0)</f>
        <v>0</v>
      </c>
      <c r="Y82" s="21" t="s">
        <v>151</v>
      </c>
      <c r="AI82" s="28">
        <f>SUM(Z83:Z83)</f>
        <v>0</v>
      </c>
      <c r="AJ82" s="28">
        <f>SUM(AA83:AA83)</f>
        <v>0</v>
      </c>
      <c r="AK82" s="28">
        <f>SUM(AB83:AB83)</f>
        <v>0</v>
      </c>
    </row>
    <row r="83" spans="1:43" x14ac:dyDescent="0.25">
      <c r="A83" s="29" t="s">
        <v>159</v>
      </c>
      <c r="B83" s="29" t="s">
        <v>151</v>
      </c>
      <c r="C83" s="29" t="s">
        <v>77</v>
      </c>
      <c r="D83" s="29" t="s">
        <v>2278</v>
      </c>
      <c r="E83" s="29" t="s">
        <v>58</v>
      </c>
      <c r="F83" s="30">
        <v>22.52</v>
      </c>
      <c r="G83" s="317">
        <v>0</v>
      </c>
      <c r="H83" s="30">
        <f>ROUND(F83*AE83,2)</f>
        <v>0</v>
      </c>
      <c r="I83" s="30">
        <f>J83-H83</f>
        <v>0</v>
      </c>
      <c r="J83" s="30">
        <f>ROUND(F83*G83,2)</f>
        <v>0</v>
      </c>
      <c r="K83" s="30">
        <v>1.61E-2</v>
      </c>
      <c r="L83" s="30">
        <f>F83*K83</f>
        <v>0.36257200000000001</v>
      </c>
      <c r="M83" s="258" t="s">
        <v>2291</v>
      </c>
      <c r="N83" s="31" t="s">
        <v>59</v>
      </c>
      <c r="O83" s="30">
        <f>IF(N83="5",I83,0)</f>
        <v>0</v>
      </c>
      <c r="Z83" s="30">
        <f>IF(AD83=0,J83,0)</f>
        <v>0</v>
      </c>
      <c r="AA83" s="30">
        <f>IF(AD83=15,J83,0)</f>
        <v>0</v>
      </c>
      <c r="AB83" s="30">
        <f>IF(AD83=21,J83,0)</f>
        <v>0</v>
      </c>
      <c r="AD83" s="32">
        <v>21</v>
      </c>
      <c r="AE83" s="32">
        <f>G83*0.787221324717286</f>
        <v>0</v>
      </c>
      <c r="AF83" s="32">
        <f>G83*(1-0.787221324717286)</f>
        <v>0</v>
      </c>
      <c r="AM83" s="32">
        <f>F83*AE83</f>
        <v>0</v>
      </c>
      <c r="AN83" s="32">
        <f>F83*AF83</f>
        <v>0</v>
      </c>
      <c r="AO83" s="33" t="s">
        <v>78</v>
      </c>
      <c r="AP83" s="33" t="s">
        <v>79</v>
      </c>
      <c r="AQ83" s="21" t="s">
        <v>153</v>
      </c>
    </row>
    <row r="84" spans="1:43" ht="12.75" customHeight="1" x14ac:dyDescent="0.25">
      <c r="C84" s="34" t="s">
        <v>63</v>
      </c>
      <c r="D84" s="340" t="s">
        <v>2280</v>
      </c>
      <c r="E84" s="341"/>
      <c r="F84" s="341"/>
      <c r="G84" s="341"/>
      <c r="H84" s="341"/>
      <c r="I84" s="341"/>
      <c r="J84" s="341"/>
      <c r="K84" s="341"/>
      <c r="L84" s="341"/>
      <c r="M84" s="341"/>
    </row>
    <row r="85" spans="1:43" x14ac:dyDescent="0.25">
      <c r="A85" s="26"/>
      <c r="B85" s="27" t="s">
        <v>151</v>
      </c>
      <c r="C85" s="27" t="s">
        <v>80</v>
      </c>
      <c r="D85" s="338" t="s">
        <v>81</v>
      </c>
      <c r="E85" s="339"/>
      <c r="F85" s="339"/>
      <c r="G85" s="339"/>
      <c r="H85" s="28">
        <f>SUM(H86:H86)</f>
        <v>0</v>
      </c>
      <c r="I85" s="28">
        <f>SUM(I86:I86)</f>
        <v>0</v>
      </c>
      <c r="J85" s="28">
        <f>H85+I85</f>
        <v>0</v>
      </c>
      <c r="K85" s="21"/>
      <c r="L85" s="28">
        <f>SUM(L86:L86)</f>
        <v>9.1431200000000004E-2</v>
      </c>
      <c r="M85" s="21"/>
      <c r="P85" s="28">
        <f>IF(Q85="PR",J85,SUM(O86:O86))</f>
        <v>0</v>
      </c>
      <c r="Q85" s="21" t="s">
        <v>75</v>
      </c>
      <c r="R85" s="28">
        <f>IF(Q85="HS",H85,0)</f>
        <v>0</v>
      </c>
      <c r="S85" s="28">
        <f>IF(Q85="HS",I85-P85,0)</f>
        <v>0</v>
      </c>
      <c r="T85" s="28">
        <f>IF(Q85="PS",H85,0)</f>
        <v>0</v>
      </c>
      <c r="U85" s="28">
        <f>IF(Q85="PS",I85-P85,0)</f>
        <v>0</v>
      </c>
      <c r="V85" s="28">
        <f>IF(Q85="MP",H85,0)</f>
        <v>0</v>
      </c>
      <c r="W85" s="28">
        <f>IF(Q85="MP",I85-P85,0)</f>
        <v>0</v>
      </c>
      <c r="X85" s="28">
        <f>IF(Q85="OM",H85,0)</f>
        <v>0</v>
      </c>
      <c r="Y85" s="21" t="s">
        <v>151</v>
      </c>
      <c r="AI85" s="28">
        <f>SUM(Z86:Z86)</f>
        <v>0</v>
      </c>
      <c r="AJ85" s="28">
        <f>SUM(AA86:AA86)</f>
        <v>0</v>
      </c>
      <c r="AK85" s="28">
        <f>SUM(AB86:AB86)</f>
        <v>0</v>
      </c>
    </row>
    <row r="86" spans="1:43" x14ac:dyDescent="0.25">
      <c r="A86" s="29" t="s">
        <v>160</v>
      </c>
      <c r="B86" s="29" t="s">
        <v>151</v>
      </c>
      <c r="C86" s="29" t="s">
        <v>83</v>
      </c>
      <c r="D86" s="29" t="s">
        <v>84</v>
      </c>
      <c r="E86" s="29" t="s">
        <v>58</v>
      </c>
      <c r="F86" s="30">
        <v>22.52</v>
      </c>
      <c r="G86" s="317">
        <v>0</v>
      </c>
      <c r="H86" s="30">
        <f>ROUND(F86*AE86,2)</f>
        <v>0</v>
      </c>
      <c r="I86" s="30">
        <f>J86-H86</f>
        <v>0</v>
      </c>
      <c r="J86" s="30">
        <f>ROUND(F86*G86,2)</f>
        <v>0</v>
      </c>
      <c r="K86" s="30">
        <v>4.0600000000000002E-3</v>
      </c>
      <c r="L86" s="30">
        <f>F86*K86</f>
        <v>9.1431200000000004E-2</v>
      </c>
      <c r="M86" s="258" t="s">
        <v>2291</v>
      </c>
      <c r="N86" s="31" t="s">
        <v>59</v>
      </c>
      <c r="O86" s="30">
        <f>IF(N86="5",I86,0)</f>
        <v>0</v>
      </c>
      <c r="Z86" s="30">
        <f>IF(AD86=0,J86,0)</f>
        <v>0</v>
      </c>
      <c r="AA86" s="30">
        <f>IF(AD86=15,J86,0)</f>
        <v>0</v>
      </c>
      <c r="AB86" s="30">
        <f>IF(AD86=21,J86,0)</f>
        <v>0</v>
      </c>
      <c r="AD86" s="32">
        <v>21</v>
      </c>
      <c r="AE86" s="32">
        <f>G86*0.67230605738576</f>
        <v>0</v>
      </c>
      <c r="AF86" s="32">
        <f>G86*(1-0.67230605738576)</f>
        <v>0</v>
      </c>
      <c r="AM86" s="32">
        <f>F86*AE86</f>
        <v>0</v>
      </c>
      <c r="AN86" s="32">
        <f>F86*AF86</f>
        <v>0</v>
      </c>
      <c r="AO86" s="33" t="s">
        <v>85</v>
      </c>
      <c r="AP86" s="33" t="s">
        <v>79</v>
      </c>
      <c r="AQ86" s="21" t="s">
        <v>153</v>
      </c>
    </row>
    <row r="87" spans="1:43" x14ac:dyDescent="0.25">
      <c r="A87" s="26"/>
      <c r="B87" s="27" t="s">
        <v>151</v>
      </c>
      <c r="C87" s="27" t="s">
        <v>86</v>
      </c>
      <c r="D87" s="338" t="s">
        <v>87</v>
      </c>
      <c r="E87" s="339"/>
      <c r="F87" s="339"/>
      <c r="G87" s="339"/>
      <c r="H87" s="28">
        <f>SUM(H88:H88)</f>
        <v>0</v>
      </c>
      <c r="I87" s="28">
        <f>SUM(I88:I88)</f>
        <v>0</v>
      </c>
      <c r="J87" s="28">
        <f>H87+I87</f>
        <v>0</v>
      </c>
      <c r="K87" s="21"/>
      <c r="L87" s="28">
        <f>SUM(L88:L88)</f>
        <v>5.4000000000000001E-4</v>
      </c>
      <c r="M87" s="21"/>
      <c r="P87" s="28">
        <f>IF(Q87="PR",J87,SUM(O88:O88))</f>
        <v>0</v>
      </c>
      <c r="Q87" s="21" t="s">
        <v>75</v>
      </c>
      <c r="R87" s="28">
        <f>IF(Q87="HS",H87,0)</f>
        <v>0</v>
      </c>
      <c r="S87" s="28">
        <f>IF(Q87="HS",I87-P87,0)</f>
        <v>0</v>
      </c>
      <c r="T87" s="28">
        <f>IF(Q87="PS",H87,0)</f>
        <v>0</v>
      </c>
      <c r="U87" s="28">
        <f>IF(Q87="PS",I87-P87,0)</f>
        <v>0</v>
      </c>
      <c r="V87" s="28">
        <f>IF(Q87="MP",H87,0)</f>
        <v>0</v>
      </c>
      <c r="W87" s="28">
        <f>IF(Q87="MP",I87-P87,0)</f>
        <v>0</v>
      </c>
      <c r="X87" s="28">
        <f>IF(Q87="OM",H87,0)</f>
        <v>0</v>
      </c>
      <c r="Y87" s="21" t="s">
        <v>151</v>
      </c>
      <c r="AI87" s="28">
        <f>SUM(Z88:Z88)</f>
        <v>0</v>
      </c>
      <c r="AJ87" s="28">
        <f>SUM(AA88:AA88)</f>
        <v>0</v>
      </c>
      <c r="AK87" s="28">
        <f>SUM(AB88:AB88)</f>
        <v>0</v>
      </c>
    </row>
    <row r="88" spans="1:43" x14ac:dyDescent="0.25">
      <c r="A88" s="29" t="s">
        <v>161</v>
      </c>
      <c r="B88" s="29" t="s">
        <v>151</v>
      </c>
      <c r="C88" s="29" t="s">
        <v>89</v>
      </c>
      <c r="D88" s="29" t="s">
        <v>90</v>
      </c>
      <c r="E88" s="29" t="s">
        <v>58</v>
      </c>
      <c r="F88" s="30">
        <v>2</v>
      </c>
      <c r="G88" s="317">
        <v>0</v>
      </c>
      <c r="H88" s="30">
        <f>ROUND(F88*AE88,2)</f>
        <v>0</v>
      </c>
      <c r="I88" s="30">
        <f>J88-H88</f>
        <v>0</v>
      </c>
      <c r="J88" s="30">
        <f>ROUND(F88*G88,2)</f>
        <v>0</v>
      </c>
      <c r="K88" s="30">
        <v>2.7E-4</v>
      </c>
      <c r="L88" s="30">
        <f>F88*K88</f>
        <v>5.4000000000000001E-4</v>
      </c>
      <c r="M88" s="258" t="s">
        <v>2291</v>
      </c>
      <c r="N88" s="31" t="s">
        <v>59</v>
      </c>
      <c r="O88" s="30">
        <f>IF(N88="5",I88,0)</f>
        <v>0</v>
      </c>
      <c r="Z88" s="30">
        <f>IF(AD88=0,J88,0)</f>
        <v>0</v>
      </c>
      <c r="AA88" s="30">
        <f>IF(AD88=15,J88,0)</f>
        <v>0</v>
      </c>
      <c r="AB88" s="30">
        <f>IF(AD88=21,J88,0)</f>
        <v>0</v>
      </c>
      <c r="AD88" s="32">
        <v>21</v>
      </c>
      <c r="AE88" s="32">
        <f>G88*0.186098187625859</f>
        <v>0</v>
      </c>
      <c r="AF88" s="32">
        <f>G88*(1-0.186098187625859)</f>
        <v>0</v>
      </c>
      <c r="AM88" s="32">
        <f>F88*AE88</f>
        <v>0</v>
      </c>
      <c r="AN88" s="32">
        <f>F88*AF88</f>
        <v>0</v>
      </c>
      <c r="AO88" s="33" t="s">
        <v>91</v>
      </c>
      <c r="AP88" s="33" t="s">
        <v>92</v>
      </c>
      <c r="AQ88" s="21" t="s">
        <v>153</v>
      </c>
    </row>
    <row r="89" spans="1:43" x14ac:dyDescent="0.25">
      <c r="A89" s="26"/>
      <c r="B89" s="27" t="s">
        <v>151</v>
      </c>
      <c r="C89" s="27" t="s">
        <v>93</v>
      </c>
      <c r="D89" s="338" t="s">
        <v>94</v>
      </c>
      <c r="E89" s="339"/>
      <c r="F89" s="339"/>
      <c r="G89" s="339"/>
      <c r="H89" s="28">
        <f>SUM(H90:H90)</f>
        <v>0</v>
      </c>
      <c r="I89" s="28">
        <f>SUM(I90:I90)</f>
        <v>0</v>
      </c>
      <c r="J89" s="28">
        <f>H89+I89</f>
        <v>0</v>
      </c>
      <c r="K89" s="21"/>
      <c r="L89" s="28">
        <f>SUM(L90:L90)</f>
        <v>5.6251000000000002E-2</v>
      </c>
      <c r="M89" s="258" t="s">
        <v>2291</v>
      </c>
      <c r="P89" s="28">
        <f>IF(Q89="PR",J89,SUM(O90:O90))</f>
        <v>0</v>
      </c>
      <c r="Q89" s="21" t="s">
        <v>75</v>
      </c>
      <c r="R89" s="28">
        <f>IF(Q89="HS",H89,0)</f>
        <v>0</v>
      </c>
      <c r="S89" s="28">
        <f>IF(Q89="HS",I89-P89,0)</f>
        <v>0</v>
      </c>
      <c r="T89" s="28">
        <f>IF(Q89="PS",H89,0)</f>
        <v>0</v>
      </c>
      <c r="U89" s="28">
        <f>IF(Q89="PS",I89-P89,0)</f>
        <v>0</v>
      </c>
      <c r="V89" s="28">
        <f>IF(Q89="MP",H89,0)</f>
        <v>0</v>
      </c>
      <c r="W89" s="28">
        <f>IF(Q89="MP",I89-P89,0)</f>
        <v>0</v>
      </c>
      <c r="X89" s="28">
        <f>IF(Q89="OM",H89,0)</f>
        <v>0</v>
      </c>
      <c r="Y89" s="21" t="s">
        <v>151</v>
      </c>
      <c r="AI89" s="28">
        <f>SUM(Z90:Z90)</f>
        <v>0</v>
      </c>
      <c r="AJ89" s="28">
        <f>SUM(AA90:AA90)</f>
        <v>0</v>
      </c>
      <c r="AK89" s="28">
        <f>SUM(AB90:AB90)</f>
        <v>0</v>
      </c>
    </row>
    <row r="90" spans="1:43" x14ac:dyDescent="0.25">
      <c r="A90" s="29" t="s">
        <v>162</v>
      </c>
      <c r="B90" s="29" t="s">
        <v>151</v>
      </c>
      <c r="C90" s="29" t="s">
        <v>96</v>
      </c>
      <c r="D90" s="29" t="s">
        <v>97</v>
      </c>
      <c r="E90" s="29" t="s">
        <v>58</v>
      </c>
      <c r="F90" s="30">
        <v>86.54</v>
      </c>
      <c r="G90" s="317">
        <v>0</v>
      </c>
      <c r="H90" s="30">
        <f>ROUND(F90*AE90,2)</f>
        <v>0</v>
      </c>
      <c r="I90" s="30">
        <f>J90-H90</f>
        <v>0</v>
      </c>
      <c r="J90" s="30">
        <f>ROUND(F90*G90,2)</f>
        <v>0</v>
      </c>
      <c r="K90" s="30">
        <v>6.4999999999999997E-4</v>
      </c>
      <c r="L90" s="30">
        <f>F90*K90</f>
        <v>5.6251000000000002E-2</v>
      </c>
      <c r="M90" s="258" t="s">
        <v>2291</v>
      </c>
      <c r="N90" s="31" t="s">
        <v>59</v>
      </c>
      <c r="O90" s="30">
        <f>IF(N90="5",I90,0)</f>
        <v>0</v>
      </c>
      <c r="Z90" s="30">
        <f>IF(AD90=0,J90,0)</f>
        <v>0</v>
      </c>
      <c r="AA90" s="30">
        <f>IF(AD90=15,J90,0)</f>
        <v>0</v>
      </c>
      <c r="AB90" s="30">
        <f>IF(AD90=21,J90,0)</f>
        <v>0</v>
      </c>
      <c r="AD90" s="32">
        <v>21</v>
      </c>
      <c r="AE90" s="32">
        <f>G90*0.333747476316198</f>
        <v>0</v>
      </c>
      <c r="AF90" s="32">
        <f>G90*(1-0.333747476316198)</f>
        <v>0</v>
      </c>
      <c r="AM90" s="32">
        <f>F90*AE90</f>
        <v>0</v>
      </c>
      <c r="AN90" s="32">
        <f>F90*AF90</f>
        <v>0</v>
      </c>
      <c r="AO90" s="33" t="s">
        <v>98</v>
      </c>
      <c r="AP90" s="33" t="s">
        <v>92</v>
      </c>
      <c r="AQ90" s="21" t="s">
        <v>153</v>
      </c>
    </row>
    <row r="91" spans="1:43" x14ac:dyDescent="0.25">
      <c r="A91" s="26"/>
      <c r="B91" s="27" t="s">
        <v>151</v>
      </c>
      <c r="C91" s="27" t="s">
        <v>99</v>
      </c>
      <c r="D91" s="338" t="s">
        <v>100</v>
      </c>
      <c r="E91" s="339"/>
      <c r="F91" s="339"/>
      <c r="G91" s="339"/>
      <c r="H91" s="28">
        <f>SUM(H92:H92)</f>
        <v>0</v>
      </c>
      <c r="I91" s="28">
        <f>SUM(I92:I92)</f>
        <v>0</v>
      </c>
      <c r="J91" s="28">
        <f>H91+I91</f>
        <v>0</v>
      </c>
      <c r="K91" s="21"/>
      <c r="L91" s="28">
        <f>SUM(L92:L92)</f>
        <v>0</v>
      </c>
      <c r="M91" s="21"/>
      <c r="P91" s="28">
        <f>IF(Q91="PR",J91,SUM(O92:O92))</f>
        <v>0</v>
      </c>
      <c r="Q91" s="21" t="s">
        <v>54</v>
      </c>
      <c r="R91" s="28">
        <f>IF(Q91="HS",H91,0)</f>
        <v>0</v>
      </c>
      <c r="S91" s="28">
        <f>IF(Q91="HS",I91-P91,0)</f>
        <v>0</v>
      </c>
      <c r="T91" s="28">
        <f>IF(Q91="PS",H91,0)</f>
        <v>0</v>
      </c>
      <c r="U91" s="28">
        <f>IF(Q91="PS",I91-P91,0)</f>
        <v>0</v>
      </c>
      <c r="V91" s="28">
        <f>IF(Q91="MP",H91,0)</f>
        <v>0</v>
      </c>
      <c r="W91" s="28">
        <f>IF(Q91="MP",I91-P91,0)</f>
        <v>0</v>
      </c>
      <c r="X91" s="28">
        <f>IF(Q91="OM",H91,0)</f>
        <v>0</v>
      </c>
      <c r="Y91" s="21" t="s">
        <v>151</v>
      </c>
      <c r="AI91" s="28">
        <f>SUM(Z92:Z92)</f>
        <v>0</v>
      </c>
      <c r="AJ91" s="28">
        <f>SUM(AA92:AA92)</f>
        <v>0</v>
      </c>
      <c r="AK91" s="28">
        <f>SUM(AB92:AB92)</f>
        <v>0</v>
      </c>
    </row>
    <row r="92" spans="1:43" x14ac:dyDescent="0.25">
      <c r="A92" s="29" t="s">
        <v>163</v>
      </c>
      <c r="B92" s="29" t="s">
        <v>151</v>
      </c>
      <c r="C92" s="29" t="s">
        <v>102</v>
      </c>
      <c r="D92" s="29" t="s">
        <v>103</v>
      </c>
      <c r="E92" s="29" t="s">
        <v>104</v>
      </c>
      <c r="F92" s="30">
        <v>4.8</v>
      </c>
      <c r="G92" s="317">
        <v>0</v>
      </c>
      <c r="H92" s="30">
        <f>ROUND(F92*AE92,2)</f>
        <v>0</v>
      </c>
      <c r="I92" s="30">
        <f>J92-H92</f>
        <v>0</v>
      </c>
      <c r="J92" s="30">
        <f>ROUND(F92*G92,2)</f>
        <v>0</v>
      </c>
      <c r="K92" s="30">
        <v>0</v>
      </c>
      <c r="L92" s="30">
        <f>F92*K92</f>
        <v>0</v>
      </c>
      <c r="M92" s="258" t="s">
        <v>2291</v>
      </c>
      <c r="N92" s="31" t="s">
        <v>55</v>
      </c>
      <c r="O92" s="30">
        <f>IF(N92="5",I92,0)</f>
        <v>0</v>
      </c>
      <c r="Z92" s="30">
        <f>IF(AD92=0,J92,0)</f>
        <v>0</v>
      </c>
      <c r="AA92" s="30">
        <f>IF(AD92=15,J92,0)</f>
        <v>0</v>
      </c>
      <c r="AB92" s="30">
        <f>IF(AD92=21,J92,0)</f>
        <v>0</v>
      </c>
      <c r="AD92" s="32">
        <v>21</v>
      </c>
      <c r="AE92" s="32">
        <f>G92*0</f>
        <v>0</v>
      </c>
      <c r="AF92" s="32">
        <f>G92*(1-0)</f>
        <v>0</v>
      </c>
      <c r="AM92" s="32">
        <f>F92*AE92</f>
        <v>0</v>
      </c>
      <c r="AN92" s="32">
        <f>F92*AF92</f>
        <v>0</v>
      </c>
      <c r="AO92" s="33" t="s">
        <v>105</v>
      </c>
      <c r="AP92" s="33" t="s">
        <v>106</v>
      </c>
      <c r="AQ92" s="21" t="s">
        <v>153</v>
      </c>
    </row>
    <row r="93" spans="1:43" x14ac:dyDescent="0.25">
      <c r="C93" s="34" t="s">
        <v>63</v>
      </c>
      <c r="D93" s="340" t="s">
        <v>107</v>
      </c>
      <c r="E93" s="341"/>
      <c r="F93" s="341"/>
      <c r="G93" s="341"/>
      <c r="H93" s="341"/>
      <c r="I93" s="341"/>
      <c r="J93" s="341"/>
      <c r="K93" s="341"/>
      <c r="L93" s="341"/>
      <c r="M93" s="341"/>
    </row>
    <row r="94" spans="1:43" x14ac:dyDescent="0.25">
      <c r="A94" s="26"/>
      <c r="B94" s="27" t="s">
        <v>151</v>
      </c>
      <c r="C94" s="27" t="s">
        <v>108</v>
      </c>
      <c r="D94" s="338" t="s">
        <v>109</v>
      </c>
      <c r="E94" s="339"/>
      <c r="F94" s="339"/>
      <c r="G94" s="339"/>
      <c r="H94" s="28">
        <f>SUM(H95:H95)</f>
        <v>0</v>
      </c>
      <c r="I94" s="28">
        <f>SUM(I95:I95)</f>
        <v>0</v>
      </c>
      <c r="J94" s="28">
        <f>H94+I94</f>
        <v>0</v>
      </c>
      <c r="K94" s="21"/>
      <c r="L94" s="28">
        <f>SUM(L95:L95)</f>
        <v>9.7909999999999997E-2</v>
      </c>
      <c r="M94" s="21"/>
      <c r="P94" s="28">
        <f>IF(Q94="PR",J94,SUM(O95:O95))</f>
        <v>0</v>
      </c>
      <c r="Q94" s="21" t="s">
        <v>54</v>
      </c>
      <c r="R94" s="28">
        <f>IF(Q94="HS",H94,0)</f>
        <v>0</v>
      </c>
      <c r="S94" s="28">
        <f>IF(Q94="HS",I94-P94,0)</f>
        <v>0</v>
      </c>
      <c r="T94" s="28">
        <f>IF(Q94="PS",H94,0)</f>
        <v>0</v>
      </c>
      <c r="U94" s="28">
        <f>IF(Q94="PS",I94-P94,0)</f>
        <v>0</v>
      </c>
      <c r="V94" s="28">
        <f>IF(Q94="MP",H94,0)</f>
        <v>0</v>
      </c>
      <c r="W94" s="28">
        <f>IF(Q94="MP",I94-P94,0)</f>
        <v>0</v>
      </c>
      <c r="X94" s="28">
        <f>IF(Q94="OM",H94,0)</f>
        <v>0</v>
      </c>
      <c r="Y94" s="21" t="s">
        <v>151</v>
      </c>
      <c r="AI94" s="28">
        <f>SUM(Z95:Z95)</f>
        <v>0</v>
      </c>
      <c r="AJ94" s="28">
        <f>SUM(AA95:AA95)</f>
        <v>0</v>
      </c>
      <c r="AK94" s="28">
        <f>SUM(AB95:AB95)</f>
        <v>0</v>
      </c>
    </row>
    <row r="95" spans="1:43" x14ac:dyDescent="0.25">
      <c r="A95" s="29" t="s">
        <v>164</v>
      </c>
      <c r="B95" s="29" t="s">
        <v>151</v>
      </c>
      <c r="C95" s="29" t="s">
        <v>111</v>
      </c>
      <c r="D95" s="29" t="s">
        <v>112</v>
      </c>
      <c r="E95" s="29" t="s">
        <v>113</v>
      </c>
      <c r="F95" s="30">
        <v>1</v>
      </c>
      <c r="G95" s="317">
        <v>0</v>
      </c>
      <c r="H95" s="30">
        <f>ROUND(F95*AE95,2)</f>
        <v>0</v>
      </c>
      <c r="I95" s="30">
        <f>J95-H95</f>
        <v>0</v>
      </c>
      <c r="J95" s="30">
        <f>ROUND(F95*G95,2)</f>
        <v>0</v>
      </c>
      <c r="K95" s="30">
        <v>9.7909999999999997E-2</v>
      </c>
      <c r="L95" s="30">
        <f>F95*K95</f>
        <v>9.7909999999999997E-2</v>
      </c>
      <c r="M95" s="258" t="s">
        <v>2291</v>
      </c>
      <c r="N95" s="31" t="s">
        <v>55</v>
      </c>
      <c r="O95" s="30">
        <f>IF(N95="5",I95,0)</f>
        <v>0</v>
      </c>
      <c r="Z95" s="30">
        <f>IF(AD95=0,J95,0)</f>
        <v>0</v>
      </c>
      <c r="AA95" s="30">
        <f>IF(AD95=15,J95,0)</f>
        <v>0</v>
      </c>
      <c r="AB95" s="30">
        <f>IF(AD95=21,J95,0)</f>
        <v>0</v>
      </c>
      <c r="AD95" s="32">
        <v>21</v>
      </c>
      <c r="AE95" s="32">
        <f>G95*0.0762897526501767</f>
        <v>0</v>
      </c>
      <c r="AF95" s="32">
        <f>G95*(1-0.0762897526501767)</f>
        <v>0</v>
      </c>
      <c r="AM95" s="32">
        <f>F95*AE95</f>
        <v>0</v>
      </c>
      <c r="AN95" s="32">
        <f>F95*AF95</f>
        <v>0</v>
      </c>
      <c r="AO95" s="33" t="s">
        <v>114</v>
      </c>
      <c r="AP95" s="33" t="s">
        <v>106</v>
      </c>
      <c r="AQ95" s="21" t="s">
        <v>153</v>
      </c>
    </row>
    <row r="96" spans="1:43" x14ac:dyDescent="0.25">
      <c r="C96" s="34" t="s">
        <v>63</v>
      </c>
      <c r="D96" s="340" t="s">
        <v>107</v>
      </c>
      <c r="E96" s="341"/>
      <c r="F96" s="341"/>
      <c r="G96" s="341"/>
      <c r="H96" s="341"/>
      <c r="I96" s="341"/>
      <c r="J96" s="341"/>
      <c r="K96" s="341"/>
      <c r="L96" s="341"/>
      <c r="M96" s="341"/>
    </row>
    <row r="97" spans="1:43" x14ac:dyDescent="0.25">
      <c r="A97" s="26"/>
      <c r="B97" s="27" t="s">
        <v>165</v>
      </c>
      <c r="C97" s="27"/>
      <c r="D97" s="338" t="s">
        <v>165</v>
      </c>
      <c r="E97" s="339"/>
      <c r="F97" s="339"/>
      <c r="G97" s="339"/>
      <c r="H97" s="28">
        <f>H98+H100+H103+H105+H109</f>
        <v>0</v>
      </c>
      <c r="I97" s="28">
        <f>I98+I100+I103+I105+I109</f>
        <v>0</v>
      </c>
      <c r="J97" s="28">
        <f>H97+I97</f>
        <v>0</v>
      </c>
      <c r="K97" s="21"/>
      <c r="L97" s="28">
        <f>L98+L100+L103+L105+L109</f>
        <v>3.561188</v>
      </c>
      <c r="M97" s="21"/>
    </row>
    <row r="98" spans="1:43" x14ac:dyDescent="0.25">
      <c r="A98" s="26"/>
      <c r="B98" s="27" t="s">
        <v>165</v>
      </c>
      <c r="C98" s="27" t="s">
        <v>166</v>
      </c>
      <c r="D98" s="338" t="s">
        <v>167</v>
      </c>
      <c r="E98" s="339"/>
      <c r="F98" s="339"/>
      <c r="G98" s="339"/>
      <c r="H98" s="28">
        <f>SUM(H99:H99)</f>
        <v>0</v>
      </c>
      <c r="I98" s="28">
        <f>SUM(I99:I99)</f>
        <v>0</v>
      </c>
      <c r="J98" s="28">
        <f>H98+I98</f>
        <v>0</v>
      </c>
      <c r="K98" s="21"/>
      <c r="L98" s="28">
        <f>SUM(L99:L99)</f>
        <v>0.216</v>
      </c>
      <c r="M98" s="21"/>
      <c r="P98" s="28">
        <f>IF(Q98="PR",J98,SUM(O99:O99))</f>
        <v>0</v>
      </c>
      <c r="Q98" s="21" t="s">
        <v>54</v>
      </c>
      <c r="R98" s="28">
        <f>IF(Q98="HS",H98,0)</f>
        <v>0</v>
      </c>
      <c r="S98" s="28">
        <f>IF(Q98="HS",I98-P98,0)</f>
        <v>0</v>
      </c>
      <c r="T98" s="28">
        <f>IF(Q98="PS",H98,0)</f>
        <v>0</v>
      </c>
      <c r="U98" s="28">
        <f>IF(Q98="PS",I98-P98,0)</f>
        <v>0</v>
      </c>
      <c r="V98" s="28">
        <f>IF(Q98="MP",H98,0)</f>
        <v>0</v>
      </c>
      <c r="W98" s="28">
        <f>IF(Q98="MP",I98-P98,0)</f>
        <v>0</v>
      </c>
      <c r="X98" s="28">
        <f>IF(Q98="OM",H98,0)</f>
        <v>0</v>
      </c>
      <c r="Y98" s="21" t="s">
        <v>165</v>
      </c>
      <c r="AI98" s="28">
        <f>SUM(Z99:Z99)</f>
        <v>0</v>
      </c>
      <c r="AJ98" s="28">
        <f>SUM(AA99:AA99)</f>
        <v>0</v>
      </c>
      <c r="AK98" s="28">
        <f>SUM(AB99:AB99)</f>
        <v>0</v>
      </c>
    </row>
    <row r="99" spans="1:43" x14ac:dyDescent="0.25">
      <c r="A99" s="29" t="s">
        <v>168</v>
      </c>
      <c r="B99" s="29" t="s">
        <v>165</v>
      </c>
      <c r="C99" s="29" t="s">
        <v>169</v>
      </c>
      <c r="D99" s="29" t="s">
        <v>170</v>
      </c>
      <c r="E99" s="29" t="s">
        <v>58</v>
      </c>
      <c r="F99" s="30">
        <v>18</v>
      </c>
      <c r="G99" s="317">
        <v>0</v>
      </c>
      <c r="H99" s="30">
        <f>ROUND(F99*AE99,2)</f>
        <v>0</v>
      </c>
      <c r="I99" s="30">
        <f>J99-H99</f>
        <v>0</v>
      </c>
      <c r="J99" s="30">
        <f>ROUND(F99*G99,2)</f>
        <v>0</v>
      </c>
      <c r="K99" s="30">
        <v>1.2E-2</v>
      </c>
      <c r="L99" s="30">
        <f>F99*K99</f>
        <v>0.216</v>
      </c>
      <c r="M99" s="31"/>
      <c r="N99" s="31" t="s">
        <v>55</v>
      </c>
      <c r="O99" s="30">
        <f>IF(N99="5",I99,0)</f>
        <v>0</v>
      </c>
      <c r="Z99" s="30">
        <f>IF(AD99=0,J99,0)</f>
        <v>0</v>
      </c>
      <c r="AA99" s="30">
        <f>IF(AD99=15,J99,0)</f>
        <v>0</v>
      </c>
      <c r="AB99" s="30">
        <f>IF(AD99=21,J99,0)</f>
        <v>0</v>
      </c>
      <c r="AD99" s="32">
        <v>21</v>
      </c>
      <c r="AE99" s="32">
        <f>G99*0.381443298969072</f>
        <v>0</v>
      </c>
      <c r="AF99" s="32">
        <f>G99*(1-0.381443298969072)</f>
        <v>0</v>
      </c>
      <c r="AM99" s="32">
        <f>F99*AE99</f>
        <v>0</v>
      </c>
      <c r="AN99" s="32">
        <f>F99*AF99</f>
        <v>0</v>
      </c>
      <c r="AO99" s="33" t="s">
        <v>171</v>
      </c>
      <c r="AP99" s="33" t="s">
        <v>171</v>
      </c>
      <c r="AQ99" s="21" t="s">
        <v>172</v>
      </c>
    </row>
    <row r="100" spans="1:43" x14ac:dyDescent="0.25">
      <c r="A100" s="26"/>
      <c r="B100" s="27" t="s">
        <v>165</v>
      </c>
      <c r="C100" s="27" t="s">
        <v>52</v>
      </c>
      <c r="D100" s="338" t="s">
        <v>53</v>
      </c>
      <c r="E100" s="339"/>
      <c r="F100" s="339"/>
      <c r="G100" s="339"/>
      <c r="H100" s="28">
        <f>SUM(H101:H101)</f>
        <v>0</v>
      </c>
      <c r="I100" s="28">
        <f>SUM(I101:I101)</f>
        <v>0</v>
      </c>
      <c r="J100" s="28">
        <f>H100+I100</f>
        <v>0</v>
      </c>
      <c r="K100" s="21"/>
      <c r="L100" s="28">
        <f>SUM(L101:L101)</f>
        <v>0.72872799999999993</v>
      </c>
      <c r="M100" s="21"/>
      <c r="P100" s="28">
        <f>IF(Q100="PR",J100,SUM(O101:O101))</f>
        <v>0</v>
      </c>
      <c r="Q100" s="21" t="s">
        <v>54</v>
      </c>
      <c r="R100" s="28">
        <f>IF(Q100="HS",H100,0)</f>
        <v>0</v>
      </c>
      <c r="S100" s="28">
        <f>IF(Q100="HS",I100-P100,0)</f>
        <v>0</v>
      </c>
      <c r="T100" s="28">
        <f>IF(Q100="PS",H100,0)</f>
        <v>0</v>
      </c>
      <c r="U100" s="28">
        <f>IF(Q100="PS",I100-P100,0)</f>
        <v>0</v>
      </c>
      <c r="V100" s="28">
        <f>IF(Q100="MP",H100,0)</f>
        <v>0</v>
      </c>
      <c r="W100" s="28">
        <f>IF(Q100="MP",I100-P100,0)</f>
        <v>0</v>
      </c>
      <c r="X100" s="28">
        <f>IF(Q100="OM",H100,0)</f>
        <v>0</v>
      </c>
      <c r="Y100" s="21" t="s">
        <v>165</v>
      </c>
      <c r="AI100" s="28">
        <f>SUM(Z101:Z101)</f>
        <v>0</v>
      </c>
      <c r="AJ100" s="28">
        <f>SUM(AA101:AA101)</f>
        <v>0</v>
      </c>
      <c r="AK100" s="28">
        <f>SUM(AB101:AB101)</f>
        <v>0</v>
      </c>
    </row>
    <row r="101" spans="1:43" x14ac:dyDescent="0.25">
      <c r="A101" s="29" t="s">
        <v>173</v>
      </c>
      <c r="B101" s="29" t="s">
        <v>165</v>
      </c>
      <c r="C101" s="29" t="s">
        <v>56</v>
      </c>
      <c r="D101" s="29" t="s">
        <v>57</v>
      </c>
      <c r="E101" s="29" t="s">
        <v>58</v>
      </c>
      <c r="F101" s="30">
        <v>72.8</v>
      </c>
      <c r="G101" s="317">
        <v>0</v>
      </c>
      <c r="H101" s="30">
        <f>ROUND(F101*AE101,2)</f>
        <v>0</v>
      </c>
      <c r="I101" s="30">
        <f>J101-H101</f>
        <v>0</v>
      </c>
      <c r="J101" s="30">
        <f>ROUND(F101*G101,2)</f>
        <v>0</v>
      </c>
      <c r="K101" s="30">
        <v>1.001E-2</v>
      </c>
      <c r="L101" s="30">
        <f>F101*K101</f>
        <v>0.72872799999999993</v>
      </c>
      <c r="M101" s="258" t="s">
        <v>2291</v>
      </c>
      <c r="N101" s="31" t="s">
        <v>59</v>
      </c>
      <c r="O101" s="30">
        <f>IF(N101="5",I101,0)</f>
        <v>0</v>
      </c>
      <c r="Z101" s="30">
        <f>IF(AD101=0,J101,0)</f>
        <v>0</v>
      </c>
      <c r="AA101" s="30">
        <f>IF(AD101=15,J101,0)</f>
        <v>0</v>
      </c>
      <c r="AB101" s="30">
        <f>IF(AD101=21,J101,0)</f>
        <v>0</v>
      </c>
      <c r="AD101" s="32">
        <v>21</v>
      </c>
      <c r="AE101" s="32">
        <f>G101*0.0756575801052128</f>
        <v>0</v>
      </c>
      <c r="AF101" s="32">
        <f>G101*(1-0.0756575801052128)</f>
        <v>0</v>
      </c>
      <c r="AM101" s="32">
        <f>F101*AE101</f>
        <v>0</v>
      </c>
      <c r="AN101" s="32">
        <f>F101*AF101</f>
        <v>0</v>
      </c>
      <c r="AO101" s="33" t="s">
        <v>60</v>
      </c>
      <c r="AP101" s="33" t="s">
        <v>61</v>
      </c>
      <c r="AQ101" s="21" t="s">
        <v>172</v>
      </c>
    </row>
    <row r="102" spans="1:43" ht="25.7" customHeight="1" x14ac:dyDescent="0.25">
      <c r="C102" s="34" t="s">
        <v>63</v>
      </c>
      <c r="D102" s="340" t="s">
        <v>64</v>
      </c>
      <c r="E102" s="341"/>
      <c r="F102" s="341"/>
      <c r="G102" s="341"/>
      <c r="H102" s="341"/>
      <c r="I102" s="341"/>
      <c r="J102" s="341"/>
      <c r="K102" s="341"/>
      <c r="L102" s="341"/>
      <c r="M102" s="341"/>
    </row>
    <row r="103" spans="1:43" x14ac:dyDescent="0.25">
      <c r="A103" s="26"/>
      <c r="B103" s="27" t="s">
        <v>165</v>
      </c>
      <c r="C103" s="27" t="s">
        <v>68</v>
      </c>
      <c r="D103" s="338" t="s">
        <v>69</v>
      </c>
      <c r="E103" s="339"/>
      <c r="F103" s="339"/>
      <c r="G103" s="339"/>
      <c r="H103" s="28">
        <f>SUM(H104:H104)</f>
        <v>0</v>
      </c>
      <c r="I103" s="28">
        <f>SUM(I104:I104)</f>
        <v>0</v>
      </c>
      <c r="J103" s="28">
        <f>H103+I103</f>
        <v>0</v>
      </c>
      <c r="K103" s="21"/>
      <c r="L103" s="28">
        <f>SUM(L104:L104)</f>
        <v>0.89712000000000003</v>
      </c>
      <c r="M103" s="21"/>
      <c r="P103" s="28">
        <f>IF(Q103="PR",J103,SUM(O104:O104))</f>
        <v>0</v>
      </c>
      <c r="Q103" s="21" t="s">
        <v>54</v>
      </c>
      <c r="R103" s="28">
        <f>IF(Q103="HS",H103,0)</f>
        <v>0</v>
      </c>
      <c r="S103" s="28">
        <f>IF(Q103="HS",I103-P103,0)</f>
        <v>0</v>
      </c>
      <c r="T103" s="28">
        <f>IF(Q103="PS",H103,0)</f>
        <v>0</v>
      </c>
      <c r="U103" s="28">
        <f>IF(Q103="PS",I103-P103,0)</f>
        <v>0</v>
      </c>
      <c r="V103" s="28">
        <f>IF(Q103="MP",H103,0)</f>
        <v>0</v>
      </c>
      <c r="W103" s="28">
        <f>IF(Q103="MP",I103-P103,0)</f>
        <v>0</v>
      </c>
      <c r="X103" s="28">
        <f>IF(Q103="OM",H103,0)</f>
        <v>0</v>
      </c>
      <c r="Y103" s="21" t="s">
        <v>165</v>
      </c>
      <c r="AI103" s="28">
        <f>SUM(Z104:Z104)</f>
        <v>0</v>
      </c>
      <c r="AJ103" s="28">
        <f>SUM(AA104:AA104)</f>
        <v>0</v>
      </c>
      <c r="AK103" s="28">
        <f>SUM(AB104:AB104)</f>
        <v>0</v>
      </c>
    </row>
    <row r="104" spans="1:43" x14ac:dyDescent="0.25">
      <c r="A104" s="29" t="s">
        <v>174</v>
      </c>
      <c r="B104" s="29" t="s">
        <v>165</v>
      </c>
      <c r="C104" s="29" t="s">
        <v>70</v>
      </c>
      <c r="D104" s="29" t="s">
        <v>71</v>
      </c>
      <c r="E104" s="29" t="s">
        <v>58</v>
      </c>
      <c r="F104" s="30">
        <v>18</v>
      </c>
      <c r="G104" s="317">
        <v>0</v>
      </c>
      <c r="H104" s="30">
        <f>ROUND(F104*AE104,2)</f>
        <v>0</v>
      </c>
      <c r="I104" s="30">
        <f>J104-H104</f>
        <v>0</v>
      </c>
      <c r="J104" s="30">
        <f>ROUND(F104*G104,2)</f>
        <v>0</v>
      </c>
      <c r="K104" s="30">
        <v>4.9840000000000002E-2</v>
      </c>
      <c r="L104" s="30">
        <f>F104*K104</f>
        <v>0.89712000000000003</v>
      </c>
      <c r="M104" s="258" t="s">
        <v>2291</v>
      </c>
      <c r="N104" s="31" t="s">
        <v>59</v>
      </c>
      <c r="O104" s="30">
        <f>IF(N104="5",I104,0)</f>
        <v>0</v>
      </c>
      <c r="Z104" s="30">
        <f>IF(AD104=0,J104,0)</f>
        <v>0</v>
      </c>
      <c r="AA104" s="30">
        <f>IF(AD104=15,J104,0)</f>
        <v>0</v>
      </c>
      <c r="AB104" s="30">
        <f>IF(AD104=21,J104,0)</f>
        <v>0</v>
      </c>
      <c r="AD104" s="32">
        <v>21</v>
      </c>
      <c r="AE104" s="32">
        <f>G104*0.411768721414431</f>
        <v>0</v>
      </c>
      <c r="AF104" s="32">
        <f>G104*(1-0.411768721414431)</f>
        <v>0</v>
      </c>
      <c r="AM104" s="32">
        <f>F104*AE104</f>
        <v>0</v>
      </c>
      <c r="AN104" s="32">
        <f>F104*AF104</f>
        <v>0</v>
      </c>
      <c r="AO104" s="33" t="s">
        <v>72</v>
      </c>
      <c r="AP104" s="33" t="s">
        <v>61</v>
      </c>
      <c r="AQ104" s="21" t="s">
        <v>172</v>
      </c>
    </row>
    <row r="105" spans="1:43" x14ac:dyDescent="0.25">
      <c r="A105" s="26"/>
      <c r="B105" s="27" t="s">
        <v>165</v>
      </c>
      <c r="C105" s="27" t="s">
        <v>73</v>
      </c>
      <c r="D105" s="338" t="s">
        <v>74</v>
      </c>
      <c r="E105" s="339"/>
      <c r="F105" s="339"/>
      <c r="G105" s="339"/>
      <c r="H105" s="28">
        <f>SUM(H106:H108)</f>
        <v>0</v>
      </c>
      <c r="I105" s="28">
        <f>SUM(I106:I108)</f>
        <v>0</v>
      </c>
      <c r="J105" s="28">
        <f>H105+I105</f>
        <v>0</v>
      </c>
      <c r="K105" s="21"/>
      <c r="L105" s="28">
        <f>SUM(L106:L108)</f>
        <v>1.66032</v>
      </c>
      <c r="M105" s="21"/>
      <c r="P105" s="28">
        <f>IF(Q105="PR",J105,SUM(O106:O108))</f>
        <v>0</v>
      </c>
      <c r="Q105" s="21" t="s">
        <v>75</v>
      </c>
      <c r="R105" s="28">
        <f>IF(Q105="HS",H105,0)</f>
        <v>0</v>
      </c>
      <c r="S105" s="28">
        <f>IF(Q105="HS",I105-P105,0)</f>
        <v>0</v>
      </c>
      <c r="T105" s="28">
        <f>IF(Q105="PS",H105,0)</f>
        <v>0</v>
      </c>
      <c r="U105" s="28">
        <f>IF(Q105="PS",I105-P105,0)</f>
        <v>0</v>
      </c>
      <c r="V105" s="28">
        <f>IF(Q105="MP",H105,0)</f>
        <v>0</v>
      </c>
      <c r="W105" s="28">
        <f>IF(Q105="MP",I105-P105,0)</f>
        <v>0</v>
      </c>
      <c r="X105" s="28">
        <f>IF(Q105="OM",H105,0)</f>
        <v>0</v>
      </c>
      <c r="Y105" s="21" t="s">
        <v>165</v>
      </c>
      <c r="AI105" s="28">
        <f>SUM(Z106:Z108)</f>
        <v>0</v>
      </c>
      <c r="AJ105" s="28">
        <f>SUM(AA106:AA108)</f>
        <v>0</v>
      </c>
      <c r="AK105" s="28">
        <f>SUM(AB106:AB108)</f>
        <v>0</v>
      </c>
    </row>
    <row r="106" spans="1:43" x14ac:dyDescent="0.25">
      <c r="A106" s="29" t="s">
        <v>175</v>
      </c>
      <c r="B106" s="29" t="s">
        <v>165</v>
      </c>
      <c r="C106" s="29" t="s">
        <v>77</v>
      </c>
      <c r="D106" s="29" t="s">
        <v>2277</v>
      </c>
      <c r="E106" s="29" t="s">
        <v>58</v>
      </c>
      <c r="F106" s="30">
        <v>18</v>
      </c>
      <c r="G106" s="317">
        <v>0</v>
      </c>
      <c r="H106" s="30">
        <f>ROUND(F106*AE106,2)</f>
        <v>0</v>
      </c>
      <c r="I106" s="30">
        <f>J106-H106</f>
        <v>0</v>
      </c>
      <c r="J106" s="30">
        <f>ROUND(F106*G106,2)</f>
        <v>0</v>
      </c>
      <c r="K106" s="30">
        <v>1.61E-2</v>
      </c>
      <c r="L106" s="30">
        <f>F106*K106</f>
        <v>0.2898</v>
      </c>
      <c r="M106" s="258" t="s">
        <v>2291</v>
      </c>
      <c r="N106" s="31" t="s">
        <v>59</v>
      </c>
      <c r="O106" s="30">
        <f>IF(N106="5",I106,0)</f>
        <v>0</v>
      </c>
      <c r="Z106" s="30">
        <f>IF(AD106=0,J106,0)</f>
        <v>0</v>
      </c>
      <c r="AA106" s="30">
        <f>IF(AD106=15,J106,0)</f>
        <v>0</v>
      </c>
      <c r="AB106" s="30">
        <f>IF(AD106=21,J106,0)</f>
        <v>0</v>
      </c>
      <c r="AD106" s="32">
        <v>21</v>
      </c>
      <c r="AE106" s="32">
        <f>G106*0.787221324717286</f>
        <v>0</v>
      </c>
      <c r="AF106" s="32">
        <f>G106*(1-0.787221324717286)</f>
        <v>0</v>
      </c>
      <c r="AM106" s="32">
        <f>F106*AE106</f>
        <v>0</v>
      </c>
      <c r="AN106" s="32">
        <f>F106*AF106</f>
        <v>0</v>
      </c>
      <c r="AO106" s="33" t="s">
        <v>78</v>
      </c>
      <c r="AP106" s="33" t="s">
        <v>79</v>
      </c>
      <c r="AQ106" s="21" t="s">
        <v>172</v>
      </c>
    </row>
    <row r="107" spans="1:43" ht="12.75" customHeight="1" x14ac:dyDescent="0.25">
      <c r="C107" s="34" t="s">
        <v>63</v>
      </c>
      <c r="D107" s="340" t="s">
        <v>2280</v>
      </c>
      <c r="E107" s="341"/>
      <c r="F107" s="341"/>
      <c r="G107" s="341"/>
      <c r="H107" s="341"/>
      <c r="I107" s="341"/>
      <c r="J107" s="341"/>
      <c r="K107" s="341"/>
      <c r="L107" s="341"/>
      <c r="M107" s="341"/>
    </row>
    <row r="108" spans="1:43" x14ac:dyDescent="0.25">
      <c r="A108" s="29" t="s">
        <v>176</v>
      </c>
      <c r="B108" s="29" t="s">
        <v>165</v>
      </c>
      <c r="C108" s="29" t="s">
        <v>122</v>
      </c>
      <c r="D108" s="29" t="s">
        <v>123</v>
      </c>
      <c r="E108" s="29" t="s">
        <v>58</v>
      </c>
      <c r="F108" s="30">
        <v>18</v>
      </c>
      <c r="G108" s="317">
        <v>0</v>
      </c>
      <c r="H108" s="30">
        <f>ROUND(F108*AE108,2)</f>
        <v>0</v>
      </c>
      <c r="I108" s="30">
        <f>J108-H108</f>
        <v>0</v>
      </c>
      <c r="J108" s="30">
        <f>ROUND(F108*G108,2)</f>
        <v>0</v>
      </c>
      <c r="K108" s="30">
        <v>7.6139999999999999E-2</v>
      </c>
      <c r="L108" s="30">
        <f>F108*K108</f>
        <v>1.37052</v>
      </c>
      <c r="M108" s="258" t="s">
        <v>2291</v>
      </c>
      <c r="N108" s="31" t="s">
        <v>59</v>
      </c>
      <c r="O108" s="30">
        <f>IF(N108="5",I108,0)</f>
        <v>0</v>
      </c>
      <c r="Z108" s="30">
        <f>IF(AD108=0,J108,0)</f>
        <v>0</v>
      </c>
      <c r="AA108" s="30">
        <f>IF(AD108=15,J108,0)</f>
        <v>0</v>
      </c>
      <c r="AB108" s="30">
        <f>IF(AD108=21,J108,0)</f>
        <v>0</v>
      </c>
      <c r="AD108" s="32">
        <v>21</v>
      </c>
      <c r="AE108" s="32">
        <f>G108*0.547569562266712</f>
        <v>0</v>
      </c>
      <c r="AF108" s="32">
        <f>G108*(1-0.547569562266712)</f>
        <v>0</v>
      </c>
      <c r="AM108" s="32">
        <f>F108*AE108</f>
        <v>0</v>
      </c>
      <c r="AN108" s="32">
        <f>F108*AF108</f>
        <v>0</v>
      </c>
      <c r="AO108" s="33" t="s">
        <v>78</v>
      </c>
      <c r="AP108" s="33" t="s">
        <v>79</v>
      </c>
      <c r="AQ108" s="21" t="s">
        <v>172</v>
      </c>
    </row>
    <row r="109" spans="1:43" x14ac:dyDescent="0.25">
      <c r="A109" s="26"/>
      <c r="B109" s="27" t="s">
        <v>165</v>
      </c>
      <c r="C109" s="27" t="s">
        <v>93</v>
      </c>
      <c r="D109" s="338" t="s">
        <v>94</v>
      </c>
      <c r="E109" s="339"/>
      <c r="F109" s="339"/>
      <c r="G109" s="339"/>
      <c r="H109" s="28">
        <f>SUM(H110:H110)</f>
        <v>0</v>
      </c>
      <c r="I109" s="28">
        <f>SUM(I110:I110)</f>
        <v>0</v>
      </c>
      <c r="J109" s="28">
        <f>H109+I109</f>
        <v>0</v>
      </c>
      <c r="K109" s="21"/>
      <c r="L109" s="28">
        <f>SUM(L110:L110)</f>
        <v>5.9019999999999996E-2</v>
      </c>
      <c r="M109" s="21"/>
      <c r="P109" s="28">
        <f>IF(Q109="PR",J109,SUM(O110:O110))</f>
        <v>0</v>
      </c>
      <c r="Q109" s="21" t="s">
        <v>75</v>
      </c>
      <c r="R109" s="28">
        <f>IF(Q109="HS",H109,0)</f>
        <v>0</v>
      </c>
      <c r="S109" s="28">
        <f>IF(Q109="HS",I109-P109,0)</f>
        <v>0</v>
      </c>
      <c r="T109" s="28">
        <f>IF(Q109="PS",H109,0)</f>
        <v>0</v>
      </c>
      <c r="U109" s="28">
        <f>IF(Q109="PS",I109-P109,0)</f>
        <v>0</v>
      </c>
      <c r="V109" s="28">
        <f>IF(Q109="MP",H109,0)</f>
        <v>0</v>
      </c>
      <c r="W109" s="28">
        <f>IF(Q109="MP",I109-P109,0)</f>
        <v>0</v>
      </c>
      <c r="X109" s="28">
        <f>IF(Q109="OM",H109,0)</f>
        <v>0</v>
      </c>
      <c r="Y109" s="21" t="s">
        <v>165</v>
      </c>
      <c r="AI109" s="28">
        <f>SUM(Z110:Z110)</f>
        <v>0</v>
      </c>
      <c r="AJ109" s="28">
        <f>SUM(AA110:AA110)</f>
        <v>0</v>
      </c>
      <c r="AK109" s="28">
        <f>SUM(AB110:AB110)</f>
        <v>0</v>
      </c>
    </row>
    <row r="110" spans="1:43" x14ac:dyDescent="0.25">
      <c r="A110" s="29" t="s">
        <v>177</v>
      </c>
      <c r="B110" s="29" t="s">
        <v>165</v>
      </c>
      <c r="C110" s="29" t="s">
        <v>96</v>
      </c>
      <c r="D110" s="29" t="s">
        <v>97</v>
      </c>
      <c r="E110" s="29" t="s">
        <v>58</v>
      </c>
      <c r="F110" s="30">
        <v>90.8</v>
      </c>
      <c r="G110" s="317">
        <v>0</v>
      </c>
      <c r="H110" s="30">
        <f>ROUND(F110*AE110,2)</f>
        <v>0</v>
      </c>
      <c r="I110" s="30">
        <f>J110-H110</f>
        <v>0</v>
      </c>
      <c r="J110" s="30">
        <f>ROUND(F110*G110,2)</f>
        <v>0</v>
      </c>
      <c r="K110" s="30">
        <v>6.4999999999999997E-4</v>
      </c>
      <c r="L110" s="30">
        <f>F110*K110</f>
        <v>5.9019999999999996E-2</v>
      </c>
      <c r="M110" s="258" t="s">
        <v>2291</v>
      </c>
      <c r="N110" s="31" t="s">
        <v>59</v>
      </c>
      <c r="O110" s="30">
        <f>IF(N110="5",I110,0)</f>
        <v>0</v>
      </c>
      <c r="Z110" s="30">
        <f>IF(AD110=0,J110,0)</f>
        <v>0</v>
      </c>
      <c r="AA110" s="30">
        <f>IF(AD110=15,J110,0)</f>
        <v>0</v>
      </c>
      <c r="AB110" s="30">
        <f>IF(AD110=21,J110,0)</f>
        <v>0</v>
      </c>
      <c r="AD110" s="32">
        <v>21</v>
      </c>
      <c r="AE110" s="32">
        <f>G110*0.333747476316198</f>
        <v>0</v>
      </c>
      <c r="AF110" s="32">
        <f>G110*(1-0.333747476316198)</f>
        <v>0</v>
      </c>
      <c r="AM110" s="32">
        <f>F110*AE110</f>
        <v>0</v>
      </c>
      <c r="AN110" s="32">
        <f>F110*AF110</f>
        <v>0</v>
      </c>
      <c r="AO110" s="33" t="s">
        <v>98</v>
      </c>
      <c r="AP110" s="33" t="s">
        <v>92</v>
      </c>
      <c r="AQ110" s="21" t="s">
        <v>172</v>
      </c>
    </row>
    <row r="111" spans="1:43" x14ac:dyDescent="0.25">
      <c r="A111" s="26"/>
      <c r="B111" s="27" t="s">
        <v>178</v>
      </c>
      <c r="C111" s="27"/>
      <c r="D111" s="338" t="s">
        <v>178</v>
      </c>
      <c r="E111" s="339"/>
      <c r="F111" s="339"/>
      <c r="G111" s="339"/>
      <c r="H111" s="28">
        <f>H112+H114+H119+H122+H126+H128+H130+H133</f>
        <v>0</v>
      </c>
      <c r="I111" s="28">
        <f>I112+I114+I119+I122+I126+I128+I130+I133</f>
        <v>0</v>
      </c>
      <c r="J111" s="28">
        <f>H111+I111</f>
        <v>0</v>
      </c>
      <c r="K111" s="21"/>
      <c r="L111" s="28">
        <f>L112+L114+L119+L122+L126+L128+L130+L133</f>
        <v>25.830504999999999</v>
      </c>
      <c r="M111" s="21"/>
    </row>
    <row r="112" spans="1:43" x14ac:dyDescent="0.25">
      <c r="A112" s="26"/>
      <c r="B112" s="27" t="s">
        <v>178</v>
      </c>
      <c r="C112" s="27" t="s">
        <v>166</v>
      </c>
      <c r="D112" s="338" t="s">
        <v>167</v>
      </c>
      <c r="E112" s="339"/>
      <c r="F112" s="339"/>
      <c r="G112" s="339"/>
      <c r="H112" s="28">
        <f>SUM(H113:H113)</f>
        <v>0</v>
      </c>
      <c r="I112" s="28">
        <f>SUM(I113:I113)</f>
        <v>0</v>
      </c>
      <c r="J112" s="28">
        <f>H112+I112</f>
        <v>0</v>
      </c>
      <c r="K112" s="21"/>
      <c r="L112" s="28">
        <f>SUM(L113:L113)</f>
        <v>8.4000000000000005E-2</v>
      </c>
      <c r="M112" s="21"/>
      <c r="P112" s="28">
        <f>IF(Q112="PR",J112,SUM(O113:O113))</f>
        <v>0</v>
      </c>
      <c r="Q112" s="21" t="s">
        <v>54</v>
      </c>
      <c r="R112" s="28">
        <f>IF(Q112="HS",H112,0)</f>
        <v>0</v>
      </c>
      <c r="S112" s="28">
        <f>IF(Q112="HS",I112-P112,0)</f>
        <v>0</v>
      </c>
      <c r="T112" s="28">
        <f>IF(Q112="PS",H112,0)</f>
        <v>0</v>
      </c>
      <c r="U112" s="28">
        <f>IF(Q112="PS",I112-P112,0)</f>
        <v>0</v>
      </c>
      <c r="V112" s="28">
        <f>IF(Q112="MP",H112,0)</f>
        <v>0</v>
      </c>
      <c r="W112" s="28">
        <f>IF(Q112="MP",I112-P112,0)</f>
        <v>0</v>
      </c>
      <c r="X112" s="28">
        <f>IF(Q112="OM",H112,0)</f>
        <v>0</v>
      </c>
      <c r="Y112" s="21" t="s">
        <v>178</v>
      </c>
      <c r="AI112" s="28">
        <f>SUM(Z113:Z113)</f>
        <v>0</v>
      </c>
      <c r="AJ112" s="28">
        <f>SUM(AA113:AA113)</f>
        <v>0</v>
      </c>
      <c r="AK112" s="28">
        <f>SUM(AB113:AB113)</f>
        <v>0</v>
      </c>
    </row>
    <row r="113" spans="1:43" x14ac:dyDescent="0.25">
      <c r="A113" s="29" t="s">
        <v>179</v>
      </c>
      <c r="B113" s="29" t="s">
        <v>178</v>
      </c>
      <c r="C113" s="29" t="s">
        <v>169</v>
      </c>
      <c r="D113" s="29" t="s">
        <v>170</v>
      </c>
      <c r="E113" s="29" t="s">
        <v>58</v>
      </c>
      <c r="F113" s="30">
        <v>7</v>
      </c>
      <c r="G113" s="317">
        <v>0</v>
      </c>
      <c r="H113" s="30">
        <f>ROUND(F113*AE113,2)</f>
        <v>0</v>
      </c>
      <c r="I113" s="30">
        <f>J113-H113</f>
        <v>0</v>
      </c>
      <c r="J113" s="30">
        <f>ROUND(F113*G113,2)</f>
        <v>0</v>
      </c>
      <c r="K113" s="30">
        <v>1.2E-2</v>
      </c>
      <c r="L113" s="30">
        <f>F113*K113</f>
        <v>8.4000000000000005E-2</v>
      </c>
      <c r="M113" s="31"/>
      <c r="N113" s="31" t="s">
        <v>55</v>
      </c>
      <c r="O113" s="30">
        <f>IF(N113="5",I113,0)</f>
        <v>0</v>
      </c>
      <c r="Z113" s="30">
        <f>IF(AD113=0,J113,0)</f>
        <v>0</v>
      </c>
      <c r="AA113" s="30">
        <f>IF(AD113=15,J113,0)</f>
        <v>0</v>
      </c>
      <c r="AB113" s="30">
        <f>IF(AD113=21,J113,0)</f>
        <v>0</v>
      </c>
      <c r="AD113" s="32">
        <v>21</v>
      </c>
      <c r="AE113" s="32">
        <f>G113*0.381443298969072</f>
        <v>0</v>
      </c>
      <c r="AF113" s="32">
        <f>G113*(1-0.381443298969072)</f>
        <v>0</v>
      </c>
      <c r="AM113" s="32">
        <f>F113*AE113</f>
        <v>0</v>
      </c>
      <c r="AN113" s="32">
        <f>F113*AF113</f>
        <v>0</v>
      </c>
      <c r="AO113" s="33" t="s">
        <v>171</v>
      </c>
      <c r="AP113" s="33" t="s">
        <v>171</v>
      </c>
      <c r="AQ113" s="21" t="s">
        <v>180</v>
      </c>
    </row>
    <row r="114" spans="1:43" x14ac:dyDescent="0.25">
      <c r="A114" s="26"/>
      <c r="B114" s="27" t="s">
        <v>178</v>
      </c>
      <c r="C114" s="27" t="s">
        <v>52</v>
      </c>
      <c r="D114" s="338" t="s">
        <v>53</v>
      </c>
      <c r="E114" s="339"/>
      <c r="F114" s="339"/>
      <c r="G114" s="339"/>
      <c r="H114" s="28">
        <f>SUM(H115:H117)</f>
        <v>0</v>
      </c>
      <c r="I114" s="28">
        <f>SUM(I115:I117)</f>
        <v>0</v>
      </c>
      <c r="J114" s="28">
        <f>H114+I114</f>
        <v>0</v>
      </c>
      <c r="K114" s="21"/>
      <c r="L114" s="28">
        <f>SUM(L115:L117)</f>
        <v>0.71872499999999995</v>
      </c>
      <c r="M114" s="21"/>
      <c r="P114" s="28">
        <f>IF(Q114="PR",J114,SUM(O115:O117))</f>
        <v>0</v>
      </c>
      <c r="Q114" s="21" t="s">
        <v>54</v>
      </c>
      <c r="R114" s="28">
        <f>IF(Q114="HS",H114,0)</f>
        <v>0</v>
      </c>
      <c r="S114" s="28">
        <f>IF(Q114="HS",I114-P114,0)</f>
        <v>0</v>
      </c>
      <c r="T114" s="28">
        <f>IF(Q114="PS",H114,0)</f>
        <v>0</v>
      </c>
      <c r="U114" s="28">
        <f>IF(Q114="PS",I114-P114,0)</f>
        <v>0</v>
      </c>
      <c r="V114" s="28">
        <f>IF(Q114="MP",H114,0)</f>
        <v>0</v>
      </c>
      <c r="W114" s="28">
        <f>IF(Q114="MP",I114-P114,0)</f>
        <v>0</v>
      </c>
      <c r="X114" s="28">
        <f>IF(Q114="OM",H114,0)</f>
        <v>0</v>
      </c>
      <c r="Y114" s="21" t="s">
        <v>178</v>
      </c>
      <c r="AI114" s="28">
        <f>SUM(Z115:Z117)</f>
        <v>0</v>
      </c>
      <c r="AJ114" s="28">
        <f>SUM(AA115:AA117)</f>
        <v>0</v>
      </c>
      <c r="AK114" s="28">
        <f>SUM(AB115:AB117)</f>
        <v>0</v>
      </c>
    </row>
    <row r="115" spans="1:43" x14ac:dyDescent="0.25">
      <c r="A115" s="29" t="s">
        <v>181</v>
      </c>
      <c r="B115" s="29" t="s">
        <v>178</v>
      </c>
      <c r="C115" s="29" t="s">
        <v>66</v>
      </c>
      <c r="D115" s="29" t="s">
        <v>67</v>
      </c>
      <c r="E115" s="29" t="s">
        <v>58</v>
      </c>
      <c r="F115" s="30">
        <v>29.4</v>
      </c>
      <c r="G115" s="317">
        <v>0</v>
      </c>
      <c r="H115" s="30">
        <f>ROUND(F115*AE115,2)</f>
        <v>0</v>
      </c>
      <c r="I115" s="30">
        <f>J115-H115</f>
        <v>0</v>
      </c>
      <c r="J115" s="30">
        <f>ROUND(F115*G115,2)</f>
        <v>0</v>
      </c>
      <c r="K115" s="30">
        <v>9.8399999999999998E-3</v>
      </c>
      <c r="L115" s="30">
        <f>F115*K115</f>
        <v>0.289296</v>
      </c>
      <c r="M115" s="258" t="s">
        <v>2291</v>
      </c>
      <c r="N115" s="31" t="s">
        <v>59</v>
      </c>
      <c r="O115" s="30">
        <f>IF(N115="5",I115,0)</f>
        <v>0</v>
      </c>
      <c r="Z115" s="30">
        <f>IF(AD115=0,J115,0)</f>
        <v>0</v>
      </c>
      <c r="AA115" s="30">
        <f>IF(AD115=15,J115,0)</f>
        <v>0</v>
      </c>
      <c r="AB115" s="30">
        <f>IF(AD115=21,J115,0)</f>
        <v>0</v>
      </c>
      <c r="AD115" s="32">
        <v>21</v>
      </c>
      <c r="AE115" s="32">
        <f>G115*0.160304682766381</f>
        <v>0</v>
      </c>
      <c r="AF115" s="32">
        <f>G115*(1-0.160304682766381)</f>
        <v>0</v>
      </c>
      <c r="AM115" s="32">
        <f>F115*AE115</f>
        <v>0</v>
      </c>
      <c r="AN115" s="32">
        <f>F115*AF115</f>
        <v>0</v>
      </c>
      <c r="AO115" s="33" t="s">
        <v>60</v>
      </c>
      <c r="AP115" s="33" t="s">
        <v>61</v>
      </c>
      <c r="AQ115" s="21" t="s">
        <v>180</v>
      </c>
    </row>
    <row r="116" spans="1:43" ht="25.7" customHeight="1" x14ac:dyDescent="0.25">
      <c r="C116" s="34" t="s">
        <v>63</v>
      </c>
      <c r="D116" s="340" t="s">
        <v>64</v>
      </c>
      <c r="E116" s="341"/>
      <c r="F116" s="341"/>
      <c r="G116" s="341"/>
      <c r="H116" s="341"/>
      <c r="I116" s="341"/>
      <c r="J116" s="341"/>
      <c r="K116" s="341"/>
      <c r="L116" s="341"/>
      <c r="M116" s="341"/>
    </row>
    <row r="117" spans="1:43" x14ac:dyDescent="0.25">
      <c r="A117" s="29" t="s">
        <v>182</v>
      </c>
      <c r="B117" s="29" t="s">
        <v>178</v>
      </c>
      <c r="C117" s="29" t="s">
        <v>56</v>
      </c>
      <c r="D117" s="29" t="s">
        <v>57</v>
      </c>
      <c r="E117" s="29" t="s">
        <v>58</v>
      </c>
      <c r="F117" s="30">
        <v>42.9</v>
      </c>
      <c r="G117" s="317">
        <v>0</v>
      </c>
      <c r="H117" s="30">
        <f>ROUND(F117*AE117,2)</f>
        <v>0</v>
      </c>
      <c r="I117" s="30">
        <f>J117-H117</f>
        <v>0</v>
      </c>
      <c r="J117" s="30">
        <f>ROUND(F117*G117,2)</f>
        <v>0</v>
      </c>
      <c r="K117" s="30">
        <v>1.001E-2</v>
      </c>
      <c r="L117" s="30">
        <f>F117*K117</f>
        <v>0.42942899999999995</v>
      </c>
      <c r="M117" s="258" t="s">
        <v>2291</v>
      </c>
      <c r="N117" s="31" t="s">
        <v>59</v>
      </c>
      <c r="O117" s="30">
        <f>IF(N117="5",I117,0)</f>
        <v>0</v>
      </c>
      <c r="Z117" s="30">
        <f>IF(AD117=0,J117,0)</f>
        <v>0</v>
      </c>
      <c r="AA117" s="30">
        <f>IF(AD117=15,J117,0)</f>
        <v>0</v>
      </c>
      <c r="AB117" s="30">
        <f>IF(AD117=21,J117,0)</f>
        <v>0</v>
      </c>
      <c r="AD117" s="32">
        <v>21</v>
      </c>
      <c r="AE117" s="32">
        <f>G117*0.0756575801052128</f>
        <v>0</v>
      </c>
      <c r="AF117" s="32">
        <f>G117*(1-0.0756575801052128)</f>
        <v>0</v>
      </c>
      <c r="AM117" s="32">
        <f>F117*AE117</f>
        <v>0</v>
      </c>
      <c r="AN117" s="32">
        <f>F117*AF117</f>
        <v>0</v>
      </c>
      <c r="AO117" s="33" t="s">
        <v>60</v>
      </c>
      <c r="AP117" s="33" t="s">
        <v>61</v>
      </c>
      <c r="AQ117" s="21" t="s">
        <v>180</v>
      </c>
    </row>
    <row r="118" spans="1:43" ht="25.7" customHeight="1" x14ac:dyDescent="0.25">
      <c r="C118" s="34" t="s">
        <v>63</v>
      </c>
      <c r="D118" s="340" t="s">
        <v>64</v>
      </c>
      <c r="E118" s="341"/>
      <c r="F118" s="341"/>
      <c r="G118" s="341"/>
      <c r="H118" s="341"/>
      <c r="I118" s="341"/>
      <c r="J118" s="341"/>
      <c r="K118" s="341"/>
      <c r="L118" s="341"/>
      <c r="M118" s="341"/>
    </row>
    <row r="119" spans="1:43" x14ac:dyDescent="0.25">
      <c r="A119" s="26"/>
      <c r="B119" s="27" t="s">
        <v>178</v>
      </c>
      <c r="C119" s="27" t="s">
        <v>68</v>
      </c>
      <c r="D119" s="338" t="s">
        <v>69</v>
      </c>
      <c r="E119" s="339"/>
      <c r="F119" s="339"/>
      <c r="G119" s="339"/>
      <c r="H119" s="28">
        <f>SUM(H120:H121)</f>
        <v>0</v>
      </c>
      <c r="I119" s="28">
        <f>SUM(I120:I121)</f>
        <v>0</v>
      </c>
      <c r="J119" s="28">
        <f>H119+I119</f>
        <v>0</v>
      </c>
      <c r="K119" s="21"/>
      <c r="L119" s="28">
        <f>SUM(L120:L121)</f>
        <v>18.477096</v>
      </c>
      <c r="M119" s="21"/>
      <c r="P119" s="28">
        <f>IF(Q119="PR",J119,SUM(O120:O121))</f>
        <v>0</v>
      </c>
      <c r="Q119" s="21" t="s">
        <v>54</v>
      </c>
      <c r="R119" s="28">
        <f>IF(Q119="HS",H119,0)</f>
        <v>0</v>
      </c>
      <c r="S119" s="28">
        <f>IF(Q119="HS",I119-P119,0)</f>
        <v>0</v>
      </c>
      <c r="T119" s="28">
        <f>IF(Q119="PS",H119,0)</f>
        <v>0</v>
      </c>
      <c r="U119" s="28">
        <f>IF(Q119="PS",I119-P119,0)</f>
        <v>0</v>
      </c>
      <c r="V119" s="28">
        <f>IF(Q119="MP",H119,0)</f>
        <v>0</v>
      </c>
      <c r="W119" s="28">
        <f>IF(Q119="MP",I119-P119,0)</f>
        <v>0</v>
      </c>
      <c r="X119" s="28">
        <f>IF(Q119="OM",H119,0)</f>
        <v>0</v>
      </c>
      <c r="Y119" s="21" t="s">
        <v>178</v>
      </c>
      <c r="AI119" s="28">
        <f>SUM(Z120:Z121)</f>
        <v>0</v>
      </c>
      <c r="AJ119" s="28">
        <f>SUM(AA120:AA121)</f>
        <v>0</v>
      </c>
      <c r="AK119" s="28">
        <f>SUM(AB120:AB121)</f>
        <v>0</v>
      </c>
    </row>
    <row r="120" spans="1:43" x14ac:dyDescent="0.25">
      <c r="A120" s="29" t="s">
        <v>183</v>
      </c>
      <c r="B120" s="29" t="s">
        <v>178</v>
      </c>
      <c r="C120" s="29" t="s">
        <v>70</v>
      </c>
      <c r="D120" s="29" t="s">
        <v>71</v>
      </c>
      <c r="E120" s="29" t="s">
        <v>58</v>
      </c>
      <c r="F120" s="30">
        <v>29.4</v>
      </c>
      <c r="G120" s="317">
        <v>0</v>
      </c>
      <c r="H120" s="30">
        <f>ROUND(F120*AE120,2)</f>
        <v>0</v>
      </c>
      <c r="I120" s="30">
        <f>J120-H120</f>
        <v>0</v>
      </c>
      <c r="J120" s="30">
        <f>ROUND(F120*G120,2)</f>
        <v>0</v>
      </c>
      <c r="K120" s="30">
        <v>4.9840000000000002E-2</v>
      </c>
      <c r="L120" s="30">
        <f>F120*K120</f>
        <v>1.4652959999999999</v>
      </c>
      <c r="M120" s="258" t="s">
        <v>2291</v>
      </c>
      <c r="N120" s="31" t="s">
        <v>59</v>
      </c>
      <c r="O120" s="30">
        <f>IF(N120="5",I120,0)</f>
        <v>0</v>
      </c>
      <c r="Z120" s="30">
        <f>IF(AD120=0,J120,0)</f>
        <v>0</v>
      </c>
      <c r="AA120" s="30">
        <f>IF(AD120=15,J120,0)</f>
        <v>0</v>
      </c>
      <c r="AB120" s="30">
        <f>IF(AD120=21,J120,0)</f>
        <v>0</v>
      </c>
      <c r="AD120" s="32">
        <v>21</v>
      </c>
      <c r="AE120" s="32">
        <f>G120*0.411768721414431</f>
        <v>0</v>
      </c>
      <c r="AF120" s="32">
        <f>G120*(1-0.411768721414431)</f>
        <v>0</v>
      </c>
      <c r="AM120" s="32">
        <f>F120*AE120</f>
        <v>0</v>
      </c>
      <c r="AN120" s="32">
        <f>F120*AF120</f>
        <v>0</v>
      </c>
      <c r="AO120" s="33" t="s">
        <v>72</v>
      </c>
      <c r="AP120" s="33" t="s">
        <v>61</v>
      </c>
      <c r="AQ120" s="21" t="s">
        <v>180</v>
      </c>
    </row>
    <row r="121" spans="1:43" x14ac:dyDescent="0.25">
      <c r="A121" s="29" t="s">
        <v>184</v>
      </c>
      <c r="B121" s="29" t="s">
        <v>178</v>
      </c>
      <c r="C121" s="29" t="s">
        <v>185</v>
      </c>
      <c r="D121" s="29" t="s">
        <v>186</v>
      </c>
      <c r="E121" s="29" t="s">
        <v>58</v>
      </c>
      <c r="F121" s="30">
        <v>26</v>
      </c>
      <c r="G121" s="317">
        <v>0</v>
      </c>
      <c r="H121" s="30">
        <f>ROUND(F121*AE121,2)</f>
        <v>0</v>
      </c>
      <c r="I121" s="30">
        <f>J121-H121</f>
        <v>0</v>
      </c>
      <c r="J121" s="30">
        <f>ROUND(F121*G121,2)</f>
        <v>0</v>
      </c>
      <c r="K121" s="30">
        <v>0.65429999999999999</v>
      </c>
      <c r="L121" s="30">
        <f>F121*K121</f>
        <v>17.011800000000001</v>
      </c>
      <c r="M121" s="258" t="s">
        <v>2291</v>
      </c>
      <c r="N121" s="31" t="s">
        <v>59</v>
      </c>
      <c r="O121" s="30">
        <f>IF(N121="5",I121,0)</f>
        <v>0</v>
      </c>
      <c r="Z121" s="30">
        <f>IF(AD121=0,J121,0)</f>
        <v>0</v>
      </c>
      <c r="AA121" s="30">
        <f>IF(AD121=15,J121,0)</f>
        <v>0</v>
      </c>
      <c r="AB121" s="30">
        <f>IF(AD121=21,J121,0)</f>
        <v>0</v>
      </c>
      <c r="AD121" s="32">
        <v>21</v>
      </c>
      <c r="AE121" s="32">
        <f>G121*0.563622974963181</f>
        <v>0</v>
      </c>
      <c r="AF121" s="32">
        <f>G121*(1-0.563622974963181)</f>
        <v>0</v>
      </c>
      <c r="AM121" s="32">
        <f>F121*AE121</f>
        <v>0</v>
      </c>
      <c r="AN121" s="32">
        <f>F121*AF121</f>
        <v>0</v>
      </c>
      <c r="AO121" s="33" t="s">
        <v>72</v>
      </c>
      <c r="AP121" s="33" t="s">
        <v>61</v>
      </c>
      <c r="AQ121" s="21" t="s">
        <v>180</v>
      </c>
    </row>
    <row r="122" spans="1:43" x14ac:dyDescent="0.25">
      <c r="A122" s="26"/>
      <c r="B122" s="27" t="s">
        <v>178</v>
      </c>
      <c r="C122" s="27" t="s">
        <v>73</v>
      </c>
      <c r="D122" s="338" t="s">
        <v>74</v>
      </c>
      <c r="E122" s="339"/>
      <c r="F122" s="339"/>
      <c r="G122" s="339"/>
      <c r="H122" s="28">
        <f>SUM(H123:H125)</f>
        <v>0</v>
      </c>
      <c r="I122" s="28">
        <f>SUM(I123:I125)</f>
        <v>0</v>
      </c>
      <c r="J122" s="28">
        <f>H122+I122</f>
        <v>0</v>
      </c>
      <c r="K122" s="21"/>
      <c r="L122" s="28">
        <f>SUM(L123:L125)</f>
        <v>2.7118559999999996</v>
      </c>
      <c r="M122" s="21"/>
      <c r="P122" s="28">
        <f>IF(Q122="PR",J122,SUM(O123:O125))</f>
        <v>0</v>
      </c>
      <c r="Q122" s="21" t="s">
        <v>75</v>
      </c>
      <c r="R122" s="28">
        <f>IF(Q122="HS",H122,0)</f>
        <v>0</v>
      </c>
      <c r="S122" s="28">
        <f>IF(Q122="HS",I122-P122,0)</f>
        <v>0</v>
      </c>
      <c r="T122" s="28">
        <f>IF(Q122="PS",H122,0)</f>
        <v>0</v>
      </c>
      <c r="U122" s="28">
        <f>IF(Q122="PS",I122-P122,0)</f>
        <v>0</v>
      </c>
      <c r="V122" s="28">
        <f>IF(Q122="MP",H122,0)</f>
        <v>0</v>
      </c>
      <c r="W122" s="28">
        <f>IF(Q122="MP",I122-P122,0)</f>
        <v>0</v>
      </c>
      <c r="X122" s="28">
        <f>IF(Q122="OM",H122,0)</f>
        <v>0</v>
      </c>
      <c r="Y122" s="21" t="s">
        <v>178</v>
      </c>
      <c r="AI122" s="28">
        <f>SUM(Z123:Z125)</f>
        <v>0</v>
      </c>
      <c r="AJ122" s="28">
        <f>SUM(AA123:AA125)</f>
        <v>0</v>
      </c>
      <c r="AK122" s="28">
        <f>SUM(AB123:AB125)</f>
        <v>0</v>
      </c>
    </row>
    <row r="123" spans="1:43" x14ac:dyDescent="0.25">
      <c r="A123" s="29" t="s">
        <v>187</v>
      </c>
      <c r="B123" s="29" t="s">
        <v>178</v>
      </c>
      <c r="C123" s="29" t="s">
        <v>77</v>
      </c>
      <c r="D123" s="29" t="s">
        <v>2278</v>
      </c>
      <c r="E123" s="29" t="s">
        <v>58</v>
      </c>
      <c r="F123" s="30">
        <v>29.4</v>
      </c>
      <c r="G123" s="317">
        <v>0</v>
      </c>
      <c r="H123" s="30">
        <f>ROUND(F123*AE123,2)</f>
        <v>0</v>
      </c>
      <c r="I123" s="30">
        <f>J123-H123</f>
        <v>0</v>
      </c>
      <c r="J123" s="30">
        <f>ROUND(F123*G123,2)</f>
        <v>0</v>
      </c>
      <c r="K123" s="30">
        <v>1.61E-2</v>
      </c>
      <c r="L123" s="30">
        <f>F123*K123</f>
        <v>0.47333999999999998</v>
      </c>
      <c r="M123" s="258" t="s">
        <v>2291</v>
      </c>
      <c r="N123" s="31" t="s">
        <v>59</v>
      </c>
      <c r="O123" s="30">
        <f>IF(N123="5",I123,0)</f>
        <v>0</v>
      </c>
      <c r="Z123" s="30">
        <f>IF(AD123=0,J123,0)</f>
        <v>0</v>
      </c>
      <c r="AA123" s="30">
        <f>IF(AD123=15,J123,0)</f>
        <v>0</v>
      </c>
      <c r="AB123" s="30">
        <f>IF(AD123=21,J123,0)</f>
        <v>0</v>
      </c>
      <c r="AD123" s="32">
        <v>21</v>
      </c>
      <c r="AE123" s="32">
        <f>G123*0.787221324717286</f>
        <v>0</v>
      </c>
      <c r="AF123" s="32">
        <f>G123*(1-0.787221324717286)</f>
        <v>0</v>
      </c>
      <c r="AM123" s="32">
        <f>F123*AE123</f>
        <v>0</v>
      </c>
      <c r="AN123" s="32">
        <f>F123*AF123</f>
        <v>0</v>
      </c>
      <c r="AO123" s="33" t="s">
        <v>78</v>
      </c>
      <c r="AP123" s="33" t="s">
        <v>79</v>
      </c>
      <c r="AQ123" s="21" t="s">
        <v>180</v>
      </c>
    </row>
    <row r="124" spans="1:43" ht="12.75" customHeight="1" x14ac:dyDescent="0.25">
      <c r="C124" s="34" t="s">
        <v>63</v>
      </c>
      <c r="D124" s="340" t="s">
        <v>2280</v>
      </c>
      <c r="E124" s="341"/>
      <c r="F124" s="341"/>
      <c r="G124" s="341"/>
      <c r="H124" s="341"/>
      <c r="I124" s="341"/>
      <c r="J124" s="341"/>
      <c r="K124" s="341"/>
      <c r="L124" s="341"/>
      <c r="M124" s="341"/>
    </row>
    <row r="125" spans="1:43" x14ac:dyDescent="0.25">
      <c r="A125" s="29" t="s">
        <v>188</v>
      </c>
      <c r="B125" s="29" t="s">
        <v>178</v>
      </c>
      <c r="C125" s="29" t="s">
        <v>122</v>
      </c>
      <c r="D125" s="29" t="s">
        <v>123</v>
      </c>
      <c r="E125" s="29" t="s">
        <v>58</v>
      </c>
      <c r="F125" s="30">
        <v>29.4</v>
      </c>
      <c r="G125" s="317">
        <v>0</v>
      </c>
      <c r="H125" s="30">
        <f>ROUND(F125*AE125,2)</f>
        <v>0</v>
      </c>
      <c r="I125" s="30">
        <f>J125-H125</f>
        <v>0</v>
      </c>
      <c r="J125" s="30">
        <f>ROUND(F125*G125,2)</f>
        <v>0</v>
      </c>
      <c r="K125" s="30">
        <v>7.6139999999999999E-2</v>
      </c>
      <c r="L125" s="30">
        <f>F125*K125</f>
        <v>2.2385159999999997</v>
      </c>
      <c r="M125" s="258" t="s">
        <v>2291</v>
      </c>
      <c r="N125" s="31" t="s">
        <v>59</v>
      </c>
      <c r="O125" s="30">
        <f>IF(N125="5",I125,0)</f>
        <v>0</v>
      </c>
      <c r="Z125" s="30">
        <f>IF(AD125=0,J125,0)</f>
        <v>0</v>
      </c>
      <c r="AA125" s="30">
        <f>IF(AD125=15,J125,0)</f>
        <v>0</v>
      </c>
      <c r="AB125" s="30">
        <f>IF(AD125=21,J125,0)</f>
        <v>0</v>
      </c>
      <c r="AD125" s="32">
        <v>21</v>
      </c>
      <c r="AE125" s="32">
        <f>G125*0.547569562266712</f>
        <v>0</v>
      </c>
      <c r="AF125" s="32">
        <f>G125*(1-0.547569562266712)</f>
        <v>0</v>
      </c>
      <c r="AM125" s="32">
        <f>F125*AE125</f>
        <v>0</v>
      </c>
      <c r="AN125" s="32">
        <f>F125*AF125</f>
        <v>0</v>
      </c>
      <c r="AO125" s="33" t="s">
        <v>78</v>
      </c>
      <c r="AP125" s="33" t="s">
        <v>79</v>
      </c>
      <c r="AQ125" s="21" t="s">
        <v>180</v>
      </c>
    </row>
    <row r="126" spans="1:43" x14ac:dyDescent="0.25">
      <c r="A126" s="26"/>
      <c r="B126" s="27" t="s">
        <v>178</v>
      </c>
      <c r="C126" s="27" t="s">
        <v>189</v>
      </c>
      <c r="D126" s="338" t="s">
        <v>190</v>
      </c>
      <c r="E126" s="339"/>
      <c r="F126" s="339"/>
      <c r="G126" s="339"/>
      <c r="H126" s="28">
        <f>SUM(H127:H127)</f>
        <v>0</v>
      </c>
      <c r="I126" s="28">
        <f>SUM(I127:I127)</f>
        <v>0</v>
      </c>
      <c r="J126" s="28">
        <f>H126+I126</f>
        <v>0</v>
      </c>
      <c r="K126" s="21"/>
      <c r="L126" s="28">
        <f>SUM(L127:L127)</f>
        <v>3.6939229999999998</v>
      </c>
      <c r="M126" s="21"/>
      <c r="P126" s="28">
        <f>IF(Q126="PR",J126,SUM(O127:O127))</f>
        <v>0</v>
      </c>
      <c r="Q126" s="21" t="s">
        <v>75</v>
      </c>
      <c r="R126" s="28">
        <f>IF(Q126="HS",H126,0)</f>
        <v>0</v>
      </c>
      <c r="S126" s="28">
        <f>IF(Q126="HS",I126-P126,0)</f>
        <v>0</v>
      </c>
      <c r="T126" s="28">
        <f>IF(Q126="PS",H126,0)</f>
        <v>0</v>
      </c>
      <c r="U126" s="28">
        <f>IF(Q126="PS",I126-P126,0)</f>
        <v>0</v>
      </c>
      <c r="V126" s="28">
        <f>IF(Q126="MP",H126,0)</f>
        <v>0</v>
      </c>
      <c r="W126" s="28">
        <f>IF(Q126="MP",I126-P126,0)</f>
        <v>0</v>
      </c>
      <c r="X126" s="28">
        <f>IF(Q126="OM",H126,0)</f>
        <v>0</v>
      </c>
      <c r="Y126" s="21" t="s">
        <v>178</v>
      </c>
      <c r="AI126" s="28">
        <f>SUM(Z127:Z127)</f>
        <v>0</v>
      </c>
      <c r="AJ126" s="28">
        <f>SUM(AA127:AA127)</f>
        <v>0</v>
      </c>
      <c r="AK126" s="28">
        <f>SUM(AB127:AB127)</f>
        <v>0</v>
      </c>
    </row>
    <row r="127" spans="1:43" x14ac:dyDescent="0.25">
      <c r="A127" s="29" t="s">
        <v>191</v>
      </c>
      <c r="B127" s="29" t="s">
        <v>178</v>
      </c>
      <c r="C127" s="29" t="s">
        <v>192</v>
      </c>
      <c r="D127" s="29" t="s">
        <v>193</v>
      </c>
      <c r="E127" s="29" t="s">
        <v>58</v>
      </c>
      <c r="F127" s="30">
        <v>43.3</v>
      </c>
      <c r="G127" s="317">
        <v>0</v>
      </c>
      <c r="H127" s="30">
        <f>ROUND(F127*AE127,2)</f>
        <v>0</v>
      </c>
      <c r="I127" s="30">
        <f>J127-H127</f>
        <v>0</v>
      </c>
      <c r="J127" s="30">
        <f>ROUND(F127*G127,2)</f>
        <v>0</v>
      </c>
      <c r="K127" s="30">
        <v>8.5309999999999997E-2</v>
      </c>
      <c r="L127" s="30">
        <f>F127*K127</f>
        <v>3.6939229999999998</v>
      </c>
      <c r="M127" s="258" t="s">
        <v>2291</v>
      </c>
      <c r="N127" s="31" t="s">
        <v>59</v>
      </c>
      <c r="O127" s="30">
        <f>IF(N127="5",I127,0)</f>
        <v>0</v>
      </c>
      <c r="Z127" s="30">
        <f>IF(AD127=0,J127,0)</f>
        <v>0</v>
      </c>
      <c r="AA127" s="30">
        <f>IF(AD127=15,J127,0)</f>
        <v>0</v>
      </c>
      <c r="AB127" s="30">
        <f>IF(AD127=21,J127,0)</f>
        <v>0</v>
      </c>
      <c r="AD127" s="32">
        <v>21</v>
      </c>
      <c r="AE127" s="32">
        <f>G127*0.531096976382174</f>
        <v>0</v>
      </c>
      <c r="AF127" s="32">
        <f>G127*(1-0.531096976382174)</f>
        <v>0</v>
      </c>
      <c r="AM127" s="32">
        <f>F127*AE127</f>
        <v>0</v>
      </c>
      <c r="AN127" s="32">
        <f>F127*AF127</f>
        <v>0</v>
      </c>
      <c r="AO127" s="33" t="s">
        <v>194</v>
      </c>
      <c r="AP127" s="33" t="s">
        <v>92</v>
      </c>
      <c r="AQ127" s="21" t="s">
        <v>180</v>
      </c>
    </row>
    <row r="128" spans="1:43" x14ac:dyDescent="0.25">
      <c r="A128" s="26"/>
      <c r="B128" s="27" t="s">
        <v>178</v>
      </c>
      <c r="C128" s="27" t="s">
        <v>93</v>
      </c>
      <c r="D128" s="338" t="s">
        <v>94</v>
      </c>
      <c r="E128" s="339"/>
      <c r="F128" s="339"/>
      <c r="G128" s="339"/>
      <c r="H128" s="28">
        <f>SUM(H129:H129)</f>
        <v>0</v>
      </c>
      <c r="I128" s="28">
        <f>SUM(I129:I129)</f>
        <v>0</v>
      </c>
      <c r="J128" s="28">
        <f>H128+I128</f>
        <v>0</v>
      </c>
      <c r="K128" s="21"/>
      <c r="L128" s="28">
        <f>SUM(L129:L129)</f>
        <v>4.6994999999999995E-2</v>
      </c>
      <c r="M128" s="21"/>
      <c r="P128" s="28">
        <f>IF(Q128="PR",J128,SUM(O129:O129))</f>
        <v>0</v>
      </c>
      <c r="Q128" s="21" t="s">
        <v>75</v>
      </c>
      <c r="R128" s="28">
        <f>IF(Q128="HS",H128,0)</f>
        <v>0</v>
      </c>
      <c r="S128" s="28">
        <f>IF(Q128="HS",I128-P128,0)</f>
        <v>0</v>
      </c>
      <c r="T128" s="28">
        <f>IF(Q128="PS",H128,0)</f>
        <v>0</v>
      </c>
      <c r="U128" s="28">
        <f>IF(Q128="PS",I128-P128,0)</f>
        <v>0</v>
      </c>
      <c r="V128" s="28">
        <f>IF(Q128="MP",H128,0)</f>
        <v>0</v>
      </c>
      <c r="W128" s="28">
        <f>IF(Q128="MP",I128-P128,0)</f>
        <v>0</v>
      </c>
      <c r="X128" s="28">
        <f>IF(Q128="OM",H128,0)</f>
        <v>0</v>
      </c>
      <c r="Y128" s="21" t="s">
        <v>178</v>
      </c>
      <c r="AI128" s="28">
        <f>SUM(Z129:Z129)</f>
        <v>0</v>
      </c>
      <c r="AJ128" s="28">
        <f>SUM(AA129:AA129)</f>
        <v>0</v>
      </c>
      <c r="AK128" s="28">
        <f>SUM(AB129:AB129)</f>
        <v>0</v>
      </c>
    </row>
    <row r="129" spans="1:43" x14ac:dyDescent="0.25">
      <c r="A129" s="29" t="s">
        <v>195</v>
      </c>
      <c r="B129" s="29" t="s">
        <v>178</v>
      </c>
      <c r="C129" s="29" t="s">
        <v>96</v>
      </c>
      <c r="D129" s="29" t="s">
        <v>97</v>
      </c>
      <c r="E129" s="29" t="s">
        <v>58</v>
      </c>
      <c r="F129" s="30">
        <v>72.3</v>
      </c>
      <c r="G129" s="317">
        <v>0</v>
      </c>
      <c r="H129" s="30">
        <f>ROUND(F129*AE129,2)</f>
        <v>0</v>
      </c>
      <c r="I129" s="30">
        <f>J129-H129</f>
        <v>0</v>
      </c>
      <c r="J129" s="30">
        <f>ROUND(F129*G129,2)</f>
        <v>0</v>
      </c>
      <c r="K129" s="30">
        <v>6.4999999999999997E-4</v>
      </c>
      <c r="L129" s="30">
        <f>F129*K129</f>
        <v>4.6994999999999995E-2</v>
      </c>
      <c r="M129" s="258" t="s">
        <v>2291</v>
      </c>
      <c r="N129" s="31" t="s">
        <v>59</v>
      </c>
      <c r="O129" s="30">
        <f>IF(N129="5",I129,0)</f>
        <v>0</v>
      </c>
      <c r="Z129" s="30">
        <f>IF(AD129=0,J129,0)</f>
        <v>0</v>
      </c>
      <c r="AA129" s="30">
        <f>IF(AD129=15,J129,0)</f>
        <v>0</v>
      </c>
      <c r="AB129" s="30">
        <f>IF(AD129=21,J129,0)</f>
        <v>0</v>
      </c>
      <c r="AD129" s="32">
        <v>21</v>
      </c>
      <c r="AE129" s="32">
        <f>G129*0.333747476316198</f>
        <v>0</v>
      </c>
      <c r="AF129" s="32">
        <f>G129*(1-0.333747476316198)</f>
        <v>0</v>
      </c>
      <c r="AM129" s="32">
        <f>F129*AE129</f>
        <v>0</v>
      </c>
      <c r="AN129" s="32">
        <f>F129*AF129</f>
        <v>0</v>
      </c>
      <c r="AO129" s="33" t="s">
        <v>98</v>
      </c>
      <c r="AP129" s="33" t="s">
        <v>92</v>
      </c>
      <c r="AQ129" s="21" t="s">
        <v>180</v>
      </c>
    </row>
    <row r="130" spans="1:43" x14ac:dyDescent="0.25">
      <c r="A130" s="26"/>
      <c r="B130" s="27" t="s">
        <v>178</v>
      </c>
      <c r="C130" s="27" t="s">
        <v>99</v>
      </c>
      <c r="D130" s="338" t="s">
        <v>100</v>
      </c>
      <c r="E130" s="339"/>
      <c r="F130" s="339"/>
      <c r="G130" s="339"/>
      <c r="H130" s="28">
        <f>SUM(H131:H131)</f>
        <v>0</v>
      </c>
      <c r="I130" s="28">
        <f>SUM(I131:I131)</f>
        <v>0</v>
      </c>
      <c r="J130" s="28">
        <f>H130+I130</f>
        <v>0</v>
      </c>
      <c r="K130" s="21"/>
      <c r="L130" s="28">
        <f>SUM(L131:L131)</f>
        <v>0</v>
      </c>
      <c r="M130" s="21"/>
      <c r="P130" s="28">
        <f>IF(Q130="PR",J130,SUM(O131:O131))</f>
        <v>0</v>
      </c>
      <c r="Q130" s="21" t="s">
        <v>54</v>
      </c>
      <c r="R130" s="28">
        <f>IF(Q130="HS",H130,0)</f>
        <v>0</v>
      </c>
      <c r="S130" s="28">
        <f>IF(Q130="HS",I130-P130,0)</f>
        <v>0</v>
      </c>
      <c r="T130" s="28">
        <f>IF(Q130="PS",H130,0)</f>
        <v>0</v>
      </c>
      <c r="U130" s="28">
        <f>IF(Q130="PS",I130-P130,0)</f>
        <v>0</v>
      </c>
      <c r="V130" s="28">
        <f>IF(Q130="MP",H130,0)</f>
        <v>0</v>
      </c>
      <c r="W130" s="28">
        <f>IF(Q130="MP",I130-P130,0)</f>
        <v>0</v>
      </c>
      <c r="X130" s="28">
        <f>IF(Q130="OM",H130,0)</f>
        <v>0</v>
      </c>
      <c r="Y130" s="21" t="s">
        <v>178</v>
      </c>
      <c r="AI130" s="28">
        <f>SUM(Z131:Z131)</f>
        <v>0</v>
      </c>
      <c r="AJ130" s="28">
        <f>SUM(AA131:AA131)</f>
        <v>0</v>
      </c>
      <c r="AK130" s="28">
        <f>SUM(AB131:AB131)</f>
        <v>0</v>
      </c>
    </row>
    <row r="131" spans="1:43" x14ac:dyDescent="0.25">
      <c r="A131" s="29" t="s">
        <v>196</v>
      </c>
      <c r="B131" s="29" t="s">
        <v>178</v>
      </c>
      <c r="C131" s="29" t="s">
        <v>102</v>
      </c>
      <c r="D131" s="29" t="s">
        <v>103</v>
      </c>
      <c r="E131" s="29" t="s">
        <v>104</v>
      </c>
      <c r="F131" s="30">
        <v>6</v>
      </c>
      <c r="G131" s="317">
        <v>0</v>
      </c>
      <c r="H131" s="30">
        <f>ROUND(F131*AE131,2)</f>
        <v>0</v>
      </c>
      <c r="I131" s="30">
        <f>J131-H131</f>
        <v>0</v>
      </c>
      <c r="J131" s="30">
        <f>ROUND(F131*G131,2)</f>
        <v>0</v>
      </c>
      <c r="K131" s="30">
        <v>0</v>
      </c>
      <c r="L131" s="30">
        <f>F131*K131</f>
        <v>0</v>
      </c>
      <c r="M131" s="258" t="s">
        <v>2291</v>
      </c>
      <c r="N131" s="31" t="s">
        <v>55</v>
      </c>
      <c r="O131" s="30">
        <f>IF(N131="5",I131,0)</f>
        <v>0</v>
      </c>
      <c r="Z131" s="30">
        <f>IF(AD131=0,J131,0)</f>
        <v>0</v>
      </c>
      <c r="AA131" s="30">
        <f>IF(AD131=15,J131,0)</f>
        <v>0</v>
      </c>
      <c r="AB131" s="30">
        <f>IF(AD131=21,J131,0)</f>
        <v>0</v>
      </c>
      <c r="AD131" s="32">
        <v>21</v>
      </c>
      <c r="AE131" s="32">
        <f>G131*0</f>
        <v>0</v>
      </c>
      <c r="AF131" s="32">
        <f>G131*(1-0)</f>
        <v>0</v>
      </c>
      <c r="AM131" s="32">
        <f>F131*AE131</f>
        <v>0</v>
      </c>
      <c r="AN131" s="32">
        <f>F131*AF131</f>
        <v>0</v>
      </c>
      <c r="AO131" s="33" t="s">
        <v>105</v>
      </c>
      <c r="AP131" s="33" t="s">
        <v>106</v>
      </c>
      <c r="AQ131" s="21" t="s">
        <v>180</v>
      </c>
    </row>
    <row r="132" spans="1:43" x14ac:dyDescent="0.25">
      <c r="C132" s="34" t="s">
        <v>63</v>
      </c>
      <c r="D132" s="340" t="s">
        <v>107</v>
      </c>
      <c r="E132" s="341"/>
      <c r="F132" s="341"/>
      <c r="G132" s="341"/>
      <c r="H132" s="341"/>
      <c r="I132" s="341"/>
      <c r="J132" s="341"/>
      <c r="K132" s="341"/>
      <c r="L132" s="341"/>
      <c r="M132" s="341"/>
    </row>
    <row r="133" spans="1:43" x14ac:dyDescent="0.25">
      <c r="A133" s="26"/>
      <c r="B133" s="27" t="s">
        <v>178</v>
      </c>
      <c r="C133" s="27" t="s">
        <v>108</v>
      </c>
      <c r="D133" s="338" t="s">
        <v>109</v>
      </c>
      <c r="E133" s="339"/>
      <c r="F133" s="339"/>
      <c r="G133" s="339"/>
      <c r="H133" s="28">
        <f>SUM(H134:H134)</f>
        <v>0</v>
      </c>
      <c r="I133" s="28">
        <f>SUM(I134:I134)</f>
        <v>0</v>
      </c>
      <c r="J133" s="28">
        <f>H133+I133</f>
        <v>0</v>
      </c>
      <c r="K133" s="21"/>
      <c r="L133" s="28">
        <f>SUM(L134:L134)</f>
        <v>9.7909999999999997E-2</v>
      </c>
      <c r="M133" s="21"/>
      <c r="P133" s="28">
        <f>IF(Q133="PR",J133,SUM(O134:O134))</f>
        <v>0</v>
      </c>
      <c r="Q133" s="21" t="s">
        <v>54</v>
      </c>
      <c r="R133" s="28">
        <f>IF(Q133="HS",H133,0)</f>
        <v>0</v>
      </c>
      <c r="S133" s="28">
        <f>IF(Q133="HS",I133-P133,0)</f>
        <v>0</v>
      </c>
      <c r="T133" s="28">
        <f>IF(Q133="PS",H133,0)</f>
        <v>0</v>
      </c>
      <c r="U133" s="28">
        <f>IF(Q133="PS",I133-P133,0)</f>
        <v>0</v>
      </c>
      <c r="V133" s="28">
        <f>IF(Q133="MP",H133,0)</f>
        <v>0</v>
      </c>
      <c r="W133" s="28">
        <f>IF(Q133="MP",I133-P133,0)</f>
        <v>0</v>
      </c>
      <c r="X133" s="28">
        <f>IF(Q133="OM",H133,0)</f>
        <v>0</v>
      </c>
      <c r="Y133" s="21" t="s">
        <v>178</v>
      </c>
      <c r="AI133" s="28">
        <f>SUM(Z134:Z134)</f>
        <v>0</v>
      </c>
      <c r="AJ133" s="28">
        <f>SUM(AA134:AA134)</f>
        <v>0</v>
      </c>
      <c r="AK133" s="28">
        <f>SUM(AB134:AB134)</f>
        <v>0</v>
      </c>
    </row>
    <row r="134" spans="1:43" x14ac:dyDescent="0.25">
      <c r="A134" s="29" t="s">
        <v>197</v>
      </c>
      <c r="B134" s="29" t="s">
        <v>178</v>
      </c>
      <c r="C134" s="29" t="s">
        <v>111</v>
      </c>
      <c r="D134" s="29" t="s">
        <v>112</v>
      </c>
      <c r="E134" s="29" t="s">
        <v>113</v>
      </c>
      <c r="F134" s="30">
        <v>1</v>
      </c>
      <c r="G134" s="317">
        <v>0</v>
      </c>
      <c r="H134" s="30">
        <f>ROUND(F134*AE134,2)</f>
        <v>0</v>
      </c>
      <c r="I134" s="30">
        <f>J134-H134</f>
        <v>0</v>
      </c>
      <c r="J134" s="30">
        <f>ROUND(F134*G134,2)</f>
        <v>0</v>
      </c>
      <c r="K134" s="30">
        <v>9.7909999999999997E-2</v>
      </c>
      <c r="L134" s="30">
        <f>F134*K134</f>
        <v>9.7909999999999997E-2</v>
      </c>
      <c r="M134" s="258" t="s">
        <v>2291</v>
      </c>
      <c r="N134" s="31" t="s">
        <v>55</v>
      </c>
      <c r="O134" s="30">
        <f>IF(N134="5",I134,0)</f>
        <v>0</v>
      </c>
      <c r="Z134" s="30">
        <f>IF(AD134=0,J134,0)</f>
        <v>0</v>
      </c>
      <c r="AA134" s="30">
        <f>IF(AD134=15,J134,0)</f>
        <v>0</v>
      </c>
      <c r="AB134" s="30">
        <f>IF(AD134=21,J134,0)</f>
        <v>0</v>
      </c>
      <c r="AD134" s="32">
        <v>21</v>
      </c>
      <c r="AE134" s="32">
        <f>G134*0.0762897526501767</f>
        <v>0</v>
      </c>
      <c r="AF134" s="32">
        <f>G134*(1-0.0762897526501767)</f>
        <v>0</v>
      </c>
      <c r="AM134" s="32">
        <f>F134*AE134</f>
        <v>0</v>
      </c>
      <c r="AN134" s="32">
        <f>F134*AF134</f>
        <v>0</v>
      </c>
      <c r="AO134" s="33" t="s">
        <v>114</v>
      </c>
      <c r="AP134" s="33" t="s">
        <v>106</v>
      </c>
      <c r="AQ134" s="21" t="s">
        <v>180</v>
      </c>
    </row>
    <row r="135" spans="1:43" x14ac:dyDescent="0.25">
      <c r="C135" s="34" t="s">
        <v>63</v>
      </c>
      <c r="D135" s="340" t="s">
        <v>107</v>
      </c>
      <c r="E135" s="341"/>
      <c r="F135" s="341"/>
      <c r="G135" s="341"/>
      <c r="H135" s="341"/>
      <c r="I135" s="341"/>
      <c r="J135" s="341"/>
      <c r="K135" s="341"/>
      <c r="L135" s="341"/>
      <c r="M135" s="341"/>
    </row>
    <row r="136" spans="1:43" x14ac:dyDescent="0.25">
      <c r="A136" s="26"/>
      <c r="B136" s="27" t="s">
        <v>198</v>
      </c>
      <c r="C136" s="27"/>
      <c r="D136" s="338" t="s">
        <v>198</v>
      </c>
      <c r="E136" s="339"/>
      <c r="F136" s="339"/>
      <c r="G136" s="339"/>
      <c r="H136" s="28">
        <f>H137+H142+H144+H148+H150+H152+H154+H157</f>
        <v>0</v>
      </c>
      <c r="I136" s="28">
        <f>I137+I142+I144+I148+I150+I152+I154+I157</f>
        <v>0</v>
      </c>
      <c r="J136" s="28">
        <f>H136+I136</f>
        <v>0</v>
      </c>
      <c r="K136" s="21"/>
      <c r="L136" s="28">
        <f>L137+L142+L144+L148+L150+L152+L154+L157</f>
        <v>5.5198578999999999</v>
      </c>
      <c r="M136" s="21"/>
    </row>
    <row r="137" spans="1:43" x14ac:dyDescent="0.25">
      <c r="A137" s="26"/>
      <c r="B137" s="27" t="s">
        <v>198</v>
      </c>
      <c r="C137" s="27" t="s">
        <v>52</v>
      </c>
      <c r="D137" s="338" t="s">
        <v>53</v>
      </c>
      <c r="E137" s="339"/>
      <c r="F137" s="339"/>
      <c r="G137" s="339"/>
      <c r="H137" s="28">
        <f>SUM(H138:H140)</f>
        <v>0</v>
      </c>
      <c r="I137" s="28">
        <f>SUM(I138:I140)</f>
        <v>0</v>
      </c>
      <c r="J137" s="28">
        <f>H137+I137</f>
        <v>0</v>
      </c>
      <c r="K137" s="21"/>
      <c r="L137" s="28">
        <f>SUM(L138:L140)</f>
        <v>0.72496440000000006</v>
      </c>
      <c r="M137" s="21"/>
      <c r="P137" s="28">
        <f>IF(Q137="PR",J137,SUM(O138:O140))</f>
        <v>0</v>
      </c>
      <c r="Q137" s="21" t="s">
        <v>54</v>
      </c>
      <c r="R137" s="28">
        <f>IF(Q137="HS",H137,0)</f>
        <v>0</v>
      </c>
      <c r="S137" s="28">
        <f>IF(Q137="HS",I137-P137,0)</f>
        <v>0</v>
      </c>
      <c r="T137" s="28">
        <f>IF(Q137="PS",H137,0)</f>
        <v>0</v>
      </c>
      <c r="U137" s="28">
        <f>IF(Q137="PS",I137-P137,0)</f>
        <v>0</v>
      </c>
      <c r="V137" s="28">
        <f>IF(Q137="MP",H137,0)</f>
        <v>0</v>
      </c>
      <c r="W137" s="28">
        <f>IF(Q137="MP",I137-P137,0)</f>
        <v>0</v>
      </c>
      <c r="X137" s="28">
        <f>IF(Q137="OM",H137,0)</f>
        <v>0</v>
      </c>
      <c r="Y137" s="21" t="s">
        <v>198</v>
      </c>
      <c r="AI137" s="28">
        <f>SUM(Z138:Z140)</f>
        <v>0</v>
      </c>
      <c r="AJ137" s="28">
        <f>SUM(AA138:AA140)</f>
        <v>0</v>
      </c>
      <c r="AK137" s="28">
        <f>SUM(AB138:AB140)</f>
        <v>0</v>
      </c>
    </row>
    <row r="138" spans="1:43" x14ac:dyDescent="0.25">
      <c r="A138" s="29" t="s">
        <v>199</v>
      </c>
      <c r="B138" s="29" t="s">
        <v>198</v>
      </c>
      <c r="C138" s="29" t="s">
        <v>66</v>
      </c>
      <c r="D138" s="29" t="s">
        <v>67</v>
      </c>
      <c r="E138" s="29" t="s">
        <v>58</v>
      </c>
      <c r="F138" s="30">
        <v>21.55</v>
      </c>
      <c r="G138" s="317">
        <v>0</v>
      </c>
      <c r="H138" s="30">
        <f>ROUND(F138*AE138,2)</f>
        <v>0</v>
      </c>
      <c r="I138" s="30">
        <f>J138-H138</f>
        <v>0</v>
      </c>
      <c r="J138" s="30">
        <f>ROUND(F138*G138,2)</f>
        <v>0</v>
      </c>
      <c r="K138" s="30">
        <v>9.8399999999999998E-3</v>
      </c>
      <c r="L138" s="30">
        <f>F138*K138</f>
        <v>0.21205199999999999</v>
      </c>
      <c r="M138" s="258" t="s">
        <v>2291</v>
      </c>
      <c r="N138" s="31" t="s">
        <v>59</v>
      </c>
      <c r="O138" s="30">
        <f>IF(N138="5",I138,0)</f>
        <v>0</v>
      </c>
      <c r="Z138" s="30">
        <f>IF(AD138=0,J138,0)</f>
        <v>0</v>
      </c>
      <c r="AA138" s="30">
        <f>IF(AD138=15,J138,0)</f>
        <v>0</v>
      </c>
      <c r="AB138" s="30">
        <f>IF(AD138=21,J138,0)</f>
        <v>0</v>
      </c>
      <c r="AD138" s="32">
        <v>21</v>
      </c>
      <c r="AE138" s="32">
        <f>G138*0.160304682766381</f>
        <v>0</v>
      </c>
      <c r="AF138" s="32">
        <f>G138*(1-0.160304682766381)</f>
        <v>0</v>
      </c>
      <c r="AM138" s="32">
        <f>F138*AE138</f>
        <v>0</v>
      </c>
      <c r="AN138" s="32">
        <f>F138*AF138</f>
        <v>0</v>
      </c>
      <c r="AO138" s="33" t="s">
        <v>60</v>
      </c>
      <c r="AP138" s="33" t="s">
        <v>61</v>
      </c>
      <c r="AQ138" s="21" t="s">
        <v>200</v>
      </c>
    </row>
    <row r="139" spans="1:43" ht="25.7" customHeight="1" x14ac:dyDescent="0.25">
      <c r="C139" s="34" t="s">
        <v>63</v>
      </c>
      <c r="D139" s="340" t="s">
        <v>64</v>
      </c>
      <c r="E139" s="341"/>
      <c r="F139" s="341"/>
      <c r="G139" s="341"/>
      <c r="H139" s="341"/>
      <c r="I139" s="341"/>
      <c r="J139" s="341"/>
      <c r="K139" s="341"/>
      <c r="L139" s="341"/>
      <c r="M139" s="341"/>
    </row>
    <row r="140" spans="1:43" x14ac:dyDescent="0.25">
      <c r="A140" s="29" t="s">
        <v>201</v>
      </c>
      <c r="B140" s="29" t="s">
        <v>198</v>
      </c>
      <c r="C140" s="29" t="s">
        <v>56</v>
      </c>
      <c r="D140" s="29" t="s">
        <v>57</v>
      </c>
      <c r="E140" s="29" t="s">
        <v>58</v>
      </c>
      <c r="F140" s="30">
        <v>51.24</v>
      </c>
      <c r="G140" s="317">
        <v>0</v>
      </c>
      <c r="H140" s="30">
        <f>ROUND(F140*AE140,2)</f>
        <v>0</v>
      </c>
      <c r="I140" s="30">
        <f>J140-H140</f>
        <v>0</v>
      </c>
      <c r="J140" s="30">
        <f>ROUND(F140*G140,2)</f>
        <v>0</v>
      </c>
      <c r="K140" s="30">
        <v>1.001E-2</v>
      </c>
      <c r="L140" s="30">
        <f>F140*K140</f>
        <v>0.51291240000000005</v>
      </c>
      <c r="M140" s="258" t="s">
        <v>2291</v>
      </c>
      <c r="N140" s="31" t="s">
        <v>59</v>
      </c>
      <c r="O140" s="30">
        <f>IF(N140="5",I140,0)</f>
        <v>0</v>
      </c>
      <c r="Z140" s="30">
        <f>IF(AD140=0,J140,0)</f>
        <v>0</v>
      </c>
      <c r="AA140" s="30">
        <f>IF(AD140=15,J140,0)</f>
        <v>0</v>
      </c>
      <c r="AB140" s="30">
        <f>IF(AD140=21,J140,0)</f>
        <v>0</v>
      </c>
      <c r="AD140" s="32">
        <v>21</v>
      </c>
      <c r="AE140" s="32">
        <f>G140*0.0756575801052128</f>
        <v>0</v>
      </c>
      <c r="AF140" s="32">
        <f>G140*(1-0.0756575801052128)</f>
        <v>0</v>
      </c>
      <c r="AM140" s="32">
        <f>F140*AE140</f>
        <v>0</v>
      </c>
      <c r="AN140" s="32">
        <f>F140*AF140</f>
        <v>0</v>
      </c>
      <c r="AO140" s="33" t="s">
        <v>60</v>
      </c>
      <c r="AP140" s="33" t="s">
        <v>61</v>
      </c>
      <c r="AQ140" s="21" t="s">
        <v>200</v>
      </c>
    </row>
    <row r="141" spans="1:43" ht="25.7" customHeight="1" x14ac:dyDescent="0.25">
      <c r="C141" s="34" t="s">
        <v>63</v>
      </c>
      <c r="D141" s="340" t="s">
        <v>64</v>
      </c>
      <c r="E141" s="341"/>
      <c r="F141" s="341"/>
      <c r="G141" s="341"/>
      <c r="H141" s="341"/>
      <c r="I141" s="341"/>
      <c r="J141" s="341"/>
      <c r="K141" s="341"/>
      <c r="L141" s="341"/>
      <c r="M141" s="341"/>
    </row>
    <row r="142" spans="1:43" x14ac:dyDescent="0.25">
      <c r="A142" s="26"/>
      <c r="B142" s="27" t="s">
        <v>198</v>
      </c>
      <c r="C142" s="27" t="s">
        <v>68</v>
      </c>
      <c r="D142" s="338" t="s">
        <v>69</v>
      </c>
      <c r="E142" s="339"/>
      <c r="F142" s="339"/>
      <c r="G142" s="339"/>
      <c r="H142" s="28">
        <f>SUM(H143:H143)</f>
        <v>0</v>
      </c>
      <c r="I142" s="28">
        <f>SUM(I143:I143)</f>
        <v>0</v>
      </c>
      <c r="J142" s="28">
        <f>H142+I142</f>
        <v>0</v>
      </c>
      <c r="K142" s="21"/>
      <c r="L142" s="28">
        <f>SUM(L143:L143)</f>
        <v>1.074052</v>
      </c>
      <c r="M142" s="21"/>
      <c r="P142" s="28">
        <f>IF(Q142="PR",J142,SUM(O143:O143))</f>
        <v>0</v>
      </c>
      <c r="Q142" s="21" t="s">
        <v>54</v>
      </c>
      <c r="R142" s="28">
        <f>IF(Q142="HS",H142,0)</f>
        <v>0</v>
      </c>
      <c r="S142" s="28">
        <f>IF(Q142="HS",I142-P142,0)</f>
        <v>0</v>
      </c>
      <c r="T142" s="28">
        <f>IF(Q142="PS",H142,0)</f>
        <v>0</v>
      </c>
      <c r="U142" s="28">
        <f>IF(Q142="PS",I142-P142,0)</f>
        <v>0</v>
      </c>
      <c r="V142" s="28">
        <f>IF(Q142="MP",H142,0)</f>
        <v>0</v>
      </c>
      <c r="W142" s="28">
        <f>IF(Q142="MP",I142-P142,0)</f>
        <v>0</v>
      </c>
      <c r="X142" s="28">
        <f>IF(Q142="OM",H142,0)</f>
        <v>0</v>
      </c>
      <c r="Y142" s="21" t="s">
        <v>198</v>
      </c>
      <c r="AI142" s="28">
        <f>SUM(Z143:Z143)</f>
        <v>0</v>
      </c>
      <c r="AJ142" s="28">
        <f>SUM(AA143:AA143)</f>
        <v>0</v>
      </c>
      <c r="AK142" s="28">
        <f>SUM(AB143:AB143)</f>
        <v>0</v>
      </c>
    </row>
    <row r="143" spans="1:43" x14ac:dyDescent="0.25">
      <c r="A143" s="29" t="s">
        <v>202</v>
      </c>
      <c r="B143" s="29" t="s">
        <v>198</v>
      </c>
      <c r="C143" s="29" t="s">
        <v>70</v>
      </c>
      <c r="D143" s="29" t="s">
        <v>71</v>
      </c>
      <c r="E143" s="29" t="s">
        <v>58</v>
      </c>
      <c r="F143" s="30">
        <v>21.55</v>
      </c>
      <c r="G143" s="317">
        <v>0</v>
      </c>
      <c r="H143" s="30">
        <f>ROUND(F143*AE143,2)</f>
        <v>0</v>
      </c>
      <c r="I143" s="30">
        <f>J143-H143</f>
        <v>0</v>
      </c>
      <c r="J143" s="30">
        <f>ROUND(F143*G143,2)</f>
        <v>0</v>
      </c>
      <c r="K143" s="30">
        <v>4.9840000000000002E-2</v>
      </c>
      <c r="L143" s="30">
        <f>F143*K143</f>
        <v>1.074052</v>
      </c>
      <c r="M143" s="258" t="s">
        <v>2291</v>
      </c>
      <c r="N143" s="31" t="s">
        <v>59</v>
      </c>
      <c r="O143" s="30">
        <f>IF(N143="5",I143,0)</f>
        <v>0</v>
      </c>
      <c r="Z143" s="30">
        <f>IF(AD143=0,J143,0)</f>
        <v>0</v>
      </c>
      <c r="AA143" s="30">
        <f>IF(AD143=15,J143,0)</f>
        <v>0</v>
      </c>
      <c r="AB143" s="30">
        <f>IF(AD143=21,J143,0)</f>
        <v>0</v>
      </c>
      <c r="AD143" s="32">
        <v>21</v>
      </c>
      <c r="AE143" s="32">
        <f>G143*0.411768721414431</f>
        <v>0</v>
      </c>
      <c r="AF143" s="32">
        <f>G143*(1-0.411768721414431)</f>
        <v>0</v>
      </c>
      <c r="AM143" s="32">
        <f>F143*AE143</f>
        <v>0</v>
      </c>
      <c r="AN143" s="32">
        <f>F143*AF143</f>
        <v>0</v>
      </c>
      <c r="AO143" s="33" t="s">
        <v>72</v>
      </c>
      <c r="AP143" s="33" t="s">
        <v>61</v>
      </c>
      <c r="AQ143" s="21" t="s">
        <v>200</v>
      </c>
    </row>
    <row r="144" spans="1:43" x14ac:dyDescent="0.25">
      <c r="A144" s="26"/>
      <c r="B144" s="27" t="s">
        <v>198</v>
      </c>
      <c r="C144" s="27" t="s">
        <v>73</v>
      </c>
      <c r="D144" s="338" t="s">
        <v>74</v>
      </c>
      <c r="E144" s="339"/>
      <c r="F144" s="339"/>
      <c r="G144" s="339"/>
      <c r="H144" s="28">
        <f>SUM(H145:H147)</f>
        <v>0</v>
      </c>
      <c r="I144" s="28">
        <f>SUM(I145:I147)</f>
        <v>0</v>
      </c>
      <c r="J144" s="28">
        <f>H144+I144</f>
        <v>0</v>
      </c>
      <c r="K144" s="21"/>
      <c r="L144" s="28">
        <f>SUM(L145:L147)</f>
        <v>1.9877720000000001</v>
      </c>
      <c r="M144" s="21"/>
      <c r="P144" s="28">
        <f>IF(Q144="PR",J144,SUM(O145:O147))</f>
        <v>0</v>
      </c>
      <c r="Q144" s="21" t="s">
        <v>75</v>
      </c>
      <c r="R144" s="28">
        <f>IF(Q144="HS",H144,0)</f>
        <v>0</v>
      </c>
      <c r="S144" s="28">
        <f>IF(Q144="HS",I144-P144,0)</f>
        <v>0</v>
      </c>
      <c r="T144" s="28">
        <f>IF(Q144="PS",H144,0)</f>
        <v>0</v>
      </c>
      <c r="U144" s="28">
        <f>IF(Q144="PS",I144-P144,0)</f>
        <v>0</v>
      </c>
      <c r="V144" s="28">
        <f>IF(Q144="MP",H144,0)</f>
        <v>0</v>
      </c>
      <c r="W144" s="28">
        <f>IF(Q144="MP",I144-P144,0)</f>
        <v>0</v>
      </c>
      <c r="X144" s="28">
        <f>IF(Q144="OM",H144,0)</f>
        <v>0</v>
      </c>
      <c r="Y144" s="21" t="s">
        <v>198</v>
      </c>
      <c r="AI144" s="28">
        <f>SUM(Z145:Z147)</f>
        <v>0</v>
      </c>
      <c r="AJ144" s="28">
        <f>SUM(AA145:AA147)</f>
        <v>0</v>
      </c>
      <c r="AK144" s="28">
        <f>SUM(AB145:AB147)</f>
        <v>0</v>
      </c>
    </row>
    <row r="145" spans="1:43" x14ac:dyDescent="0.25">
      <c r="A145" s="29" t="s">
        <v>203</v>
      </c>
      <c r="B145" s="29" t="s">
        <v>198</v>
      </c>
      <c r="C145" s="29" t="s">
        <v>77</v>
      </c>
      <c r="D145" s="29" t="s">
        <v>2278</v>
      </c>
      <c r="E145" s="29" t="s">
        <v>58</v>
      </c>
      <c r="F145" s="30">
        <v>21.55</v>
      </c>
      <c r="G145" s="317">
        <v>0</v>
      </c>
      <c r="H145" s="30">
        <f>ROUND(F145*AE145,2)</f>
        <v>0</v>
      </c>
      <c r="I145" s="30">
        <f>J145-H145</f>
        <v>0</v>
      </c>
      <c r="J145" s="30">
        <f>ROUND(F145*G145,2)</f>
        <v>0</v>
      </c>
      <c r="K145" s="30">
        <v>1.61E-2</v>
      </c>
      <c r="L145" s="30">
        <f>F145*K145</f>
        <v>0.34695500000000001</v>
      </c>
      <c r="M145" s="258" t="s">
        <v>2291</v>
      </c>
      <c r="N145" s="31" t="s">
        <v>59</v>
      </c>
      <c r="O145" s="30">
        <f>IF(N145="5",I145,0)</f>
        <v>0</v>
      </c>
      <c r="Z145" s="30">
        <f>IF(AD145=0,J145,0)</f>
        <v>0</v>
      </c>
      <c r="AA145" s="30">
        <f>IF(AD145=15,J145,0)</f>
        <v>0</v>
      </c>
      <c r="AB145" s="30">
        <f>IF(AD145=21,J145,0)</f>
        <v>0</v>
      </c>
      <c r="AD145" s="32">
        <v>21</v>
      </c>
      <c r="AE145" s="32">
        <f>G145*0.787221324717286</f>
        <v>0</v>
      </c>
      <c r="AF145" s="32">
        <f>G145*(1-0.787221324717286)</f>
        <v>0</v>
      </c>
      <c r="AM145" s="32">
        <f>F145*AE145</f>
        <v>0</v>
      </c>
      <c r="AN145" s="32">
        <f>F145*AF145</f>
        <v>0</v>
      </c>
      <c r="AO145" s="33" t="s">
        <v>78</v>
      </c>
      <c r="AP145" s="33" t="s">
        <v>79</v>
      </c>
      <c r="AQ145" s="21" t="s">
        <v>200</v>
      </c>
    </row>
    <row r="146" spans="1:43" ht="12.75" customHeight="1" x14ac:dyDescent="0.25">
      <c r="C146" s="34" t="s">
        <v>63</v>
      </c>
      <c r="D146" s="340" t="s">
        <v>2280</v>
      </c>
      <c r="E146" s="341"/>
      <c r="F146" s="341"/>
      <c r="G146" s="341"/>
      <c r="H146" s="341"/>
      <c r="I146" s="341"/>
      <c r="J146" s="341"/>
      <c r="K146" s="341"/>
      <c r="L146" s="341"/>
      <c r="M146" s="341"/>
    </row>
    <row r="147" spans="1:43" x14ac:dyDescent="0.25">
      <c r="A147" s="29" t="s">
        <v>204</v>
      </c>
      <c r="B147" s="29" t="s">
        <v>198</v>
      </c>
      <c r="C147" s="29" t="s">
        <v>122</v>
      </c>
      <c r="D147" s="29" t="s">
        <v>123</v>
      </c>
      <c r="E147" s="29" t="s">
        <v>58</v>
      </c>
      <c r="F147" s="30">
        <v>21.55</v>
      </c>
      <c r="G147" s="317">
        <v>0</v>
      </c>
      <c r="H147" s="30">
        <f>ROUND(F147*AE147,2)</f>
        <v>0</v>
      </c>
      <c r="I147" s="30">
        <f>J147-H147</f>
        <v>0</v>
      </c>
      <c r="J147" s="30">
        <f>ROUND(F147*G147,2)</f>
        <v>0</v>
      </c>
      <c r="K147" s="30">
        <v>7.6139999999999999E-2</v>
      </c>
      <c r="L147" s="30">
        <f>F147*K147</f>
        <v>1.640817</v>
      </c>
      <c r="M147" s="258" t="s">
        <v>2291</v>
      </c>
      <c r="N147" s="31" t="s">
        <v>59</v>
      </c>
      <c r="O147" s="30">
        <f>IF(N147="5",I147,0)</f>
        <v>0</v>
      </c>
      <c r="Z147" s="30">
        <f>IF(AD147=0,J147,0)</f>
        <v>0</v>
      </c>
      <c r="AA147" s="30">
        <f>IF(AD147=15,J147,0)</f>
        <v>0</v>
      </c>
      <c r="AB147" s="30">
        <f>IF(AD147=21,J147,0)</f>
        <v>0</v>
      </c>
      <c r="AD147" s="32">
        <v>21</v>
      </c>
      <c r="AE147" s="32">
        <f>G147*0.547569562266712</f>
        <v>0</v>
      </c>
      <c r="AF147" s="32">
        <f>G147*(1-0.547569562266712)</f>
        <v>0</v>
      </c>
      <c r="AM147" s="32">
        <f>F147*AE147</f>
        <v>0</v>
      </c>
      <c r="AN147" s="32">
        <f>F147*AF147</f>
        <v>0</v>
      </c>
      <c r="AO147" s="33" t="s">
        <v>78</v>
      </c>
      <c r="AP147" s="33" t="s">
        <v>79</v>
      </c>
      <c r="AQ147" s="21" t="s">
        <v>200</v>
      </c>
    </row>
    <row r="148" spans="1:43" x14ac:dyDescent="0.25">
      <c r="A148" s="26"/>
      <c r="B148" s="27" t="s">
        <v>198</v>
      </c>
      <c r="C148" s="27" t="s">
        <v>189</v>
      </c>
      <c r="D148" s="338" t="s">
        <v>190</v>
      </c>
      <c r="E148" s="339"/>
      <c r="F148" s="339"/>
      <c r="G148" s="339"/>
      <c r="H148" s="28">
        <f>SUM(H149:H149)</f>
        <v>0</v>
      </c>
      <c r="I148" s="28">
        <f>SUM(I149:I149)</f>
        <v>0</v>
      </c>
      <c r="J148" s="28">
        <f>H148+I148</f>
        <v>0</v>
      </c>
      <c r="K148" s="21"/>
      <c r="L148" s="28">
        <f>SUM(L149:L149)</f>
        <v>1.5867660000000001</v>
      </c>
      <c r="M148" s="21"/>
      <c r="P148" s="28">
        <f>IF(Q148="PR",J148,SUM(O149:O149))</f>
        <v>0</v>
      </c>
      <c r="Q148" s="21" t="s">
        <v>75</v>
      </c>
      <c r="R148" s="28">
        <f>IF(Q148="HS",H148,0)</f>
        <v>0</v>
      </c>
      <c r="S148" s="28">
        <f>IF(Q148="HS",I148-P148,0)</f>
        <v>0</v>
      </c>
      <c r="T148" s="28">
        <f>IF(Q148="PS",H148,0)</f>
        <v>0</v>
      </c>
      <c r="U148" s="28">
        <f>IF(Q148="PS",I148-P148,0)</f>
        <v>0</v>
      </c>
      <c r="V148" s="28">
        <f>IF(Q148="MP",H148,0)</f>
        <v>0</v>
      </c>
      <c r="W148" s="28">
        <f>IF(Q148="MP",I148-P148,0)</f>
        <v>0</v>
      </c>
      <c r="X148" s="28">
        <f>IF(Q148="OM",H148,0)</f>
        <v>0</v>
      </c>
      <c r="Y148" s="21" t="s">
        <v>198</v>
      </c>
      <c r="AI148" s="28">
        <f>SUM(Z149:Z149)</f>
        <v>0</v>
      </c>
      <c r="AJ148" s="28">
        <f>SUM(AA149:AA149)</f>
        <v>0</v>
      </c>
      <c r="AK148" s="28">
        <f>SUM(AB149:AB149)</f>
        <v>0</v>
      </c>
    </row>
    <row r="149" spans="1:43" x14ac:dyDescent="0.25">
      <c r="A149" s="29" t="s">
        <v>205</v>
      </c>
      <c r="B149" s="29" t="s">
        <v>198</v>
      </c>
      <c r="C149" s="29" t="s">
        <v>192</v>
      </c>
      <c r="D149" s="29" t="s">
        <v>193</v>
      </c>
      <c r="E149" s="29" t="s">
        <v>58</v>
      </c>
      <c r="F149" s="30">
        <v>18.600000000000001</v>
      </c>
      <c r="G149" s="317">
        <v>0</v>
      </c>
      <c r="H149" s="30">
        <f>ROUND(F149*AE149,2)</f>
        <v>0</v>
      </c>
      <c r="I149" s="30">
        <f>J149-H149</f>
        <v>0</v>
      </c>
      <c r="J149" s="30">
        <f>ROUND(F149*G149,2)</f>
        <v>0</v>
      </c>
      <c r="K149" s="30">
        <v>8.5309999999999997E-2</v>
      </c>
      <c r="L149" s="30">
        <f>F149*K149</f>
        <v>1.5867660000000001</v>
      </c>
      <c r="M149" s="258" t="s">
        <v>2291</v>
      </c>
      <c r="N149" s="31" t="s">
        <v>59</v>
      </c>
      <c r="O149" s="30">
        <f>IF(N149="5",I149,0)</f>
        <v>0</v>
      </c>
      <c r="Z149" s="30">
        <f>IF(AD149=0,J149,0)</f>
        <v>0</v>
      </c>
      <c r="AA149" s="30">
        <f>IF(AD149=15,J149,0)</f>
        <v>0</v>
      </c>
      <c r="AB149" s="30">
        <f>IF(AD149=21,J149,0)</f>
        <v>0</v>
      </c>
      <c r="AD149" s="32">
        <v>21</v>
      </c>
      <c r="AE149" s="32">
        <f>G149*0.531096976382174</f>
        <v>0</v>
      </c>
      <c r="AF149" s="32">
        <f>G149*(1-0.531096976382174)</f>
        <v>0</v>
      </c>
      <c r="AM149" s="32">
        <f>F149*AE149</f>
        <v>0</v>
      </c>
      <c r="AN149" s="32">
        <f>F149*AF149</f>
        <v>0</v>
      </c>
      <c r="AO149" s="33" t="s">
        <v>194</v>
      </c>
      <c r="AP149" s="33" t="s">
        <v>92</v>
      </c>
      <c r="AQ149" s="21" t="s">
        <v>200</v>
      </c>
    </row>
    <row r="150" spans="1:43" x14ac:dyDescent="0.25">
      <c r="A150" s="26"/>
      <c r="B150" s="27" t="s">
        <v>198</v>
      </c>
      <c r="C150" s="27" t="s">
        <v>86</v>
      </c>
      <c r="D150" s="338" t="s">
        <v>87</v>
      </c>
      <c r="E150" s="339"/>
      <c r="F150" s="339"/>
      <c r="G150" s="339"/>
      <c r="H150" s="28">
        <f>SUM(H151:H151)</f>
        <v>0</v>
      </c>
      <c r="I150" s="28">
        <f>SUM(I151:I151)</f>
        <v>0</v>
      </c>
      <c r="J150" s="28">
        <f>H150+I150</f>
        <v>0</v>
      </c>
      <c r="K150" s="21"/>
      <c r="L150" s="28">
        <f>SUM(L151:L151)</f>
        <v>1.08E-3</v>
      </c>
      <c r="M150" s="21"/>
      <c r="P150" s="28">
        <f>IF(Q150="PR",J150,SUM(O151:O151))</f>
        <v>0</v>
      </c>
      <c r="Q150" s="21" t="s">
        <v>75</v>
      </c>
      <c r="R150" s="28">
        <f>IF(Q150="HS",H150,0)</f>
        <v>0</v>
      </c>
      <c r="S150" s="28">
        <f>IF(Q150="HS",I150-P150,0)</f>
        <v>0</v>
      </c>
      <c r="T150" s="28">
        <f>IF(Q150="PS",H150,0)</f>
        <v>0</v>
      </c>
      <c r="U150" s="28">
        <f>IF(Q150="PS",I150-P150,0)</f>
        <v>0</v>
      </c>
      <c r="V150" s="28">
        <f>IF(Q150="MP",H150,0)</f>
        <v>0</v>
      </c>
      <c r="W150" s="28">
        <f>IF(Q150="MP",I150-P150,0)</f>
        <v>0</v>
      </c>
      <c r="X150" s="28">
        <f>IF(Q150="OM",H150,0)</f>
        <v>0</v>
      </c>
      <c r="Y150" s="21" t="s">
        <v>198</v>
      </c>
      <c r="AI150" s="28">
        <f>SUM(Z151:Z151)</f>
        <v>0</v>
      </c>
      <c r="AJ150" s="28">
        <f>SUM(AA151:AA151)</f>
        <v>0</v>
      </c>
      <c r="AK150" s="28">
        <f>SUM(AB151:AB151)</f>
        <v>0</v>
      </c>
    </row>
    <row r="151" spans="1:43" x14ac:dyDescent="0.25">
      <c r="A151" s="29" t="s">
        <v>206</v>
      </c>
      <c r="B151" s="29" t="s">
        <v>198</v>
      </c>
      <c r="C151" s="29" t="s">
        <v>89</v>
      </c>
      <c r="D151" s="29" t="s">
        <v>90</v>
      </c>
      <c r="E151" s="29" t="s">
        <v>58</v>
      </c>
      <c r="F151" s="30">
        <v>4</v>
      </c>
      <c r="G151" s="317">
        <v>0</v>
      </c>
      <c r="H151" s="30">
        <f>ROUND(F151*AE151,2)</f>
        <v>0</v>
      </c>
      <c r="I151" s="30">
        <f>J151-H151</f>
        <v>0</v>
      </c>
      <c r="J151" s="30">
        <f>ROUND(F151*G151,2)</f>
        <v>0</v>
      </c>
      <c r="K151" s="30">
        <v>2.7E-4</v>
      </c>
      <c r="L151" s="30">
        <f>F151*K151</f>
        <v>1.08E-3</v>
      </c>
      <c r="M151" s="258" t="s">
        <v>2291</v>
      </c>
      <c r="N151" s="31" t="s">
        <v>59</v>
      </c>
      <c r="O151" s="30">
        <f>IF(N151="5",I151,0)</f>
        <v>0</v>
      </c>
      <c r="Z151" s="30">
        <f>IF(AD151=0,J151,0)</f>
        <v>0</v>
      </c>
      <c r="AA151" s="30">
        <f>IF(AD151=15,J151,0)</f>
        <v>0</v>
      </c>
      <c r="AB151" s="30">
        <f>IF(AD151=21,J151,0)</f>
        <v>0</v>
      </c>
      <c r="AD151" s="32">
        <v>21</v>
      </c>
      <c r="AE151" s="32">
        <f>G151*0.186098187625859</f>
        <v>0</v>
      </c>
      <c r="AF151" s="32">
        <f>G151*(1-0.186098187625859)</f>
        <v>0</v>
      </c>
      <c r="AM151" s="32">
        <f>F151*AE151</f>
        <v>0</v>
      </c>
      <c r="AN151" s="32">
        <f>F151*AF151</f>
        <v>0</v>
      </c>
      <c r="AO151" s="33" t="s">
        <v>91</v>
      </c>
      <c r="AP151" s="33" t="s">
        <v>92</v>
      </c>
      <c r="AQ151" s="21" t="s">
        <v>200</v>
      </c>
    </row>
    <row r="152" spans="1:43" x14ac:dyDescent="0.25">
      <c r="A152" s="26"/>
      <c r="B152" s="27" t="s">
        <v>198</v>
      </c>
      <c r="C152" s="27" t="s">
        <v>93</v>
      </c>
      <c r="D152" s="338" t="s">
        <v>94</v>
      </c>
      <c r="E152" s="339"/>
      <c r="F152" s="339"/>
      <c r="G152" s="339"/>
      <c r="H152" s="28">
        <f>SUM(H153:H153)</f>
        <v>0</v>
      </c>
      <c r="I152" s="28">
        <f>SUM(I153:I153)</f>
        <v>0</v>
      </c>
      <c r="J152" s="28">
        <f>H152+I152</f>
        <v>0</v>
      </c>
      <c r="K152" s="21"/>
      <c r="L152" s="28">
        <f>SUM(L153:L153)</f>
        <v>4.7313500000000001E-2</v>
      </c>
      <c r="M152" s="21"/>
      <c r="P152" s="28">
        <f>IF(Q152="PR",J152,SUM(O153:O153))</f>
        <v>0</v>
      </c>
      <c r="Q152" s="21" t="s">
        <v>75</v>
      </c>
      <c r="R152" s="28">
        <f>IF(Q152="HS",H152,0)</f>
        <v>0</v>
      </c>
      <c r="S152" s="28">
        <f>IF(Q152="HS",I152-P152,0)</f>
        <v>0</v>
      </c>
      <c r="T152" s="28">
        <f>IF(Q152="PS",H152,0)</f>
        <v>0</v>
      </c>
      <c r="U152" s="28">
        <f>IF(Q152="PS",I152-P152,0)</f>
        <v>0</v>
      </c>
      <c r="V152" s="28">
        <f>IF(Q152="MP",H152,0)</f>
        <v>0</v>
      </c>
      <c r="W152" s="28">
        <f>IF(Q152="MP",I152-P152,0)</f>
        <v>0</v>
      </c>
      <c r="X152" s="28">
        <f>IF(Q152="OM",H152,0)</f>
        <v>0</v>
      </c>
      <c r="Y152" s="21" t="s">
        <v>198</v>
      </c>
      <c r="AI152" s="28">
        <f>SUM(Z153:Z153)</f>
        <v>0</v>
      </c>
      <c r="AJ152" s="28">
        <f>SUM(AA153:AA153)</f>
        <v>0</v>
      </c>
      <c r="AK152" s="28">
        <f>SUM(AB153:AB153)</f>
        <v>0</v>
      </c>
    </row>
    <row r="153" spans="1:43" x14ac:dyDescent="0.25">
      <c r="A153" s="29" t="s">
        <v>52</v>
      </c>
      <c r="B153" s="29" t="s">
        <v>198</v>
      </c>
      <c r="C153" s="29" t="s">
        <v>96</v>
      </c>
      <c r="D153" s="29" t="s">
        <v>97</v>
      </c>
      <c r="E153" s="29" t="s">
        <v>58</v>
      </c>
      <c r="F153" s="30">
        <v>72.790000000000006</v>
      </c>
      <c r="G153" s="317">
        <v>0</v>
      </c>
      <c r="H153" s="30">
        <f>ROUND(F153*AE153,2)</f>
        <v>0</v>
      </c>
      <c r="I153" s="30">
        <f>J153-H153</f>
        <v>0</v>
      </c>
      <c r="J153" s="30">
        <f>ROUND(F153*G153,2)</f>
        <v>0</v>
      </c>
      <c r="K153" s="30">
        <v>6.4999999999999997E-4</v>
      </c>
      <c r="L153" s="30">
        <f>F153*K153</f>
        <v>4.7313500000000001E-2</v>
      </c>
      <c r="M153" s="258" t="s">
        <v>2291</v>
      </c>
      <c r="N153" s="31" t="s">
        <v>59</v>
      </c>
      <c r="O153" s="30">
        <f>IF(N153="5",I153,0)</f>
        <v>0</v>
      </c>
      <c r="Z153" s="30">
        <f>IF(AD153=0,J153,0)</f>
        <v>0</v>
      </c>
      <c r="AA153" s="30">
        <f>IF(AD153=15,J153,0)</f>
        <v>0</v>
      </c>
      <c r="AB153" s="30">
        <f>IF(AD153=21,J153,0)</f>
        <v>0</v>
      </c>
      <c r="AD153" s="32">
        <v>21</v>
      </c>
      <c r="AE153" s="32">
        <f>G153*0.333747476316198</f>
        <v>0</v>
      </c>
      <c r="AF153" s="32">
        <f>G153*(1-0.333747476316198)</f>
        <v>0</v>
      </c>
      <c r="AM153" s="32">
        <f>F153*AE153</f>
        <v>0</v>
      </c>
      <c r="AN153" s="32">
        <f>F153*AF153</f>
        <v>0</v>
      </c>
      <c r="AO153" s="33" t="s">
        <v>98</v>
      </c>
      <c r="AP153" s="33" t="s">
        <v>92</v>
      </c>
      <c r="AQ153" s="21" t="s">
        <v>200</v>
      </c>
    </row>
    <row r="154" spans="1:43" x14ac:dyDescent="0.25">
      <c r="A154" s="26"/>
      <c r="B154" s="27" t="s">
        <v>198</v>
      </c>
      <c r="C154" s="27" t="s">
        <v>99</v>
      </c>
      <c r="D154" s="338" t="s">
        <v>100</v>
      </c>
      <c r="E154" s="339"/>
      <c r="F154" s="339"/>
      <c r="G154" s="339"/>
      <c r="H154" s="28">
        <f>SUM(H155:H155)</f>
        <v>0</v>
      </c>
      <c r="I154" s="28">
        <f>SUM(I155:I155)</f>
        <v>0</v>
      </c>
      <c r="J154" s="28">
        <f>H154+I154</f>
        <v>0</v>
      </c>
      <c r="K154" s="21"/>
      <c r="L154" s="28">
        <f>SUM(L155:L155)</f>
        <v>0</v>
      </c>
      <c r="M154" s="21"/>
      <c r="P154" s="28">
        <f>IF(Q154="PR",J154,SUM(O155:O155))</f>
        <v>0</v>
      </c>
      <c r="Q154" s="21" t="s">
        <v>54</v>
      </c>
      <c r="R154" s="28">
        <f>IF(Q154="HS",H154,0)</f>
        <v>0</v>
      </c>
      <c r="S154" s="28">
        <f>IF(Q154="HS",I154-P154,0)</f>
        <v>0</v>
      </c>
      <c r="T154" s="28">
        <f>IF(Q154="PS",H154,0)</f>
        <v>0</v>
      </c>
      <c r="U154" s="28">
        <f>IF(Q154="PS",I154-P154,0)</f>
        <v>0</v>
      </c>
      <c r="V154" s="28">
        <f>IF(Q154="MP",H154,0)</f>
        <v>0</v>
      </c>
      <c r="W154" s="28">
        <f>IF(Q154="MP",I154-P154,0)</f>
        <v>0</v>
      </c>
      <c r="X154" s="28">
        <f>IF(Q154="OM",H154,0)</f>
        <v>0</v>
      </c>
      <c r="Y154" s="21" t="s">
        <v>198</v>
      </c>
      <c r="AI154" s="28">
        <f>SUM(Z155:Z155)</f>
        <v>0</v>
      </c>
      <c r="AJ154" s="28">
        <f>SUM(AA155:AA155)</f>
        <v>0</v>
      </c>
      <c r="AK154" s="28">
        <f>SUM(AB155:AB155)</f>
        <v>0</v>
      </c>
    </row>
    <row r="155" spans="1:43" x14ac:dyDescent="0.25">
      <c r="A155" s="29" t="s">
        <v>207</v>
      </c>
      <c r="B155" s="29" t="s">
        <v>198</v>
      </c>
      <c r="C155" s="29" t="s">
        <v>102</v>
      </c>
      <c r="D155" s="29" t="s">
        <v>103</v>
      </c>
      <c r="E155" s="29" t="s">
        <v>104</v>
      </c>
      <c r="F155" s="30">
        <v>6</v>
      </c>
      <c r="G155" s="317">
        <v>0</v>
      </c>
      <c r="H155" s="30">
        <f>ROUND(F155*AE155,2)</f>
        <v>0</v>
      </c>
      <c r="I155" s="30">
        <f>J155-H155</f>
        <v>0</v>
      </c>
      <c r="J155" s="30">
        <f>ROUND(F155*G155,2)</f>
        <v>0</v>
      </c>
      <c r="K155" s="30">
        <v>0</v>
      </c>
      <c r="L155" s="30">
        <f>F155*K155</f>
        <v>0</v>
      </c>
      <c r="M155" s="258" t="s">
        <v>2291</v>
      </c>
      <c r="N155" s="31" t="s">
        <v>55</v>
      </c>
      <c r="O155" s="30">
        <f>IF(N155="5",I155,0)</f>
        <v>0</v>
      </c>
      <c r="Z155" s="30">
        <f>IF(AD155=0,J155,0)</f>
        <v>0</v>
      </c>
      <c r="AA155" s="30">
        <f>IF(AD155=15,J155,0)</f>
        <v>0</v>
      </c>
      <c r="AB155" s="30">
        <f>IF(AD155=21,J155,0)</f>
        <v>0</v>
      </c>
      <c r="AD155" s="32">
        <v>21</v>
      </c>
      <c r="AE155" s="32">
        <f>G155*0</f>
        <v>0</v>
      </c>
      <c r="AF155" s="32">
        <f>G155*(1-0)</f>
        <v>0</v>
      </c>
      <c r="AM155" s="32">
        <f>F155*AE155</f>
        <v>0</v>
      </c>
      <c r="AN155" s="32">
        <f>F155*AF155</f>
        <v>0</v>
      </c>
      <c r="AO155" s="33" t="s">
        <v>105</v>
      </c>
      <c r="AP155" s="33" t="s">
        <v>106</v>
      </c>
      <c r="AQ155" s="21" t="s">
        <v>200</v>
      </c>
    </row>
    <row r="156" spans="1:43" x14ac:dyDescent="0.25">
      <c r="C156" s="34" t="s">
        <v>63</v>
      </c>
      <c r="D156" s="340" t="s">
        <v>107</v>
      </c>
      <c r="E156" s="341"/>
      <c r="F156" s="341"/>
      <c r="G156" s="341"/>
      <c r="H156" s="341"/>
      <c r="I156" s="341"/>
      <c r="J156" s="341"/>
      <c r="K156" s="341"/>
      <c r="L156" s="341"/>
      <c r="M156" s="341"/>
    </row>
    <row r="157" spans="1:43" x14ac:dyDescent="0.25">
      <c r="A157" s="26"/>
      <c r="B157" s="27" t="s">
        <v>198</v>
      </c>
      <c r="C157" s="27" t="s">
        <v>108</v>
      </c>
      <c r="D157" s="338" t="s">
        <v>109</v>
      </c>
      <c r="E157" s="339"/>
      <c r="F157" s="339"/>
      <c r="G157" s="339"/>
      <c r="H157" s="28">
        <f>SUM(H158:H158)</f>
        <v>0</v>
      </c>
      <c r="I157" s="28">
        <f>SUM(I158:I158)</f>
        <v>0</v>
      </c>
      <c r="J157" s="28">
        <f>H157+I157</f>
        <v>0</v>
      </c>
      <c r="K157" s="21"/>
      <c r="L157" s="28">
        <f>SUM(L158:L158)</f>
        <v>9.7909999999999997E-2</v>
      </c>
      <c r="M157" s="21"/>
      <c r="P157" s="28">
        <f>IF(Q157="PR",J157,SUM(O158:O158))</f>
        <v>0</v>
      </c>
      <c r="Q157" s="21" t="s">
        <v>54</v>
      </c>
      <c r="R157" s="28">
        <f>IF(Q157="HS",H157,0)</f>
        <v>0</v>
      </c>
      <c r="S157" s="28">
        <f>IF(Q157="HS",I157-P157,0)</f>
        <v>0</v>
      </c>
      <c r="T157" s="28">
        <f>IF(Q157="PS",H157,0)</f>
        <v>0</v>
      </c>
      <c r="U157" s="28">
        <f>IF(Q157="PS",I157-P157,0)</f>
        <v>0</v>
      </c>
      <c r="V157" s="28">
        <f>IF(Q157="MP",H157,0)</f>
        <v>0</v>
      </c>
      <c r="W157" s="28">
        <f>IF(Q157="MP",I157-P157,0)</f>
        <v>0</v>
      </c>
      <c r="X157" s="28">
        <f>IF(Q157="OM",H157,0)</f>
        <v>0</v>
      </c>
      <c r="Y157" s="21" t="s">
        <v>198</v>
      </c>
      <c r="AI157" s="28">
        <f>SUM(Z158:Z158)</f>
        <v>0</v>
      </c>
      <c r="AJ157" s="28">
        <f>SUM(AA158:AA158)</f>
        <v>0</v>
      </c>
      <c r="AK157" s="28">
        <f>SUM(AB158:AB158)</f>
        <v>0</v>
      </c>
    </row>
    <row r="158" spans="1:43" x14ac:dyDescent="0.25">
      <c r="A158" s="29" t="s">
        <v>68</v>
      </c>
      <c r="B158" s="29" t="s">
        <v>198</v>
      </c>
      <c r="C158" s="29" t="s">
        <v>111</v>
      </c>
      <c r="D158" s="29" t="s">
        <v>112</v>
      </c>
      <c r="E158" s="29" t="s">
        <v>113</v>
      </c>
      <c r="F158" s="30">
        <v>1</v>
      </c>
      <c r="G158" s="317">
        <v>0</v>
      </c>
      <c r="H158" s="30">
        <f>ROUND(F158*AE158,2)</f>
        <v>0</v>
      </c>
      <c r="I158" s="30">
        <f>J158-H158</f>
        <v>0</v>
      </c>
      <c r="J158" s="30">
        <f>ROUND(F158*G158,2)</f>
        <v>0</v>
      </c>
      <c r="K158" s="30">
        <v>9.7909999999999997E-2</v>
      </c>
      <c r="L158" s="30">
        <f>F158*K158</f>
        <v>9.7909999999999997E-2</v>
      </c>
      <c r="M158" s="258" t="s">
        <v>2291</v>
      </c>
      <c r="N158" s="31" t="s">
        <v>55</v>
      </c>
      <c r="O158" s="30">
        <f>IF(N158="5",I158,0)</f>
        <v>0</v>
      </c>
      <c r="Z158" s="30">
        <f>IF(AD158=0,J158,0)</f>
        <v>0</v>
      </c>
      <c r="AA158" s="30">
        <f>IF(AD158=15,J158,0)</f>
        <v>0</v>
      </c>
      <c r="AB158" s="30">
        <f>IF(AD158=21,J158,0)</f>
        <v>0</v>
      </c>
      <c r="AD158" s="32">
        <v>21</v>
      </c>
      <c r="AE158" s="32">
        <f>G158*0.0762897526501767</f>
        <v>0</v>
      </c>
      <c r="AF158" s="32">
        <f>G158*(1-0.0762897526501767)</f>
        <v>0</v>
      </c>
      <c r="AM158" s="32">
        <f>F158*AE158</f>
        <v>0</v>
      </c>
      <c r="AN158" s="32">
        <f>F158*AF158</f>
        <v>0</v>
      </c>
      <c r="AO158" s="33" t="s">
        <v>114</v>
      </c>
      <c r="AP158" s="33" t="s">
        <v>106</v>
      </c>
      <c r="AQ158" s="21" t="s">
        <v>200</v>
      </c>
    </row>
    <row r="159" spans="1:43" x14ac:dyDescent="0.25">
      <c r="C159" s="34" t="s">
        <v>63</v>
      </c>
      <c r="D159" s="340" t="s">
        <v>107</v>
      </c>
      <c r="E159" s="341"/>
      <c r="F159" s="341"/>
      <c r="G159" s="341"/>
      <c r="H159" s="341"/>
      <c r="I159" s="341"/>
      <c r="J159" s="341"/>
      <c r="K159" s="341"/>
      <c r="L159" s="341"/>
      <c r="M159" s="341"/>
    </row>
    <row r="160" spans="1:43" x14ac:dyDescent="0.25">
      <c r="A160" s="26"/>
      <c r="B160" s="27" t="s">
        <v>208</v>
      </c>
      <c r="C160" s="27"/>
      <c r="D160" s="338" t="s">
        <v>208</v>
      </c>
      <c r="E160" s="339"/>
      <c r="F160" s="339"/>
      <c r="G160" s="339"/>
      <c r="H160" s="28">
        <f>H161+H168+H170+H173+H175+H177+H179+H182</f>
        <v>0</v>
      </c>
      <c r="I160" s="28">
        <f>I161+I168+I170+I173+I175+I177+I179+I182</f>
        <v>0</v>
      </c>
      <c r="J160" s="28">
        <f>H160+I160</f>
        <v>0</v>
      </c>
      <c r="K160" s="21"/>
      <c r="L160" s="28">
        <f>L161+L168+L170+L173+L175+L177+L179+L182</f>
        <v>1.461422</v>
      </c>
      <c r="M160" s="21"/>
    </row>
    <row r="161" spans="1:43" x14ac:dyDescent="0.25">
      <c r="A161" s="26"/>
      <c r="B161" s="27" t="s">
        <v>208</v>
      </c>
      <c r="C161" s="27" t="s">
        <v>52</v>
      </c>
      <c r="D161" s="338" t="s">
        <v>53</v>
      </c>
      <c r="E161" s="339"/>
      <c r="F161" s="339"/>
      <c r="G161" s="339"/>
      <c r="H161" s="28">
        <f>SUM(H162:H166)</f>
        <v>0</v>
      </c>
      <c r="I161" s="28">
        <f>SUM(I162:I166)</f>
        <v>0</v>
      </c>
      <c r="J161" s="28">
        <f>H161+I161</f>
        <v>0</v>
      </c>
      <c r="K161" s="21"/>
      <c r="L161" s="28">
        <f>SUM(L162:L166)</f>
        <v>0.60512100000000002</v>
      </c>
      <c r="M161" s="21"/>
      <c r="P161" s="28">
        <f>IF(Q161="PR",J161,SUM(O162:O166))</f>
        <v>0</v>
      </c>
      <c r="Q161" s="21" t="s">
        <v>54</v>
      </c>
      <c r="R161" s="28">
        <f>IF(Q161="HS",H161,0)</f>
        <v>0</v>
      </c>
      <c r="S161" s="28">
        <f>IF(Q161="HS",I161-P161,0)</f>
        <v>0</v>
      </c>
      <c r="T161" s="28">
        <f>IF(Q161="PS",H161,0)</f>
        <v>0</v>
      </c>
      <c r="U161" s="28">
        <f>IF(Q161="PS",I161-P161,0)</f>
        <v>0</v>
      </c>
      <c r="V161" s="28">
        <f>IF(Q161="MP",H161,0)</f>
        <v>0</v>
      </c>
      <c r="W161" s="28">
        <f>IF(Q161="MP",I161-P161,0)</f>
        <v>0</v>
      </c>
      <c r="X161" s="28">
        <f>IF(Q161="OM",H161,0)</f>
        <v>0</v>
      </c>
      <c r="Y161" s="21" t="s">
        <v>208</v>
      </c>
      <c r="AI161" s="28">
        <f>SUM(Z162:Z166)</f>
        <v>0</v>
      </c>
      <c r="AJ161" s="28">
        <f>SUM(AA162:AA166)</f>
        <v>0</v>
      </c>
      <c r="AK161" s="28">
        <f>SUM(AB162:AB166)</f>
        <v>0</v>
      </c>
    </row>
    <row r="162" spans="1:43" x14ac:dyDescent="0.25">
      <c r="A162" s="29" t="s">
        <v>130</v>
      </c>
      <c r="B162" s="29" t="s">
        <v>208</v>
      </c>
      <c r="C162" s="29" t="s">
        <v>56</v>
      </c>
      <c r="D162" s="29" t="s">
        <v>57</v>
      </c>
      <c r="E162" s="29" t="s">
        <v>58</v>
      </c>
      <c r="F162" s="30">
        <v>44.22</v>
      </c>
      <c r="G162" s="317">
        <v>0</v>
      </c>
      <c r="H162" s="30">
        <f>ROUND(F162*AE162,2)</f>
        <v>0</v>
      </c>
      <c r="I162" s="30">
        <f>J162-H162</f>
        <v>0</v>
      </c>
      <c r="J162" s="30">
        <f>ROUND(F162*G162,2)</f>
        <v>0</v>
      </c>
      <c r="K162" s="30">
        <v>1.001E-2</v>
      </c>
      <c r="L162" s="30">
        <f>F162*K162</f>
        <v>0.44264219999999999</v>
      </c>
      <c r="M162" s="258" t="s">
        <v>2291</v>
      </c>
      <c r="N162" s="31" t="s">
        <v>59</v>
      </c>
      <c r="O162" s="30">
        <f>IF(N162="5",I162,0)</f>
        <v>0</v>
      </c>
      <c r="Z162" s="30">
        <f>IF(AD162=0,J162,0)</f>
        <v>0</v>
      </c>
      <c r="AA162" s="30">
        <f>IF(AD162=15,J162,0)</f>
        <v>0</v>
      </c>
      <c r="AB162" s="30">
        <f>IF(AD162=21,J162,0)</f>
        <v>0</v>
      </c>
      <c r="AD162" s="32">
        <v>21</v>
      </c>
      <c r="AE162" s="32">
        <f>G162*0.0756575801052128</f>
        <v>0</v>
      </c>
      <c r="AF162" s="32">
        <f>G162*(1-0.0756575801052128)</f>
        <v>0</v>
      </c>
      <c r="AM162" s="32">
        <f>F162*AE162</f>
        <v>0</v>
      </c>
      <c r="AN162" s="32">
        <f>F162*AF162</f>
        <v>0</v>
      </c>
      <c r="AO162" s="33" t="s">
        <v>60</v>
      </c>
      <c r="AP162" s="33" t="s">
        <v>61</v>
      </c>
      <c r="AQ162" s="21" t="s">
        <v>209</v>
      </c>
    </row>
    <row r="163" spans="1:43" ht="25.7" customHeight="1" x14ac:dyDescent="0.25">
      <c r="C163" s="34" t="s">
        <v>63</v>
      </c>
      <c r="D163" s="340" t="s">
        <v>64</v>
      </c>
      <c r="E163" s="341"/>
      <c r="F163" s="341"/>
      <c r="G163" s="341"/>
      <c r="H163" s="341"/>
      <c r="I163" s="341"/>
      <c r="J163" s="341"/>
      <c r="K163" s="341"/>
      <c r="L163" s="341"/>
      <c r="M163" s="341"/>
    </row>
    <row r="164" spans="1:43" x14ac:dyDescent="0.25">
      <c r="A164" s="29" t="s">
        <v>210</v>
      </c>
      <c r="B164" s="29" t="s">
        <v>208</v>
      </c>
      <c r="C164" s="29" t="s">
        <v>66</v>
      </c>
      <c r="D164" s="29" t="s">
        <v>67</v>
      </c>
      <c r="E164" s="29" t="s">
        <v>58</v>
      </c>
      <c r="F164" s="30">
        <v>10.32</v>
      </c>
      <c r="G164" s="317">
        <v>0</v>
      </c>
      <c r="H164" s="30">
        <f>ROUND(F164*AE164,2)</f>
        <v>0</v>
      </c>
      <c r="I164" s="30">
        <f>J164-H164</f>
        <v>0</v>
      </c>
      <c r="J164" s="30">
        <f>ROUND(F164*G164,2)</f>
        <v>0</v>
      </c>
      <c r="K164" s="30">
        <v>9.8399999999999998E-3</v>
      </c>
      <c r="L164" s="30">
        <f>F164*K164</f>
        <v>0.10154879999999999</v>
      </c>
      <c r="M164" s="258" t="s">
        <v>2291</v>
      </c>
      <c r="N164" s="31" t="s">
        <v>59</v>
      </c>
      <c r="O164" s="30">
        <f>IF(N164="5",I164,0)</f>
        <v>0</v>
      </c>
      <c r="Z164" s="30">
        <f>IF(AD164=0,J164,0)</f>
        <v>0</v>
      </c>
      <c r="AA164" s="30">
        <f>IF(AD164=15,J164,0)</f>
        <v>0</v>
      </c>
      <c r="AB164" s="30">
        <f>IF(AD164=21,J164,0)</f>
        <v>0</v>
      </c>
      <c r="AD164" s="32">
        <v>21</v>
      </c>
      <c r="AE164" s="32">
        <f>G164*0.160304682766381</f>
        <v>0</v>
      </c>
      <c r="AF164" s="32">
        <f>G164*(1-0.160304682766381)</f>
        <v>0</v>
      </c>
      <c r="AM164" s="32">
        <f>F164*AE164</f>
        <v>0</v>
      </c>
      <c r="AN164" s="32">
        <f>F164*AF164</f>
        <v>0</v>
      </c>
      <c r="AO164" s="33" t="s">
        <v>60</v>
      </c>
      <c r="AP164" s="33" t="s">
        <v>61</v>
      </c>
      <c r="AQ164" s="21" t="s">
        <v>209</v>
      </c>
    </row>
    <row r="165" spans="1:43" ht="25.7" customHeight="1" x14ac:dyDescent="0.25">
      <c r="C165" s="34" t="s">
        <v>63</v>
      </c>
      <c r="D165" s="340" t="s">
        <v>64</v>
      </c>
      <c r="E165" s="341"/>
      <c r="F165" s="341"/>
      <c r="G165" s="341"/>
      <c r="H165" s="341"/>
      <c r="I165" s="341"/>
      <c r="J165" s="341"/>
      <c r="K165" s="341"/>
      <c r="L165" s="341"/>
      <c r="M165" s="341"/>
    </row>
    <row r="166" spans="1:43" x14ac:dyDescent="0.25">
      <c r="A166" s="29" t="s">
        <v>211</v>
      </c>
      <c r="B166" s="29" t="s">
        <v>208</v>
      </c>
      <c r="C166" s="29" t="s">
        <v>156</v>
      </c>
      <c r="D166" s="29" t="s">
        <v>2279</v>
      </c>
      <c r="E166" s="29" t="s">
        <v>58</v>
      </c>
      <c r="F166" s="30">
        <v>3</v>
      </c>
      <c r="G166" s="317">
        <v>0</v>
      </c>
      <c r="H166" s="30">
        <f>ROUND(F166*AE166,2)</f>
        <v>0</v>
      </c>
      <c r="I166" s="30">
        <f>J166-H166</f>
        <v>0</v>
      </c>
      <c r="J166" s="30">
        <f>ROUND(F166*G166,2)</f>
        <v>0</v>
      </c>
      <c r="K166" s="30">
        <v>2.0310000000000002E-2</v>
      </c>
      <c r="L166" s="30">
        <f>F166*K166</f>
        <v>6.0930000000000005E-2</v>
      </c>
      <c r="M166" s="258" t="s">
        <v>2291</v>
      </c>
      <c r="N166" s="31" t="s">
        <v>55</v>
      </c>
      <c r="O166" s="30">
        <f>IF(N166="5",I166,0)</f>
        <v>0</v>
      </c>
      <c r="Z166" s="30">
        <f>IF(AD166=0,J166,0)</f>
        <v>0</v>
      </c>
      <c r="AA166" s="30">
        <f>IF(AD166=15,J166,0)</f>
        <v>0</v>
      </c>
      <c r="AB166" s="30">
        <f>IF(AD166=21,J166,0)</f>
        <v>0</v>
      </c>
      <c r="AD166" s="32">
        <v>21</v>
      </c>
      <c r="AE166" s="32">
        <f>G166*0.423217647685695</f>
        <v>0</v>
      </c>
      <c r="AF166" s="32">
        <f>G166*(1-0.423217647685695)</f>
        <v>0</v>
      </c>
      <c r="AM166" s="32">
        <f>F166*AE166</f>
        <v>0</v>
      </c>
      <c r="AN166" s="32">
        <f>F166*AF166</f>
        <v>0</v>
      </c>
      <c r="AO166" s="33" t="s">
        <v>60</v>
      </c>
      <c r="AP166" s="33" t="s">
        <v>61</v>
      </c>
      <c r="AQ166" s="21" t="s">
        <v>209</v>
      </c>
    </row>
    <row r="167" spans="1:43" ht="25.7" customHeight="1" x14ac:dyDescent="0.25">
      <c r="C167" s="34" t="s">
        <v>63</v>
      </c>
      <c r="D167" s="340" t="s">
        <v>157</v>
      </c>
      <c r="E167" s="341"/>
      <c r="F167" s="341"/>
      <c r="G167" s="341"/>
      <c r="H167" s="341"/>
      <c r="I167" s="341"/>
      <c r="J167" s="341"/>
      <c r="K167" s="341"/>
      <c r="L167" s="341"/>
      <c r="M167" s="341"/>
    </row>
    <row r="168" spans="1:43" x14ac:dyDescent="0.25">
      <c r="A168" s="26"/>
      <c r="B168" s="27" t="s">
        <v>208</v>
      </c>
      <c r="C168" s="27" t="s">
        <v>68</v>
      </c>
      <c r="D168" s="338" t="s">
        <v>69</v>
      </c>
      <c r="E168" s="339"/>
      <c r="F168" s="339"/>
      <c r="G168" s="339"/>
      <c r="H168" s="28">
        <f>SUM(H169:H169)</f>
        <v>0</v>
      </c>
      <c r="I168" s="28">
        <f>SUM(I169:I169)</f>
        <v>0</v>
      </c>
      <c r="J168" s="28">
        <f>H168+I168</f>
        <v>0</v>
      </c>
      <c r="K168" s="21"/>
      <c r="L168" s="28">
        <f>SUM(L169:L169)</f>
        <v>0.51434880000000005</v>
      </c>
      <c r="M168" s="21"/>
      <c r="P168" s="28">
        <f>IF(Q168="PR",J168,SUM(O169:O169))</f>
        <v>0</v>
      </c>
      <c r="Q168" s="21" t="s">
        <v>54</v>
      </c>
      <c r="R168" s="28">
        <f>IF(Q168="HS",H168,0)</f>
        <v>0</v>
      </c>
      <c r="S168" s="28">
        <f>IF(Q168="HS",I168-P168,0)</f>
        <v>0</v>
      </c>
      <c r="T168" s="28">
        <f>IF(Q168="PS",H168,0)</f>
        <v>0</v>
      </c>
      <c r="U168" s="28">
        <f>IF(Q168="PS",I168-P168,0)</f>
        <v>0</v>
      </c>
      <c r="V168" s="28">
        <f>IF(Q168="MP",H168,0)</f>
        <v>0</v>
      </c>
      <c r="W168" s="28">
        <f>IF(Q168="MP",I168-P168,0)</f>
        <v>0</v>
      </c>
      <c r="X168" s="28">
        <f>IF(Q168="OM",H168,0)</f>
        <v>0</v>
      </c>
      <c r="Y168" s="21" t="s">
        <v>208</v>
      </c>
      <c r="AI168" s="28">
        <f>SUM(Z169:Z169)</f>
        <v>0</v>
      </c>
      <c r="AJ168" s="28">
        <f>SUM(AA169:AA169)</f>
        <v>0</v>
      </c>
      <c r="AK168" s="28">
        <f>SUM(AB169:AB169)</f>
        <v>0</v>
      </c>
    </row>
    <row r="169" spans="1:43" x14ac:dyDescent="0.25">
      <c r="A169" s="29" t="s">
        <v>212</v>
      </c>
      <c r="B169" s="29" t="s">
        <v>208</v>
      </c>
      <c r="C169" s="29" t="s">
        <v>70</v>
      </c>
      <c r="D169" s="29" t="s">
        <v>71</v>
      </c>
      <c r="E169" s="29" t="s">
        <v>58</v>
      </c>
      <c r="F169" s="30">
        <v>10.32</v>
      </c>
      <c r="G169" s="317">
        <v>0</v>
      </c>
      <c r="H169" s="30">
        <f>ROUND(F169*AE169,2)</f>
        <v>0</v>
      </c>
      <c r="I169" s="30">
        <f>J169-H169</f>
        <v>0</v>
      </c>
      <c r="J169" s="30">
        <f>ROUND(F169*G169,2)</f>
        <v>0</v>
      </c>
      <c r="K169" s="30">
        <v>4.9840000000000002E-2</v>
      </c>
      <c r="L169" s="30">
        <f>F169*K169</f>
        <v>0.51434880000000005</v>
      </c>
      <c r="M169" s="258" t="s">
        <v>2291</v>
      </c>
      <c r="N169" s="31" t="s">
        <v>59</v>
      </c>
      <c r="O169" s="30">
        <f>IF(N169="5",I169,0)</f>
        <v>0</v>
      </c>
      <c r="Z169" s="30">
        <f>IF(AD169=0,J169,0)</f>
        <v>0</v>
      </c>
      <c r="AA169" s="30">
        <f>IF(AD169=15,J169,0)</f>
        <v>0</v>
      </c>
      <c r="AB169" s="30">
        <f>IF(AD169=21,J169,0)</f>
        <v>0</v>
      </c>
      <c r="AD169" s="32">
        <v>21</v>
      </c>
      <c r="AE169" s="32">
        <f>G169*0.411768721414431</f>
        <v>0</v>
      </c>
      <c r="AF169" s="32">
        <f>G169*(1-0.411768721414431)</f>
        <v>0</v>
      </c>
      <c r="AM169" s="32">
        <f>F169*AE169</f>
        <v>0</v>
      </c>
      <c r="AN169" s="32">
        <f>F169*AF169</f>
        <v>0</v>
      </c>
      <c r="AO169" s="33" t="s">
        <v>72</v>
      </c>
      <c r="AP169" s="33" t="s">
        <v>61</v>
      </c>
      <c r="AQ169" s="21" t="s">
        <v>209</v>
      </c>
    </row>
    <row r="170" spans="1:43" x14ac:dyDescent="0.25">
      <c r="A170" s="26"/>
      <c r="B170" s="27" t="s">
        <v>208</v>
      </c>
      <c r="C170" s="27" t="s">
        <v>73</v>
      </c>
      <c r="D170" s="338" t="s">
        <v>74</v>
      </c>
      <c r="E170" s="339"/>
      <c r="F170" s="339"/>
      <c r="G170" s="339"/>
      <c r="H170" s="28">
        <f>SUM(H171:H171)</f>
        <v>0</v>
      </c>
      <c r="I170" s="28">
        <f>SUM(I171:I171)</f>
        <v>0</v>
      </c>
      <c r="J170" s="28">
        <f>H170+I170</f>
        <v>0</v>
      </c>
      <c r="K170" s="21"/>
      <c r="L170" s="28">
        <f>SUM(L171:L171)</f>
        <v>0.16615199999999999</v>
      </c>
      <c r="M170" s="21"/>
      <c r="P170" s="28">
        <f>IF(Q170="PR",J170,SUM(O171:O171))</f>
        <v>0</v>
      </c>
      <c r="Q170" s="21" t="s">
        <v>75</v>
      </c>
      <c r="R170" s="28">
        <f>IF(Q170="HS",H170,0)</f>
        <v>0</v>
      </c>
      <c r="S170" s="28">
        <f>IF(Q170="HS",I170-P170,0)</f>
        <v>0</v>
      </c>
      <c r="T170" s="28">
        <f>IF(Q170="PS",H170,0)</f>
        <v>0</v>
      </c>
      <c r="U170" s="28">
        <f>IF(Q170="PS",I170-P170,0)</f>
        <v>0</v>
      </c>
      <c r="V170" s="28">
        <f>IF(Q170="MP",H170,0)</f>
        <v>0</v>
      </c>
      <c r="W170" s="28">
        <f>IF(Q170="MP",I170-P170,0)</f>
        <v>0</v>
      </c>
      <c r="X170" s="28">
        <f>IF(Q170="OM",H170,0)</f>
        <v>0</v>
      </c>
      <c r="Y170" s="21" t="s">
        <v>208</v>
      </c>
      <c r="AI170" s="28">
        <f>SUM(Z171:Z171)</f>
        <v>0</v>
      </c>
      <c r="AJ170" s="28">
        <f>SUM(AA171:AA171)</f>
        <v>0</v>
      </c>
      <c r="AK170" s="28">
        <f>SUM(AB171:AB171)</f>
        <v>0</v>
      </c>
    </row>
    <row r="171" spans="1:43" x14ac:dyDescent="0.25">
      <c r="A171" s="29" t="s">
        <v>213</v>
      </c>
      <c r="B171" s="29" t="s">
        <v>208</v>
      </c>
      <c r="C171" s="29" t="s">
        <v>77</v>
      </c>
      <c r="D171" s="29" t="s">
        <v>2278</v>
      </c>
      <c r="E171" s="29" t="s">
        <v>58</v>
      </c>
      <c r="F171" s="30">
        <v>10.32</v>
      </c>
      <c r="G171" s="317">
        <v>0</v>
      </c>
      <c r="H171" s="30">
        <f>ROUND(F171*AE171,2)</f>
        <v>0</v>
      </c>
      <c r="I171" s="30">
        <f>J171-H171</f>
        <v>0</v>
      </c>
      <c r="J171" s="30">
        <f>ROUND(F171*G171,2)</f>
        <v>0</v>
      </c>
      <c r="K171" s="30">
        <v>1.61E-2</v>
      </c>
      <c r="L171" s="30">
        <f>F171*K171</f>
        <v>0.16615199999999999</v>
      </c>
      <c r="M171" s="258" t="s">
        <v>2291</v>
      </c>
      <c r="N171" s="31" t="s">
        <v>59</v>
      </c>
      <c r="O171" s="30">
        <f>IF(N171="5",I171,0)</f>
        <v>0</v>
      </c>
      <c r="Z171" s="30">
        <f>IF(AD171=0,J171,0)</f>
        <v>0</v>
      </c>
      <c r="AA171" s="30">
        <f>IF(AD171=15,J171,0)</f>
        <v>0</v>
      </c>
      <c r="AB171" s="30">
        <f>IF(AD171=21,J171,0)</f>
        <v>0</v>
      </c>
      <c r="AD171" s="32">
        <v>21</v>
      </c>
      <c r="AE171" s="32">
        <f>G171*0.787221324717286</f>
        <v>0</v>
      </c>
      <c r="AF171" s="32">
        <f>G171*(1-0.787221324717286)</f>
        <v>0</v>
      </c>
      <c r="AM171" s="32">
        <f>F171*AE171</f>
        <v>0</v>
      </c>
      <c r="AN171" s="32">
        <f>F171*AF171</f>
        <v>0</v>
      </c>
      <c r="AO171" s="33" t="s">
        <v>78</v>
      </c>
      <c r="AP171" s="33" t="s">
        <v>79</v>
      </c>
      <c r="AQ171" s="21" t="s">
        <v>209</v>
      </c>
    </row>
    <row r="172" spans="1:43" ht="12.75" customHeight="1" x14ac:dyDescent="0.25">
      <c r="C172" s="34" t="s">
        <v>63</v>
      </c>
      <c r="D172" s="340" t="s">
        <v>2280</v>
      </c>
      <c r="E172" s="341"/>
      <c r="F172" s="341"/>
      <c r="G172" s="341"/>
      <c r="H172" s="341"/>
      <c r="I172" s="341"/>
      <c r="J172" s="341"/>
      <c r="K172" s="341"/>
      <c r="L172" s="341"/>
      <c r="M172" s="341"/>
    </row>
    <row r="173" spans="1:43" x14ac:dyDescent="0.25">
      <c r="A173" s="26"/>
      <c r="B173" s="27" t="s">
        <v>208</v>
      </c>
      <c r="C173" s="27" t="s">
        <v>80</v>
      </c>
      <c r="D173" s="338" t="s">
        <v>81</v>
      </c>
      <c r="E173" s="339"/>
      <c r="F173" s="339"/>
      <c r="G173" s="339"/>
      <c r="H173" s="28">
        <f>SUM(H174:H174)</f>
        <v>0</v>
      </c>
      <c r="I173" s="28">
        <f>SUM(I174:I174)</f>
        <v>0</v>
      </c>
      <c r="J173" s="28">
        <f>H173+I173</f>
        <v>0</v>
      </c>
      <c r="K173" s="21"/>
      <c r="L173" s="28">
        <f>SUM(L174:L174)</f>
        <v>4.1899200000000004E-2</v>
      </c>
      <c r="M173" s="21"/>
      <c r="P173" s="28">
        <f>IF(Q173="PR",J173,SUM(O174:O174))</f>
        <v>0</v>
      </c>
      <c r="Q173" s="21" t="s">
        <v>75</v>
      </c>
      <c r="R173" s="28">
        <f>IF(Q173="HS",H173,0)</f>
        <v>0</v>
      </c>
      <c r="S173" s="28">
        <f>IF(Q173="HS",I173-P173,0)</f>
        <v>0</v>
      </c>
      <c r="T173" s="28">
        <f>IF(Q173="PS",H173,0)</f>
        <v>0</v>
      </c>
      <c r="U173" s="28">
        <f>IF(Q173="PS",I173-P173,0)</f>
        <v>0</v>
      </c>
      <c r="V173" s="28">
        <f>IF(Q173="MP",H173,0)</f>
        <v>0</v>
      </c>
      <c r="W173" s="28">
        <f>IF(Q173="MP",I173-P173,0)</f>
        <v>0</v>
      </c>
      <c r="X173" s="28">
        <f>IF(Q173="OM",H173,0)</f>
        <v>0</v>
      </c>
      <c r="Y173" s="21" t="s">
        <v>208</v>
      </c>
      <c r="AI173" s="28">
        <f>SUM(Z174:Z174)</f>
        <v>0</v>
      </c>
      <c r="AJ173" s="28">
        <f>SUM(AA174:AA174)</f>
        <v>0</v>
      </c>
      <c r="AK173" s="28">
        <f>SUM(AB174:AB174)</f>
        <v>0</v>
      </c>
    </row>
    <row r="174" spans="1:43" x14ac:dyDescent="0.25">
      <c r="A174" s="29" t="s">
        <v>214</v>
      </c>
      <c r="B174" s="29" t="s">
        <v>208</v>
      </c>
      <c r="C174" s="29" t="s">
        <v>83</v>
      </c>
      <c r="D174" s="29" t="s">
        <v>84</v>
      </c>
      <c r="E174" s="29" t="s">
        <v>58</v>
      </c>
      <c r="F174" s="30">
        <v>10.32</v>
      </c>
      <c r="G174" s="317">
        <v>0</v>
      </c>
      <c r="H174" s="30">
        <f>ROUND(F174*AE174,2)</f>
        <v>0</v>
      </c>
      <c r="I174" s="30">
        <f>J174-H174</f>
        <v>0</v>
      </c>
      <c r="J174" s="30">
        <f>ROUND(F174*G174,2)</f>
        <v>0</v>
      </c>
      <c r="K174" s="30">
        <v>4.0600000000000002E-3</v>
      </c>
      <c r="L174" s="30">
        <f>F174*K174</f>
        <v>4.1899200000000004E-2</v>
      </c>
      <c r="M174" s="258" t="s">
        <v>2291</v>
      </c>
      <c r="N174" s="31" t="s">
        <v>59</v>
      </c>
      <c r="O174" s="30">
        <f>IF(N174="5",I174,0)</f>
        <v>0</v>
      </c>
      <c r="Z174" s="30">
        <f>IF(AD174=0,J174,0)</f>
        <v>0</v>
      </c>
      <c r="AA174" s="30">
        <f>IF(AD174=15,J174,0)</f>
        <v>0</v>
      </c>
      <c r="AB174" s="30">
        <f>IF(AD174=21,J174,0)</f>
        <v>0</v>
      </c>
      <c r="AD174" s="32">
        <v>21</v>
      </c>
      <c r="AE174" s="32">
        <f>G174*0.67230605738576</f>
        <v>0</v>
      </c>
      <c r="AF174" s="32">
        <f>G174*(1-0.67230605738576)</f>
        <v>0</v>
      </c>
      <c r="AM174" s="32">
        <f>F174*AE174</f>
        <v>0</v>
      </c>
      <c r="AN174" s="32">
        <f>F174*AF174</f>
        <v>0</v>
      </c>
      <c r="AO174" s="33" t="s">
        <v>85</v>
      </c>
      <c r="AP174" s="33" t="s">
        <v>79</v>
      </c>
      <c r="AQ174" s="21" t="s">
        <v>209</v>
      </c>
    </row>
    <row r="175" spans="1:43" x14ac:dyDescent="0.25">
      <c r="A175" s="26"/>
      <c r="B175" s="27" t="s">
        <v>208</v>
      </c>
      <c r="C175" s="27" t="s">
        <v>86</v>
      </c>
      <c r="D175" s="338" t="s">
        <v>87</v>
      </c>
      <c r="E175" s="339"/>
      <c r="F175" s="339"/>
      <c r="G175" s="339"/>
      <c r="H175" s="28">
        <f>SUM(H176:H176)</f>
        <v>0</v>
      </c>
      <c r="I175" s="28">
        <f>SUM(I176:I176)</f>
        <v>0</v>
      </c>
      <c r="J175" s="28">
        <f>H175+I175</f>
        <v>0</v>
      </c>
      <c r="K175" s="21"/>
      <c r="L175" s="28">
        <f>SUM(L176:L176)</f>
        <v>5.4000000000000001E-4</v>
      </c>
      <c r="M175" s="21"/>
      <c r="P175" s="28">
        <f>IF(Q175="PR",J175,SUM(O176:O176))</f>
        <v>0</v>
      </c>
      <c r="Q175" s="21" t="s">
        <v>75</v>
      </c>
      <c r="R175" s="28">
        <f>IF(Q175="HS",H175,0)</f>
        <v>0</v>
      </c>
      <c r="S175" s="28">
        <f>IF(Q175="HS",I175-P175,0)</f>
        <v>0</v>
      </c>
      <c r="T175" s="28">
        <f>IF(Q175="PS",H175,0)</f>
        <v>0</v>
      </c>
      <c r="U175" s="28">
        <f>IF(Q175="PS",I175-P175,0)</f>
        <v>0</v>
      </c>
      <c r="V175" s="28">
        <f>IF(Q175="MP",H175,0)</f>
        <v>0</v>
      </c>
      <c r="W175" s="28">
        <f>IF(Q175="MP",I175-P175,0)</f>
        <v>0</v>
      </c>
      <c r="X175" s="28">
        <f>IF(Q175="OM",H175,0)</f>
        <v>0</v>
      </c>
      <c r="Y175" s="21" t="s">
        <v>208</v>
      </c>
      <c r="AI175" s="28">
        <f>SUM(Z176:Z176)</f>
        <v>0</v>
      </c>
      <c r="AJ175" s="28">
        <f>SUM(AA176:AA176)</f>
        <v>0</v>
      </c>
      <c r="AK175" s="28">
        <f>SUM(AB176:AB176)</f>
        <v>0</v>
      </c>
    </row>
    <row r="176" spans="1:43" x14ac:dyDescent="0.25">
      <c r="A176" s="29" t="s">
        <v>215</v>
      </c>
      <c r="B176" s="29" t="s">
        <v>208</v>
      </c>
      <c r="C176" s="29" t="s">
        <v>89</v>
      </c>
      <c r="D176" s="29" t="s">
        <v>90</v>
      </c>
      <c r="E176" s="29" t="s">
        <v>58</v>
      </c>
      <c r="F176" s="30">
        <v>2</v>
      </c>
      <c r="G176" s="317">
        <v>0</v>
      </c>
      <c r="H176" s="30">
        <f>ROUND(F176*AE176,2)</f>
        <v>0</v>
      </c>
      <c r="I176" s="30">
        <f>J176-H176</f>
        <v>0</v>
      </c>
      <c r="J176" s="30">
        <f>ROUND(F176*G176,2)</f>
        <v>0</v>
      </c>
      <c r="K176" s="30">
        <v>2.7E-4</v>
      </c>
      <c r="L176" s="30">
        <f>F176*K176</f>
        <v>5.4000000000000001E-4</v>
      </c>
      <c r="M176" s="258" t="s">
        <v>2291</v>
      </c>
      <c r="N176" s="31" t="s">
        <v>59</v>
      </c>
      <c r="O176" s="30">
        <f>IF(N176="5",I176,0)</f>
        <v>0</v>
      </c>
      <c r="Z176" s="30">
        <f>IF(AD176=0,J176,0)</f>
        <v>0</v>
      </c>
      <c r="AA176" s="30">
        <f>IF(AD176=15,J176,0)</f>
        <v>0</v>
      </c>
      <c r="AB176" s="30">
        <f>IF(AD176=21,J176,0)</f>
        <v>0</v>
      </c>
      <c r="AD176" s="32">
        <v>21</v>
      </c>
      <c r="AE176" s="32">
        <f>G176*0.186098187625859</f>
        <v>0</v>
      </c>
      <c r="AF176" s="32">
        <f>G176*(1-0.186098187625859)</f>
        <v>0</v>
      </c>
      <c r="AM176" s="32">
        <f>F176*AE176</f>
        <v>0</v>
      </c>
      <c r="AN176" s="32">
        <f>F176*AF176</f>
        <v>0</v>
      </c>
      <c r="AO176" s="33" t="s">
        <v>91</v>
      </c>
      <c r="AP176" s="33" t="s">
        <v>92</v>
      </c>
      <c r="AQ176" s="21" t="s">
        <v>209</v>
      </c>
    </row>
    <row r="177" spans="1:43" x14ac:dyDescent="0.25">
      <c r="A177" s="26"/>
      <c r="B177" s="27" t="s">
        <v>208</v>
      </c>
      <c r="C177" s="27" t="s">
        <v>93</v>
      </c>
      <c r="D177" s="338" t="s">
        <v>94</v>
      </c>
      <c r="E177" s="339"/>
      <c r="F177" s="339"/>
      <c r="G177" s="339"/>
      <c r="H177" s="28">
        <f>SUM(H178:H178)</f>
        <v>0</v>
      </c>
      <c r="I177" s="28">
        <f>SUM(I178:I178)</f>
        <v>0</v>
      </c>
      <c r="J177" s="28">
        <f>H177+I177</f>
        <v>0</v>
      </c>
      <c r="K177" s="21"/>
      <c r="L177" s="28">
        <f>SUM(L178:L178)</f>
        <v>3.5450999999999996E-2</v>
      </c>
      <c r="M177" s="21"/>
      <c r="P177" s="28">
        <f>IF(Q177="PR",J177,SUM(O178:O178))</f>
        <v>0</v>
      </c>
      <c r="Q177" s="21" t="s">
        <v>75</v>
      </c>
      <c r="R177" s="28">
        <f>IF(Q177="HS",H177,0)</f>
        <v>0</v>
      </c>
      <c r="S177" s="28">
        <f>IF(Q177="HS",I177-P177,0)</f>
        <v>0</v>
      </c>
      <c r="T177" s="28">
        <f>IF(Q177="PS",H177,0)</f>
        <v>0</v>
      </c>
      <c r="U177" s="28">
        <f>IF(Q177="PS",I177-P177,0)</f>
        <v>0</v>
      </c>
      <c r="V177" s="28">
        <f>IF(Q177="MP",H177,0)</f>
        <v>0</v>
      </c>
      <c r="W177" s="28">
        <f>IF(Q177="MP",I177-P177,0)</f>
        <v>0</v>
      </c>
      <c r="X177" s="28">
        <f>IF(Q177="OM",H177,0)</f>
        <v>0</v>
      </c>
      <c r="Y177" s="21" t="s">
        <v>208</v>
      </c>
      <c r="AI177" s="28">
        <f>SUM(Z178:Z178)</f>
        <v>0</v>
      </c>
      <c r="AJ177" s="28">
        <f>SUM(AA178:AA178)</f>
        <v>0</v>
      </c>
      <c r="AK177" s="28">
        <f>SUM(AB178:AB178)</f>
        <v>0</v>
      </c>
    </row>
    <row r="178" spans="1:43" x14ac:dyDescent="0.25">
      <c r="A178" s="29" t="s">
        <v>216</v>
      </c>
      <c r="B178" s="29" t="s">
        <v>208</v>
      </c>
      <c r="C178" s="29" t="s">
        <v>96</v>
      </c>
      <c r="D178" s="29" t="s">
        <v>97</v>
      </c>
      <c r="E178" s="29" t="s">
        <v>58</v>
      </c>
      <c r="F178" s="30">
        <v>54.54</v>
      </c>
      <c r="G178" s="317">
        <v>0</v>
      </c>
      <c r="H178" s="30">
        <f>ROUND(F178*AE178,2)</f>
        <v>0</v>
      </c>
      <c r="I178" s="30">
        <f>J178-H178</f>
        <v>0</v>
      </c>
      <c r="J178" s="30">
        <f>ROUND(F178*G178,2)</f>
        <v>0</v>
      </c>
      <c r="K178" s="30">
        <v>6.4999999999999997E-4</v>
      </c>
      <c r="L178" s="30">
        <f>F178*K178</f>
        <v>3.5450999999999996E-2</v>
      </c>
      <c r="M178" s="258" t="s">
        <v>2291</v>
      </c>
      <c r="N178" s="31" t="s">
        <v>59</v>
      </c>
      <c r="O178" s="30">
        <f>IF(N178="5",I178,0)</f>
        <v>0</v>
      </c>
      <c r="Z178" s="30">
        <f>IF(AD178=0,J178,0)</f>
        <v>0</v>
      </c>
      <c r="AA178" s="30">
        <f>IF(AD178=15,J178,0)</f>
        <v>0</v>
      </c>
      <c r="AB178" s="30">
        <f>IF(AD178=21,J178,0)</f>
        <v>0</v>
      </c>
      <c r="AD178" s="32">
        <v>21</v>
      </c>
      <c r="AE178" s="32">
        <f>G178*0.333747476316198</f>
        <v>0</v>
      </c>
      <c r="AF178" s="32">
        <f>G178*(1-0.333747476316198)</f>
        <v>0</v>
      </c>
      <c r="AM178" s="32">
        <f>F178*AE178</f>
        <v>0</v>
      </c>
      <c r="AN178" s="32">
        <f>F178*AF178</f>
        <v>0</v>
      </c>
      <c r="AO178" s="33" t="s">
        <v>98</v>
      </c>
      <c r="AP178" s="33" t="s">
        <v>92</v>
      </c>
      <c r="AQ178" s="21" t="s">
        <v>209</v>
      </c>
    </row>
    <row r="179" spans="1:43" x14ac:dyDescent="0.25">
      <c r="A179" s="26"/>
      <c r="B179" s="27" t="s">
        <v>208</v>
      </c>
      <c r="C179" s="27" t="s">
        <v>99</v>
      </c>
      <c r="D179" s="338" t="s">
        <v>100</v>
      </c>
      <c r="E179" s="339"/>
      <c r="F179" s="339"/>
      <c r="G179" s="339"/>
      <c r="H179" s="28">
        <f>SUM(H180:H180)</f>
        <v>0</v>
      </c>
      <c r="I179" s="28">
        <f>SUM(I180:I180)</f>
        <v>0</v>
      </c>
      <c r="J179" s="28">
        <f>H179+I179</f>
        <v>0</v>
      </c>
      <c r="K179" s="21"/>
      <c r="L179" s="28">
        <f>SUM(L180:L180)</f>
        <v>0</v>
      </c>
      <c r="M179" s="21"/>
      <c r="P179" s="28">
        <f>IF(Q179="PR",J179,SUM(O180:O180))</f>
        <v>0</v>
      </c>
      <c r="Q179" s="21" t="s">
        <v>54</v>
      </c>
      <c r="R179" s="28">
        <f>IF(Q179="HS",H179,0)</f>
        <v>0</v>
      </c>
      <c r="S179" s="28">
        <f>IF(Q179="HS",I179-P179,0)</f>
        <v>0</v>
      </c>
      <c r="T179" s="28">
        <f>IF(Q179="PS",H179,0)</f>
        <v>0</v>
      </c>
      <c r="U179" s="28">
        <f>IF(Q179="PS",I179-P179,0)</f>
        <v>0</v>
      </c>
      <c r="V179" s="28">
        <f>IF(Q179="MP",H179,0)</f>
        <v>0</v>
      </c>
      <c r="W179" s="28">
        <f>IF(Q179="MP",I179-P179,0)</f>
        <v>0</v>
      </c>
      <c r="X179" s="28">
        <f>IF(Q179="OM",H179,0)</f>
        <v>0</v>
      </c>
      <c r="Y179" s="21" t="s">
        <v>208</v>
      </c>
      <c r="AI179" s="28">
        <f>SUM(Z180:Z180)</f>
        <v>0</v>
      </c>
      <c r="AJ179" s="28">
        <f>SUM(AA180:AA180)</f>
        <v>0</v>
      </c>
      <c r="AK179" s="28">
        <f>SUM(AB180:AB180)</f>
        <v>0</v>
      </c>
    </row>
    <row r="180" spans="1:43" x14ac:dyDescent="0.25">
      <c r="A180" s="29" t="s">
        <v>217</v>
      </c>
      <c r="B180" s="29" t="s">
        <v>208</v>
      </c>
      <c r="C180" s="29" t="s">
        <v>102</v>
      </c>
      <c r="D180" s="29" t="s">
        <v>103</v>
      </c>
      <c r="E180" s="29" t="s">
        <v>104</v>
      </c>
      <c r="F180" s="30">
        <v>2.4</v>
      </c>
      <c r="G180" s="317">
        <v>0</v>
      </c>
      <c r="H180" s="30">
        <f>ROUND(F180*AE180,2)</f>
        <v>0</v>
      </c>
      <c r="I180" s="30">
        <f>J180-H180</f>
        <v>0</v>
      </c>
      <c r="J180" s="30">
        <f>ROUND(F180*G180,2)</f>
        <v>0</v>
      </c>
      <c r="K180" s="30">
        <v>0</v>
      </c>
      <c r="L180" s="30">
        <f>F180*K180</f>
        <v>0</v>
      </c>
      <c r="M180" s="258" t="s">
        <v>2291</v>
      </c>
      <c r="N180" s="31" t="s">
        <v>55</v>
      </c>
      <c r="O180" s="30">
        <f>IF(N180="5",I180,0)</f>
        <v>0</v>
      </c>
      <c r="Z180" s="30">
        <f>IF(AD180=0,J180,0)</f>
        <v>0</v>
      </c>
      <c r="AA180" s="30">
        <f>IF(AD180=15,J180,0)</f>
        <v>0</v>
      </c>
      <c r="AB180" s="30">
        <f>IF(AD180=21,J180,0)</f>
        <v>0</v>
      </c>
      <c r="AD180" s="32">
        <v>21</v>
      </c>
      <c r="AE180" s="32">
        <f>G180*0</f>
        <v>0</v>
      </c>
      <c r="AF180" s="32">
        <f>G180*(1-0)</f>
        <v>0</v>
      </c>
      <c r="AM180" s="32">
        <f>F180*AE180</f>
        <v>0</v>
      </c>
      <c r="AN180" s="32">
        <f>F180*AF180</f>
        <v>0</v>
      </c>
      <c r="AO180" s="33" t="s">
        <v>105</v>
      </c>
      <c r="AP180" s="33" t="s">
        <v>106</v>
      </c>
      <c r="AQ180" s="21" t="s">
        <v>209</v>
      </c>
    </row>
    <row r="181" spans="1:43" x14ac:dyDescent="0.25">
      <c r="C181" s="34" t="s">
        <v>63</v>
      </c>
      <c r="D181" s="340" t="s">
        <v>107</v>
      </c>
      <c r="E181" s="341"/>
      <c r="F181" s="341"/>
      <c r="G181" s="341"/>
      <c r="H181" s="341"/>
      <c r="I181" s="341"/>
      <c r="J181" s="341"/>
      <c r="K181" s="341"/>
      <c r="L181" s="341"/>
      <c r="M181" s="341"/>
    </row>
    <row r="182" spans="1:43" x14ac:dyDescent="0.25">
      <c r="A182" s="26"/>
      <c r="B182" s="27" t="s">
        <v>208</v>
      </c>
      <c r="C182" s="27" t="s">
        <v>108</v>
      </c>
      <c r="D182" s="338" t="s">
        <v>109</v>
      </c>
      <c r="E182" s="339"/>
      <c r="F182" s="339"/>
      <c r="G182" s="339"/>
      <c r="H182" s="28">
        <f>SUM(H183:H183)</f>
        <v>0</v>
      </c>
      <c r="I182" s="28">
        <f>SUM(I183:I183)</f>
        <v>0</v>
      </c>
      <c r="J182" s="28">
        <f>H182+I182</f>
        <v>0</v>
      </c>
      <c r="K182" s="21"/>
      <c r="L182" s="28">
        <f>SUM(L183:L183)</f>
        <v>9.7909999999999997E-2</v>
      </c>
      <c r="M182" s="21"/>
      <c r="P182" s="28">
        <f>IF(Q182="PR",J182,SUM(O183:O183))</f>
        <v>0</v>
      </c>
      <c r="Q182" s="21" t="s">
        <v>54</v>
      </c>
      <c r="R182" s="28">
        <f>IF(Q182="HS",H182,0)</f>
        <v>0</v>
      </c>
      <c r="S182" s="28">
        <f>IF(Q182="HS",I182-P182,0)</f>
        <v>0</v>
      </c>
      <c r="T182" s="28">
        <f>IF(Q182="PS",H182,0)</f>
        <v>0</v>
      </c>
      <c r="U182" s="28">
        <f>IF(Q182="PS",I182-P182,0)</f>
        <v>0</v>
      </c>
      <c r="V182" s="28">
        <f>IF(Q182="MP",H182,0)</f>
        <v>0</v>
      </c>
      <c r="W182" s="28">
        <f>IF(Q182="MP",I182-P182,0)</f>
        <v>0</v>
      </c>
      <c r="X182" s="28">
        <f>IF(Q182="OM",H182,0)</f>
        <v>0</v>
      </c>
      <c r="Y182" s="21" t="s">
        <v>208</v>
      </c>
      <c r="AI182" s="28">
        <f>SUM(Z183:Z183)</f>
        <v>0</v>
      </c>
      <c r="AJ182" s="28">
        <f>SUM(AA183:AA183)</f>
        <v>0</v>
      </c>
      <c r="AK182" s="28">
        <f>SUM(AB183:AB183)</f>
        <v>0</v>
      </c>
    </row>
    <row r="183" spans="1:43" x14ac:dyDescent="0.25">
      <c r="A183" s="29" t="s">
        <v>218</v>
      </c>
      <c r="B183" s="29" t="s">
        <v>208</v>
      </c>
      <c r="C183" s="29" t="s">
        <v>111</v>
      </c>
      <c r="D183" s="29" t="s">
        <v>112</v>
      </c>
      <c r="E183" s="29" t="s">
        <v>113</v>
      </c>
      <c r="F183" s="30">
        <v>1</v>
      </c>
      <c r="G183" s="317">
        <v>0</v>
      </c>
      <c r="H183" s="30">
        <f>ROUND(F183*AE183,2)</f>
        <v>0</v>
      </c>
      <c r="I183" s="30">
        <f>J183-H183</f>
        <v>0</v>
      </c>
      <c r="J183" s="30">
        <f>ROUND(F183*G183,2)</f>
        <v>0</v>
      </c>
      <c r="K183" s="30">
        <v>9.7909999999999997E-2</v>
      </c>
      <c r="L183" s="30">
        <f>F183*K183</f>
        <v>9.7909999999999997E-2</v>
      </c>
      <c r="M183" s="258" t="s">
        <v>2291</v>
      </c>
      <c r="N183" s="31" t="s">
        <v>55</v>
      </c>
      <c r="O183" s="30">
        <f>IF(N183="5",I183,0)</f>
        <v>0</v>
      </c>
      <c r="Z183" s="30">
        <f>IF(AD183=0,J183,0)</f>
        <v>0</v>
      </c>
      <c r="AA183" s="30">
        <f>IF(AD183=15,J183,0)</f>
        <v>0</v>
      </c>
      <c r="AB183" s="30">
        <f>IF(AD183=21,J183,0)</f>
        <v>0</v>
      </c>
      <c r="AD183" s="32">
        <v>21</v>
      </c>
      <c r="AE183" s="32">
        <f>G183*0.0762897526501767</f>
        <v>0</v>
      </c>
      <c r="AF183" s="32">
        <f>G183*(1-0.0762897526501767)</f>
        <v>0</v>
      </c>
      <c r="AM183" s="32">
        <f>F183*AE183</f>
        <v>0</v>
      </c>
      <c r="AN183" s="32">
        <f>F183*AF183</f>
        <v>0</v>
      </c>
      <c r="AO183" s="33" t="s">
        <v>114</v>
      </c>
      <c r="AP183" s="33" t="s">
        <v>106</v>
      </c>
      <c r="AQ183" s="21" t="s">
        <v>209</v>
      </c>
    </row>
    <row r="184" spans="1:43" x14ac:dyDescent="0.25">
      <c r="C184" s="34" t="s">
        <v>63</v>
      </c>
      <c r="D184" s="340" t="s">
        <v>107</v>
      </c>
      <c r="E184" s="341"/>
      <c r="F184" s="341"/>
      <c r="G184" s="341"/>
      <c r="H184" s="341"/>
      <c r="I184" s="341"/>
      <c r="J184" s="341"/>
      <c r="K184" s="341"/>
      <c r="L184" s="341"/>
      <c r="M184" s="341"/>
    </row>
    <row r="185" spans="1:43" x14ac:dyDescent="0.25">
      <c r="A185" s="26"/>
      <c r="B185" s="27" t="s">
        <v>219</v>
      </c>
      <c r="C185" s="27"/>
      <c r="D185" s="338" t="s">
        <v>219</v>
      </c>
      <c r="E185" s="339"/>
      <c r="F185" s="339"/>
      <c r="G185" s="339"/>
      <c r="H185" s="28">
        <f>H186+H191+H194+H197+H203+H207+H209+H211+H214</f>
        <v>0</v>
      </c>
      <c r="I185" s="28">
        <f>I186+I191+I194+I197+I203+I207+I209+I211+I214</f>
        <v>0</v>
      </c>
      <c r="J185" s="28">
        <f>H185+I185</f>
        <v>0</v>
      </c>
      <c r="K185" s="21"/>
      <c r="L185" s="28">
        <f>L186+L191+L194+L197+L203+L207+L209+L211+L214</f>
        <v>19.605965200000004</v>
      </c>
      <c r="M185" s="21"/>
    </row>
    <row r="186" spans="1:43" x14ac:dyDescent="0.25">
      <c r="A186" s="26"/>
      <c r="B186" s="27" t="s">
        <v>219</v>
      </c>
      <c r="C186" s="27" t="s">
        <v>52</v>
      </c>
      <c r="D186" s="338" t="s">
        <v>53</v>
      </c>
      <c r="E186" s="339"/>
      <c r="F186" s="339"/>
      <c r="G186" s="339"/>
      <c r="H186" s="28">
        <f>SUM(H187:H189)</f>
        <v>0</v>
      </c>
      <c r="I186" s="28">
        <f>SUM(I187:I189)</f>
        <v>0</v>
      </c>
      <c r="J186" s="28">
        <f>H186+I186</f>
        <v>0</v>
      </c>
      <c r="K186" s="21"/>
      <c r="L186" s="28">
        <f>SUM(L187:L189)</f>
        <v>2.4226372</v>
      </c>
      <c r="M186" s="21"/>
      <c r="P186" s="28">
        <f>IF(Q186="PR",J186,SUM(O187:O189))</f>
        <v>0</v>
      </c>
      <c r="Q186" s="21" t="s">
        <v>54</v>
      </c>
      <c r="R186" s="28">
        <f>IF(Q186="HS",H186,0)</f>
        <v>0</v>
      </c>
      <c r="S186" s="28">
        <f>IF(Q186="HS",I186-P186,0)</f>
        <v>0</v>
      </c>
      <c r="T186" s="28">
        <f>IF(Q186="PS",H186,0)</f>
        <v>0</v>
      </c>
      <c r="U186" s="28">
        <f>IF(Q186="PS",I186-P186,0)</f>
        <v>0</v>
      </c>
      <c r="V186" s="28">
        <f>IF(Q186="MP",H186,0)</f>
        <v>0</v>
      </c>
      <c r="W186" s="28">
        <f>IF(Q186="MP",I186-P186,0)</f>
        <v>0</v>
      </c>
      <c r="X186" s="28">
        <f>IF(Q186="OM",H186,0)</f>
        <v>0</v>
      </c>
      <c r="Y186" s="21" t="s">
        <v>219</v>
      </c>
      <c r="AI186" s="28">
        <f>SUM(Z187:Z189)</f>
        <v>0</v>
      </c>
      <c r="AJ186" s="28">
        <f>SUM(AA187:AA189)</f>
        <v>0</v>
      </c>
      <c r="AK186" s="28">
        <f>SUM(AB187:AB189)</f>
        <v>0</v>
      </c>
    </row>
    <row r="187" spans="1:43" x14ac:dyDescent="0.25">
      <c r="A187" s="29" t="s">
        <v>220</v>
      </c>
      <c r="B187" s="29" t="s">
        <v>219</v>
      </c>
      <c r="C187" s="29" t="s">
        <v>56</v>
      </c>
      <c r="D187" s="29" t="s">
        <v>57</v>
      </c>
      <c r="E187" s="29" t="s">
        <v>58</v>
      </c>
      <c r="F187" s="30">
        <v>143.72</v>
      </c>
      <c r="G187" s="317">
        <v>0</v>
      </c>
      <c r="H187" s="30">
        <f>ROUND(F187*AE187,2)</f>
        <v>0</v>
      </c>
      <c r="I187" s="30">
        <f>J187-H187</f>
        <v>0</v>
      </c>
      <c r="J187" s="30">
        <f>ROUND(F187*G187,2)</f>
        <v>0</v>
      </c>
      <c r="K187" s="30">
        <v>1.001E-2</v>
      </c>
      <c r="L187" s="30">
        <f>F187*K187</f>
        <v>1.4386372000000001</v>
      </c>
      <c r="M187" s="258" t="s">
        <v>2291</v>
      </c>
      <c r="N187" s="31" t="s">
        <v>59</v>
      </c>
      <c r="O187" s="30">
        <f>IF(N187="5",I187,0)</f>
        <v>0</v>
      </c>
      <c r="Z187" s="30">
        <f>IF(AD187=0,J187,0)</f>
        <v>0</v>
      </c>
      <c r="AA187" s="30">
        <f>IF(AD187=15,J187,0)</f>
        <v>0</v>
      </c>
      <c r="AB187" s="30">
        <f>IF(AD187=21,J187,0)</f>
        <v>0</v>
      </c>
      <c r="AD187" s="32">
        <v>21</v>
      </c>
      <c r="AE187" s="32">
        <f>G187*0.0756575801052128</f>
        <v>0</v>
      </c>
      <c r="AF187" s="32">
        <f>G187*(1-0.0756575801052128)</f>
        <v>0</v>
      </c>
      <c r="AM187" s="32">
        <f>F187*AE187</f>
        <v>0</v>
      </c>
      <c r="AN187" s="32">
        <f>F187*AF187</f>
        <v>0</v>
      </c>
      <c r="AO187" s="33" t="s">
        <v>60</v>
      </c>
      <c r="AP187" s="33" t="s">
        <v>61</v>
      </c>
      <c r="AQ187" s="21" t="s">
        <v>221</v>
      </c>
    </row>
    <row r="188" spans="1:43" ht="25.7" customHeight="1" x14ac:dyDescent="0.25">
      <c r="C188" s="34" t="s">
        <v>63</v>
      </c>
      <c r="D188" s="340" t="s">
        <v>64</v>
      </c>
      <c r="E188" s="341"/>
      <c r="F188" s="341"/>
      <c r="G188" s="341"/>
      <c r="H188" s="341"/>
      <c r="I188" s="341"/>
      <c r="J188" s="341"/>
      <c r="K188" s="341"/>
      <c r="L188" s="341"/>
      <c r="M188" s="341"/>
    </row>
    <row r="189" spans="1:43" x14ac:dyDescent="0.25">
      <c r="A189" s="29" t="s">
        <v>222</v>
      </c>
      <c r="B189" s="29" t="s">
        <v>219</v>
      </c>
      <c r="C189" s="29" t="s">
        <v>66</v>
      </c>
      <c r="D189" s="29" t="s">
        <v>67</v>
      </c>
      <c r="E189" s="29" t="s">
        <v>58</v>
      </c>
      <c r="F189" s="30">
        <v>100</v>
      </c>
      <c r="G189" s="317">
        <v>0</v>
      </c>
      <c r="H189" s="30">
        <f>ROUND(F189*AE189,2)</f>
        <v>0</v>
      </c>
      <c r="I189" s="30">
        <f>J189-H189</f>
        <v>0</v>
      </c>
      <c r="J189" s="30">
        <f>ROUND(F189*G189,2)</f>
        <v>0</v>
      </c>
      <c r="K189" s="30">
        <v>9.8399999999999998E-3</v>
      </c>
      <c r="L189" s="30">
        <f>F189*K189</f>
        <v>0.98399999999999999</v>
      </c>
      <c r="M189" s="258" t="s">
        <v>2291</v>
      </c>
      <c r="N189" s="31" t="s">
        <v>59</v>
      </c>
      <c r="O189" s="30">
        <f>IF(N189="5",I189,0)</f>
        <v>0</v>
      </c>
      <c r="Z189" s="30">
        <f>IF(AD189=0,J189,0)</f>
        <v>0</v>
      </c>
      <c r="AA189" s="30">
        <f>IF(AD189=15,J189,0)</f>
        <v>0</v>
      </c>
      <c r="AB189" s="30">
        <f>IF(AD189=21,J189,0)</f>
        <v>0</v>
      </c>
      <c r="AD189" s="32">
        <v>21</v>
      </c>
      <c r="AE189" s="32">
        <f>G189*0.160304682766381</f>
        <v>0</v>
      </c>
      <c r="AF189" s="32">
        <f>G189*(1-0.160304682766381)</f>
        <v>0</v>
      </c>
      <c r="AM189" s="32">
        <f>F189*AE189</f>
        <v>0</v>
      </c>
      <c r="AN189" s="32">
        <f>F189*AF189</f>
        <v>0</v>
      </c>
      <c r="AO189" s="33" t="s">
        <v>60</v>
      </c>
      <c r="AP189" s="33" t="s">
        <v>61</v>
      </c>
      <c r="AQ189" s="21" t="s">
        <v>221</v>
      </c>
    </row>
    <row r="190" spans="1:43" ht="25.7" customHeight="1" x14ac:dyDescent="0.25">
      <c r="C190" s="34" t="s">
        <v>63</v>
      </c>
      <c r="D190" s="340" t="s">
        <v>64</v>
      </c>
      <c r="E190" s="341"/>
      <c r="F190" s="341"/>
      <c r="G190" s="341"/>
      <c r="H190" s="341"/>
      <c r="I190" s="341"/>
      <c r="J190" s="341"/>
      <c r="K190" s="341"/>
      <c r="L190" s="341"/>
      <c r="M190" s="341"/>
    </row>
    <row r="191" spans="1:43" x14ac:dyDescent="0.25">
      <c r="A191" s="26"/>
      <c r="B191" s="27" t="s">
        <v>219</v>
      </c>
      <c r="C191" s="27" t="s">
        <v>68</v>
      </c>
      <c r="D191" s="338" t="s">
        <v>69</v>
      </c>
      <c r="E191" s="339"/>
      <c r="F191" s="339"/>
      <c r="G191" s="339"/>
      <c r="H191" s="28">
        <f>SUM(H192:H193)</f>
        <v>0</v>
      </c>
      <c r="I191" s="28">
        <f>SUM(I192:I193)</f>
        <v>0</v>
      </c>
      <c r="J191" s="28">
        <f>H191+I191</f>
        <v>0</v>
      </c>
      <c r="K191" s="21"/>
      <c r="L191" s="28">
        <f>SUM(L192:L193)</f>
        <v>7.33948</v>
      </c>
      <c r="M191" s="21"/>
      <c r="P191" s="28">
        <f>IF(Q191="PR",J191,SUM(O192:O193))</f>
        <v>0</v>
      </c>
      <c r="Q191" s="21" t="s">
        <v>54</v>
      </c>
      <c r="R191" s="28">
        <f>IF(Q191="HS",H191,0)</f>
        <v>0</v>
      </c>
      <c r="S191" s="28">
        <f>IF(Q191="HS",I191-P191,0)</f>
        <v>0</v>
      </c>
      <c r="T191" s="28">
        <f>IF(Q191="PS",H191,0)</f>
        <v>0</v>
      </c>
      <c r="U191" s="28">
        <f>IF(Q191="PS",I191-P191,0)</f>
        <v>0</v>
      </c>
      <c r="V191" s="28">
        <f>IF(Q191="MP",H191,0)</f>
        <v>0</v>
      </c>
      <c r="W191" s="28">
        <f>IF(Q191="MP",I191-P191,0)</f>
        <v>0</v>
      </c>
      <c r="X191" s="28">
        <f>IF(Q191="OM",H191,0)</f>
        <v>0</v>
      </c>
      <c r="Y191" s="21" t="s">
        <v>219</v>
      </c>
      <c r="AI191" s="28">
        <f>SUM(Z192:Z193)</f>
        <v>0</v>
      </c>
      <c r="AJ191" s="28">
        <f>SUM(AA192:AA193)</f>
        <v>0</v>
      </c>
      <c r="AK191" s="28">
        <f>SUM(AB192:AB193)</f>
        <v>0</v>
      </c>
    </row>
    <row r="192" spans="1:43" x14ac:dyDescent="0.25">
      <c r="A192" s="29" t="s">
        <v>223</v>
      </c>
      <c r="B192" s="29" t="s">
        <v>219</v>
      </c>
      <c r="C192" s="29" t="s">
        <v>70</v>
      </c>
      <c r="D192" s="29" t="s">
        <v>71</v>
      </c>
      <c r="E192" s="29" t="s">
        <v>58</v>
      </c>
      <c r="F192" s="30">
        <v>100</v>
      </c>
      <c r="G192" s="317">
        <v>0</v>
      </c>
      <c r="H192" s="30">
        <f>ROUND(F192*AE192,2)</f>
        <v>0</v>
      </c>
      <c r="I192" s="30">
        <f>J192-H192</f>
        <v>0</v>
      </c>
      <c r="J192" s="30">
        <f>ROUND(F192*G192,2)</f>
        <v>0</v>
      </c>
      <c r="K192" s="30">
        <v>4.9840000000000002E-2</v>
      </c>
      <c r="L192" s="30">
        <f>F192*K192</f>
        <v>4.984</v>
      </c>
      <c r="M192" s="258" t="s">
        <v>2291</v>
      </c>
      <c r="N192" s="31" t="s">
        <v>59</v>
      </c>
      <c r="O192" s="30">
        <f>IF(N192="5",I192,0)</f>
        <v>0</v>
      </c>
      <c r="Z192" s="30">
        <f>IF(AD192=0,J192,0)</f>
        <v>0</v>
      </c>
      <c r="AA192" s="30">
        <f>IF(AD192=15,J192,0)</f>
        <v>0</v>
      </c>
      <c r="AB192" s="30">
        <f>IF(AD192=21,J192,0)</f>
        <v>0</v>
      </c>
      <c r="AD192" s="32">
        <v>21</v>
      </c>
      <c r="AE192" s="32">
        <f>G192*0.411768721414431</f>
        <v>0</v>
      </c>
      <c r="AF192" s="32">
        <f>G192*(1-0.411768721414431)</f>
        <v>0</v>
      </c>
      <c r="AM192" s="32">
        <f>F192*AE192</f>
        <v>0</v>
      </c>
      <c r="AN192" s="32">
        <f>F192*AF192</f>
        <v>0</v>
      </c>
      <c r="AO192" s="33" t="s">
        <v>72</v>
      </c>
      <c r="AP192" s="33" t="s">
        <v>61</v>
      </c>
      <c r="AQ192" s="21" t="s">
        <v>221</v>
      </c>
    </row>
    <row r="193" spans="1:43" x14ac:dyDescent="0.25">
      <c r="A193" s="29" t="s">
        <v>224</v>
      </c>
      <c r="B193" s="29" t="s">
        <v>219</v>
      </c>
      <c r="C193" s="29" t="s">
        <v>185</v>
      </c>
      <c r="D193" s="29" t="s">
        <v>186</v>
      </c>
      <c r="E193" s="29" t="s">
        <v>58</v>
      </c>
      <c r="F193" s="30">
        <v>3.6</v>
      </c>
      <c r="G193" s="317">
        <v>0</v>
      </c>
      <c r="H193" s="30">
        <f>ROUND(F193*AE193,2)</f>
        <v>0</v>
      </c>
      <c r="I193" s="30">
        <f>J193-H193</f>
        <v>0</v>
      </c>
      <c r="J193" s="30">
        <f>ROUND(F193*G193,2)</f>
        <v>0</v>
      </c>
      <c r="K193" s="30">
        <v>0.65429999999999999</v>
      </c>
      <c r="L193" s="30">
        <f>F193*K193</f>
        <v>2.35548</v>
      </c>
      <c r="M193" s="258" t="s">
        <v>2291</v>
      </c>
      <c r="N193" s="31" t="s">
        <v>59</v>
      </c>
      <c r="O193" s="30">
        <f>IF(N193="5",I193,0)</f>
        <v>0</v>
      </c>
      <c r="Z193" s="30">
        <f>IF(AD193=0,J193,0)</f>
        <v>0</v>
      </c>
      <c r="AA193" s="30">
        <f>IF(AD193=15,J193,0)</f>
        <v>0</v>
      </c>
      <c r="AB193" s="30">
        <f>IF(AD193=21,J193,0)</f>
        <v>0</v>
      </c>
      <c r="AD193" s="32">
        <v>21</v>
      </c>
      <c r="AE193" s="32">
        <f>G193*0.563622974963181</f>
        <v>0</v>
      </c>
      <c r="AF193" s="32">
        <f>G193*(1-0.563622974963181)</f>
        <v>0</v>
      </c>
      <c r="AM193" s="32">
        <f>F193*AE193</f>
        <v>0</v>
      </c>
      <c r="AN193" s="32">
        <f>F193*AF193</f>
        <v>0</v>
      </c>
      <c r="AO193" s="33" t="s">
        <v>72</v>
      </c>
      <c r="AP193" s="33" t="s">
        <v>61</v>
      </c>
      <c r="AQ193" s="21" t="s">
        <v>221</v>
      </c>
    </row>
    <row r="194" spans="1:43" x14ac:dyDescent="0.25">
      <c r="A194" s="26"/>
      <c r="B194" s="27" t="s">
        <v>219</v>
      </c>
      <c r="C194" s="27" t="s">
        <v>130</v>
      </c>
      <c r="D194" s="338" t="s">
        <v>131</v>
      </c>
      <c r="E194" s="339"/>
      <c r="F194" s="339"/>
      <c r="G194" s="339"/>
      <c r="H194" s="28">
        <f>SUM(H195:H195)</f>
        <v>0</v>
      </c>
      <c r="I194" s="28">
        <f>SUM(I195:I195)</f>
        <v>0</v>
      </c>
      <c r="J194" s="28">
        <f>H194+I194</f>
        <v>0</v>
      </c>
      <c r="K194" s="21"/>
      <c r="L194" s="28">
        <f>SUM(L195:L195)</f>
        <v>0.15231</v>
      </c>
      <c r="M194" s="21"/>
      <c r="P194" s="28">
        <f>IF(Q194="PR",J194,SUM(O195:O195))</f>
        <v>0</v>
      </c>
      <c r="Q194" s="21" t="s">
        <v>54</v>
      </c>
      <c r="R194" s="28">
        <f>IF(Q194="HS",H194,0)</f>
        <v>0</v>
      </c>
      <c r="S194" s="28">
        <f>IF(Q194="HS",I194-P194,0)</f>
        <v>0</v>
      </c>
      <c r="T194" s="28">
        <f>IF(Q194="PS",H194,0)</f>
        <v>0</v>
      </c>
      <c r="U194" s="28">
        <f>IF(Q194="PS",I194-P194,0)</f>
        <v>0</v>
      </c>
      <c r="V194" s="28">
        <f>IF(Q194="MP",H194,0)</f>
        <v>0</v>
      </c>
      <c r="W194" s="28">
        <f>IF(Q194="MP",I194-P194,0)</f>
        <v>0</v>
      </c>
      <c r="X194" s="28">
        <f>IF(Q194="OM",H194,0)</f>
        <v>0</v>
      </c>
      <c r="Y194" s="21" t="s">
        <v>219</v>
      </c>
      <c r="AI194" s="28">
        <f>SUM(Z195:Z195)</f>
        <v>0</v>
      </c>
      <c r="AJ194" s="28">
        <f>SUM(AA195:AA195)</f>
        <v>0</v>
      </c>
      <c r="AK194" s="28">
        <f>SUM(AB195:AB195)</f>
        <v>0</v>
      </c>
    </row>
    <row r="195" spans="1:43" x14ac:dyDescent="0.25">
      <c r="A195" s="29" t="s">
        <v>225</v>
      </c>
      <c r="B195" s="29" t="s">
        <v>219</v>
      </c>
      <c r="C195" s="29" t="s">
        <v>226</v>
      </c>
      <c r="D195" s="29" t="s">
        <v>227</v>
      </c>
      <c r="E195" s="29" t="s">
        <v>113</v>
      </c>
      <c r="F195" s="30">
        <v>1</v>
      </c>
      <c r="G195" s="317">
        <v>0</v>
      </c>
      <c r="H195" s="30">
        <f>ROUND(F195*AE195,2)</f>
        <v>0</v>
      </c>
      <c r="I195" s="30">
        <f>J195-H195</f>
        <v>0</v>
      </c>
      <c r="J195" s="30">
        <f>ROUND(F195*G195,2)</f>
        <v>0</v>
      </c>
      <c r="K195" s="30">
        <v>0.15231</v>
      </c>
      <c r="L195" s="30">
        <f>F195*K195</f>
        <v>0.15231</v>
      </c>
      <c r="M195" s="258" t="s">
        <v>2291</v>
      </c>
      <c r="N195" s="31" t="s">
        <v>59</v>
      </c>
      <c r="O195" s="30">
        <f>IF(N195="5",I195,0)</f>
        <v>0</v>
      </c>
      <c r="Z195" s="30">
        <f>IF(AD195=0,J195,0)</f>
        <v>0</v>
      </c>
      <c r="AA195" s="30">
        <f>IF(AD195=15,J195,0)</f>
        <v>0</v>
      </c>
      <c r="AB195" s="30">
        <f>IF(AD195=21,J195,0)</f>
        <v>0</v>
      </c>
      <c r="AD195" s="32">
        <v>21</v>
      </c>
      <c r="AE195" s="32">
        <f>G195*0.448670008060557</f>
        <v>0</v>
      </c>
      <c r="AF195" s="32">
        <f>G195*(1-0.448670008060557)</f>
        <v>0</v>
      </c>
      <c r="AM195" s="32">
        <f>F195*AE195</f>
        <v>0</v>
      </c>
      <c r="AN195" s="32">
        <f>F195*AF195</f>
        <v>0</v>
      </c>
      <c r="AO195" s="33" t="s">
        <v>135</v>
      </c>
      <c r="AP195" s="33" t="s">
        <v>61</v>
      </c>
      <c r="AQ195" s="21" t="s">
        <v>221</v>
      </c>
    </row>
    <row r="196" spans="1:43" x14ac:dyDescent="0.25">
      <c r="C196" s="34" t="s">
        <v>63</v>
      </c>
      <c r="D196" s="340" t="s">
        <v>228</v>
      </c>
      <c r="E196" s="341"/>
      <c r="F196" s="341"/>
      <c r="G196" s="341"/>
      <c r="H196" s="341"/>
      <c r="I196" s="341"/>
      <c r="J196" s="341"/>
      <c r="K196" s="341"/>
      <c r="L196" s="341"/>
      <c r="M196" s="341"/>
    </row>
    <row r="197" spans="1:43" x14ac:dyDescent="0.25">
      <c r="A197" s="26"/>
      <c r="B197" s="27" t="s">
        <v>219</v>
      </c>
      <c r="C197" s="27" t="s">
        <v>229</v>
      </c>
      <c r="D197" s="338" t="s">
        <v>230</v>
      </c>
      <c r="E197" s="339"/>
      <c r="F197" s="339"/>
      <c r="G197" s="339"/>
      <c r="H197" s="28">
        <f>SUM(H198:H202)</f>
        <v>0</v>
      </c>
      <c r="I197" s="28">
        <f>SUM(I198:I202)</f>
        <v>0</v>
      </c>
      <c r="J197" s="28">
        <f>H197+I197</f>
        <v>0</v>
      </c>
      <c r="K197" s="21"/>
      <c r="L197" s="28">
        <f>SUM(L198:L202)</f>
        <v>0.11276000000000001</v>
      </c>
      <c r="M197" s="21"/>
      <c r="P197" s="28">
        <f>IF(Q197="PR",J197,SUM(O198:O202))</f>
        <v>0</v>
      </c>
      <c r="Q197" s="21" t="s">
        <v>75</v>
      </c>
      <c r="R197" s="28">
        <f>IF(Q197="HS",H197,0)</f>
        <v>0</v>
      </c>
      <c r="S197" s="28">
        <f>IF(Q197="HS",I197-P197,0)</f>
        <v>0</v>
      </c>
      <c r="T197" s="28">
        <f>IF(Q197="PS",H197,0)</f>
        <v>0</v>
      </c>
      <c r="U197" s="28">
        <f>IF(Q197="PS",I197-P197,0)</f>
        <v>0</v>
      </c>
      <c r="V197" s="28">
        <f>IF(Q197="MP",H197,0)</f>
        <v>0</v>
      </c>
      <c r="W197" s="28">
        <f>IF(Q197="MP",I197-P197,0)</f>
        <v>0</v>
      </c>
      <c r="X197" s="28">
        <f>IF(Q197="OM",H197,0)</f>
        <v>0</v>
      </c>
      <c r="Y197" s="21" t="s">
        <v>219</v>
      </c>
      <c r="AI197" s="28">
        <f>SUM(Z198:Z202)</f>
        <v>0</v>
      </c>
      <c r="AJ197" s="28">
        <f>SUM(AA198:AA202)</f>
        <v>0</v>
      </c>
      <c r="AK197" s="28">
        <f>SUM(AB198:AB202)</f>
        <v>0</v>
      </c>
    </row>
    <row r="198" spans="1:43" x14ac:dyDescent="0.25">
      <c r="A198" s="29" t="s">
        <v>231</v>
      </c>
      <c r="B198" s="29" t="s">
        <v>219</v>
      </c>
      <c r="C198" s="29" t="s">
        <v>232</v>
      </c>
      <c r="D198" s="29" t="s">
        <v>233</v>
      </c>
      <c r="E198" s="29" t="s">
        <v>58</v>
      </c>
      <c r="F198" s="30">
        <v>4.95</v>
      </c>
      <c r="G198" s="317">
        <v>0</v>
      </c>
      <c r="H198" s="30">
        <f>ROUND(F198*AE198,2)</f>
        <v>0</v>
      </c>
      <c r="I198" s="30">
        <f>J198-H198</f>
        <v>0</v>
      </c>
      <c r="J198" s="30">
        <f>ROUND(F198*G198,2)</f>
        <v>0</v>
      </c>
      <c r="K198" s="30">
        <v>1.6E-2</v>
      </c>
      <c r="L198" s="30">
        <f>F198*K198</f>
        <v>7.9200000000000007E-2</v>
      </c>
      <c r="M198" s="258" t="s">
        <v>2291</v>
      </c>
      <c r="N198" s="31" t="s">
        <v>59</v>
      </c>
      <c r="O198" s="30">
        <f>IF(N198="5",I198,0)</f>
        <v>0</v>
      </c>
      <c r="Z198" s="30">
        <f>IF(AD198=0,J198,0)</f>
        <v>0</v>
      </c>
      <c r="AA198" s="30">
        <f>IF(AD198=15,J198,0)</f>
        <v>0</v>
      </c>
      <c r="AB198" s="30">
        <f>IF(AD198=21,J198,0)</f>
        <v>0</v>
      </c>
      <c r="AD198" s="32">
        <v>21</v>
      </c>
      <c r="AE198" s="32">
        <f>G198*0</f>
        <v>0</v>
      </c>
      <c r="AF198" s="32">
        <f>G198*(1-0)</f>
        <v>0</v>
      </c>
      <c r="AM198" s="32">
        <f>F198*AE198</f>
        <v>0</v>
      </c>
      <c r="AN198" s="32">
        <f>F198*AF198</f>
        <v>0</v>
      </c>
      <c r="AO198" s="33" t="s">
        <v>234</v>
      </c>
      <c r="AP198" s="33" t="s">
        <v>235</v>
      </c>
      <c r="AQ198" s="21" t="s">
        <v>221</v>
      </c>
    </row>
    <row r="199" spans="1:43" ht="25.7" customHeight="1" x14ac:dyDescent="0.25">
      <c r="C199" s="34" t="s">
        <v>63</v>
      </c>
      <c r="D199" s="340" t="s">
        <v>236</v>
      </c>
      <c r="E199" s="341"/>
      <c r="F199" s="341"/>
      <c r="G199" s="341"/>
      <c r="H199" s="341"/>
      <c r="I199" s="341"/>
      <c r="J199" s="341"/>
      <c r="K199" s="341"/>
      <c r="L199" s="341"/>
      <c r="M199" s="341"/>
    </row>
    <row r="200" spans="1:43" x14ac:dyDescent="0.25">
      <c r="A200" s="29" t="s">
        <v>237</v>
      </c>
      <c r="B200" s="29" t="s">
        <v>219</v>
      </c>
      <c r="C200" s="29" t="s">
        <v>238</v>
      </c>
      <c r="D200" s="29" t="s">
        <v>239</v>
      </c>
      <c r="E200" s="29" t="s">
        <v>113</v>
      </c>
      <c r="F200" s="30">
        <v>1</v>
      </c>
      <c r="G200" s="317">
        <v>0</v>
      </c>
      <c r="H200" s="30">
        <f>ROUND(F200*AE200,2)</f>
        <v>0</v>
      </c>
      <c r="I200" s="30">
        <f>J200-H200</f>
        <v>0</v>
      </c>
      <c r="J200" s="30">
        <f>ROUND(F200*G200,2)</f>
        <v>0</v>
      </c>
      <c r="K200" s="30">
        <v>2.64E-3</v>
      </c>
      <c r="L200" s="30">
        <f>F200*K200</f>
        <v>2.64E-3</v>
      </c>
      <c r="M200" s="258" t="s">
        <v>2291</v>
      </c>
      <c r="N200" s="31" t="s">
        <v>59</v>
      </c>
      <c r="O200" s="30">
        <f>IF(N200="5",I200,0)</f>
        <v>0</v>
      </c>
      <c r="Z200" s="30">
        <f>IF(AD200=0,J200,0)</f>
        <v>0</v>
      </c>
      <c r="AA200" s="30">
        <f>IF(AD200=15,J200,0)</f>
        <v>0</v>
      </c>
      <c r="AB200" s="30">
        <f>IF(AD200=21,J200,0)</f>
        <v>0</v>
      </c>
      <c r="AD200" s="32">
        <v>21</v>
      </c>
      <c r="AE200" s="32">
        <f>G200*0.136674758770584</f>
        <v>0</v>
      </c>
      <c r="AF200" s="32">
        <f>G200*(1-0.136674758770584)</f>
        <v>0</v>
      </c>
      <c r="AM200" s="32">
        <f>F200*AE200</f>
        <v>0</v>
      </c>
      <c r="AN200" s="32">
        <f>F200*AF200</f>
        <v>0</v>
      </c>
      <c r="AO200" s="33" t="s">
        <v>234</v>
      </c>
      <c r="AP200" s="33" t="s">
        <v>235</v>
      </c>
      <c r="AQ200" s="21" t="s">
        <v>221</v>
      </c>
    </row>
    <row r="201" spans="1:43" x14ac:dyDescent="0.25">
      <c r="C201" s="34" t="s">
        <v>63</v>
      </c>
      <c r="D201" s="340" t="s">
        <v>240</v>
      </c>
      <c r="E201" s="341"/>
      <c r="F201" s="341"/>
      <c r="G201" s="341"/>
      <c r="H201" s="341"/>
      <c r="I201" s="341"/>
      <c r="J201" s="341"/>
      <c r="K201" s="341"/>
      <c r="L201" s="341"/>
      <c r="M201" s="341"/>
    </row>
    <row r="202" spans="1:43" x14ac:dyDescent="0.25">
      <c r="A202" s="29" t="s">
        <v>241</v>
      </c>
      <c r="B202" s="29" t="s">
        <v>219</v>
      </c>
      <c r="C202" s="29" t="s">
        <v>242</v>
      </c>
      <c r="D202" s="29" t="s">
        <v>243</v>
      </c>
      <c r="E202" s="29" t="s">
        <v>58</v>
      </c>
      <c r="F202" s="30">
        <v>1</v>
      </c>
      <c r="G202" s="317">
        <v>0</v>
      </c>
      <c r="H202" s="30">
        <f>ROUND(F202*AE202,2)</f>
        <v>0</v>
      </c>
      <c r="I202" s="30">
        <f>J202-H202</f>
        <v>0</v>
      </c>
      <c r="J202" s="30">
        <f>ROUND(F202*G202,2)</f>
        <v>0</v>
      </c>
      <c r="K202" s="30">
        <v>3.092E-2</v>
      </c>
      <c r="L202" s="30">
        <f>F202*K202</f>
        <v>3.092E-2</v>
      </c>
      <c r="M202" s="258" t="s">
        <v>2291</v>
      </c>
      <c r="N202" s="31" t="s">
        <v>59</v>
      </c>
      <c r="O202" s="30">
        <f>IF(N202="5",I202,0)</f>
        <v>0</v>
      </c>
      <c r="Z202" s="30">
        <f>IF(AD202=0,J202,0)</f>
        <v>0</v>
      </c>
      <c r="AA202" s="30">
        <f>IF(AD202=15,J202,0)</f>
        <v>0</v>
      </c>
      <c r="AB202" s="30">
        <f>IF(AD202=21,J202,0)</f>
        <v>0</v>
      </c>
      <c r="AD202" s="32">
        <v>21</v>
      </c>
      <c r="AE202" s="32">
        <f>G202*0.962890664324702</f>
        <v>0</v>
      </c>
      <c r="AF202" s="32">
        <f>G202*(1-0.962890664324702)</f>
        <v>0</v>
      </c>
      <c r="AM202" s="32">
        <f>F202*AE202</f>
        <v>0</v>
      </c>
      <c r="AN202" s="32">
        <f>F202*AF202</f>
        <v>0</v>
      </c>
      <c r="AO202" s="33" t="s">
        <v>234</v>
      </c>
      <c r="AP202" s="33" t="s">
        <v>235</v>
      </c>
      <c r="AQ202" s="21" t="s">
        <v>221</v>
      </c>
    </row>
    <row r="203" spans="1:43" x14ac:dyDescent="0.25">
      <c r="A203" s="26"/>
      <c r="B203" s="27" t="s">
        <v>219</v>
      </c>
      <c r="C203" s="27" t="s">
        <v>73</v>
      </c>
      <c r="D203" s="338" t="s">
        <v>74</v>
      </c>
      <c r="E203" s="339"/>
      <c r="F203" s="339"/>
      <c r="G203" s="339"/>
      <c r="H203" s="28">
        <f>SUM(H204:H206)</f>
        <v>0</v>
      </c>
      <c r="I203" s="28">
        <f>SUM(I204:I206)</f>
        <v>0</v>
      </c>
      <c r="J203" s="28">
        <f>H203+I203</f>
        <v>0</v>
      </c>
      <c r="K203" s="21"/>
      <c r="L203" s="28">
        <f>SUM(L204:L206)</f>
        <v>9.2240000000000002</v>
      </c>
      <c r="M203" s="21"/>
      <c r="P203" s="28">
        <f>IF(Q203="PR",J203,SUM(O204:O206))</f>
        <v>0</v>
      </c>
      <c r="Q203" s="21" t="s">
        <v>75</v>
      </c>
      <c r="R203" s="28">
        <f>IF(Q203="HS",H203,0)</f>
        <v>0</v>
      </c>
      <c r="S203" s="28">
        <f>IF(Q203="HS",I203-P203,0)</f>
        <v>0</v>
      </c>
      <c r="T203" s="28">
        <f>IF(Q203="PS",H203,0)</f>
        <v>0</v>
      </c>
      <c r="U203" s="28">
        <f>IF(Q203="PS",I203-P203,0)</f>
        <v>0</v>
      </c>
      <c r="V203" s="28">
        <f>IF(Q203="MP",H203,0)</f>
        <v>0</v>
      </c>
      <c r="W203" s="28">
        <f>IF(Q203="MP",I203-P203,0)</f>
        <v>0</v>
      </c>
      <c r="X203" s="28">
        <f>IF(Q203="OM",H203,0)</f>
        <v>0</v>
      </c>
      <c r="Y203" s="21" t="s">
        <v>219</v>
      </c>
      <c r="AI203" s="28">
        <f>SUM(Z204:Z206)</f>
        <v>0</v>
      </c>
      <c r="AJ203" s="28">
        <f>SUM(AA204:AA206)</f>
        <v>0</v>
      </c>
      <c r="AK203" s="28">
        <f>SUM(AB204:AB206)</f>
        <v>0</v>
      </c>
    </row>
    <row r="204" spans="1:43" x14ac:dyDescent="0.25">
      <c r="A204" s="29" t="s">
        <v>244</v>
      </c>
      <c r="B204" s="29" t="s">
        <v>219</v>
      </c>
      <c r="C204" s="29" t="s">
        <v>77</v>
      </c>
      <c r="D204" s="29" t="s">
        <v>2278</v>
      </c>
      <c r="E204" s="29" t="s">
        <v>58</v>
      </c>
      <c r="F204" s="30">
        <v>100</v>
      </c>
      <c r="G204" s="317">
        <v>0</v>
      </c>
      <c r="H204" s="30">
        <f>ROUND(F204*AE204,2)</f>
        <v>0</v>
      </c>
      <c r="I204" s="30">
        <f>J204-H204</f>
        <v>0</v>
      </c>
      <c r="J204" s="30">
        <f>ROUND(F204*G204,2)</f>
        <v>0</v>
      </c>
      <c r="K204" s="30">
        <v>1.61E-2</v>
      </c>
      <c r="L204" s="30">
        <f>F204*K204</f>
        <v>1.6099999999999999</v>
      </c>
      <c r="M204" s="258" t="s">
        <v>2291</v>
      </c>
      <c r="N204" s="31" t="s">
        <v>59</v>
      </c>
      <c r="O204" s="30">
        <f>IF(N204="5",I204,0)</f>
        <v>0</v>
      </c>
      <c r="Z204" s="30">
        <f>IF(AD204=0,J204,0)</f>
        <v>0</v>
      </c>
      <c r="AA204" s="30">
        <f>IF(AD204=15,J204,0)</f>
        <v>0</v>
      </c>
      <c r="AB204" s="30">
        <f>IF(AD204=21,J204,0)</f>
        <v>0</v>
      </c>
      <c r="AD204" s="32">
        <v>21</v>
      </c>
      <c r="AE204" s="32">
        <f>G204*0.787221324717286</f>
        <v>0</v>
      </c>
      <c r="AF204" s="32">
        <f>G204*(1-0.787221324717286)</f>
        <v>0</v>
      </c>
      <c r="AM204" s="32">
        <f>F204*AE204</f>
        <v>0</v>
      </c>
      <c r="AN204" s="32">
        <f>F204*AF204</f>
        <v>0</v>
      </c>
      <c r="AO204" s="33" t="s">
        <v>78</v>
      </c>
      <c r="AP204" s="33" t="s">
        <v>79</v>
      </c>
      <c r="AQ204" s="21" t="s">
        <v>221</v>
      </c>
    </row>
    <row r="205" spans="1:43" ht="12.75" customHeight="1" x14ac:dyDescent="0.25">
      <c r="C205" s="34" t="s">
        <v>63</v>
      </c>
      <c r="D205" s="340" t="s">
        <v>2280</v>
      </c>
      <c r="E205" s="341"/>
      <c r="F205" s="341"/>
      <c r="G205" s="341"/>
      <c r="H205" s="341"/>
      <c r="I205" s="341"/>
      <c r="J205" s="341"/>
      <c r="K205" s="341"/>
      <c r="L205" s="341"/>
      <c r="M205" s="341"/>
    </row>
    <row r="206" spans="1:43" x14ac:dyDescent="0.25">
      <c r="A206" s="29" t="s">
        <v>245</v>
      </c>
      <c r="B206" s="29" t="s">
        <v>219</v>
      </c>
      <c r="C206" s="29" t="s">
        <v>122</v>
      </c>
      <c r="D206" s="29" t="s">
        <v>123</v>
      </c>
      <c r="E206" s="29" t="s">
        <v>58</v>
      </c>
      <c r="F206" s="30">
        <v>100</v>
      </c>
      <c r="G206" s="317">
        <v>0</v>
      </c>
      <c r="H206" s="30">
        <f>ROUND(F206*AE206,2)</f>
        <v>0</v>
      </c>
      <c r="I206" s="30">
        <f>J206-H206</f>
        <v>0</v>
      </c>
      <c r="J206" s="30">
        <f>ROUND(F206*G206,2)</f>
        <v>0</v>
      </c>
      <c r="K206" s="30">
        <v>7.6139999999999999E-2</v>
      </c>
      <c r="L206" s="30">
        <f>F206*K206</f>
        <v>7.6139999999999999</v>
      </c>
      <c r="M206" s="258" t="s">
        <v>2291</v>
      </c>
      <c r="N206" s="31" t="s">
        <v>59</v>
      </c>
      <c r="O206" s="30">
        <f>IF(N206="5",I206,0)</f>
        <v>0</v>
      </c>
      <c r="Z206" s="30">
        <f>IF(AD206=0,J206,0)</f>
        <v>0</v>
      </c>
      <c r="AA206" s="30">
        <f>IF(AD206=15,J206,0)</f>
        <v>0</v>
      </c>
      <c r="AB206" s="30">
        <f>IF(AD206=21,J206,0)</f>
        <v>0</v>
      </c>
      <c r="AD206" s="32">
        <v>21</v>
      </c>
      <c r="AE206" s="32">
        <f>G206*0.547569562266712</f>
        <v>0</v>
      </c>
      <c r="AF206" s="32">
        <f>G206*(1-0.547569562266712)</f>
        <v>0</v>
      </c>
      <c r="AM206" s="32">
        <f>F206*AE206</f>
        <v>0</v>
      </c>
      <c r="AN206" s="32">
        <f>F206*AF206</f>
        <v>0</v>
      </c>
      <c r="AO206" s="33" t="s">
        <v>78</v>
      </c>
      <c r="AP206" s="33" t="s">
        <v>79</v>
      </c>
      <c r="AQ206" s="21" t="s">
        <v>221</v>
      </c>
    </row>
    <row r="207" spans="1:43" x14ac:dyDescent="0.25">
      <c r="A207" s="26"/>
      <c r="B207" s="27" t="s">
        <v>219</v>
      </c>
      <c r="C207" s="27" t="s">
        <v>86</v>
      </c>
      <c r="D207" s="338" t="s">
        <v>87</v>
      </c>
      <c r="E207" s="339"/>
      <c r="F207" s="339"/>
      <c r="G207" s="339"/>
      <c r="H207" s="28">
        <f>SUM(H208:H208)</f>
        <v>0</v>
      </c>
      <c r="I207" s="28">
        <f>SUM(I208:I208)</f>
        <v>0</v>
      </c>
      <c r="J207" s="28">
        <f>H207+I207</f>
        <v>0</v>
      </c>
      <c r="K207" s="21"/>
      <c r="L207" s="28">
        <f>SUM(L208:L208)</f>
        <v>5.4000000000000001E-4</v>
      </c>
      <c r="M207" s="21"/>
      <c r="P207" s="28">
        <f>IF(Q207="PR",J207,SUM(O208:O208))</f>
        <v>0</v>
      </c>
      <c r="Q207" s="21" t="s">
        <v>75</v>
      </c>
      <c r="R207" s="28">
        <f>IF(Q207="HS",H207,0)</f>
        <v>0</v>
      </c>
      <c r="S207" s="28">
        <f>IF(Q207="HS",I207-P207,0)</f>
        <v>0</v>
      </c>
      <c r="T207" s="28">
        <f>IF(Q207="PS",H207,0)</f>
        <v>0</v>
      </c>
      <c r="U207" s="28">
        <f>IF(Q207="PS",I207-P207,0)</f>
        <v>0</v>
      </c>
      <c r="V207" s="28">
        <f>IF(Q207="MP",H207,0)</f>
        <v>0</v>
      </c>
      <c r="W207" s="28">
        <f>IF(Q207="MP",I207-P207,0)</f>
        <v>0</v>
      </c>
      <c r="X207" s="28">
        <f>IF(Q207="OM",H207,0)</f>
        <v>0</v>
      </c>
      <c r="Y207" s="21" t="s">
        <v>219</v>
      </c>
      <c r="AI207" s="28">
        <f>SUM(Z208:Z208)</f>
        <v>0</v>
      </c>
      <c r="AJ207" s="28">
        <f>SUM(AA208:AA208)</f>
        <v>0</v>
      </c>
      <c r="AK207" s="28">
        <f>SUM(AB208:AB208)</f>
        <v>0</v>
      </c>
    </row>
    <row r="208" spans="1:43" x14ac:dyDescent="0.25">
      <c r="A208" s="29" t="s">
        <v>246</v>
      </c>
      <c r="B208" s="29" t="s">
        <v>219</v>
      </c>
      <c r="C208" s="29" t="s">
        <v>89</v>
      </c>
      <c r="D208" s="29" t="s">
        <v>90</v>
      </c>
      <c r="E208" s="29" t="s">
        <v>58</v>
      </c>
      <c r="F208" s="30">
        <v>2</v>
      </c>
      <c r="G208" s="317">
        <v>0</v>
      </c>
      <c r="H208" s="30">
        <f>ROUND(F208*AE208,2)</f>
        <v>0</v>
      </c>
      <c r="I208" s="30">
        <f>J208-H208</f>
        <v>0</v>
      </c>
      <c r="J208" s="30">
        <f>ROUND(F208*G208,2)</f>
        <v>0</v>
      </c>
      <c r="K208" s="30">
        <v>2.7E-4</v>
      </c>
      <c r="L208" s="30">
        <f>F208*K208</f>
        <v>5.4000000000000001E-4</v>
      </c>
      <c r="M208" s="258" t="s">
        <v>2291</v>
      </c>
      <c r="N208" s="31" t="s">
        <v>59</v>
      </c>
      <c r="O208" s="30">
        <f>IF(N208="5",I208,0)</f>
        <v>0</v>
      </c>
      <c r="Z208" s="30">
        <f>IF(AD208=0,J208,0)</f>
        <v>0</v>
      </c>
      <c r="AA208" s="30">
        <f>IF(AD208=15,J208,0)</f>
        <v>0</v>
      </c>
      <c r="AB208" s="30">
        <f>IF(AD208=21,J208,0)</f>
        <v>0</v>
      </c>
      <c r="AD208" s="32">
        <v>21</v>
      </c>
      <c r="AE208" s="32">
        <f>G208*0.186098187625859</f>
        <v>0</v>
      </c>
      <c r="AF208" s="32">
        <f>G208*(1-0.186098187625859)</f>
        <v>0</v>
      </c>
      <c r="AM208" s="32">
        <f>F208*AE208</f>
        <v>0</v>
      </c>
      <c r="AN208" s="32">
        <f>F208*AF208</f>
        <v>0</v>
      </c>
      <c r="AO208" s="33" t="s">
        <v>91</v>
      </c>
      <c r="AP208" s="33" t="s">
        <v>92</v>
      </c>
      <c r="AQ208" s="21" t="s">
        <v>221</v>
      </c>
    </row>
    <row r="209" spans="1:43" x14ac:dyDescent="0.25">
      <c r="A209" s="26"/>
      <c r="B209" s="27" t="s">
        <v>219</v>
      </c>
      <c r="C209" s="27" t="s">
        <v>93</v>
      </c>
      <c r="D209" s="338" t="s">
        <v>94</v>
      </c>
      <c r="E209" s="339"/>
      <c r="F209" s="339"/>
      <c r="G209" s="339"/>
      <c r="H209" s="28">
        <f>SUM(H210:H210)</f>
        <v>0</v>
      </c>
      <c r="I209" s="28">
        <f>SUM(I210:I210)</f>
        <v>0</v>
      </c>
      <c r="J209" s="28">
        <f>H209+I209</f>
        <v>0</v>
      </c>
      <c r="K209" s="21"/>
      <c r="L209" s="28">
        <f>SUM(L210:L210)</f>
        <v>0.158418</v>
      </c>
      <c r="M209" s="21"/>
      <c r="P209" s="28">
        <f>IF(Q209="PR",J209,SUM(O210:O210))</f>
        <v>0</v>
      </c>
      <c r="Q209" s="21" t="s">
        <v>75</v>
      </c>
      <c r="R209" s="28">
        <f>IF(Q209="HS",H209,0)</f>
        <v>0</v>
      </c>
      <c r="S209" s="28">
        <f>IF(Q209="HS",I209-P209,0)</f>
        <v>0</v>
      </c>
      <c r="T209" s="28">
        <f>IF(Q209="PS",H209,0)</f>
        <v>0</v>
      </c>
      <c r="U209" s="28">
        <f>IF(Q209="PS",I209-P209,0)</f>
        <v>0</v>
      </c>
      <c r="V209" s="28">
        <f>IF(Q209="MP",H209,0)</f>
        <v>0</v>
      </c>
      <c r="W209" s="28">
        <f>IF(Q209="MP",I209-P209,0)</f>
        <v>0</v>
      </c>
      <c r="X209" s="28">
        <f>IF(Q209="OM",H209,0)</f>
        <v>0</v>
      </c>
      <c r="Y209" s="21" t="s">
        <v>219</v>
      </c>
      <c r="AI209" s="28">
        <f>SUM(Z210:Z210)</f>
        <v>0</v>
      </c>
      <c r="AJ209" s="28">
        <f>SUM(AA210:AA210)</f>
        <v>0</v>
      </c>
      <c r="AK209" s="28">
        <f>SUM(AB210:AB210)</f>
        <v>0</v>
      </c>
    </row>
    <row r="210" spans="1:43" x14ac:dyDescent="0.25">
      <c r="A210" s="29" t="s">
        <v>247</v>
      </c>
      <c r="B210" s="29" t="s">
        <v>219</v>
      </c>
      <c r="C210" s="29" t="s">
        <v>96</v>
      </c>
      <c r="D210" s="29" t="s">
        <v>97</v>
      </c>
      <c r="E210" s="29" t="s">
        <v>58</v>
      </c>
      <c r="F210" s="30">
        <v>243.72</v>
      </c>
      <c r="G210" s="317">
        <v>0</v>
      </c>
      <c r="H210" s="30">
        <f>ROUND(F210*AE210,2)</f>
        <v>0</v>
      </c>
      <c r="I210" s="30">
        <f>J210-H210</f>
        <v>0</v>
      </c>
      <c r="J210" s="30">
        <f>ROUND(F210*G210,2)</f>
        <v>0</v>
      </c>
      <c r="K210" s="30">
        <v>6.4999999999999997E-4</v>
      </c>
      <c r="L210" s="30">
        <f>F210*K210</f>
        <v>0.158418</v>
      </c>
      <c r="M210" s="258" t="s">
        <v>2291</v>
      </c>
      <c r="N210" s="31" t="s">
        <v>59</v>
      </c>
      <c r="O210" s="30">
        <f>IF(N210="5",I210,0)</f>
        <v>0</v>
      </c>
      <c r="Z210" s="30">
        <f>IF(AD210=0,J210,0)</f>
        <v>0</v>
      </c>
      <c r="AA210" s="30">
        <f>IF(AD210=15,J210,0)</f>
        <v>0</v>
      </c>
      <c r="AB210" s="30">
        <f>IF(AD210=21,J210,0)</f>
        <v>0</v>
      </c>
      <c r="AD210" s="32">
        <v>21</v>
      </c>
      <c r="AE210" s="32">
        <f>G210*0.333747476316198</f>
        <v>0</v>
      </c>
      <c r="AF210" s="32">
        <f>G210*(1-0.333747476316198)</f>
        <v>0</v>
      </c>
      <c r="AM210" s="32">
        <f>F210*AE210</f>
        <v>0</v>
      </c>
      <c r="AN210" s="32">
        <f>F210*AF210</f>
        <v>0</v>
      </c>
      <c r="AO210" s="33" t="s">
        <v>98</v>
      </c>
      <c r="AP210" s="33" t="s">
        <v>92</v>
      </c>
      <c r="AQ210" s="21" t="s">
        <v>221</v>
      </c>
    </row>
    <row r="211" spans="1:43" x14ac:dyDescent="0.25">
      <c r="A211" s="26"/>
      <c r="B211" s="27" t="s">
        <v>219</v>
      </c>
      <c r="C211" s="27" t="s">
        <v>99</v>
      </c>
      <c r="D211" s="338" t="s">
        <v>100</v>
      </c>
      <c r="E211" s="339"/>
      <c r="F211" s="339"/>
      <c r="G211" s="339"/>
      <c r="H211" s="28">
        <f>SUM(H212:H212)</f>
        <v>0</v>
      </c>
      <c r="I211" s="28">
        <f>SUM(I212:I212)</f>
        <v>0</v>
      </c>
      <c r="J211" s="28">
        <f>H211+I211</f>
        <v>0</v>
      </c>
      <c r="K211" s="21"/>
      <c r="L211" s="28">
        <f>SUM(L212:L212)</f>
        <v>0</v>
      </c>
      <c r="M211" s="21"/>
      <c r="P211" s="28">
        <f>IF(Q211="PR",J211,SUM(O212:O212))</f>
        <v>0</v>
      </c>
      <c r="Q211" s="21" t="s">
        <v>54</v>
      </c>
      <c r="R211" s="28">
        <f>IF(Q211="HS",H211,0)</f>
        <v>0</v>
      </c>
      <c r="S211" s="28">
        <f>IF(Q211="HS",I211-P211,0)</f>
        <v>0</v>
      </c>
      <c r="T211" s="28">
        <f>IF(Q211="PS",H211,0)</f>
        <v>0</v>
      </c>
      <c r="U211" s="28">
        <f>IF(Q211="PS",I211-P211,0)</f>
        <v>0</v>
      </c>
      <c r="V211" s="28">
        <f>IF(Q211="MP",H211,0)</f>
        <v>0</v>
      </c>
      <c r="W211" s="28">
        <f>IF(Q211="MP",I211-P211,0)</f>
        <v>0</v>
      </c>
      <c r="X211" s="28">
        <f>IF(Q211="OM",H211,0)</f>
        <v>0</v>
      </c>
      <c r="Y211" s="21" t="s">
        <v>219</v>
      </c>
      <c r="AI211" s="28">
        <f>SUM(Z212:Z212)</f>
        <v>0</v>
      </c>
      <c r="AJ211" s="28">
        <f>SUM(AA212:AA212)</f>
        <v>0</v>
      </c>
      <c r="AK211" s="28">
        <f>SUM(AB212:AB212)</f>
        <v>0</v>
      </c>
    </row>
    <row r="212" spans="1:43" x14ac:dyDescent="0.25">
      <c r="A212" s="29" t="s">
        <v>248</v>
      </c>
      <c r="B212" s="29" t="s">
        <v>219</v>
      </c>
      <c r="C212" s="29" t="s">
        <v>102</v>
      </c>
      <c r="D212" s="29" t="s">
        <v>103</v>
      </c>
      <c r="E212" s="29" t="s">
        <v>104</v>
      </c>
      <c r="F212" s="30">
        <v>10.8</v>
      </c>
      <c r="G212" s="317">
        <v>0</v>
      </c>
      <c r="H212" s="30">
        <f>ROUND(F212*AE212,2)</f>
        <v>0</v>
      </c>
      <c r="I212" s="30">
        <f>J212-H212</f>
        <v>0</v>
      </c>
      <c r="J212" s="30">
        <f>ROUND(F212*G212,2)</f>
        <v>0</v>
      </c>
      <c r="K212" s="30">
        <v>0</v>
      </c>
      <c r="L212" s="30">
        <f>F212*K212</f>
        <v>0</v>
      </c>
      <c r="M212" s="258" t="s">
        <v>2291</v>
      </c>
      <c r="N212" s="31" t="s">
        <v>55</v>
      </c>
      <c r="O212" s="30">
        <f>IF(N212="5",I212,0)</f>
        <v>0</v>
      </c>
      <c r="Z212" s="30">
        <f>IF(AD212=0,J212,0)</f>
        <v>0</v>
      </c>
      <c r="AA212" s="30">
        <f>IF(AD212=15,J212,0)</f>
        <v>0</v>
      </c>
      <c r="AB212" s="30">
        <f>IF(AD212=21,J212,0)</f>
        <v>0</v>
      </c>
      <c r="AD212" s="32">
        <v>21</v>
      </c>
      <c r="AE212" s="32">
        <f>G212*0</f>
        <v>0</v>
      </c>
      <c r="AF212" s="32">
        <f>G212*(1-0)</f>
        <v>0</v>
      </c>
      <c r="AM212" s="32">
        <f>F212*AE212</f>
        <v>0</v>
      </c>
      <c r="AN212" s="32">
        <f>F212*AF212</f>
        <v>0</v>
      </c>
      <c r="AO212" s="33" t="s">
        <v>105</v>
      </c>
      <c r="AP212" s="33" t="s">
        <v>106</v>
      </c>
      <c r="AQ212" s="21" t="s">
        <v>221</v>
      </c>
    </row>
    <row r="213" spans="1:43" x14ac:dyDescent="0.25">
      <c r="C213" s="34" t="s">
        <v>63</v>
      </c>
      <c r="D213" s="340" t="s">
        <v>107</v>
      </c>
      <c r="E213" s="341"/>
      <c r="F213" s="341"/>
      <c r="G213" s="341"/>
      <c r="H213" s="341"/>
      <c r="I213" s="341"/>
      <c r="J213" s="341"/>
      <c r="K213" s="341"/>
      <c r="L213" s="341"/>
      <c r="M213" s="341"/>
    </row>
    <row r="214" spans="1:43" x14ac:dyDescent="0.25">
      <c r="A214" s="26"/>
      <c r="B214" s="27" t="s">
        <v>219</v>
      </c>
      <c r="C214" s="27" t="s">
        <v>108</v>
      </c>
      <c r="D214" s="338" t="s">
        <v>109</v>
      </c>
      <c r="E214" s="339"/>
      <c r="F214" s="339"/>
      <c r="G214" s="339"/>
      <c r="H214" s="28">
        <f>SUM(H215:H215)</f>
        <v>0</v>
      </c>
      <c r="I214" s="28">
        <f>SUM(I215:I215)</f>
        <v>0</v>
      </c>
      <c r="J214" s="28">
        <f>H214+I214</f>
        <v>0</v>
      </c>
      <c r="K214" s="21"/>
      <c r="L214" s="28">
        <f>SUM(L215:L215)</f>
        <v>0.19581999999999999</v>
      </c>
      <c r="M214" s="21"/>
      <c r="P214" s="28">
        <f>IF(Q214="PR",J214,SUM(O215:O215))</f>
        <v>0</v>
      </c>
      <c r="Q214" s="21" t="s">
        <v>54</v>
      </c>
      <c r="R214" s="28">
        <f>IF(Q214="HS",H214,0)</f>
        <v>0</v>
      </c>
      <c r="S214" s="28">
        <f>IF(Q214="HS",I214-P214,0)</f>
        <v>0</v>
      </c>
      <c r="T214" s="28">
        <f>IF(Q214="PS",H214,0)</f>
        <v>0</v>
      </c>
      <c r="U214" s="28">
        <f>IF(Q214="PS",I214-P214,0)</f>
        <v>0</v>
      </c>
      <c r="V214" s="28">
        <f>IF(Q214="MP",H214,0)</f>
        <v>0</v>
      </c>
      <c r="W214" s="28">
        <f>IF(Q214="MP",I214-P214,0)</f>
        <v>0</v>
      </c>
      <c r="X214" s="28">
        <f>IF(Q214="OM",H214,0)</f>
        <v>0</v>
      </c>
      <c r="Y214" s="21" t="s">
        <v>219</v>
      </c>
      <c r="AI214" s="28">
        <f>SUM(Z215:Z215)</f>
        <v>0</v>
      </c>
      <c r="AJ214" s="28">
        <f>SUM(AA215:AA215)</f>
        <v>0</v>
      </c>
      <c r="AK214" s="28">
        <f>SUM(AB215:AB215)</f>
        <v>0</v>
      </c>
    </row>
    <row r="215" spans="1:43" x14ac:dyDescent="0.25">
      <c r="A215" s="29" t="s">
        <v>249</v>
      </c>
      <c r="B215" s="29" t="s">
        <v>219</v>
      </c>
      <c r="C215" s="29" t="s">
        <v>111</v>
      </c>
      <c r="D215" s="29" t="s">
        <v>112</v>
      </c>
      <c r="E215" s="29" t="s">
        <v>113</v>
      </c>
      <c r="F215" s="30">
        <v>2</v>
      </c>
      <c r="G215" s="317">
        <v>0</v>
      </c>
      <c r="H215" s="30">
        <f>ROUND(F215*AE215,2)</f>
        <v>0</v>
      </c>
      <c r="I215" s="30">
        <f>J215-H215</f>
        <v>0</v>
      </c>
      <c r="J215" s="30">
        <f>ROUND(F215*G215,2)</f>
        <v>0</v>
      </c>
      <c r="K215" s="30">
        <v>9.7909999999999997E-2</v>
      </c>
      <c r="L215" s="30">
        <f>F215*K215</f>
        <v>0.19581999999999999</v>
      </c>
      <c r="M215" s="258" t="s">
        <v>2291</v>
      </c>
      <c r="N215" s="31" t="s">
        <v>55</v>
      </c>
      <c r="O215" s="30">
        <f>IF(N215="5",I215,0)</f>
        <v>0</v>
      </c>
      <c r="Z215" s="30">
        <f>IF(AD215=0,J215,0)</f>
        <v>0</v>
      </c>
      <c r="AA215" s="30">
        <f>IF(AD215=15,J215,0)</f>
        <v>0</v>
      </c>
      <c r="AB215" s="30">
        <f>IF(AD215=21,J215,0)</f>
        <v>0</v>
      </c>
      <c r="AD215" s="32">
        <v>21</v>
      </c>
      <c r="AE215" s="32">
        <f>G215*0.0762897526501767</f>
        <v>0</v>
      </c>
      <c r="AF215" s="32">
        <f>G215*(1-0.0762897526501767)</f>
        <v>0</v>
      </c>
      <c r="AM215" s="32">
        <f>F215*AE215</f>
        <v>0</v>
      </c>
      <c r="AN215" s="32">
        <f>F215*AF215</f>
        <v>0</v>
      </c>
      <c r="AO215" s="33" t="s">
        <v>114</v>
      </c>
      <c r="AP215" s="33" t="s">
        <v>106</v>
      </c>
      <c r="AQ215" s="21" t="s">
        <v>221</v>
      </c>
    </row>
    <row r="216" spans="1:43" x14ac:dyDescent="0.25">
      <c r="C216" s="34" t="s">
        <v>63</v>
      </c>
      <c r="D216" s="340" t="s">
        <v>107</v>
      </c>
      <c r="E216" s="341"/>
      <c r="F216" s="341"/>
      <c r="G216" s="341"/>
      <c r="H216" s="341"/>
      <c r="I216" s="341"/>
      <c r="J216" s="341"/>
      <c r="K216" s="341"/>
      <c r="L216" s="341"/>
      <c r="M216" s="341"/>
    </row>
    <row r="217" spans="1:43" x14ac:dyDescent="0.25">
      <c r="A217" s="26"/>
      <c r="B217" s="27" t="s">
        <v>250</v>
      </c>
      <c r="C217" s="27"/>
      <c r="D217" s="338" t="s">
        <v>250</v>
      </c>
      <c r="E217" s="339"/>
      <c r="F217" s="339"/>
      <c r="G217" s="339"/>
      <c r="H217" s="28">
        <f>H218+H220+H223+H226+H230+H233+H235</f>
        <v>0</v>
      </c>
      <c r="I217" s="28">
        <f>I218+I220+I223+I226+I230+I233+I235</f>
        <v>0</v>
      </c>
      <c r="J217" s="28">
        <f>H217+I217</f>
        <v>0</v>
      </c>
      <c r="K217" s="21"/>
      <c r="L217" s="28">
        <f>L218+L220+L223+L226+L230+L233+L235</f>
        <v>30.150933800000004</v>
      </c>
      <c r="M217" s="21"/>
    </row>
    <row r="218" spans="1:43" x14ac:dyDescent="0.25">
      <c r="A218" s="26"/>
      <c r="B218" s="27" t="s">
        <v>250</v>
      </c>
      <c r="C218" s="27" t="s">
        <v>166</v>
      </c>
      <c r="D218" s="338" t="s">
        <v>167</v>
      </c>
      <c r="E218" s="339"/>
      <c r="F218" s="339"/>
      <c r="G218" s="339"/>
      <c r="H218" s="28">
        <f>SUM(H219:H219)</f>
        <v>0</v>
      </c>
      <c r="I218" s="28">
        <f>SUM(I219:I219)</f>
        <v>0</v>
      </c>
      <c r="J218" s="28">
        <f>H218+I218</f>
        <v>0</v>
      </c>
      <c r="K218" s="21"/>
      <c r="L218" s="28">
        <f>SUM(L219:L219)</f>
        <v>0.40368000000000004</v>
      </c>
      <c r="M218" s="21"/>
      <c r="P218" s="28">
        <f>IF(Q218="PR",J218,SUM(O219:O219))</f>
        <v>0</v>
      </c>
      <c r="Q218" s="21" t="s">
        <v>54</v>
      </c>
      <c r="R218" s="28">
        <f>IF(Q218="HS",H218,0)</f>
        <v>0</v>
      </c>
      <c r="S218" s="28">
        <f>IF(Q218="HS",I218-P218,0)</f>
        <v>0</v>
      </c>
      <c r="T218" s="28">
        <f>IF(Q218="PS",H218,0)</f>
        <v>0</v>
      </c>
      <c r="U218" s="28">
        <f>IF(Q218="PS",I218-P218,0)</f>
        <v>0</v>
      </c>
      <c r="V218" s="28">
        <f>IF(Q218="MP",H218,0)</f>
        <v>0</v>
      </c>
      <c r="W218" s="28">
        <f>IF(Q218="MP",I218-P218,0)</f>
        <v>0</v>
      </c>
      <c r="X218" s="28">
        <f>IF(Q218="OM",H218,0)</f>
        <v>0</v>
      </c>
      <c r="Y218" s="21" t="s">
        <v>250</v>
      </c>
      <c r="AI218" s="28">
        <f>SUM(Z219:Z219)</f>
        <v>0</v>
      </c>
      <c r="AJ218" s="28">
        <f>SUM(AA219:AA219)</f>
        <v>0</v>
      </c>
      <c r="AK218" s="28">
        <f>SUM(AB219:AB219)</f>
        <v>0</v>
      </c>
    </row>
    <row r="219" spans="1:43" x14ac:dyDescent="0.25">
      <c r="A219" s="29" t="s">
        <v>251</v>
      </c>
      <c r="B219" s="29" t="s">
        <v>250</v>
      </c>
      <c r="C219" s="29" t="s">
        <v>169</v>
      </c>
      <c r="D219" s="29" t="s">
        <v>170</v>
      </c>
      <c r="E219" s="29" t="s">
        <v>58</v>
      </c>
      <c r="F219" s="30">
        <v>33.64</v>
      </c>
      <c r="G219" s="317">
        <v>0</v>
      </c>
      <c r="H219" s="30">
        <f>ROUND(F219*AE219,2)</f>
        <v>0</v>
      </c>
      <c r="I219" s="30">
        <f>J219-H219</f>
        <v>0</v>
      </c>
      <c r="J219" s="30">
        <f>ROUND(F219*G219,2)</f>
        <v>0</v>
      </c>
      <c r="K219" s="30">
        <v>1.2E-2</v>
      </c>
      <c r="L219" s="30">
        <f>F219*K219</f>
        <v>0.40368000000000004</v>
      </c>
      <c r="M219" s="31"/>
      <c r="N219" s="31" t="s">
        <v>55</v>
      </c>
      <c r="O219" s="30">
        <f>IF(N219="5",I219,0)</f>
        <v>0</v>
      </c>
      <c r="Z219" s="30">
        <f>IF(AD219=0,J219,0)</f>
        <v>0</v>
      </c>
      <c r="AA219" s="30">
        <f>IF(AD219=15,J219,0)</f>
        <v>0</v>
      </c>
      <c r="AB219" s="30">
        <f>IF(AD219=21,J219,0)</f>
        <v>0</v>
      </c>
      <c r="AD219" s="32">
        <v>21</v>
      </c>
      <c r="AE219" s="32">
        <f>G219*0.381443298969072</f>
        <v>0</v>
      </c>
      <c r="AF219" s="32">
        <f>G219*(1-0.381443298969072)</f>
        <v>0</v>
      </c>
      <c r="AM219" s="32">
        <f>F219*AE219</f>
        <v>0</v>
      </c>
      <c r="AN219" s="32">
        <f>F219*AF219</f>
        <v>0</v>
      </c>
      <c r="AO219" s="33" t="s">
        <v>171</v>
      </c>
      <c r="AP219" s="33" t="s">
        <v>171</v>
      </c>
      <c r="AQ219" s="21" t="s">
        <v>252</v>
      </c>
    </row>
    <row r="220" spans="1:43" x14ac:dyDescent="0.25">
      <c r="A220" s="26"/>
      <c r="B220" s="27" t="s">
        <v>250</v>
      </c>
      <c r="C220" s="27" t="s">
        <v>52</v>
      </c>
      <c r="D220" s="338" t="s">
        <v>53</v>
      </c>
      <c r="E220" s="339"/>
      <c r="F220" s="339"/>
      <c r="G220" s="339"/>
      <c r="H220" s="28">
        <f>SUM(H221:H221)</f>
        <v>0</v>
      </c>
      <c r="I220" s="28">
        <f>SUM(I221:I221)</f>
        <v>0</v>
      </c>
      <c r="J220" s="28">
        <f>H220+I220</f>
        <v>0</v>
      </c>
      <c r="K220" s="21"/>
      <c r="L220" s="28">
        <f>SUM(L221:L221)</f>
        <v>0.28288259999999998</v>
      </c>
      <c r="M220" s="21"/>
      <c r="P220" s="28">
        <f>IF(Q220="PR",J220,SUM(O221:O221))</f>
        <v>0</v>
      </c>
      <c r="Q220" s="21" t="s">
        <v>54</v>
      </c>
      <c r="R220" s="28">
        <f>IF(Q220="HS",H220,0)</f>
        <v>0</v>
      </c>
      <c r="S220" s="28">
        <f>IF(Q220="HS",I220-P220,0)</f>
        <v>0</v>
      </c>
      <c r="T220" s="28">
        <f>IF(Q220="PS",H220,0)</f>
        <v>0</v>
      </c>
      <c r="U220" s="28">
        <f>IF(Q220="PS",I220-P220,0)</f>
        <v>0</v>
      </c>
      <c r="V220" s="28">
        <f>IF(Q220="MP",H220,0)</f>
        <v>0</v>
      </c>
      <c r="W220" s="28">
        <f>IF(Q220="MP",I220-P220,0)</f>
        <v>0</v>
      </c>
      <c r="X220" s="28">
        <f>IF(Q220="OM",H220,0)</f>
        <v>0</v>
      </c>
      <c r="Y220" s="21" t="s">
        <v>250</v>
      </c>
      <c r="AI220" s="28">
        <f>SUM(Z221:Z221)</f>
        <v>0</v>
      </c>
      <c r="AJ220" s="28">
        <f>SUM(AA221:AA221)</f>
        <v>0</v>
      </c>
      <c r="AK220" s="28">
        <f>SUM(AB221:AB221)</f>
        <v>0</v>
      </c>
    </row>
    <row r="221" spans="1:43" x14ac:dyDescent="0.25">
      <c r="A221" s="29" t="s">
        <v>253</v>
      </c>
      <c r="B221" s="29" t="s">
        <v>250</v>
      </c>
      <c r="C221" s="29" t="s">
        <v>56</v>
      </c>
      <c r="D221" s="29" t="s">
        <v>57</v>
      </c>
      <c r="E221" s="29" t="s">
        <v>58</v>
      </c>
      <c r="F221" s="30">
        <v>28.26</v>
      </c>
      <c r="G221" s="317">
        <v>0</v>
      </c>
      <c r="H221" s="30">
        <f>ROUND(F221*AE221,2)</f>
        <v>0</v>
      </c>
      <c r="I221" s="30">
        <f>J221-H221</f>
        <v>0</v>
      </c>
      <c r="J221" s="30">
        <f>ROUND(F221*G221,2)</f>
        <v>0</v>
      </c>
      <c r="K221" s="30">
        <v>1.001E-2</v>
      </c>
      <c r="L221" s="30">
        <f>F221*K221</f>
        <v>0.28288259999999998</v>
      </c>
      <c r="M221" s="258" t="s">
        <v>2291</v>
      </c>
      <c r="N221" s="31" t="s">
        <v>59</v>
      </c>
      <c r="O221" s="30">
        <f>IF(N221="5",I221,0)</f>
        <v>0</v>
      </c>
      <c r="Z221" s="30">
        <f>IF(AD221=0,J221,0)</f>
        <v>0</v>
      </c>
      <c r="AA221" s="30">
        <f>IF(AD221=15,J221,0)</f>
        <v>0</v>
      </c>
      <c r="AB221" s="30">
        <f>IF(AD221=21,J221,0)</f>
        <v>0</v>
      </c>
      <c r="AD221" s="32">
        <v>21</v>
      </c>
      <c r="AE221" s="32">
        <f>G221*0.0756575801052128</f>
        <v>0</v>
      </c>
      <c r="AF221" s="32">
        <f>G221*(1-0.0756575801052128)</f>
        <v>0</v>
      </c>
      <c r="AM221" s="32">
        <f>F221*AE221</f>
        <v>0</v>
      </c>
      <c r="AN221" s="32">
        <f>F221*AF221</f>
        <v>0</v>
      </c>
      <c r="AO221" s="33" t="s">
        <v>60</v>
      </c>
      <c r="AP221" s="33" t="s">
        <v>61</v>
      </c>
      <c r="AQ221" s="21" t="s">
        <v>252</v>
      </c>
    </row>
    <row r="222" spans="1:43" ht="25.7" customHeight="1" x14ac:dyDescent="0.25">
      <c r="C222" s="34" t="s">
        <v>63</v>
      </c>
      <c r="D222" s="340" t="s">
        <v>64</v>
      </c>
      <c r="E222" s="341"/>
      <c r="F222" s="341"/>
      <c r="G222" s="341"/>
      <c r="H222" s="341"/>
      <c r="I222" s="341"/>
      <c r="J222" s="341"/>
      <c r="K222" s="341"/>
      <c r="L222" s="341"/>
      <c r="M222" s="341"/>
    </row>
    <row r="223" spans="1:43" x14ac:dyDescent="0.25">
      <c r="A223" s="26"/>
      <c r="B223" s="27" t="s">
        <v>250</v>
      </c>
      <c r="C223" s="27" t="s">
        <v>68</v>
      </c>
      <c r="D223" s="338" t="s">
        <v>69</v>
      </c>
      <c r="E223" s="339"/>
      <c r="F223" s="339"/>
      <c r="G223" s="339"/>
      <c r="H223" s="28">
        <f>SUM(H224:H225)</f>
        <v>0</v>
      </c>
      <c r="I223" s="28">
        <f>SUM(I224:I225)</f>
        <v>0</v>
      </c>
      <c r="J223" s="28">
        <f>H223+I223</f>
        <v>0</v>
      </c>
      <c r="K223" s="21"/>
      <c r="L223" s="28">
        <f>SUM(L224:L225)</f>
        <v>6.3875776000000002</v>
      </c>
      <c r="M223" s="21"/>
      <c r="P223" s="28">
        <f>IF(Q223="PR",J223,SUM(O224:O225))</f>
        <v>0</v>
      </c>
      <c r="Q223" s="21" t="s">
        <v>54</v>
      </c>
      <c r="R223" s="28">
        <f>IF(Q223="HS",H223,0)</f>
        <v>0</v>
      </c>
      <c r="S223" s="28">
        <f>IF(Q223="HS",I223-P223,0)</f>
        <v>0</v>
      </c>
      <c r="T223" s="28">
        <f>IF(Q223="PS",H223,0)</f>
        <v>0</v>
      </c>
      <c r="U223" s="28">
        <f>IF(Q223="PS",I223-P223,0)</f>
        <v>0</v>
      </c>
      <c r="V223" s="28">
        <f>IF(Q223="MP",H223,0)</f>
        <v>0</v>
      </c>
      <c r="W223" s="28">
        <f>IF(Q223="MP",I223-P223,0)</f>
        <v>0</v>
      </c>
      <c r="X223" s="28">
        <f>IF(Q223="OM",H223,0)</f>
        <v>0</v>
      </c>
      <c r="Y223" s="21" t="s">
        <v>250</v>
      </c>
      <c r="AI223" s="28">
        <f>SUM(Z224:Z225)</f>
        <v>0</v>
      </c>
      <c r="AJ223" s="28">
        <f>SUM(AA224:AA225)</f>
        <v>0</v>
      </c>
      <c r="AK223" s="28">
        <f>SUM(AB224:AB225)</f>
        <v>0</v>
      </c>
    </row>
    <row r="224" spans="1:43" x14ac:dyDescent="0.25">
      <c r="A224" s="29" t="s">
        <v>254</v>
      </c>
      <c r="B224" s="29" t="s">
        <v>250</v>
      </c>
      <c r="C224" s="29" t="s">
        <v>70</v>
      </c>
      <c r="D224" s="29" t="s">
        <v>71</v>
      </c>
      <c r="E224" s="29" t="s">
        <v>58</v>
      </c>
      <c r="F224" s="30">
        <v>33.64</v>
      </c>
      <c r="G224" s="317">
        <v>0</v>
      </c>
      <c r="H224" s="30">
        <f>ROUND(F224*AE224,2)</f>
        <v>0</v>
      </c>
      <c r="I224" s="30">
        <f>J224-H224</f>
        <v>0</v>
      </c>
      <c r="J224" s="30">
        <f>ROUND(F224*G224,2)</f>
        <v>0</v>
      </c>
      <c r="K224" s="30">
        <v>4.9840000000000002E-2</v>
      </c>
      <c r="L224" s="30">
        <f>F224*K224</f>
        <v>1.6766176000000002</v>
      </c>
      <c r="M224" s="258" t="s">
        <v>2291</v>
      </c>
      <c r="N224" s="31" t="s">
        <v>59</v>
      </c>
      <c r="O224" s="30">
        <f>IF(N224="5",I224,0)</f>
        <v>0</v>
      </c>
      <c r="Z224" s="30">
        <f>IF(AD224=0,J224,0)</f>
        <v>0</v>
      </c>
      <c r="AA224" s="30">
        <f>IF(AD224=15,J224,0)</f>
        <v>0</v>
      </c>
      <c r="AB224" s="30">
        <f>IF(AD224=21,J224,0)</f>
        <v>0</v>
      </c>
      <c r="AD224" s="32">
        <v>21</v>
      </c>
      <c r="AE224" s="32">
        <f>G224*0.411768721414431</f>
        <v>0</v>
      </c>
      <c r="AF224" s="32">
        <f>G224*(1-0.411768721414431)</f>
        <v>0</v>
      </c>
      <c r="AM224" s="32">
        <f>F224*AE224</f>
        <v>0</v>
      </c>
      <c r="AN224" s="32">
        <f>F224*AF224</f>
        <v>0</v>
      </c>
      <c r="AO224" s="33" t="s">
        <v>72</v>
      </c>
      <c r="AP224" s="33" t="s">
        <v>61</v>
      </c>
      <c r="AQ224" s="21" t="s">
        <v>252</v>
      </c>
    </row>
    <row r="225" spans="1:43" x14ac:dyDescent="0.25">
      <c r="A225" s="29" t="s">
        <v>255</v>
      </c>
      <c r="B225" s="29" t="s">
        <v>250</v>
      </c>
      <c r="C225" s="29" t="s">
        <v>185</v>
      </c>
      <c r="D225" s="29" t="s">
        <v>186</v>
      </c>
      <c r="E225" s="29" t="s">
        <v>58</v>
      </c>
      <c r="F225" s="30">
        <v>7.2</v>
      </c>
      <c r="G225" s="317">
        <v>0</v>
      </c>
      <c r="H225" s="30">
        <f>ROUND(F225*AE225,2)</f>
        <v>0</v>
      </c>
      <c r="I225" s="30">
        <f>J225-H225</f>
        <v>0</v>
      </c>
      <c r="J225" s="30">
        <f>ROUND(F225*G225,2)</f>
        <v>0</v>
      </c>
      <c r="K225" s="30">
        <v>0.65429999999999999</v>
      </c>
      <c r="L225" s="30">
        <f>F225*K225</f>
        <v>4.71096</v>
      </c>
      <c r="M225" s="258" t="s">
        <v>2291</v>
      </c>
      <c r="N225" s="31" t="s">
        <v>59</v>
      </c>
      <c r="O225" s="30">
        <f>IF(N225="5",I225,0)</f>
        <v>0</v>
      </c>
      <c r="Z225" s="30">
        <f>IF(AD225=0,J225,0)</f>
        <v>0</v>
      </c>
      <c r="AA225" s="30">
        <f>IF(AD225=15,J225,0)</f>
        <v>0</v>
      </c>
      <c r="AB225" s="30">
        <f>IF(AD225=21,J225,0)</f>
        <v>0</v>
      </c>
      <c r="AD225" s="32">
        <v>21</v>
      </c>
      <c r="AE225" s="32">
        <f>G225*0.563622974963181</f>
        <v>0</v>
      </c>
      <c r="AF225" s="32">
        <f>G225*(1-0.563622974963181)</f>
        <v>0</v>
      </c>
      <c r="AM225" s="32">
        <f>F225*AE225</f>
        <v>0</v>
      </c>
      <c r="AN225" s="32">
        <f>F225*AF225</f>
        <v>0</v>
      </c>
      <c r="AO225" s="33" t="s">
        <v>72</v>
      </c>
      <c r="AP225" s="33" t="s">
        <v>61</v>
      </c>
      <c r="AQ225" s="21" t="s">
        <v>252</v>
      </c>
    </row>
    <row r="226" spans="1:43" x14ac:dyDescent="0.25">
      <c r="A226" s="26"/>
      <c r="B226" s="27" t="s">
        <v>250</v>
      </c>
      <c r="C226" s="27" t="s">
        <v>73</v>
      </c>
      <c r="D226" s="338" t="s">
        <v>74</v>
      </c>
      <c r="E226" s="339"/>
      <c r="F226" s="339"/>
      <c r="G226" s="339"/>
      <c r="H226" s="28">
        <f>SUM(H227:H229)</f>
        <v>0</v>
      </c>
      <c r="I226" s="28">
        <f>SUM(I227:I229)</f>
        <v>0</v>
      </c>
      <c r="J226" s="28">
        <f>H226+I226</f>
        <v>0</v>
      </c>
      <c r="K226" s="21"/>
      <c r="L226" s="28">
        <f>SUM(L227:L229)</f>
        <v>3.1029536000000002</v>
      </c>
      <c r="M226" s="21"/>
      <c r="P226" s="28">
        <f>IF(Q226="PR",J226,SUM(O227:O229))</f>
        <v>0</v>
      </c>
      <c r="Q226" s="21" t="s">
        <v>75</v>
      </c>
      <c r="R226" s="28">
        <f>IF(Q226="HS",H226,0)</f>
        <v>0</v>
      </c>
      <c r="S226" s="28">
        <f>IF(Q226="HS",I226-P226,0)</f>
        <v>0</v>
      </c>
      <c r="T226" s="28">
        <f>IF(Q226="PS",H226,0)</f>
        <v>0</v>
      </c>
      <c r="U226" s="28">
        <f>IF(Q226="PS",I226-P226,0)</f>
        <v>0</v>
      </c>
      <c r="V226" s="28">
        <f>IF(Q226="MP",H226,0)</f>
        <v>0</v>
      </c>
      <c r="W226" s="28">
        <f>IF(Q226="MP",I226-P226,0)</f>
        <v>0</v>
      </c>
      <c r="X226" s="28">
        <f>IF(Q226="OM",H226,0)</f>
        <v>0</v>
      </c>
      <c r="Y226" s="21" t="s">
        <v>250</v>
      </c>
      <c r="AI226" s="28">
        <f>SUM(Z227:Z229)</f>
        <v>0</v>
      </c>
      <c r="AJ226" s="28">
        <f>SUM(AA227:AA229)</f>
        <v>0</v>
      </c>
      <c r="AK226" s="28">
        <f>SUM(AB227:AB229)</f>
        <v>0</v>
      </c>
    </row>
    <row r="227" spans="1:43" x14ac:dyDescent="0.25">
      <c r="A227" s="29" t="s">
        <v>256</v>
      </c>
      <c r="B227" s="29" t="s">
        <v>250</v>
      </c>
      <c r="C227" s="29" t="s">
        <v>77</v>
      </c>
      <c r="D227" s="29" t="s">
        <v>2278</v>
      </c>
      <c r="E227" s="29" t="s">
        <v>58</v>
      </c>
      <c r="F227" s="30">
        <v>33.64</v>
      </c>
      <c r="G227" s="317">
        <v>0</v>
      </c>
      <c r="H227" s="30">
        <f>ROUND(F227*AE227,2)</f>
        <v>0</v>
      </c>
      <c r="I227" s="30">
        <f>J227-H227</f>
        <v>0</v>
      </c>
      <c r="J227" s="30">
        <f>ROUND(F227*G227,2)</f>
        <v>0</v>
      </c>
      <c r="K227" s="30">
        <v>1.61E-2</v>
      </c>
      <c r="L227" s="30">
        <f>F227*K227</f>
        <v>0.54160399999999997</v>
      </c>
      <c r="M227" s="258" t="s">
        <v>2291</v>
      </c>
      <c r="N227" s="31" t="s">
        <v>59</v>
      </c>
      <c r="O227" s="30">
        <f>IF(N227="5",I227,0)</f>
        <v>0</v>
      </c>
      <c r="Z227" s="30">
        <f>IF(AD227=0,J227,0)</f>
        <v>0</v>
      </c>
      <c r="AA227" s="30">
        <f>IF(AD227=15,J227,0)</f>
        <v>0</v>
      </c>
      <c r="AB227" s="30">
        <f>IF(AD227=21,J227,0)</f>
        <v>0</v>
      </c>
      <c r="AD227" s="32">
        <v>21</v>
      </c>
      <c r="AE227" s="32">
        <f>G227*0.787221324717286</f>
        <v>0</v>
      </c>
      <c r="AF227" s="32">
        <f>G227*(1-0.787221324717286)</f>
        <v>0</v>
      </c>
      <c r="AM227" s="32">
        <f>F227*AE227</f>
        <v>0</v>
      </c>
      <c r="AN227" s="32">
        <f>F227*AF227</f>
        <v>0</v>
      </c>
      <c r="AO227" s="33" t="s">
        <v>78</v>
      </c>
      <c r="AP227" s="33" t="s">
        <v>79</v>
      </c>
      <c r="AQ227" s="21" t="s">
        <v>252</v>
      </c>
    </row>
    <row r="228" spans="1:43" ht="12.75" customHeight="1" x14ac:dyDescent="0.25">
      <c r="C228" s="34" t="s">
        <v>63</v>
      </c>
      <c r="D228" s="340" t="s">
        <v>2280</v>
      </c>
      <c r="E228" s="341"/>
      <c r="F228" s="341"/>
      <c r="G228" s="341"/>
      <c r="H228" s="341"/>
      <c r="I228" s="341"/>
      <c r="J228" s="341"/>
      <c r="K228" s="341"/>
      <c r="L228" s="341"/>
      <c r="M228" s="341"/>
    </row>
    <row r="229" spans="1:43" x14ac:dyDescent="0.25">
      <c r="A229" s="29" t="s">
        <v>257</v>
      </c>
      <c r="B229" s="29" t="s">
        <v>250</v>
      </c>
      <c r="C229" s="29" t="s">
        <v>122</v>
      </c>
      <c r="D229" s="29" t="s">
        <v>123</v>
      </c>
      <c r="E229" s="29" t="s">
        <v>58</v>
      </c>
      <c r="F229" s="30">
        <v>33.64</v>
      </c>
      <c r="G229" s="317">
        <v>0</v>
      </c>
      <c r="H229" s="30">
        <f>ROUND(F229*AE229,2)</f>
        <v>0</v>
      </c>
      <c r="I229" s="30">
        <f>J229-H229</f>
        <v>0</v>
      </c>
      <c r="J229" s="30">
        <f>ROUND(F229*G229,2)</f>
        <v>0</v>
      </c>
      <c r="K229" s="30">
        <v>7.6139999999999999E-2</v>
      </c>
      <c r="L229" s="30">
        <f>F229*K229</f>
        <v>2.5613496000000002</v>
      </c>
      <c r="M229" s="258" t="s">
        <v>2291</v>
      </c>
      <c r="N229" s="31" t="s">
        <v>59</v>
      </c>
      <c r="O229" s="30">
        <f>IF(N229="5",I229,0)</f>
        <v>0</v>
      </c>
      <c r="Z229" s="30">
        <f>IF(AD229=0,J229,0)</f>
        <v>0</v>
      </c>
      <c r="AA229" s="30">
        <f>IF(AD229=15,J229,0)</f>
        <v>0</v>
      </c>
      <c r="AB229" s="30">
        <f>IF(AD229=21,J229,0)</f>
        <v>0</v>
      </c>
      <c r="AD229" s="32">
        <v>21</v>
      </c>
      <c r="AE229" s="32">
        <f>G229*0.547569562266712</f>
        <v>0</v>
      </c>
      <c r="AF229" s="32">
        <f>G229*(1-0.547569562266712)</f>
        <v>0</v>
      </c>
      <c r="AM229" s="32">
        <f>F229*AE229</f>
        <v>0</v>
      </c>
      <c r="AN229" s="32">
        <f>F229*AF229</f>
        <v>0</v>
      </c>
      <c r="AO229" s="33" t="s">
        <v>78</v>
      </c>
      <c r="AP229" s="33" t="s">
        <v>79</v>
      </c>
      <c r="AQ229" s="21" t="s">
        <v>252</v>
      </c>
    </row>
    <row r="230" spans="1:43" x14ac:dyDescent="0.25">
      <c r="A230" s="26"/>
      <c r="B230" s="27" t="s">
        <v>250</v>
      </c>
      <c r="C230" s="27" t="s">
        <v>189</v>
      </c>
      <c r="D230" s="338" t="s">
        <v>190</v>
      </c>
      <c r="E230" s="339"/>
      <c r="F230" s="339"/>
      <c r="G230" s="339"/>
      <c r="H230" s="28">
        <f>SUM(H231:H232)</f>
        <v>0</v>
      </c>
      <c r="I230" s="28">
        <f>SUM(I231:I232)</f>
        <v>0</v>
      </c>
      <c r="J230" s="28">
        <f>H230+I230</f>
        <v>0</v>
      </c>
      <c r="K230" s="21"/>
      <c r="L230" s="28">
        <f>SUM(L231:L232)</f>
        <v>19.762884</v>
      </c>
      <c r="M230" s="21"/>
      <c r="P230" s="28">
        <f>IF(Q230="PR",J230,SUM(O231:O232))</f>
        <v>0</v>
      </c>
      <c r="Q230" s="21" t="s">
        <v>75</v>
      </c>
      <c r="R230" s="28">
        <f>IF(Q230="HS",H230,0)</f>
        <v>0</v>
      </c>
      <c r="S230" s="28">
        <f>IF(Q230="HS",I230-P230,0)</f>
        <v>0</v>
      </c>
      <c r="T230" s="28">
        <f>IF(Q230="PS",H230,0)</f>
        <v>0</v>
      </c>
      <c r="U230" s="28">
        <f>IF(Q230="PS",I230-P230,0)</f>
        <v>0</v>
      </c>
      <c r="V230" s="28">
        <f>IF(Q230="MP",H230,0)</f>
        <v>0</v>
      </c>
      <c r="W230" s="28">
        <f>IF(Q230="MP",I230-P230,0)</f>
        <v>0</v>
      </c>
      <c r="X230" s="28">
        <f>IF(Q230="OM",H230,0)</f>
        <v>0</v>
      </c>
      <c r="Y230" s="21" t="s">
        <v>250</v>
      </c>
      <c r="AI230" s="28">
        <f>SUM(Z231:Z232)</f>
        <v>0</v>
      </c>
      <c r="AJ230" s="28">
        <f>SUM(AA231:AA232)</f>
        <v>0</v>
      </c>
      <c r="AK230" s="28">
        <f>SUM(AB231:AB232)</f>
        <v>0</v>
      </c>
    </row>
    <row r="231" spans="1:43" x14ac:dyDescent="0.25">
      <c r="A231" s="29" t="s">
        <v>258</v>
      </c>
      <c r="B231" s="29" t="s">
        <v>250</v>
      </c>
      <c r="C231" s="29" t="s">
        <v>259</v>
      </c>
      <c r="D231" s="29" t="s">
        <v>260</v>
      </c>
      <c r="E231" s="29" t="s">
        <v>58</v>
      </c>
      <c r="F231" s="30">
        <v>76.599999999999994</v>
      </c>
      <c r="G231" s="317">
        <v>0</v>
      </c>
      <c r="H231" s="30">
        <f>ROUND(F231*AE231,2)</f>
        <v>0</v>
      </c>
      <c r="I231" s="30">
        <f>J231-H231</f>
        <v>0</v>
      </c>
      <c r="J231" s="30">
        <f>ROUND(F231*G231,2)</f>
        <v>0</v>
      </c>
      <c r="K231" s="30">
        <v>0.16428000000000001</v>
      </c>
      <c r="L231" s="30">
        <f>F231*K231</f>
        <v>12.583848</v>
      </c>
      <c r="M231" s="258" t="s">
        <v>2291</v>
      </c>
      <c r="N231" s="31" t="s">
        <v>59</v>
      </c>
      <c r="O231" s="30">
        <f>IF(N231="5",I231,0)</f>
        <v>0</v>
      </c>
      <c r="Z231" s="30">
        <f>IF(AD231=0,J231,0)</f>
        <v>0</v>
      </c>
      <c r="AA231" s="30">
        <f>IF(AD231=15,J231,0)</f>
        <v>0</v>
      </c>
      <c r="AB231" s="30">
        <f>IF(AD231=21,J231,0)</f>
        <v>0</v>
      </c>
      <c r="AD231" s="32">
        <v>21</v>
      </c>
      <c r="AE231" s="32">
        <f>G231*0.406311844340531</f>
        <v>0</v>
      </c>
      <c r="AF231" s="32">
        <f>G231*(1-0.406311844340531)</f>
        <v>0</v>
      </c>
      <c r="AM231" s="32">
        <f>F231*AE231</f>
        <v>0</v>
      </c>
      <c r="AN231" s="32">
        <f>F231*AF231</f>
        <v>0</v>
      </c>
      <c r="AO231" s="33" t="s">
        <v>194</v>
      </c>
      <c r="AP231" s="33" t="s">
        <v>92</v>
      </c>
      <c r="AQ231" s="21" t="s">
        <v>252</v>
      </c>
    </row>
    <row r="232" spans="1:43" x14ac:dyDescent="0.25">
      <c r="A232" s="29" t="s">
        <v>261</v>
      </c>
      <c r="B232" s="29" t="s">
        <v>250</v>
      </c>
      <c r="C232" s="29" t="s">
        <v>259</v>
      </c>
      <c r="D232" s="29" t="s">
        <v>260</v>
      </c>
      <c r="E232" s="29" t="s">
        <v>58</v>
      </c>
      <c r="F232" s="30">
        <v>43.7</v>
      </c>
      <c r="G232" s="317">
        <v>0</v>
      </c>
      <c r="H232" s="30">
        <f>ROUND(F232*AE232,2)</f>
        <v>0</v>
      </c>
      <c r="I232" s="30">
        <f>J232-H232</f>
        <v>0</v>
      </c>
      <c r="J232" s="30">
        <f>ROUND(F232*G232,2)</f>
        <v>0</v>
      </c>
      <c r="K232" s="30">
        <v>0.16428000000000001</v>
      </c>
      <c r="L232" s="30">
        <f>F232*K232</f>
        <v>7.1790360000000009</v>
      </c>
      <c r="M232" s="258" t="s">
        <v>2291</v>
      </c>
      <c r="N232" s="31" t="s">
        <v>59</v>
      </c>
      <c r="O232" s="30">
        <f>IF(N232="5",I232,0)</f>
        <v>0</v>
      </c>
      <c r="Z232" s="30">
        <f>IF(AD232=0,J232,0)</f>
        <v>0</v>
      </c>
      <c r="AA232" s="30">
        <f>IF(AD232=15,J232,0)</f>
        <v>0</v>
      </c>
      <c r="AB232" s="30">
        <f>IF(AD232=21,J232,0)</f>
        <v>0</v>
      </c>
      <c r="AD232" s="32">
        <v>21</v>
      </c>
      <c r="AE232" s="32">
        <f>G232*0.406311844340531</f>
        <v>0</v>
      </c>
      <c r="AF232" s="32">
        <f>G232*(1-0.406311844340531)</f>
        <v>0</v>
      </c>
      <c r="AM232" s="32">
        <f>F232*AE232</f>
        <v>0</v>
      </c>
      <c r="AN232" s="32">
        <f>F232*AF232</f>
        <v>0</v>
      </c>
      <c r="AO232" s="33" t="s">
        <v>194</v>
      </c>
      <c r="AP232" s="33" t="s">
        <v>92</v>
      </c>
      <c r="AQ232" s="21" t="s">
        <v>252</v>
      </c>
    </row>
    <row r="233" spans="1:43" x14ac:dyDescent="0.25">
      <c r="A233" s="26"/>
      <c r="B233" s="27" t="s">
        <v>250</v>
      </c>
      <c r="C233" s="27" t="s">
        <v>86</v>
      </c>
      <c r="D233" s="338" t="s">
        <v>87</v>
      </c>
      <c r="E233" s="339"/>
      <c r="F233" s="339"/>
      <c r="G233" s="339"/>
      <c r="H233" s="28">
        <f>SUM(H234:H234)</f>
        <v>0</v>
      </c>
      <c r="I233" s="28">
        <f>SUM(I234:I234)</f>
        <v>0</v>
      </c>
      <c r="J233" s="28">
        <f>H233+I233</f>
        <v>0</v>
      </c>
      <c r="K233" s="21"/>
      <c r="L233" s="28">
        <f>SUM(L234:L234)</f>
        <v>5.4000000000000003E-3</v>
      </c>
      <c r="M233" s="21"/>
      <c r="P233" s="28">
        <f>IF(Q233="PR",J233,SUM(O234:O234))</f>
        <v>0</v>
      </c>
      <c r="Q233" s="21" t="s">
        <v>75</v>
      </c>
      <c r="R233" s="28">
        <f>IF(Q233="HS",H233,0)</f>
        <v>0</v>
      </c>
      <c r="S233" s="28">
        <f>IF(Q233="HS",I233-P233,0)</f>
        <v>0</v>
      </c>
      <c r="T233" s="28">
        <f>IF(Q233="PS",H233,0)</f>
        <v>0</v>
      </c>
      <c r="U233" s="28">
        <f>IF(Q233="PS",I233-P233,0)</f>
        <v>0</v>
      </c>
      <c r="V233" s="28">
        <f>IF(Q233="MP",H233,0)</f>
        <v>0</v>
      </c>
      <c r="W233" s="28">
        <f>IF(Q233="MP",I233-P233,0)</f>
        <v>0</v>
      </c>
      <c r="X233" s="28">
        <f>IF(Q233="OM",H233,0)</f>
        <v>0</v>
      </c>
      <c r="Y233" s="21" t="s">
        <v>250</v>
      </c>
      <c r="AI233" s="28">
        <f>SUM(Z234:Z234)</f>
        <v>0</v>
      </c>
      <c r="AJ233" s="28">
        <f>SUM(AA234:AA234)</f>
        <v>0</v>
      </c>
      <c r="AK233" s="28">
        <f>SUM(AB234:AB234)</f>
        <v>0</v>
      </c>
    </row>
    <row r="234" spans="1:43" x14ac:dyDescent="0.25">
      <c r="A234" s="29" t="s">
        <v>99</v>
      </c>
      <c r="B234" s="29" t="s">
        <v>250</v>
      </c>
      <c r="C234" s="29" t="s">
        <v>89</v>
      </c>
      <c r="D234" s="29" t="s">
        <v>90</v>
      </c>
      <c r="E234" s="29" t="s">
        <v>58</v>
      </c>
      <c r="F234" s="30">
        <v>20</v>
      </c>
      <c r="G234" s="317">
        <v>0</v>
      </c>
      <c r="H234" s="30">
        <f>ROUND(F234*AE234,2)</f>
        <v>0</v>
      </c>
      <c r="I234" s="30">
        <f>J234-H234</f>
        <v>0</v>
      </c>
      <c r="J234" s="30">
        <f>ROUND(F234*G234,2)</f>
        <v>0</v>
      </c>
      <c r="K234" s="30">
        <v>2.7E-4</v>
      </c>
      <c r="L234" s="30">
        <f>F234*K234</f>
        <v>5.4000000000000003E-3</v>
      </c>
      <c r="M234" s="258" t="s">
        <v>2291</v>
      </c>
      <c r="N234" s="31" t="s">
        <v>59</v>
      </c>
      <c r="O234" s="30">
        <f>IF(N234="5",I234,0)</f>
        <v>0</v>
      </c>
      <c r="Z234" s="30">
        <f>IF(AD234=0,J234,0)</f>
        <v>0</v>
      </c>
      <c r="AA234" s="30">
        <f>IF(AD234=15,J234,0)</f>
        <v>0</v>
      </c>
      <c r="AB234" s="30">
        <f>IF(AD234=21,J234,0)</f>
        <v>0</v>
      </c>
      <c r="AD234" s="32">
        <v>21</v>
      </c>
      <c r="AE234" s="32">
        <f>G234*0.186098187625859</f>
        <v>0</v>
      </c>
      <c r="AF234" s="32">
        <f>G234*(1-0.186098187625859)</f>
        <v>0</v>
      </c>
      <c r="AM234" s="32">
        <f>F234*AE234</f>
        <v>0</v>
      </c>
      <c r="AN234" s="32">
        <f>F234*AF234</f>
        <v>0</v>
      </c>
      <c r="AO234" s="33" t="s">
        <v>91</v>
      </c>
      <c r="AP234" s="33" t="s">
        <v>92</v>
      </c>
      <c r="AQ234" s="21" t="s">
        <v>252</v>
      </c>
    </row>
    <row r="235" spans="1:43" x14ac:dyDescent="0.25">
      <c r="A235" s="26"/>
      <c r="B235" s="27" t="s">
        <v>250</v>
      </c>
      <c r="C235" s="27" t="s">
        <v>93</v>
      </c>
      <c r="D235" s="338" t="s">
        <v>94</v>
      </c>
      <c r="E235" s="339"/>
      <c r="F235" s="339"/>
      <c r="G235" s="339"/>
      <c r="H235" s="28">
        <f>SUM(H236:H236)</f>
        <v>0</v>
      </c>
      <c r="I235" s="28">
        <f>SUM(I236:I236)</f>
        <v>0</v>
      </c>
      <c r="J235" s="28">
        <f>H235+I235</f>
        <v>0</v>
      </c>
      <c r="K235" s="21"/>
      <c r="L235" s="28">
        <f>SUM(L236:L236)</f>
        <v>0.20555599999999999</v>
      </c>
      <c r="M235" s="21"/>
      <c r="P235" s="28">
        <f>IF(Q235="PR",J235,SUM(O236:O236))</f>
        <v>0</v>
      </c>
      <c r="Q235" s="21" t="s">
        <v>75</v>
      </c>
      <c r="R235" s="28">
        <f>IF(Q235="HS",H235,0)</f>
        <v>0</v>
      </c>
      <c r="S235" s="28">
        <f>IF(Q235="HS",I235-P235,0)</f>
        <v>0</v>
      </c>
      <c r="T235" s="28">
        <f>IF(Q235="PS",H235,0)</f>
        <v>0</v>
      </c>
      <c r="U235" s="28">
        <f>IF(Q235="PS",I235-P235,0)</f>
        <v>0</v>
      </c>
      <c r="V235" s="28">
        <f>IF(Q235="MP",H235,0)</f>
        <v>0</v>
      </c>
      <c r="W235" s="28">
        <f>IF(Q235="MP",I235-P235,0)</f>
        <v>0</v>
      </c>
      <c r="X235" s="28">
        <f>IF(Q235="OM",H235,0)</f>
        <v>0</v>
      </c>
      <c r="Y235" s="21" t="s">
        <v>250</v>
      </c>
      <c r="AI235" s="28">
        <f>SUM(Z236:Z236)</f>
        <v>0</v>
      </c>
      <c r="AJ235" s="28">
        <f>SUM(AA236:AA236)</f>
        <v>0</v>
      </c>
      <c r="AK235" s="28">
        <f>SUM(AB236:AB236)</f>
        <v>0</v>
      </c>
    </row>
    <row r="236" spans="1:43" x14ac:dyDescent="0.25">
      <c r="A236" s="29" t="s">
        <v>108</v>
      </c>
      <c r="B236" s="29" t="s">
        <v>250</v>
      </c>
      <c r="C236" s="29" t="s">
        <v>96</v>
      </c>
      <c r="D236" s="29" t="s">
        <v>97</v>
      </c>
      <c r="E236" s="29" t="s">
        <v>58</v>
      </c>
      <c r="F236" s="30">
        <v>316.24</v>
      </c>
      <c r="G236" s="317">
        <v>0</v>
      </c>
      <c r="H236" s="30">
        <f>ROUND(F236*AE236,2)</f>
        <v>0</v>
      </c>
      <c r="I236" s="30">
        <f>J236-H236</f>
        <v>0</v>
      </c>
      <c r="J236" s="30">
        <f>ROUND(F236*G236,2)</f>
        <v>0</v>
      </c>
      <c r="K236" s="30">
        <v>6.4999999999999997E-4</v>
      </c>
      <c r="L236" s="30">
        <f>F236*K236</f>
        <v>0.20555599999999999</v>
      </c>
      <c r="M236" s="258" t="s">
        <v>2291</v>
      </c>
      <c r="N236" s="31" t="s">
        <v>59</v>
      </c>
      <c r="O236" s="30">
        <f>IF(N236="5",I236,0)</f>
        <v>0</v>
      </c>
      <c r="Z236" s="30">
        <f>IF(AD236=0,J236,0)</f>
        <v>0</v>
      </c>
      <c r="AA236" s="30">
        <f>IF(AD236=15,J236,0)</f>
        <v>0</v>
      </c>
      <c r="AB236" s="30">
        <f>IF(AD236=21,J236,0)</f>
        <v>0</v>
      </c>
      <c r="AD236" s="32">
        <v>21</v>
      </c>
      <c r="AE236" s="32">
        <f>G236*0.333747476316198</f>
        <v>0</v>
      </c>
      <c r="AF236" s="32">
        <f>G236*(1-0.333747476316198)</f>
        <v>0</v>
      </c>
      <c r="AM236" s="32">
        <f>F236*AE236</f>
        <v>0</v>
      </c>
      <c r="AN236" s="32">
        <f>F236*AF236</f>
        <v>0</v>
      </c>
      <c r="AO236" s="33" t="s">
        <v>98</v>
      </c>
      <c r="AP236" s="33" t="s">
        <v>92</v>
      </c>
      <c r="AQ236" s="21" t="s">
        <v>252</v>
      </c>
    </row>
    <row r="237" spans="1:43" x14ac:dyDescent="0.25">
      <c r="A237" s="26"/>
      <c r="B237" s="27" t="s">
        <v>262</v>
      </c>
      <c r="C237" s="27"/>
      <c r="D237" s="338" t="s">
        <v>262</v>
      </c>
      <c r="E237" s="339"/>
      <c r="F237" s="339"/>
      <c r="G237" s="339"/>
      <c r="H237" s="28">
        <f>H238+H243+H245+H248+H250+H252+H254+H257</f>
        <v>0</v>
      </c>
      <c r="I237" s="28">
        <f>I238+I243+I245+I248+I250+I252+I254+I257</f>
        <v>0</v>
      </c>
      <c r="J237" s="28">
        <f>H237+I237</f>
        <v>0</v>
      </c>
      <c r="K237" s="21"/>
      <c r="L237" s="28">
        <f>L238+L243+L245+L248+L250+L252+L254+L257</f>
        <v>3.7201731999999996</v>
      </c>
      <c r="M237" s="21"/>
    </row>
    <row r="238" spans="1:43" x14ac:dyDescent="0.25">
      <c r="A238" s="26"/>
      <c r="B238" s="27" t="s">
        <v>262</v>
      </c>
      <c r="C238" s="27" t="s">
        <v>52</v>
      </c>
      <c r="D238" s="338" t="s">
        <v>53</v>
      </c>
      <c r="E238" s="339"/>
      <c r="F238" s="339"/>
      <c r="G238" s="339"/>
      <c r="H238" s="28">
        <f>SUM(H239:H241)</f>
        <v>0</v>
      </c>
      <c r="I238" s="28">
        <f>SUM(I239:I241)</f>
        <v>0</v>
      </c>
      <c r="J238" s="28">
        <f>H238+I238</f>
        <v>0</v>
      </c>
      <c r="K238" s="21"/>
      <c r="L238" s="28">
        <f>SUM(L239:L241)</f>
        <v>1.0973831999999999</v>
      </c>
      <c r="M238" s="21"/>
      <c r="P238" s="28">
        <f>IF(Q238="PR",J238,SUM(O239:O241))</f>
        <v>0</v>
      </c>
      <c r="Q238" s="21" t="s">
        <v>54</v>
      </c>
      <c r="R238" s="28">
        <f>IF(Q238="HS",H238,0)</f>
        <v>0</v>
      </c>
      <c r="S238" s="28">
        <f>IF(Q238="HS",I238-P238,0)</f>
        <v>0</v>
      </c>
      <c r="T238" s="28">
        <f>IF(Q238="PS",H238,0)</f>
        <v>0</v>
      </c>
      <c r="U238" s="28">
        <f>IF(Q238="PS",I238-P238,0)</f>
        <v>0</v>
      </c>
      <c r="V238" s="28">
        <f>IF(Q238="MP",H238,0)</f>
        <v>0</v>
      </c>
      <c r="W238" s="28">
        <f>IF(Q238="MP",I238-P238,0)</f>
        <v>0</v>
      </c>
      <c r="X238" s="28">
        <f>IF(Q238="OM",H238,0)</f>
        <v>0</v>
      </c>
      <c r="Y238" s="21" t="s">
        <v>262</v>
      </c>
      <c r="AI238" s="28">
        <f>SUM(Z239:Z241)</f>
        <v>0</v>
      </c>
      <c r="AJ238" s="28">
        <f>SUM(AA239:AA241)</f>
        <v>0</v>
      </c>
      <c r="AK238" s="28">
        <f>SUM(AB239:AB241)</f>
        <v>0</v>
      </c>
    </row>
    <row r="239" spans="1:43" x14ac:dyDescent="0.25">
      <c r="A239" s="29" t="s">
        <v>263</v>
      </c>
      <c r="B239" s="29" t="s">
        <v>262</v>
      </c>
      <c r="C239" s="29" t="s">
        <v>56</v>
      </c>
      <c r="D239" s="29" t="s">
        <v>57</v>
      </c>
      <c r="E239" s="29" t="s">
        <v>58</v>
      </c>
      <c r="F239" s="30">
        <v>76.56</v>
      </c>
      <c r="G239" s="317">
        <v>0</v>
      </c>
      <c r="H239" s="30">
        <f>ROUND(F239*AE239,2)</f>
        <v>0</v>
      </c>
      <c r="I239" s="30">
        <f>J239-H239</f>
        <v>0</v>
      </c>
      <c r="J239" s="30">
        <f>ROUND(F239*G239,2)</f>
        <v>0</v>
      </c>
      <c r="K239" s="30">
        <v>1.001E-2</v>
      </c>
      <c r="L239" s="30">
        <f>F239*K239</f>
        <v>0.76636559999999998</v>
      </c>
      <c r="M239" s="258" t="s">
        <v>2291</v>
      </c>
      <c r="N239" s="31" t="s">
        <v>59</v>
      </c>
      <c r="O239" s="30">
        <f>IF(N239="5",I239,0)</f>
        <v>0</v>
      </c>
      <c r="Z239" s="30">
        <f>IF(AD239=0,J239,0)</f>
        <v>0</v>
      </c>
      <c r="AA239" s="30">
        <f>IF(AD239=15,J239,0)</f>
        <v>0</v>
      </c>
      <c r="AB239" s="30">
        <f>IF(AD239=21,J239,0)</f>
        <v>0</v>
      </c>
      <c r="AD239" s="32">
        <v>21</v>
      </c>
      <c r="AE239" s="32">
        <f>G239*0.0756575801052128</f>
        <v>0</v>
      </c>
      <c r="AF239" s="32">
        <f>G239*(1-0.0756575801052128)</f>
        <v>0</v>
      </c>
      <c r="AM239" s="32">
        <f>F239*AE239</f>
        <v>0</v>
      </c>
      <c r="AN239" s="32">
        <f>F239*AF239</f>
        <v>0</v>
      </c>
      <c r="AO239" s="33" t="s">
        <v>60</v>
      </c>
      <c r="AP239" s="33" t="s">
        <v>61</v>
      </c>
      <c r="AQ239" s="21" t="s">
        <v>264</v>
      </c>
    </row>
    <row r="240" spans="1:43" ht="25.7" customHeight="1" x14ac:dyDescent="0.25">
      <c r="C240" s="34" t="s">
        <v>63</v>
      </c>
      <c r="D240" s="340" t="s">
        <v>64</v>
      </c>
      <c r="E240" s="341"/>
      <c r="F240" s="341"/>
      <c r="G240" s="341"/>
      <c r="H240" s="341"/>
      <c r="I240" s="341"/>
      <c r="J240" s="341"/>
      <c r="K240" s="341"/>
      <c r="L240" s="341"/>
      <c r="M240" s="341"/>
    </row>
    <row r="241" spans="1:43" x14ac:dyDescent="0.25">
      <c r="A241" s="29" t="s">
        <v>265</v>
      </c>
      <c r="B241" s="29" t="s">
        <v>262</v>
      </c>
      <c r="C241" s="29" t="s">
        <v>66</v>
      </c>
      <c r="D241" s="29" t="s">
        <v>67</v>
      </c>
      <c r="E241" s="29" t="s">
        <v>58</v>
      </c>
      <c r="F241" s="30">
        <v>33.64</v>
      </c>
      <c r="G241" s="317">
        <v>0</v>
      </c>
      <c r="H241" s="30">
        <f>ROUND(F241*AE241,2)</f>
        <v>0</v>
      </c>
      <c r="I241" s="30">
        <f>J241-H241</f>
        <v>0</v>
      </c>
      <c r="J241" s="30">
        <f>ROUND(F241*G241,2)</f>
        <v>0</v>
      </c>
      <c r="K241" s="30">
        <v>9.8399999999999998E-3</v>
      </c>
      <c r="L241" s="30">
        <f>F241*K241</f>
        <v>0.33101760000000002</v>
      </c>
      <c r="M241" s="258" t="s">
        <v>2291</v>
      </c>
      <c r="N241" s="31" t="s">
        <v>59</v>
      </c>
      <c r="O241" s="30">
        <f>IF(N241="5",I241,0)</f>
        <v>0</v>
      </c>
      <c r="Z241" s="30">
        <f>IF(AD241=0,J241,0)</f>
        <v>0</v>
      </c>
      <c r="AA241" s="30">
        <f>IF(AD241=15,J241,0)</f>
        <v>0</v>
      </c>
      <c r="AB241" s="30">
        <f>IF(AD241=21,J241,0)</f>
        <v>0</v>
      </c>
      <c r="AD241" s="32">
        <v>21</v>
      </c>
      <c r="AE241" s="32">
        <f>G241*0.160304682766381</f>
        <v>0</v>
      </c>
      <c r="AF241" s="32">
        <f>G241*(1-0.160304682766381)</f>
        <v>0</v>
      </c>
      <c r="AM241" s="32">
        <f>F241*AE241</f>
        <v>0</v>
      </c>
      <c r="AN241" s="32">
        <f>F241*AF241</f>
        <v>0</v>
      </c>
      <c r="AO241" s="33" t="s">
        <v>60</v>
      </c>
      <c r="AP241" s="33" t="s">
        <v>61</v>
      </c>
      <c r="AQ241" s="21" t="s">
        <v>264</v>
      </c>
    </row>
    <row r="242" spans="1:43" ht="25.7" customHeight="1" x14ac:dyDescent="0.25">
      <c r="C242" s="34" t="s">
        <v>63</v>
      </c>
      <c r="D242" s="340" t="s">
        <v>64</v>
      </c>
      <c r="E242" s="341"/>
      <c r="F242" s="341"/>
      <c r="G242" s="341"/>
      <c r="H242" s="341"/>
      <c r="I242" s="341"/>
      <c r="J242" s="341"/>
      <c r="K242" s="341"/>
      <c r="L242" s="341"/>
      <c r="M242" s="341"/>
    </row>
    <row r="243" spans="1:43" x14ac:dyDescent="0.25">
      <c r="A243" s="26"/>
      <c r="B243" s="27" t="s">
        <v>262</v>
      </c>
      <c r="C243" s="27" t="s">
        <v>68</v>
      </c>
      <c r="D243" s="338" t="s">
        <v>69</v>
      </c>
      <c r="E243" s="339"/>
      <c r="F243" s="339"/>
      <c r="G243" s="339"/>
      <c r="H243" s="28">
        <f>SUM(H244:H244)</f>
        <v>0</v>
      </c>
      <c r="I243" s="28">
        <f>SUM(I244:I244)</f>
        <v>0</v>
      </c>
      <c r="J243" s="28">
        <f>H243+I243</f>
        <v>0</v>
      </c>
      <c r="K243" s="21"/>
      <c r="L243" s="28">
        <f>SUM(L244:L244)</f>
        <v>1.6766176000000002</v>
      </c>
      <c r="M243" s="21"/>
      <c r="P243" s="28">
        <f>IF(Q243="PR",J243,SUM(O244:O244))</f>
        <v>0</v>
      </c>
      <c r="Q243" s="21" t="s">
        <v>54</v>
      </c>
      <c r="R243" s="28">
        <f>IF(Q243="HS",H243,0)</f>
        <v>0</v>
      </c>
      <c r="S243" s="28">
        <f>IF(Q243="HS",I243-P243,0)</f>
        <v>0</v>
      </c>
      <c r="T243" s="28">
        <f>IF(Q243="PS",H243,0)</f>
        <v>0</v>
      </c>
      <c r="U243" s="28">
        <f>IF(Q243="PS",I243-P243,0)</f>
        <v>0</v>
      </c>
      <c r="V243" s="28">
        <f>IF(Q243="MP",H243,0)</f>
        <v>0</v>
      </c>
      <c r="W243" s="28">
        <f>IF(Q243="MP",I243-P243,0)</f>
        <v>0</v>
      </c>
      <c r="X243" s="28">
        <f>IF(Q243="OM",H243,0)</f>
        <v>0</v>
      </c>
      <c r="Y243" s="21" t="s">
        <v>262</v>
      </c>
      <c r="AI243" s="28">
        <f>SUM(Z244:Z244)</f>
        <v>0</v>
      </c>
      <c r="AJ243" s="28">
        <f>SUM(AA244:AA244)</f>
        <v>0</v>
      </c>
      <c r="AK243" s="28">
        <f>SUM(AB244:AB244)</f>
        <v>0</v>
      </c>
    </row>
    <row r="244" spans="1:43" x14ac:dyDescent="0.25">
      <c r="A244" s="29" t="s">
        <v>266</v>
      </c>
      <c r="B244" s="29" t="s">
        <v>262</v>
      </c>
      <c r="C244" s="29" t="s">
        <v>70</v>
      </c>
      <c r="D244" s="29" t="s">
        <v>71</v>
      </c>
      <c r="E244" s="29" t="s">
        <v>58</v>
      </c>
      <c r="F244" s="30">
        <v>33.64</v>
      </c>
      <c r="G244" s="317">
        <v>0</v>
      </c>
      <c r="H244" s="30">
        <f>ROUND(F244*AE244,2)</f>
        <v>0</v>
      </c>
      <c r="I244" s="30">
        <f>J244-H244</f>
        <v>0</v>
      </c>
      <c r="J244" s="30">
        <f>ROUND(F244*G244,2)</f>
        <v>0</v>
      </c>
      <c r="K244" s="30">
        <v>4.9840000000000002E-2</v>
      </c>
      <c r="L244" s="30">
        <f>F244*K244</f>
        <v>1.6766176000000002</v>
      </c>
      <c r="M244" s="258" t="s">
        <v>2291</v>
      </c>
      <c r="N244" s="31" t="s">
        <v>59</v>
      </c>
      <c r="O244" s="30">
        <f>IF(N244="5",I244,0)</f>
        <v>0</v>
      </c>
      <c r="Z244" s="30">
        <f>IF(AD244=0,J244,0)</f>
        <v>0</v>
      </c>
      <c r="AA244" s="30">
        <f>IF(AD244=15,J244,0)</f>
        <v>0</v>
      </c>
      <c r="AB244" s="30">
        <f>IF(AD244=21,J244,0)</f>
        <v>0</v>
      </c>
      <c r="AD244" s="32">
        <v>21</v>
      </c>
      <c r="AE244" s="32">
        <f>G244*0.411768721414431</f>
        <v>0</v>
      </c>
      <c r="AF244" s="32">
        <f>G244*(1-0.411768721414431)</f>
        <v>0</v>
      </c>
      <c r="AM244" s="32">
        <f>F244*AE244</f>
        <v>0</v>
      </c>
      <c r="AN244" s="32">
        <f>F244*AF244</f>
        <v>0</v>
      </c>
      <c r="AO244" s="33" t="s">
        <v>72</v>
      </c>
      <c r="AP244" s="33" t="s">
        <v>61</v>
      </c>
      <c r="AQ244" s="21" t="s">
        <v>264</v>
      </c>
    </row>
    <row r="245" spans="1:43" x14ac:dyDescent="0.25">
      <c r="A245" s="26"/>
      <c r="B245" s="27" t="s">
        <v>262</v>
      </c>
      <c r="C245" s="27" t="s">
        <v>73</v>
      </c>
      <c r="D245" s="338" t="s">
        <v>74</v>
      </c>
      <c r="E245" s="339"/>
      <c r="F245" s="339"/>
      <c r="G245" s="339"/>
      <c r="H245" s="28">
        <f>SUM(H246:H246)</f>
        <v>0</v>
      </c>
      <c r="I245" s="28">
        <f>SUM(I246:I246)</f>
        <v>0</v>
      </c>
      <c r="J245" s="28">
        <f>H245+I245</f>
        <v>0</v>
      </c>
      <c r="K245" s="21"/>
      <c r="L245" s="28">
        <f>SUM(L246:L246)</f>
        <v>0.54160399999999997</v>
      </c>
      <c r="M245" s="21"/>
      <c r="P245" s="28">
        <f>IF(Q245="PR",J245,SUM(O246:O246))</f>
        <v>0</v>
      </c>
      <c r="Q245" s="21" t="s">
        <v>75</v>
      </c>
      <c r="R245" s="28">
        <f>IF(Q245="HS",H245,0)</f>
        <v>0</v>
      </c>
      <c r="S245" s="28">
        <f>IF(Q245="HS",I245-P245,0)</f>
        <v>0</v>
      </c>
      <c r="T245" s="28">
        <f>IF(Q245="PS",H245,0)</f>
        <v>0</v>
      </c>
      <c r="U245" s="28">
        <f>IF(Q245="PS",I245-P245,0)</f>
        <v>0</v>
      </c>
      <c r="V245" s="28">
        <f>IF(Q245="MP",H245,0)</f>
        <v>0</v>
      </c>
      <c r="W245" s="28">
        <f>IF(Q245="MP",I245-P245,0)</f>
        <v>0</v>
      </c>
      <c r="X245" s="28">
        <f>IF(Q245="OM",H245,0)</f>
        <v>0</v>
      </c>
      <c r="Y245" s="21" t="s">
        <v>262</v>
      </c>
      <c r="AI245" s="28">
        <f>SUM(Z246:Z246)</f>
        <v>0</v>
      </c>
      <c r="AJ245" s="28">
        <f>SUM(AA246:AA246)</f>
        <v>0</v>
      </c>
      <c r="AK245" s="28">
        <f>SUM(AB246:AB246)</f>
        <v>0</v>
      </c>
    </row>
    <row r="246" spans="1:43" x14ac:dyDescent="0.25">
      <c r="A246" s="29" t="s">
        <v>267</v>
      </c>
      <c r="B246" s="29" t="s">
        <v>262</v>
      </c>
      <c r="C246" s="29" t="s">
        <v>77</v>
      </c>
      <c r="D246" s="29" t="s">
        <v>2278</v>
      </c>
      <c r="E246" s="29" t="s">
        <v>58</v>
      </c>
      <c r="F246" s="30">
        <v>33.64</v>
      </c>
      <c r="G246" s="317">
        <v>0</v>
      </c>
      <c r="H246" s="30">
        <f>ROUND(F246*AE246,2)</f>
        <v>0</v>
      </c>
      <c r="I246" s="30">
        <f>J246-H246</f>
        <v>0</v>
      </c>
      <c r="J246" s="30">
        <f>ROUND(F246*G246,2)</f>
        <v>0</v>
      </c>
      <c r="K246" s="30">
        <v>1.61E-2</v>
      </c>
      <c r="L246" s="30">
        <f>F246*K246</f>
        <v>0.54160399999999997</v>
      </c>
      <c r="M246" s="258" t="s">
        <v>2291</v>
      </c>
      <c r="N246" s="31" t="s">
        <v>59</v>
      </c>
      <c r="O246" s="30">
        <f>IF(N246="5",I246,0)</f>
        <v>0</v>
      </c>
      <c r="Z246" s="30">
        <f>IF(AD246=0,J246,0)</f>
        <v>0</v>
      </c>
      <c r="AA246" s="30">
        <f>IF(AD246=15,J246,0)</f>
        <v>0</v>
      </c>
      <c r="AB246" s="30">
        <f>IF(AD246=21,J246,0)</f>
        <v>0</v>
      </c>
      <c r="AD246" s="32">
        <v>21</v>
      </c>
      <c r="AE246" s="32">
        <f>G246*0.787221324717286</f>
        <v>0</v>
      </c>
      <c r="AF246" s="32">
        <f>G246*(1-0.787221324717286)</f>
        <v>0</v>
      </c>
      <c r="AM246" s="32">
        <f>F246*AE246</f>
        <v>0</v>
      </c>
      <c r="AN246" s="32">
        <f>F246*AF246</f>
        <v>0</v>
      </c>
      <c r="AO246" s="33" t="s">
        <v>78</v>
      </c>
      <c r="AP246" s="33" t="s">
        <v>79</v>
      </c>
      <c r="AQ246" s="21" t="s">
        <v>264</v>
      </c>
    </row>
    <row r="247" spans="1:43" ht="12.75" customHeight="1" x14ac:dyDescent="0.25">
      <c r="C247" s="34" t="s">
        <v>63</v>
      </c>
      <c r="D247" s="340" t="s">
        <v>2280</v>
      </c>
      <c r="E247" s="341"/>
      <c r="F247" s="341"/>
      <c r="G247" s="341"/>
      <c r="H247" s="341"/>
      <c r="I247" s="341"/>
      <c r="J247" s="341"/>
      <c r="K247" s="341"/>
      <c r="L247" s="341"/>
      <c r="M247" s="341"/>
    </row>
    <row r="248" spans="1:43" x14ac:dyDescent="0.25">
      <c r="A248" s="26"/>
      <c r="B248" s="27" t="s">
        <v>262</v>
      </c>
      <c r="C248" s="27" t="s">
        <v>80</v>
      </c>
      <c r="D248" s="338" t="s">
        <v>81</v>
      </c>
      <c r="E248" s="339"/>
      <c r="F248" s="339"/>
      <c r="G248" s="339"/>
      <c r="H248" s="28">
        <f>SUM(H249:H249)</f>
        <v>0</v>
      </c>
      <c r="I248" s="28">
        <f>SUM(I249:I249)</f>
        <v>0</v>
      </c>
      <c r="J248" s="28">
        <f>H248+I248</f>
        <v>0</v>
      </c>
      <c r="K248" s="21"/>
      <c r="L248" s="28">
        <f>SUM(L249:L249)</f>
        <v>0.13657840000000002</v>
      </c>
      <c r="M248" s="21"/>
      <c r="P248" s="28">
        <f>IF(Q248="PR",J248,SUM(O249:O249))</f>
        <v>0</v>
      </c>
      <c r="Q248" s="21" t="s">
        <v>75</v>
      </c>
      <c r="R248" s="28">
        <f>IF(Q248="HS",H248,0)</f>
        <v>0</v>
      </c>
      <c r="S248" s="28">
        <f>IF(Q248="HS",I248-P248,0)</f>
        <v>0</v>
      </c>
      <c r="T248" s="28">
        <f>IF(Q248="PS",H248,0)</f>
        <v>0</v>
      </c>
      <c r="U248" s="28">
        <f>IF(Q248="PS",I248-P248,0)</f>
        <v>0</v>
      </c>
      <c r="V248" s="28">
        <f>IF(Q248="MP",H248,0)</f>
        <v>0</v>
      </c>
      <c r="W248" s="28">
        <f>IF(Q248="MP",I248-P248,0)</f>
        <v>0</v>
      </c>
      <c r="X248" s="28">
        <f>IF(Q248="OM",H248,0)</f>
        <v>0</v>
      </c>
      <c r="Y248" s="21" t="s">
        <v>262</v>
      </c>
      <c r="AI248" s="28">
        <f>SUM(Z249:Z249)</f>
        <v>0</v>
      </c>
      <c r="AJ248" s="28">
        <f>SUM(AA249:AA249)</f>
        <v>0</v>
      </c>
      <c r="AK248" s="28">
        <f>SUM(AB249:AB249)</f>
        <v>0</v>
      </c>
    </row>
    <row r="249" spans="1:43" x14ac:dyDescent="0.25">
      <c r="A249" s="29" t="s">
        <v>268</v>
      </c>
      <c r="B249" s="29" t="s">
        <v>262</v>
      </c>
      <c r="C249" s="29" t="s">
        <v>83</v>
      </c>
      <c r="D249" s="29" t="s">
        <v>84</v>
      </c>
      <c r="E249" s="29" t="s">
        <v>58</v>
      </c>
      <c r="F249" s="30">
        <v>33.64</v>
      </c>
      <c r="G249" s="317">
        <v>0</v>
      </c>
      <c r="H249" s="30">
        <f>ROUND(F249*AE249,2)</f>
        <v>0</v>
      </c>
      <c r="I249" s="30">
        <f>J249-H249</f>
        <v>0</v>
      </c>
      <c r="J249" s="30">
        <f>ROUND(F249*G249,2)</f>
        <v>0</v>
      </c>
      <c r="K249" s="30">
        <v>4.0600000000000002E-3</v>
      </c>
      <c r="L249" s="30">
        <f>F249*K249</f>
        <v>0.13657840000000002</v>
      </c>
      <c r="M249" s="258" t="s">
        <v>2291</v>
      </c>
      <c r="N249" s="31" t="s">
        <v>59</v>
      </c>
      <c r="O249" s="30">
        <f>IF(N249="5",I249,0)</f>
        <v>0</v>
      </c>
      <c r="Z249" s="30">
        <f>IF(AD249=0,J249,0)</f>
        <v>0</v>
      </c>
      <c r="AA249" s="30">
        <f>IF(AD249=15,J249,0)</f>
        <v>0</v>
      </c>
      <c r="AB249" s="30">
        <f>IF(AD249=21,J249,0)</f>
        <v>0</v>
      </c>
      <c r="AD249" s="32">
        <v>21</v>
      </c>
      <c r="AE249" s="32">
        <f>G249*0.67230605738576</f>
        <v>0</v>
      </c>
      <c r="AF249" s="32">
        <f>G249*(1-0.67230605738576)</f>
        <v>0</v>
      </c>
      <c r="AM249" s="32">
        <f>F249*AE249</f>
        <v>0</v>
      </c>
      <c r="AN249" s="32">
        <f>F249*AF249</f>
        <v>0</v>
      </c>
      <c r="AO249" s="33" t="s">
        <v>85</v>
      </c>
      <c r="AP249" s="33" t="s">
        <v>79</v>
      </c>
      <c r="AQ249" s="21" t="s">
        <v>264</v>
      </c>
    </row>
    <row r="250" spans="1:43" x14ac:dyDescent="0.25">
      <c r="A250" s="26"/>
      <c r="B250" s="27" t="s">
        <v>262</v>
      </c>
      <c r="C250" s="27" t="s">
        <v>86</v>
      </c>
      <c r="D250" s="338" t="s">
        <v>87</v>
      </c>
      <c r="E250" s="339"/>
      <c r="F250" s="339"/>
      <c r="G250" s="339"/>
      <c r="H250" s="28">
        <f>SUM(H251:H251)</f>
        <v>0</v>
      </c>
      <c r="I250" s="28">
        <f>SUM(I251:I251)</f>
        <v>0</v>
      </c>
      <c r="J250" s="28">
        <f>H250+I250</f>
        <v>0</v>
      </c>
      <c r="K250" s="21"/>
      <c r="L250" s="28">
        <f>SUM(L251:L251)</f>
        <v>5.4000000000000001E-4</v>
      </c>
      <c r="M250" s="21"/>
      <c r="P250" s="28">
        <f>IF(Q250="PR",J250,SUM(O251:O251))</f>
        <v>0</v>
      </c>
      <c r="Q250" s="21" t="s">
        <v>75</v>
      </c>
      <c r="R250" s="28">
        <f>IF(Q250="HS",H250,0)</f>
        <v>0</v>
      </c>
      <c r="S250" s="28">
        <f>IF(Q250="HS",I250-P250,0)</f>
        <v>0</v>
      </c>
      <c r="T250" s="28">
        <f>IF(Q250="PS",H250,0)</f>
        <v>0</v>
      </c>
      <c r="U250" s="28">
        <f>IF(Q250="PS",I250-P250,0)</f>
        <v>0</v>
      </c>
      <c r="V250" s="28">
        <f>IF(Q250="MP",H250,0)</f>
        <v>0</v>
      </c>
      <c r="W250" s="28">
        <f>IF(Q250="MP",I250-P250,0)</f>
        <v>0</v>
      </c>
      <c r="X250" s="28">
        <f>IF(Q250="OM",H250,0)</f>
        <v>0</v>
      </c>
      <c r="Y250" s="21" t="s">
        <v>262</v>
      </c>
      <c r="AI250" s="28">
        <f>SUM(Z251:Z251)</f>
        <v>0</v>
      </c>
      <c r="AJ250" s="28">
        <f>SUM(AA251:AA251)</f>
        <v>0</v>
      </c>
      <c r="AK250" s="28">
        <f>SUM(AB251:AB251)</f>
        <v>0</v>
      </c>
    </row>
    <row r="251" spans="1:43" x14ac:dyDescent="0.25">
      <c r="A251" s="29" t="s">
        <v>269</v>
      </c>
      <c r="B251" s="29" t="s">
        <v>262</v>
      </c>
      <c r="C251" s="29" t="s">
        <v>89</v>
      </c>
      <c r="D251" s="29" t="s">
        <v>90</v>
      </c>
      <c r="E251" s="29" t="s">
        <v>58</v>
      </c>
      <c r="F251" s="30">
        <v>2</v>
      </c>
      <c r="G251" s="317">
        <v>0</v>
      </c>
      <c r="H251" s="30">
        <f>ROUND(F251*AE251,2)</f>
        <v>0</v>
      </c>
      <c r="I251" s="30">
        <f>J251-H251</f>
        <v>0</v>
      </c>
      <c r="J251" s="30">
        <f>ROUND(F251*G251,2)</f>
        <v>0</v>
      </c>
      <c r="K251" s="30">
        <v>2.7E-4</v>
      </c>
      <c r="L251" s="30">
        <f>F251*K251</f>
        <v>5.4000000000000001E-4</v>
      </c>
      <c r="M251" s="258" t="s">
        <v>2291</v>
      </c>
      <c r="N251" s="31" t="s">
        <v>59</v>
      </c>
      <c r="O251" s="30">
        <f>IF(N251="5",I251,0)</f>
        <v>0</v>
      </c>
      <c r="Z251" s="30">
        <f>IF(AD251=0,J251,0)</f>
        <v>0</v>
      </c>
      <c r="AA251" s="30">
        <f>IF(AD251=15,J251,0)</f>
        <v>0</v>
      </c>
      <c r="AB251" s="30">
        <f>IF(AD251=21,J251,0)</f>
        <v>0</v>
      </c>
      <c r="AD251" s="32">
        <v>21</v>
      </c>
      <c r="AE251" s="32">
        <f>G251*0.186098187625859</f>
        <v>0</v>
      </c>
      <c r="AF251" s="32">
        <f>G251*(1-0.186098187625859)</f>
        <v>0</v>
      </c>
      <c r="AM251" s="32">
        <f>F251*AE251</f>
        <v>0</v>
      </c>
      <c r="AN251" s="32">
        <f>F251*AF251</f>
        <v>0</v>
      </c>
      <c r="AO251" s="33" t="s">
        <v>91</v>
      </c>
      <c r="AP251" s="33" t="s">
        <v>92</v>
      </c>
      <c r="AQ251" s="21" t="s">
        <v>264</v>
      </c>
    </row>
    <row r="252" spans="1:43" x14ac:dyDescent="0.25">
      <c r="A252" s="26"/>
      <c r="B252" s="27" t="s">
        <v>262</v>
      </c>
      <c r="C252" s="27" t="s">
        <v>93</v>
      </c>
      <c r="D252" s="338" t="s">
        <v>94</v>
      </c>
      <c r="E252" s="339"/>
      <c r="F252" s="339"/>
      <c r="G252" s="339"/>
      <c r="H252" s="28">
        <f>SUM(H253:H253)</f>
        <v>0</v>
      </c>
      <c r="I252" s="28">
        <f>SUM(I253:I253)</f>
        <v>0</v>
      </c>
      <c r="J252" s="28">
        <f>H252+I252</f>
        <v>0</v>
      </c>
      <c r="K252" s="21"/>
      <c r="L252" s="28">
        <f>SUM(L253:L253)</f>
        <v>7.1629999999999999E-2</v>
      </c>
      <c r="M252" s="21"/>
      <c r="P252" s="28">
        <f>IF(Q252="PR",J252,SUM(O253:O253))</f>
        <v>0</v>
      </c>
      <c r="Q252" s="21" t="s">
        <v>75</v>
      </c>
      <c r="R252" s="28">
        <f>IF(Q252="HS",H252,0)</f>
        <v>0</v>
      </c>
      <c r="S252" s="28">
        <f>IF(Q252="HS",I252-P252,0)</f>
        <v>0</v>
      </c>
      <c r="T252" s="28">
        <f>IF(Q252="PS",H252,0)</f>
        <v>0</v>
      </c>
      <c r="U252" s="28">
        <f>IF(Q252="PS",I252-P252,0)</f>
        <v>0</v>
      </c>
      <c r="V252" s="28">
        <f>IF(Q252="MP",H252,0)</f>
        <v>0</v>
      </c>
      <c r="W252" s="28">
        <f>IF(Q252="MP",I252-P252,0)</f>
        <v>0</v>
      </c>
      <c r="X252" s="28">
        <f>IF(Q252="OM",H252,0)</f>
        <v>0</v>
      </c>
      <c r="Y252" s="21" t="s">
        <v>262</v>
      </c>
      <c r="AI252" s="28">
        <f>SUM(Z253:Z253)</f>
        <v>0</v>
      </c>
      <c r="AJ252" s="28">
        <f>SUM(AA253:AA253)</f>
        <v>0</v>
      </c>
      <c r="AK252" s="28">
        <f>SUM(AB253:AB253)</f>
        <v>0</v>
      </c>
    </row>
    <row r="253" spans="1:43" x14ac:dyDescent="0.25">
      <c r="A253" s="29" t="s">
        <v>270</v>
      </c>
      <c r="B253" s="29" t="s">
        <v>262</v>
      </c>
      <c r="C253" s="29" t="s">
        <v>96</v>
      </c>
      <c r="D253" s="29" t="s">
        <v>97</v>
      </c>
      <c r="E253" s="29" t="s">
        <v>58</v>
      </c>
      <c r="F253" s="30">
        <v>110.2</v>
      </c>
      <c r="G253" s="317">
        <v>0</v>
      </c>
      <c r="H253" s="30">
        <f>ROUND(F253*AE253,2)</f>
        <v>0</v>
      </c>
      <c r="I253" s="30">
        <f>J253-H253</f>
        <v>0</v>
      </c>
      <c r="J253" s="30">
        <f>ROUND(F253*G253,2)</f>
        <v>0</v>
      </c>
      <c r="K253" s="30">
        <v>6.4999999999999997E-4</v>
      </c>
      <c r="L253" s="30">
        <f>F253*K253</f>
        <v>7.1629999999999999E-2</v>
      </c>
      <c r="M253" s="258" t="s">
        <v>2291</v>
      </c>
      <c r="N253" s="31" t="s">
        <v>59</v>
      </c>
      <c r="O253" s="30">
        <f>IF(N253="5",I253,0)</f>
        <v>0</v>
      </c>
      <c r="Z253" s="30">
        <f>IF(AD253=0,J253,0)</f>
        <v>0</v>
      </c>
      <c r="AA253" s="30">
        <f>IF(AD253=15,J253,0)</f>
        <v>0</v>
      </c>
      <c r="AB253" s="30">
        <f>IF(AD253=21,J253,0)</f>
        <v>0</v>
      </c>
      <c r="AD253" s="32">
        <v>21</v>
      </c>
      <c r="AE253" s="32">
        <f>G253*0.333747476316198</f>
        <v>0</v>
      </c>
      <c r="AF253" s="32">
        <f>G253*(1-0.333747476316198)</f>
        <v>0</v>
      </c>
      <c r="AM253" s="32">
        <f>F253*AE253</f>
        <v>0</v>
      </c>
      <c r="AN253" s="32">
        <f>F253*AF253</f>
        <v>0</v>
      </c>
      <c r="AO253" s="33" t="s">
        <v>98</v>
      </c>
      <c r="AP253" s="33" t="s">
        <v>92</v>
      </c>
      <c r="AQ253" s="21" t="s">
        <v>264</v>
      </c>
    </row>
    <row r="254" spans="1:43" x14ac:dyDescent="0.25">
      <c r="A254" s="26"/>
      <c r="B254" s="27" t="s">
        <v>262</v>
      </c>
      <c r="C254" s="27" t="s">
        <v>99</v>
      </c>
      <c r="D254" s="338" t="s">
        <v>100</v>
      </c>
      <c r="E254" s="339"/>
      <c r="F254" s="339"/>
      <c r="G254" s="339"/>
      <c r="H254" s="28">
        <f>SUM(H255:H255)</f>
        <v>0</v>
      </c>
      <c r="I254" s="28">
        <f>SUM(I255:I255)</f>
        <v>0</v>
      </c>
      <c r="J254" s="28">
        <f>H254+I254</f>
        <v>0</v>
      </c>
      <c r="K254" s="21"/>
      <c r="L254" s="28">
        <f>SUM(L255:L255)</f>
        <v>0</v>
      </c>
      <c r="M254" s="21"/>
      <c r="P254" s="28">
        <f>IF(Q254="PR",J254,SUM(O255:O255))</f>
        <v>0</v>
      </c>
      <c r="Q254" s="21" t="s">
        <v>54</v>
      </c>
      <c r="R254" s="28">
        <f>IF(Q254="HS",H254,0)</f>
        <v>0</v>
      </c>
      <c r="S254" s="28">
        <f>IF(Q254="HS",I254-P254,0)</f>
        <v>0</v>
      </c>
      <c r="T254" s="28">
        <f>IF(Q254="PS",H254,0)</f>
        <v>0</v>
      </c>
      <c r="U254" s="28">
        <f>IF(Q254="PS",I254-P254,0)</f>
        <v>0</v>
      </c>
      <c r="V254" s="28">
        <f>IF(Q254="MP",H254,0)</f>
        <v>0</v>
      </c>
      <c r="W254" s="28">
        <f>IF(Q254="MP",I254-P254,0)</f>
        <v>0</v>
      </c>
      <c r="X254" s="28">
        <f>IF(Q254="OM",H254,0)</f>
        <v>0</v>
      </c>
      <c r="Y254" s="21" t="s">
        <v>262</v>
      </c>
      <c r="AI254" s="28">
        <f>SUM(Z255:Z255)</f>
        <v>0</v>
      </c>
      <c r="AJ254" s="28">
        <f>SUM(AA255:AA255)</f>
        <v>0</v>
      </c>
      <c r="AK254" s="28">
        <f>SUM(AB255:AB255)</f>
        <v>0</v>
      </c>
    </row>
    <row r="255" spans="1:43" x14ac:dyDescent="0.25">
      <c r="A255" s="29" t="s">
        <v>271</v>
      </c>
      <c r="B255" s="29" t="s">
        <v>262</v>
      </c>
      <c r="C255" s="29" t="s">
        <v>102</v>
      </c>
      <c r="D255" s="29" t="s">
        <v>103</v>
      </c>
      <c r="E255" s="29" t="s">
        <v>104</v>
      </c>
      <c r="F255" s="30">
        <v>2.4</v>
      </c>
      <c r="G255" s="317">
        <v>0</v>
      </c>
      <c r="H255" s="30">
        <f>ROUND(F255*AE255,2)</f>
        <v>0</v>
      </c>
      <c r="I255" s="30">
        <f>J255-H255</f>
        <v>0</v>
      </c>
      <c r="J255" s="30">
        <f>ROUND(F255*G255,2)</f>
        <v>0</v>
      </c>
      <c r="K255" s="30">
        <v>0</v>
      </c>
      <c r="L255" s="30">
        <f>F255*K255</f>
        <v>0</v>
      </c>
      <c r="M255" s="258" t="s">
        <v>2291</v>
      </c>
      <c r="N255" s="31" t="s">
        <v>55</v>
      </c>
      <c r="O255" s="30">
        <f>IF(N255="5",I255,0)</f>
        <v>0</v>
      </c>
      <c r="Z255" s="30">
        <f>IF(AD255=0,J255,0)</f>
        <v>0</v>
      </c>
      <c r="AA255" s="30">
        <f>IF(AD255=15,J255,0)</f>
        <v>0</v>
      </c>
      <c r="AB255" s="30">
        <f>IF(AD255=21,J255,0)</f>
        <v>0</v>
      </c>
      <c r="AD255" s="32">
        <v>21</v>
      </c>
      <c r="AE255" s="32">
        <f>G255*0</f>
        <v>0</v>
      </c>
      <c r="AF255" s="32">
        <f>G255*(1-0)</f>
        <v>0</v>
      </c>
      <c r="AM255" s="32">
        <f>F255*AE255</f>
        <v>0</v>
      </c>
      <c r="AN255" s="32">
        <f>F255*AF255</f>
        <v>0</v>
      </c>
      <c r="AO255" s="33" t="s">
        <v>105</v>
      </c>
      <c r="AP255" s="33" t="s">
        <v>106</v>
      </c>
      <c r="AQ255" s="21" t="s">
        <v>264</v>
      </c>
    </row>
    <row r="256" spans="1:43" x14ac:dyDescent="0.25">
      <c r="C256" s="34" t="s">
        <v>63</v>
      </c>
      <c r="D256" s="340" t="s">
        <v>107</v>
      </c>
      <c r="E256" s="341"/>
      <c r="F256" s="341"/>
      <c r="G256" s="341"/>
      <c r="H256" s="341"/>
      <c r="I256" s="341"/>
      <c r="J256" s="341"/>
      <c r="K256" s="341"/>
      <c r="L256" s="341"/>
      <c r="M256" s="341"/>
    </row>
    <row r="257" spans="1:43" x14ac:dyDescent="0.25">
      <c r="A257" s="26"/>
      <c r="B257" s="27" t="s">
        <v>262</v>
      </c>
      <c r="C257" s="27" t="s">
        <v>108</v>
      </c>
      <c r="D257" s="338" t="s">
        <v>109</v>
      </c>
      <c r="E257" s="339"/>
      <c r="F257" s="339"/>
      <c r="G257" s="339"/>
      <c r="H257" s="28">
        <f>SUM(H258:H258)</f>
        <v>0</v>
      </c>
      <c r="I257" s="28">
        <f>SUM(I258:I258)</f>
        <v>0</v>
      </c>
      <c r="J257" s="28">
        <f>H257+I257</f>
        <v>0</v>
      </c>
      <c r="K257" s="21"/>
      <c r="L257" s="28">
        <f>SUM(L258:L258)</f>
        <v>0.19581999999999999</v>
      </c>
      <c r="M257" s="21"/>
      <c r="P257" s="28">
        <f>IF(Q257="PR",J257,SUM(O258:O258))</f>
        <v>0</v>
      </c>
      <c r="Q257" s="21" t="s">
        <v>54</v>
      </c>
      <c r="R257" s="28">
        <f>IF(Q257="HS",H257,0)</f>
        <v>0</v>
      </c>
      <c r="S257" s="28">
        <f>IF(Q257="HS",I257-P257,0)</f>
        <v>0</v>
      </c>
      <c r="T257" s="28">
        <f>IF(Q257="PS",H257,0)</f>
        <v>0</v>
      </c>
      <c r="U257" s="28">
        <f>IF(Q257="PS",I257-P257,0)</f>
        <v>0</v>
      </c>
      <c r="V257" s="28">
        <f>IF(Q257="MP",H257,0)</f>
        <v>0</v>
      </c>
      <c r="W257" s="28">
        <f>IF(Q257="MP",I257-P257,0)</f>
        <v>0</v>
      </c>
      <c r="X257" s="28">
        <f>IF(Q257="OM",H257,0)</f>
        <v>0</v>
      </c>
      <c r="Y257" s="21" t="s">
        <v>262</v>
      </c>
      <c r="AI257" s="28">
        <f>SUM(Z258:Z258)</f>
        <v>0</v>
      </c>
      <c r="AJ257" s="28">
        <f>SUM(AA258:AA258)</f>
        <v>0</v>
      </c>
      <c r="AK257" s="28">
        <f>SUM(AB258:AB258)</f>
        <v>0</v>
      </c>
    </row>
    <row r="258" spans="1:43" x14ac:dyDescent="0.25">
      <c r="A258" s="29" t="s">
        <v>272</v>
      </c>
      <c r="B258" s="29" t="s">
        <v>262</v>
      </c>
      <c r="C258" s="29" t="s">
        <v>111</v>
      </c>
      <c r="D258" s="29" t="s">
        <v>112</v>
      </c>
      <c r="E258" s="29" t="s">
        <v>113</v>
      </c>
      <c r="F258" s="30">
        <v>2</v>
      </c>
      <c r="G258" s="317">
        <v>0</v>
      </c>
      <c r="H258" s="30">
        <f>ROUND(F258*AE258,2)</f>
        <v>0</v>
      </c>
      <c r="I258" s="30">
        <f>J258-H258</f>
        <v>0</v>
      </c>
      <c r="J258" s="30">
        <f>ROUND(F258*G258,2)</f>
        <v>0</v>
      </c>
      <c r="K258" s="30">
        <v>9.7909999999999997E-2</v>
      </c>
      <c r="L258" s="30">
        <f>F258*K258</f>
        <v>0.19581999999999999</v>
      </c>
      <c r="M258" s="258" t="s">
        <v>2291</v>
      </c>
      <c r="N258" s="31" t="s">
        <v>55</v>
      </c>
      <c r="O258" s="30">
        <f>IF(N258="5",I258,0)</f>
        <v>0</v>
      </c>
      <c r="Z258" s="30">
        <f>IF(AD258=0,J258,0)</f>
        <v>0</v>
      </c>
      <c r="AA258" s="30">
        <f>IF(AD258=15,J258,0)</f>
        <v>0</v>
      </c>
      <c r="AB258" s="30">
        <f>IF(AD258=21,J258,0)</f>
        <v>0</v>
      </c>
      <c r="AD258" s="32">
        <v>21</v>
      </c>
      <c r="AE258" s="32">
        <f>G258*0.0762897526501767</f>
        <v>0</v>
      </c>
      <c r="AF258" s="32">
        <f>G258*(1-0.0762897526501767)</f>
        <v>0</v>
      </c>
      <c r="AM258" s="32">
        <f>F258*AE258</f>
        <v>0</v>
      </c>
      <c r="AN258" s="32">
        <f>F258*AF258</f>
        <v>0</v>
      </c>
      <c r="AO258" s="33" t="s">
        <v>114</v>
      </c>
      <c r="AP258" s="33" t="s">
        <v>106</v>
      </c>
      <c r="AQ258" s="21" t="s">
        <v>264</v>
      </c>
    </row>
    <row r="259" spans="1:43" x14ac:dyDescent="0.25">
      <c r="C259" s="34" t="s">
        <v>63</v>
      </c>
      <c r="D259" s="340" t="s">
        <v>107</v>
      </c>
      <c r="E259" s="341"/>
      <c r="F259" s="341"/>
      <c r="G259" s="341"/>
      <c r="H259" s="341"/>
      <c r="I259" s="341"/>
      <c r="J259" s="341"/>
      <c r="K259" s="341"/>
      <c r="L259" s="341"/>
      <c r="M259" s="341"/>
    </row>
    <row r="260" spans="1:43" x14ac:dyDescent="0.25">
      <c r="A260" s="26"/>
      <c r="B260" s="27" t="s">
        <v>273</v>
      </c>
      <c r="C260" s="27"/>
      <c r="D260" s="338" t="s">
        <v>273</v>
      </c>
      <c r="E260" s="339"/>
      <c r="F260" s="339"/>
      <c r="G260" s="339"/>
      <c r="H260" s="28">
        <f>H261+H266+H268+H271+H273+H275+H277+H280</f>
        <v>0</v>
      </c>
      <c r="I260" s="28">
        <f>I261+I266+I268+I271+I273+I275+I277+I280</f>
        <v>0</v>
      </c>
      <c r="J260" s="28">
        <f>H260+I260</f>
        <v>0</v>
      </c>
      <c r="K260" s="21"/>
      <c r="L260" s="28">
        <f>L261+L266+L268+L271+L273+L275+L277+L280</f>
        <v>2.0296093000000002</v>
      </c>
      <c r="M260" s="21"/>
    </row>
    <row r="261" spans="1:43" x14ac:dyDescent="0.25">
      <c r="A261" s="26"/>
      <c r="B261" s="27" t="s">
        <v>273</v>
      </c>
      <c r="C261" s="27" t="s">
        <v>52</v>
      </c>
      <c r="D261" s="338" t="s">
        <v>53</v>
      </c>
      <c r="E261" s="339"/>
      <c r="F261" s="339"/>
      <c r="G261" s="339"/>
      <c r="H261" s="28">
        <f>SUM(H262:H264)</f>
        <v>0</v>
      </c>
      <c r="I261" s="28">
        <f>SUM(I262:I264)</f>
        <v>0</v>
      </c>
      <c r="J261" s="28">
        <f>H261+I261</f>
        <v>0</v>
      </c>
      <c r="K261" s="21"/>
      <c r="L261" s="28">
        <f>SUM(L262:L264)</f>
        <v>0.70969529999999992</v>
      </c>
      <c r="M261" s="21"/>
      <c r="P261" s="28">
        <f>IF(Q261="PR",J261,SUM(O262:O264))</f>
        <v>0</v>
      </c>
      <c r="Q261" s="21" t="s">
        <v>54</v>
      </c>
      <c r="R261" s="28">
        <f>IF(Q261="HS",H261,0)</f>
        <v>0</v>
      </c>
      <c r="S261" s="28">
        <f>IF(Q261="HS",I261-P261,0)</f>
        <v>0</v>
      </c>
      <c r="T261" s="28">
        <f>IF(Q261="PS",H261,0)</f>
        <v>0</v>
      </c>
      <c r="U261" s="28">
        <f>IF(Q261="PS",I261-P261,0)</f>
        <v>0</v>
      </c>
      <c r="V261" s="28">
        <f>IF(Q261="MP",H261,0)</f>
        <v>0</v>
      </c>
      <c r="W261" s="28">
        <f>IF(Q261="MP",I261-P261,0)</f>
        <v>0</v>
      </c>
      <c r="X261" s="28">
        <f>IF(Q261="OM",H261,0)</f>
        <v>0</v>
      </c>
      <c r="Y261" s="21" t="s">
        <v>273</v>
      </c>
      <c r="AI261" s="28">
        <f>SUM(Z262:Z264)</f>
        <v>0</v>
      </c>
      <c r="AJ261" s="28">
        <f>SUM(AA262:AA264)</f>
        <v>0</v>
      </c>
      <c r="AK261" s="28">
        <f>SUM(AB262:AB264)</f>
        <v>0</v>
      </c>
    </row>
    <row r="262" spans="1:43" x14ac:dyDescent="0.25">
      <c r="A262" s="29" t="s">
        <v>274</v>
      </c>
      <c r="B262" s="29" t="s">
        <v>273</v>
      </c>
      <c r="C262" s="29" t="s">
        <v>66</v>
      </c>
      <c r="D262" s="29" t="s">
        <v>67</v>
      </c>
      <c r="E262" s="29" t="s">
        <v>58</v>
      </c>
      <c r="F262" s="30">
        <v>15.39</v>
      </c>
      <c r="G262" s="317">
        <v>0</v>
      </c>
      <c r="H262" s="30">
        <f>ROUND(F262*AE262,2)</f>
        <v>0</v>
      </c>
      <c r="I262" s="30">
        <f>J262-H262</f>
        <v>0</v>
      </c>
      <c r="J262" s="30">
        <f>ROUND(F262*G262,2)</f>
        <v>0</v>
      </c>
      <c r="K262" s="30">
        <v>9.8399999999999998E-3</v>
      </c>
      <c r="L262" s="30">
        <f>F262*K262</f>
        <v>0.15143760000000001</v>
      </c>
      <c r="M262" s="258" t="s">
        <v>2291</v>
      </c>
      <c r="N262" s="31" t="s">
        <v>59</v>
      </c>
      <c r="O262" s="30">
        <f>IF(N262="5",I262,0)</f>
        <v>0</v>
      </c>
      <c r="Z262" s="30">
        <f>IF(AD262=0,J262,0)</f>
        <v>0</v>
      </c>
      <c r="AA262" s="30">
        <f>IF(AD262=15,J262,0)</f>
        <v>0</v>
      </c>
      <c r="AB262" s="30">
        <f>IF(AD262=21,J262,0)</f>
        <v>0</v>
      </c>
      <c r="AD262" s="32">
        <v>21</v>
      </c>
      <c r="AE262" s="32">
        <f>G262*0.160304682766381</f>
        <v>0</v>
      </c>
      <c r="AF262" s="32">
        <f>G262*(1-0.160304682766381)</f>
        <v>0</v>
      </c>
      <c r="AM262" s="32">
        <f>F262*AE262</f>
        <v>0</v>
      </c>
      <c r="AN262" s="32">
        <f>F262*AF262</f>
        <v>0</v>
      </c>
      <c r="AO262" s="33" t="s">
        <v>60</v>
      </c>
      <c r="AP262" s="33" t="s">
        <v>61</v>
      </c>
      <c r="AQ262" s="21" t="s">
        <v>275</v>
      </c>
    </row>
    <row r="263" spans="1:43" ht="25.7" customHeight="1" x14ac:dyDescent="0.25">
      <c r="C263" s="34" t="s">
        <v>63</v>
      </c>
      <c r="D263" s="340" t="s">
        <v>64</v>
      </c>
      <c r="E263" s="341"/>
      <c r="F263" s="341"/>
      <c r="G263" s="341"/>
      <c r="H263" s="341"/>
      <c r="I263" s="341"/>
      <c r="J263" s="341"/>
      <c r="K263" s="341"/>
      <c r="L263" s="341"/>
      <c r="M263" s="341"/>
    </row>
    <row r="264" spans="1:43" x14ac:dyDescent="0.25">
      <c r="A264" s="29" t="s">
        <v>276</v>
      </c>
      <c r="B264" s="29" t="s">
        <v>273</v>
      </c>
      <c r="C264" s="29" t="s">
        <v>56</v>
      </c>
      <c r="D264" s="29" t="s">
        <v>57</v>
      </c>
      <c r="E264" s="29" t="s">
        <v>58</v>
      </c>
      <c r="F264" s="30">
        <v>55.77</v>
      </c>
      <c r="G264" s="317">
        <v>0</v>
      </c>
      <c r="H264" s="30">
        <f>ROUND(F264*AE264,2)</f>
        <v>0</v>
      </c>
      <c r="I264" s="30">
        <f>J264-H264</f>
        <v>0</v>
      </c>
      <c r="J264" s="30">
        <f>ROUND(F264*G264,2)</f>
        <v>0</v>
      </c>
      <c r="K264" s="30">
        <v>1.001E-2</v>
      </c>
      <c r="L264" s="30">
        <f>F264*K264</f>
        <v>0.55825769999999997</v>
      </c>
      <c r="M264" s="258" t="s">
        <v>2291</v>
      </c>
      <c r="N264" s="31" t="s">
        <v>59</v>
      </c>
      <c r="O264" s="30">
        <f>IF(N264="5",I264,0)</f>
        <v>0</v>
      </c>
      <c r="Z264" s="30">
        <f>IF(AD264=0,J264,0)</f>
        <v>0</v>
      </c>
      <c r="AA264" s="30">
        <f>IF(AD264=15,J264,0)</f>
        <v>0</v>
      </c>
      <c r="AB264" s="30">
        <f>IF(AD264=21,J264,0)</f>
        <v>0</v>
      </c>
      <c r="AD264" s="32">
        <v>21</v>
      </c>
      <c r="AE264" s="32">
        <f>G264*0.0756575801052128</f>
        <v>0</v>
      </c>
      <c r="AF264" s="32">
        <f>G264*(1-0.0756575801052128)</f>
        <v>0</v>
      </c>
      <c r="AM264" s="32">
        <f>F264*AE264</f>
        <v>0</v>
      </c>
      <c r="AN264" s="32">
        <f>F264*AF264</f>
        <v>0</v>
      </c>
      <c r="AO264" s="33" t="s">
        <v>60</v>
      </c>
      <c r="AP264" s="33" t="s">
        <v>61</v>
      </c>
      <c r="AQ264" s="21" t="s">
        <v>275</v>
      </c>
    </row>
    <row r="265" spans="1:43" ht="25.7" customHeight="1" x14ac:dyDescent="0.25">
      <c r="C265" s="34" t="s">
        <v>63</v>
      </c>
      <c r="D265" s="340" t="s">
        <v>64</v>
      </c>
      <c r="E265" s="341"/>
      <c r="F265" s="341"/>
      <c r="G265" s="341"/>
      <c r="H265" s="341"/>
      <c r="I265" s="341"/>
      <c r="J265" s="341"/>
      <c r="K265" s="341"/>
      <c r="L265" s="341"/>
      <c r="M265" s="341"/>
    </row>
    <row r="266" spans="1:43" x14ac:dyDescent="0.25">
      <c r="A266" s="26"/>
      <c r="B266" s="27" t="s">
        <v>273</v>
      </c>
      <c r="C266" s="27" t="s">
        <v>68</v>
      </c>
      <c r="D266" s="338" t="s">
        <v>69</v>
      </c>
      <c r="E266" s="339"/>
      <c r="F266" s="339"/>
      <c r="G266" s="339"/>
      <c r="H266" s="28">
        <f>SUM(H267:H267)</f>
        <v>0</v>
      </c>
      <c r="I266" s="28">
        <f>SUM(I267:I267)</f>
        <v>0</v>
      </c>
      <c r="J266" s="28">
        <f>H266+I266</f>
        <v>0</v>
      </c>
      <c r="K266" s="21"/>
      <c r="L266" s="28">
        <f>SUM(L267:L267)</f>
        <v>0.7670376000000001</v>
      </c>
      <c r="M266" s="21"/>
      <c r="P266" s="28">
        <f>IF(Q266="PR",J266,SUM(O267:O267))</f>
        <v>0</v>
      </c>
      <c r="Q266" s="21" t="s">
        <v>54</v>
      </c>
      <c r="R266" s="28">
        <f>IF(Q266="HS",H266,0)</f>
        <v>0</v>
      </c>
      <c r="S266" s="28">
        <f>IF(Q266="HS",I266-P266,0)</f>
        <v>0</v>
      </c>
      <c r="T266" s="28">
        <f>IF(Q266="PS",H266,0)</f>
        <v>0</v>
      </c>
      <c r="U266" s="28">
        <f>IF(Q266="PS",I266-P266,0)</f>
        <v>0</v>
      </c>
      <c r="V266" s="28">
        <f>IF(Q266="MP",H266,0)</f>
        <v>0</v>
      </c>
      <c r="W266" s="28">
        <f>IF(Q266="MP",I266-P266,0)</f>
        <v>0</v>
      </c>
      <c r="X266" s="28">
        <f>IF(Q266="OM",H266,0)</f>
        <v>0</v>
      </c>
      <c r="Y266" s="21" t="s">
        <v>273</v>
      </c>
      <c r="AI266" s="28">
        <f>SUM(Z267:Z267)</f>
        <v>0</v>
      </c>
      <c r="AJ266" s="28">
        <f>SUM(AA267:AA267)</f>
        <v>0</v>
      </c>
      <c r="AK266" s="28">
        <f>SUM(AB267:AB267)</f>
        <v>0</v>
      </c>
    </row>
    <row r="267" spans="1:43" x14ac:dyDescent="0.25">
      <c r="A267" s="29" t="s">
        <v>277</v>
      </c>
      <c r="B267" s="29" t="s">
        <v>273</v>
      </c>
      <c r="C267" s="29" t="s">
        <v>70</v>
      </c>
      <c r="D267" s="29" t="s">
        <v>71</v>
      </c>
      <c r="E267" s="29" t="s">
        <v>58</v>
      </c>
      <c r="F267" s="30">
        <v>15.39</v>
      </c>
      <c r="G267" s="317">
        <v>0</v>
      </c>
      <c r="H267" s="30">
        <f>ROUND(F267*AE267,2)</f>
        <v>0</v>
      </c>
      <c r="I267" s="30">
        <f>J267-H267</f>
        <v>0</v>
      </c>
      <c r="J267" s="30">
        <f>ROUND(F267*G267,2)</f>
        <v>0</v>
      </c>
      <c r="K267" s="30">
        <v>4.9840000000000002E-2</v>
      </c>
      <c r="L267" s="30">
        <f>F267*K267</f>
        <v>0.7670376000000001</v>
      </c>
      <c r="M267" s="258" t="s">
        <v>2291</v>
      </c>
      <c r="N267" s="31" t="s">
        <v>59</v>
      </c>
      <c r="O267" s="30">
        <f>IF(N267="5",I267,0)</f>
        <v>0</v>
      </c>
      <c r="Z267" s="30">
        <f>IF(AD267=0,J267,0)</f>
        <v>0</v>
      </c>
      <c r="AA267" s="30">
        <f>IF(AD267=15,J267,0)</f>
        <v>0</v>
      </c>
      <c r="AB267" s="30">
        <f>IF(AD267=21,J267,0)</f>
        <v>0</v>
      </c>
      <c r="AD267" s="32">
        <v>21</v>
      </c>
      <c r="AE267" s="32">
        <f>G267*0.411768721414431</f>
        <v>0</v>
      </c>
      <c r="AF267" s="32">
        <f>G267*(1-0.411768721414431)</f>
        <v>0</v>
      </c>
      <c r="AM267" s="32">
        <f>F267*AE267</f>
        <v>0</v>
      </c>
      <c r="AN267" s="32">
        <f>F267*AF267</f>
        <v>0</v>
      </c>
      <c r="AO267" s="33" t="s">
        <v>72</v>
      </c>
      <c r="AP267" s="33" t="s">
        <v>61</v>
      </c>
      <c r="AQ267" s="21" t="s">
        <v>275</v>
      </c>
    </row>
    <row r="268" spans="1:43" x14ac:dyDescent="0.25">
      <c r="A268" s="26"/>
      <c r="B268" s="27" t="s">
        <v>273</v>
      </c>
      <c r="C268" s="27" t="s">
        <v>73</v>
      </c>
      <c r="D268" s="338" t="s">
        <v>74</v>
      </c>
      <c r="E268" s="339"/>
      <c r="F268" s="339"/>
      <c r="G268" s="339"/>
      <c r="H268" s="28">
        <f>SUM(H269:H269)</f>
        <v>0</v>
      </c>
      <c r="I268" s="28">
        <f>SUM(I269:I269)</f>
        <v>0</v>
      </c>
      <c r="J268" s="28">
        <f>H268+I268</f>
        <v>0</v>
      </c>
      <c r="K268" s="21"/>
      <c r="L268" s="28">
        <f>SUM(L269:L269)</f>
        <v>0.247779</v>
      </c>
      <c r="M268" s="21"/>
      <c r="P268" s="28">
        <f>IF(Q268="PR",J268,SUM(O269:O269))</f>
        <v>0</v>
      </c>
      <c r="Q268" s="21" t="s">
        <v>75</v>
      </c>
      <c r="R268" s="28">
        <f>IF(Q268="HS",H268,0)</f>
        <v>0</v>
      </c>
      <c r="S268" s="28">
        <f>IF(Q268="HS",I268-P268,0)</f>
        <v>0</v>
      </c>
      <c r="T268" s="28">
        <f>IF(Q268="PS",H268,0)</f>
        <v>0</v>
      </c>
      <c r="U268" s="28">
        <f>IF(Q268="PS",I268-P268,0)</f>
        <v>0</v>
      </c>
      <c r="V268" s="28">
        <f>IF(Q268="MP",H268,0)</f>
        <v>0</v>
      </c>
      <c r="W268" s="28">
        <f>IF(Q268="MP",I268-P268,0)</f>
        <v>0</v>
      </c>
      <c r="X268" s="28">
        <f>IF(Q268="OM",H268,0)</f>
        <v>0</v>
      </c>
      <c r="Y268" s="21" t="s">
        <v>273</v>
      </c>
      <c r="AI268" s="28">
        <f>SUM(Z269:Z269)</f>
        <v>0</v>
      </c>
      <c r="AJ268" s="28">
        <f>SUM(AA269:AA269)</f>
        <v>0</v>
      </c>
      <c r="AK268" s="28">
        <f>SUM(AB269:AB269)</f>
        <v>0</v>
      </c>
    </row>
    <row r="269" spans="1:43" x14ac:dyDescent="0.25">
      <c r="A269" s="29" t="s">
        <v>278</v>
      </c>
      <c r="B269" s="29" t="s">
        <v>273</v>
      </c>
      <c r="C269" s="29" t="s">
        <v>77</v>
      </c>
      <c r="D269" s="29" t="s">
        <v>2278</v>
      </c>
      <c r="E269" s="29" t="s">
        <v>58</v>
      </c>
      <c r="F269" s="30">
        <v>15.39</v>
      </c>
      <c r="G269" s="317">
        <v>0</v>
      </c>
      <c r="H269" s="30">
        <f>ROUND(F269*AE269,2)</f>
        <v>0</v>
      </c>
      <c r="I269" s="30">
        <f>J269-H269</f>
        <v>0</v>
      </c>
      <c r="J269" s="30">
        <f>ROUND(F269*G269,2)</f>
        <v>0</v>
      </c>
      <c r="K269" s="30">
        <v>1.61E-2</v>
      </c>
      <c r="L269" s="30">
        <f>F269*K269</f>
        <v>0.247779</v>
      </c>
      <c r="M269" s="258" t="s">
        <v>2291</v>
      </c>
      <c r="N269" s="31" t="s">
        <v>59</v>
      </c>
      <c r="O269" s="30">
        <f>IF(N269="5",I269,0)</f>
        <v>0</v>
      </c>
      <c r="Z269" s="30">
        <f>IF(AD269=0,J269,0)</f>
        <v>0</v>
      </c>
      <c r="AA269" s="30">
        <f>IF(AD269=15,J269,0)</f>
        <v>0</v>
      </c>
      <c r="AB269" s="30">
        <f>IF(AD269=21,J269,0)</f>
        <v>0</v>
      </c>
      <c r="AD269" s="32">
        <v>21</v>
      </c>
      <c r="AE269" s="32">
        <f>G269*0.787221324717286</f>
        <v>0</v>
      </c>
      <c r="AF269" s="32">
        <f>G269*(1-0.787221324717286)</f>
        <v>0</v>
      </c>
      <c r="AM269" s="32">
        <f>F269*AE269</f>
        <v>0</v>
      </c>
      <c r="AN269" s="32">
        <f>F269*AF269</f>
        <v>0</v>
      </c>
      <c r="AO269" s="33" t="s">
        <v>78</v>
      </c>
      <c r="AP269" s="33" t="s">
        <v>79</v>
      </c>
      <c r="AQ269" s="21" t="s">
        <v>275</v>
      </c>
    </row>
    <row r="270" spans="1:43" ht="12.75" customHeight="1" x14ac:dyDescent="0.25">
      <c r="C270" s="34" t="s">
        <v>63</v>
      </c>
      <c r="D270" s="340" t="s">
        <v>2280</v>
      </c>
      <c r="E270" s="341"/>
      <c r="F270" s="341"/>
      <c r="G270" s="341"/>
      <c r="H270" s="341"/>
      <c r="I270" s="341"/>
      <c r="J270" s="341"/>
      <c r="K270" s="341"/>
      <c r="L270" s="341"/>
      <c r="M270" s="341"/>
    </row>
    <row r="271" spans="1:43" x14ac:dyDescent="0.25">
      <c r="A271" s="26"/>
      <c r="B271" s="27" t="s">
        <v>273</v>
      </c>
      <c r="C271" s="27" t="s">
        <v>80</v>
      </c>
      <c r="D271" s="338" t="s">
        <v>81</v>
      </c>
      <c r="E271" s="339"/>
      <c r="F271" s="339"/>
      <c r="G271" s="339"/>
      <c r="H271" s="28">
        <f>SUM(H272:H272)</f>
        <v>0</v>
      </c>
      <c r="I271" s="28">
        <f>SUM(I272:I272)</f>
        <v>0</v>
      </c>
      <c r="J271" s="28">
        <f>H271+I271</f>
        <v>0</v>
      </c>
      <c r="K271" s="21"/>
      <c r="L271" s="28">
        <f>SUM(L272:L272)</f>
        <v>6.2483400000000008E-2</v>
      </c>
      <c r="M271" s="21"/>
      <c r="P271" s="28">
        <f>IF(Q271="PR",J271,SUM(O272:O272))</f>
        <v>0</v>
      </c>
      <c r="Q271" s="21" t="s">
        <v>75</v>
      </c>
      <c r="R271" s="28">
        <f>IF(Q271="HS",H271,0)</f>
        <v>0</v>
      </c>
      <c r="S271" s="28">
        <f>IF(Q271="HS",I271-P271,0)</f>
        <v>0</v>
      </c>
      <c r="T271" s="28">
        <f>IF(Q271="PS",H271,0)</f>
        <v>0</v>
      </c>
      <c r="U271" s="28">
        <f>IF(Q271="PS",I271-P271,0)</f>
        <v>0</v>
      </c>
      <c r="V271" s="28">
        <f>IF(Q271="MP",H271,0)</f>
        <v>0</v>
      </c>
      <c r="W271" s="28">
        <f>IF(Q271="MP",I271-P271,0)</f>
        <v>0</v>
      </c>
      <c r="X271" s="28">
        <f>IF(Q271="OM",H271,0)</f>
        <v>0</v>
      </c>
      <c r="Y271" s="21" t="s">
        <v>273</v>
      </c>
      <c r="AI271" s="28">
        <f>SUM(Z272:Z272)</f>
        <v>0</v>
      </c>
      <c r="AJ271" s="28">
        <f>SUM(AA272:AA272)</f>
        <v>0</v>
      </c>
      <c r="AK271" s="28">
        <f>SUM(AB272:AB272)</f>
        <v>0</v>
      </c>
    </row>
    <row r="272" spans="1:43" x14ac:dyDescent="0.25">
      <c r="A272" s="29" t="s">
        <v>279</v>
      </c>
      <c r="B272" s="29" t="s">
        <v>273</v>
      </c>
      <c r="C272" s="29" t="s">
        <v>83</v>
      </c>
      <c r="D272" s="29" t="s">
        <v>84</v>
      </c>
      <c r="E272" s="29" t="s">
        <v>58</v>
      </c>
      <c r="F272" s="30">
        <v>15.39</v>
      </c>
      <c r="G272" s="317">
        <v>0</v>
      </c>
      <c r="H272" s="30">
        <f>ROUND(F272*AE272,2)</f>
        <v>0</v>
      </c>
      <c r="I272" s="30">
        <f>J272-H272</f>
        <v>0</v>
      </c>
      <c r="J272" s="30">
        <f>ROUND(F272*G272,2)</f>
        <v>0</v>
      </c>
      <c r="K272" s="30">
        <v>4.0600000000000002E-3</v>
      </c>
      <c r="L272" s="30">
        <f>F272*K272</f>
        <v>6.2483400000000008E-2</v>
      </c>
      <c r="M272" s="258" t="s">
        <v>2291</v>
      </c>
      <c r="N272" s="31" t="s">
        <v>59</v>
      </c>
      <c r="O272" s="30">
        <f>IF(N272="5",I272,0)</f>
        <v>0</v>
      </c>
      <c r="Z272" s="30">
        <f>IF(AD272=0,J272,0)</f>
        <v>0</v>
      </c>
      <c r="AA272" s="30">
        <f>IF(AD272=15,J272,0)</f>
        <v>0</v>
      </c>
      <c r="AB272" s="30">
        <f>IF(AD272=21,J272,0)</f>
        <v>0</v>
      </c>
      <c r="AD272" s="32">
        <v>21</v>
      </c>
      <c r="AE272" s="32">
        <f>G272*0.67230605738576</f>
        <v>0</v>
      </c>
      <c r="AF272" s="32">
        <f>G272*(1-0.67230605738576)</f>
        <v>0</v>
      </c>
      <c r="AM272" s="32">
        <f>F272*AE272</f>
        <v>0</v>
      </c>
      <c r="AN272" s="32">
        <f>F272*AF272</f>
        <v>0</v>
      </c>
      <c r="AO272" s="33" t="s">
        <v>85</v>
      </c>
      <c r="AP272" s="33" t="s">
        <v>79</v>
      </c>
      <c r="AQ272" s="21" t="s">
        <v>275</v>
      </c>
    </row>
    <row r="273" spans="1:43" x14ac:dyDescent="0.25">
      <c r="A273" s="26"/>
      <c r="B273" s="27" t="s">
        <v>273</v>
      </c>
      <c r="C273" s="27" t="s">
        <v>86</v>
      </c>
      <c r="D273" s="338" t="s">
        <v>87</v>
      </c>
      <c r="E273" s="339"/>
      <c r="F273" s="339"/>
      <c r="G273" s="339"/>
      <c r="H273" s="28">
        <f>SUM(H274:H274)</f>
        <v>0</v>
      </c>
      <c r="I273" s="28">
        <f>SUM(I274:I274)</f>
        <v>0</v>
      </c>
      <c r="J273" s="28">
        <f>H273+I273</f>
        <v>0</v>
      </c>
      <c r="K273" s="21"/>
      <c r="L273" s="28">
        <f>SUM(L274:L274)</f>
        <v>5.4000000000000001E-4</v>
      </c>
      <c r="M273" s="21"/>
      <c r="P273" s="28">
        <f>IF(Q273="PR",J273,SUM(O274:O274))</f>
        <v>0</v>
      </c>
      <c r="Q273" s="21" t="s">
        <v>75</v>
      </c>
      <c r="R273" s="28">
        <f>IF(Q273="HS",H273,0)</f>
        <v>0</v>
      </c>
      <c r="S273" s="28">
        <f>IF(Q273="HS",I273-P273,0)</f>
        <v>0</v>
      </c>
      <c r="T273" s="28">
        <f>IF(Q273="PS",H273,0)</f>
        <v>0</v>
      </c>
      <c r="U273" s="28">
        <f>IF(Q273="PS",I273-P273,0)</f>
        <v>0</v>
      </c>
      <c r="V273" s="28">
        <f>IF(Q273="MP",H273,0)</f>
        <v>0</v>
      </c>
      <c r="W273" s="28">
        <f>IF(Q273="MP",I273-P273,0)</f>
        <v>0</v>
      </c>
      <c r="X273" s="28">
        <f>IF(Q273="OM",H273,0)</f>
        <v>0</v>
      </c>
      <c r="Y273" s="21" t="s">
        <v>273</v>
      </c>
      <c r="AI273" s="28">
        <f>SUM(Z274:Z274)</f>
        <v>0</v>
      </c>
      <c r="AJ273" s="28">
        <f>SUM(AA274:AA274)</f>
        <v>0</v>
      </c>
      <c r="AK273" s="28">
        <f>SUM(AB274:AB274)</f>
        <v>0</v>
      </c>
    </row>
    <row r="274" spans="1:43" x14ac:dyDescent="0.25">
      <c r="A274" s="29" t="s">
        <v>280</v>
      </c>
      <c r="B274" s="29" t="s">
        <v>273</v>
      </c>
      <c r="C274" s="29" t="s">
        <v>89</v>
      </c>
      <c r="D274" s="29" t="s">
        <v>90</v>
      </c>
      <c r="E274" s="29" t="s">
        <v>58</v>
      </c>
      <c r="F274" s="30">
        <v>2</v>
      </c>
      <c r="G274" s="317">
        <v>0</v>
      </c>
      <c r="H274" s="30">
        <f>ROUND(F274*AE274,2)</f>
        <v>0</v>
      </c>
      <c r="I274" s="30">
        <f>J274-H274</f>
        <v>0</v>
      </c>
      <c r="J274" s="30">
        <f>ROUND(F274*G274,2)</f>
        <v>0</v>
      </c>
      <c r="K274" s="30">
        <v>2.7E-4</v>
      </c>
      <c r="L274" s="30">
        <f>F274*K274</f>
        <v>5.4000000000000001E-4</v>
      </c>
      <c r="M274" s="258" t="s">
        <v>2291</v>
      </c>
      <c r="N274" s="31" t="s">
        <v>59</v>
      </c>
      <c r="O274" s="30">
        <f>IF(N274="5",I274,0)</f>
        <v>0</v>
      </c>
      <c r="Z274" s="30">
        <f>IF(AD274=0,J274,0)</f>
        <v>0</v>
      </c>
      <c r="AA274" s="30">
        <f>IF(AD274=15,J274,0)</f>
        <v>0</v>
      </c>
      <c r="AB274" s="30">
        <f>IF(AD274=21,J274,0)</f>
        <v>0</v>
      </c>
      <c r="AD274" s="32">
        <v>21</v>
      </c>
      <c r="AE274" s="32">
        <f>G274*0.186098187625859</f>
        <v>0</v>
      </c>
      <c r="AF274" s="32">
        <f>G274*(1-0.186098187625859)</f>
        <v>0</v>
      </c>
      <c r="AM274" s="32">
        <f>F274*AE274</f>
        <v>0</v>
      </c>
      <c r="AN274" s="32">
        <f>F274*AF274</f>
        <v>0</v>
      </c>
      <c r="AO274" s="33" t="s">
        <v>91</v>
      </c>
      <c r="AP274" s="33" t="s">
        <v>92</v>
      </c>
      <c r="AQ274" s="21" t="s">
        <v>275</v>
      </c>
    </row>
    <row r="275" spans="1:43" x14ac:dyDescent="0.25">
      <c r="A275" s="26"/>
      <c r="B275" s="27" t="s">
        <v>273</v>
      </c>
      <c r="C275" s="27" t="s">
        <v>93</v>
      </c>
      <c r="D275" s="338" t="s">
        <v>94</v>
      </c>
      <c r="E275" s="339"/>
      <c r="F275" s="339"/>
      <c r="G275" s="339"/>
      <c r="H275" s="28">
        <f>SUM(H276:H276)</f>
        <v>0</v>
      </c>
      <c r="I275" s="28">
        <f>SUM(I276:I276)</f>
        <v>0</v>
      </c>
      <c r="J275" s="28">
        <f>H275+I275</f>
        <v>0</v>
      </c>
      <c r="K275" s="21"/>
      <c r="L275" s="28">
        <f>SUM(L276:L276)</f>
        <v>4.6253999999999997E-2</v>
      </c>
      <c r="M275" s="21"/>
      <c r="P275" s="28">
        <f>IF(Q275="PR",J275,SUM(O276:O276))</f>
        <v>0</v>
      </c>
      <c r="Q275" s="21" t="s">
        <v>75</v>
      </c>
      <c r="R275" s="28">
        <f>IF(Q275="HS",H275,0)</f>
        <v>0</v>
      </c>
      <c r="S275" s="28">
        <f>IF(Q275="HS",I275-P275,0)</f>
        <v>0</v>
      </c>
      <c r="T275" s="28">
        <f>IF(Q275="PS",H275,0)</f>
        <v>0</v>
      </c>
      <c r="U275" s="28">
        <f>IF(Q275="PS",I275-P275,0)</f>
        <v>0</v>
      </c>
      <c r="V275" s="28">
        <f>IF(Q275="MP",H275,0)</f>
        <v>0</v>
      </c>
      <c r="W275" s="28">
        <f>IF(Q275="MP",I275-P275,0)</f>
        <v>0</v>
      </c>
      <c r="X275" s="28">
        <f>IF(Q275="OM",H275,0)</f>
        <v>0</v>
      </c>
      <c r="Y275" s="21" t="s">
        <v>273</v>
      </c>
      <c r="AI275" s="28">
        <f>SUM(Z276:Z276)</f>
        <v>0</v>
      </c>
      <c r="AJ275" s="28">
        <f>SUM(AA276:AA276)</f>
        <v>0</v>
      </c>
      <c r="AK275" s="28">
        <f>SUM(AB276:AB276)</f>
        <v>0</v>
      </c>
    </row>
    <row r="276" spans="1:43" x14ac:dyDescent="0.25">
      <c r="A276" s="29" t="s">
        <v>281</v>
      </c>
      <c r="B276" s="29" t="s">
        <v>273</v>
      </c>
      <c r="C276" s="29" t="s">
        <v>96</v>
      </c>
      <c r="D276" s="29" t="s">
        <v>97</v>
      </c>
      <c r="E276" s="29" t="s">
        <v>58</v>
      </c>
      <c r="F276" s="30">
        <v>71.16</v>
      </c>
      <c r="G276" s="317">
        <v>0</v>
      </c>
      <c r="H276" s="30">
        <f>ROUND(F276*AE276,2)</f>
        <v>0</v>
      </c>
      <c r="I276" s="30">
        <f>J276-H276</f>
        <v>0</v>
      </c>
      <c r="J276" s="30">
        <f>ROUND(F276*G276,2)</f>
        <v>0</v>
      </c>
      <c r="K276" s="30">
        <v>6.4999999999999997E-4</v>
      </c>
      <c r="L276" s="30">
        <f>F276*K276</f>
        <v>4.6253999999999997E-2</v>
      </c>
      <c r="M276" s="258" t="s">
        <v>2291</v>
      </c>
      <c r="N276" s="31" t="s">
        <v>59</v>
      </c>
      <c r="O276" s="30">
        <f>IF(N276="5",I276,0)</f>
        <v>0</v>
      </c>
      <c r="Z276" s="30">
        <f>IF(AD276=0,J276,0)</f>
        <v>0</v>
      </c>
      <c r="AA276" s="30">
        <f>IF(AD276=15,J276,0)</f>
        <v>0</v>
      </c>
      <c r="AB276" s="30">
        <f>IF(AD276=21,J276,0)</f>
        <v>0</v>
      </c>
      <c r="AD276" s="32">
        <v>21</v>
      </c>
      <c r="AE276" s="32">
        <f>G276*0.333747476316198</f>
        <v>0</v>
      </c>
      <c r="AF276" s="32">
        <f>G276*(1-0.333747476316198)</f>
        <v>0</v>
      </c>
      <c r="AM276" s="32">
        <f>F276*AE276</f>
        <v>0</v>
      </c>
      <c r="AN276" s="32">
        <f>F276*AF276</f>
        <v>0</v>
      </c>
      <c r="AO276" s="33" t="s">
        <v>98</v>
      </c>
      <c r="AP276" s="33" t="s">
        <v>92</v>
      </c>
      <c r="AQ276" s="21" t="s">
        <v>275</v>
      </c>
    </row>
    <row r="277" spans="1:43" x14ac:dyDescent="0.25">
      <c r="A277" s="26"/>
      <c r="B277" s="27" t="s">
        <v>273</v>
      </c>
      <c r="C277" s="27" t="s">
        <v>99</v>
      </c>
      <c r="D277" s="338" t="s">
        <v>100</v>
      </c>
      <c r="E277" s="339"/>
      <c r="F277" s="339"/>
      <c r="G277" s="339"/>
      <c r="H277" s="28">
        <f>SUM(H278:H278)</f>
        <v>0</v>
      </c>
      <c r="I277" s="28">
        <f>SUM(I278:I278)</f>
        <v>0</v>
      </c>
      <c r="J277" s="28">
        <f>H277+I277</f>
        <v>0</v>
      </c>
      <c r="K277" s="21"/>
      <c r="L277" s="28">
        <f>SUM(L278:L278)</f>
        <v>0</v>
      </c>
      <c r="M277" s="21"/>
      <c r="P277" s="28">
        <f>IF(Q277="PR",J277,SUM(O278:O278))</f>
        <v>0</v>
      </c>
      <c r="Q277" s="21" t="s">
        <v>54</v>
      </c>
      <c r="R277" s="28">
        <f>IF(Q277="HS",H277,0)</f>
        <v>0</v>
      </c>
      <c r="S277" s="28">
        <f>IF(Q277="HS",I277-P277,0)</f>
        <v>0</v>
      </c>
      <c r="T277" s="28">
        <f>IF(Q277="PS",H277,0)</f>
        <v>0</v>
      </c>
      <c r="U277" s="28">
        <f>IF(Q277="PS",I277-P277,0)</f>
        <v>0</v>
      </c>
      <c r="V277" s="28">
        <f>IF(Q277="MP",H277,0)</f>
        <v>0</v>
      </c>
      <c r="W277" s="28">
        <f>IF(Q277="MP",I277-P277,0)</f>
        <v>0</v>
      </c>
      <c r="X277" s="28">
        <f>IF(Q277="OM",H277,0)</f>
        <v>0</v>
      </c>
      <c r="Y277" s="21" t="s">
        <v>273</v>
      </c>
      <c r="AI277" s="28">
        <f>SUM(Z278:Z278)</f>
        <v>0</v>
      </c>
      <c r="AJ277" s="28">
        <f>SUM(AA278:AA278)</f>
        <v>0</v>
      </c>
      <c r="AK277" s="28">
        <f>SUM(AB278:AB278)</f>
        <v>0</v>
      </c>
    </row>
    <row r="278" spans="1:43" x14ac:dyDescent="0.25">
      <c r="A278" s="29" t="s">
        <v>282</v>
      </c>
      <c r="B278" s="29" t="s">
        <v>273</v>
      </c>
      <c r="C278" s="29" t="s">
        <v>102</v>
      </c>
      <c r="D278" s="29" t="s">
        <v>103</v>
      </c>
      <c r="E278" s="29" t="s">
        <v>104</v>
      </c>
      <c r="F278" s="30">
        <v>2.4</v>
      </c>
      <c r="G278" s="317">
        <v>0</v>
      </c>
      <c r="H278" s="30">
        <f>ROUND(F278*AE278,2)</f>
        <v>0</v>
      </c>
      <c r="I278" s="30">
        <f>J278-H278</f>
        <v>0</v>
      </c>
      <c r="J278" s="30">
        <f>ROUND(F278*G278,2)</f>
        <v>0</v>
      </c>
      <c r="K278" s="30">
        <v>0</v>
      </c>
      <c r="L278" s="30">
        <f>F278*K278</f>
        <v>0</v>
      </c>
      <c r="M278" s="258" t="s">
        <v>2291</v>
      </c>
      <c r="N278" s="31" t="s">
        <v>55</v>
      </c>
      <c r="O278" s="30">
        <f>IF(N278="5",I278,0)</f>
        <v>0</v>
      </c>
      <c r="Z278" s="30">
        <f>IF(AD278=0,J278,0)</f>
        <v>0</v>
      </c>
      <c r="AA278" s="30">
        <f>IF(AD278=15,J278,0)</f>
        <v>0</v>
      </c>
      <c r="AB278" s="30">
        <f>IF(AD278=21,J278,0)</f>
        <v>0</v>
      </c>
      <c r="AD278" s="32">
        <v>21</v>
      </c>
      <c r="AE278" s="32">
        <f>G278*0</f>
        <v>0</v>
      </c>
      <c r="AF278" s="32">
        <f>G278*(1-0)</f>
        <v>0</v>
      </c>
      <c r="AM278" s="32">
        <f>F278*AE278</f>
        <v>0</v>
      </c>
      <c r="AN278" s="32">
        <f>F278*AF278</f>
        <v>0</v>
      </c>
      <c r="AO278" s="33" t="s">
        <v>105</v>
      </c>
      <c r="AP278" s="33" t="s">
        <v>106</v>
      </c>
      <c r="AQ278" s="21" t="s">
        <v>275</v>
      </c>
    </row>
    <row r="279" spans="1:43" x14ac:dyDescent="0.25">
      <c r="C279" s="34" t="s">
        <v>63</v>
      </c>
      <c r="D279" s="340" t="s">
        <v>107</v>
      </c>
      <c r="E279" s="341"/>
      <c r="F279" s="341"/>
      <c r="G279" s="341"/>
      <c r="H279" s="341"/>
      <c r="I279" s="341"/>
      <c r="J279" s="341"/>
      <c r="K279" s="341"/>
      <c r="L279" s="341"/>
      <c r="M279" s="341"/>
    </row>
    <row r="280" spans="1:43" x14ac:dyDescent="0.25">
      <c r="A280" s="26"/>
      <c r="B280" s="27" t="s">
        <v>273</v>
      </c>
      <c r="C280" s="27" t="s">
        <v>108</v>
      </c>
      <c r="D280" s="338" t="s">
        <v>109</v>
      </c>
      <c r="E280" s="339"/>
      <c r="F280" s="339"/>
      <c r="G280" s="339"/>
      <c r="H280" s="28">
        <f>SUM(H281:H281)</f>
        <v>0</v>
      </c>
      <c r="I280" s="28">
        <f>SUM(I281:I281)</f>
        <v>0</v>
      </c>
      <c r="J280" s="28">
        <f>H280+I280</f>
        <v>0</v>
      </c>
      <c r="K280" s="21"/>
      <c r="L280" s="28">
        <f>SUM(L281:L281)</f>
        <v>0.19581999999999999</v>
      </c>
      <c r="M280" s="21"/>
      <c r="P280" s="28">
        <f>IF(Q280="PR",J280,SUM(O281:O281))</f>
        <v>0</v>
      </c>
      <c r="Q280" s="21" t="s">
        <v>54</v>
      </c>
      <c r="R280" s="28">
        <f>IF(Q280="HS",H280,0)</f>
        <v>0</v>
      </c>
      <c r="S280" s="28">
        <f>IF(Q280="HS",I280-P280,0)</f>
        <v>0</v>
      </c>
      <c r="T280" s="28">
        <f>IF(Q280="PS",H280,0)</f>
        <v>0</v>
      </c>
      <c r="U280" s="28">
        <f>IF(Q280="PS",I280-P280,0)</f>
        <v>0</v>
      </c>
      <c r="V280" s="28">
        <f>IF(Q280="MP",H280,0)</f>
        <v>0</v>
      </c>
      <c r="W280" s="28">
        <f>IF(Q280="MP",I280-P280,0)</f>
        <v>0</v>
      </c>
      <c r="X280" s="28">
        <f>IF(Q280="OM",H280,0)</f>
        <v>0</v>
      </c>
      <c r="Y280" s="21" t="s">
        <v>273</v>
      </c>
      <c r="AI280" s="28">
        <f>SUM(Z281:Z281)</f>
        <v>0</v>
      </c>
      <c r="AJ280" s="28">
        <f>SUM(AA281:AA281)</f>
        <v>0</v>
      </c>
      <c r="AK280" s="28">
        <f>SUM(AB281:AB281)</f>
        <v>0</v>
      </c>
    </row>
    <row r="281" spans="1:43" x14ac:dyDescent="0.25">
      <c r="A281" s="29" t="s">
        <v>283</v>
      </c>
      <c r="B281" s="29" t="s">
        <v>273</v>
      </c>
      <c r="C281" s="29" t="s">
        <v>111</v>
      </c>
      <c r="D281" s="29" t="s">
        <v>112</v>
      </c>
      <c r="E281" s="29" t="s">
        <v>113</v>
      </c>
      <c r="F281" s="30">
        <v>2</v>
      </c>
      <c r="G281" s="317">
        <v>0</v>
      </c>
      <c r="H281" s="30">
        <f>ROUND(F281*AE281,2)</f>
        <v>0</v>
      </c>
      <c r="I281" s="30">
        <f>J281-H281</f>
        <v>0</v>
      </c>
      <c r="J281" s="30">
        <f>ROUND(F281*G281,2)</f>
        <v>0</v>
      </c>
      <c r="K281" s="30">
        <v>9.7909999999999997E-2</v>
      </c>
      <c r="L281" s="30">
        <f>F281*K281</f>
        <v>0.19581999999999999</v>
      </c>
      <c r="M281" s="258" t="s">
        <v>2291</v>
      </c>
      <c r="N281" s="31" t="s">
        <v>55</v>
      </c>
      <c r="O281" s="30">
        <f>IF(N281="5",I281,0)</f>
        <v>0</v>
      </c>
      <c r="Z281" s="30">
        <f>IF(AD281=0,J281,0)</f>
        <v>0</v>
      </c>
      <c r="AA281" s="30">
        <f>IF(AD281=15,J281,0)</f>
        <v>0</v>
      </c>
      <c r="AB281" s="30">
        <f>IF(AD281=21,J281,0)</f>
        <v>0</v>
      </c>
      <c r="AD281" s="32">
        <v>21</v>
      </c>
      <c r="AE281" s="32">
        <f>G281*0.0762897526501767</f>
        <v>0</v>
      </c>
      <c r="AF281" s="32">
        <f>G281*(1-0.0762897526501767)</f>
        <v>0</v>
      </c>
      <c r="AM281" s="32">
        <f>F281*AE281</f>
        <v>0</v>
      </c>
      <c r="AN281" s="32">
        <f>F281*AF281</f>
        <v>0</v>
      </c>
      <c r="AO281" s="33" t="s">
        <v>114</v>
      </c>
      <c r="AP281" s="33" t="s">
        <v>106</v>
      </c>
      <c r="AQ281" s="21" t="s">
        <v>275</v>
      </c>
    </row>
    <row r="282" spans="1:43" x14ac:dyDescent="0.25">
      <c r="C282" s="34" t="s">
        <v>63</v>
      </c>
      <c r="D282" s="340" t="s">
        <v>107</v>
      </c>
      <c r="E282" s="341"/>
      <c r="F282" s="341"/>
      <c r="G282" s="341"/>
      <c r="H282" s="341"/>
      <c r="I282" s="341"/>
      <c r="J282" s="341"/>
      <c r="K282" s="341"/>
      <c r="L282" s="341"/>
      <c r="M282" s="341"/>
    </row>
    <row r="283" spans="1:43" x14ac:dyDescent="0.25">
      <c r="A283" s="26"/>
      <c r="B283" s="27" t="s">
        <v>284</v>
      </c>
      <c r="C283" s="27"/>
      <c r="D283" s="338" t="s">
        <v>284</v>
      </c>
      <c r="E283" s="339"/>
      <c r="F283" s="339"/>
      <c r="G283" s="339"/>
      <c r="H283" s="28">
        <f>H284+H286+H291+H294+H298+H300+H302</f>
        <v>0</v>
      </c>
      <c r="I283" s="28">
        <f>I284+I286+I291+I294+I298+I300+I302</f>
        <v>0</v>
      </c>
      <c r="J283" s="28">
        <f>H283+I283</f>
        <v>0</v>
      </c>
      <c r="K283" s="21"/>
      <c r="L283" s="28">
        <f>L284+L286+L291+L294+L298+L300+L302</f>
        <v>5.9261010000000001</v>
      </c>
      <c r="M283" s="21"/>
    </row>
    <row r="284" spans="1:43" x14ac:dyDescent="0.25">
      <c r="A284" s="26"/>
      <c r="B284" s="27" t="s">
        <v>284</v>
      </c>
      <c r="C284" s="27" t="s">
        <v>166</v>
      </c>
      <c r="D284" s="338" t="s">
        <v>167</v>
      </c>
      <c r="E284" s="339"/>
      <c r="F284" s="339"/>
      <c r="G284" s="339"/>
      <c r="H284" s="28">
        <f>SUM(H285:H285)</f>
        <v>0</v>
      </c>
      <c r="I284" s="28">
        <f>SUM(I285:I285)</f>
        <v>0</v>
      </c>
      <c r="J284" s="28">
        <f>H284+I284</f>
        <v>0</v>
      </c>
      <c r="K284" s="21"/>
      <c r="L284" s="28">
        <f>SUM(L285:L285)</f>
        <v>5.1840000000000004E-2</v>
      </c>
      <c r="M284" s="21"/>
      <c r="P284" s="28">
        <f>IF(Q284="PR",J284,SUM(O285:O285))</f>
        <v>0</v>
      </c>
      <c r="Q284" s="21" t="s">
        <v>54</v>
      </c>
      <c r="R284" s="28">
        <f>IF(Q284="HS",H284,0)</f>
        <v>0</v>
      </c>
      <c r="S284" s="28">
        <f>IF(Q284="HS",I284-P284,0)</f>
        <v>0</v>
      </c>
      <c r="T284" s="28">
        <f>IF(Q284="PS",H284,0)</f>
        <v>0</v>
      </c>
      <c r="U284" s="28">
        <f>IF(Q284="PS",I284-P284,0)</f>
        <v>0</v>
      </c>
      <c r="V284" s="28">
        <f>IF(Q284="MP",H284,0)</f>
        <v>0</v>
      </c>
      <c r="W284" s="28">
        <f>IF(Q284="MP",I284-P284,0)</f>
        <v>0</v>
      </c>
      <c r="X284" s="28">
        <f>IF(Q284="OM",H284,0)</f>
        <v>0</v>
      </c>
      <c r="Y284" s="21" t="s">
        <v>284</v>
      </c>
      <c r="AI284" s="28">
        <f>SUM(Z285:Z285)</f>
        <v>0</v>
      </c>
      <c r="AJ284" s="28">
        <f>SUM(AA285:AA285)</f>
        <v>0</v>
      </c>
      <c r="AK284" s="28">
        <f>SUM(AB285:AB285)</f>
        <v>0</v>
      </c>
    </row>
    <row r="285" spans="1:43" x14ac:dyDescent="0.25">
      <c r="A285" s="29" t="s">
        <v>285</v>
      </c>
      <c r="B285" s="29" t="s">
        <v>284</v>
      </c>
      <c r="C285" s="29" t="s">
        <v>169</v>
      </c>
      <c r="D285" s="29" t="s">
        <v>170</v>
      </c>
      <c r="E285" s="29" t="s">
        <v>58</v>
      </c>
      <c r="F285" s="30">
        <v>4.32</v>
      </c>
      <c r="G285" s="317">
        <v>0</v>
      </c>
      <c r="H285" s="30">
        <f>ROUND(F285*AE285,2)</f>
        <v>0</v>
      </c>
      <c r="I285" s="30">
        <f>J285-H285</f>
        <v>0</v>
      </c>
      <c r="J285" s="30">
        <f>ROUND(F285*G285,2)</f>
        <v>0</v>
      </c>
      <c r="K285" s="30">
        <v>1.2E-2</v>
      </c>
      <c r="L285" s="30">
        <f>F285*K285</f>
        <v>5.1840000000000004E-2</v>
      </c>
      <c r="M285" s="31"/>
      <c r="N285" s="31" t="s">
        <v>55</v>
      </c>
      <c r="O285" s="30">
        <f>IF(N285="5",I285,0)</f>
        <v>0</v>
      </c>
      <c r="Z285" s="30">
        <f>IF(AD285=0,J285,0)</f>
        <v>0</v>
      </c>
      <c r="AA285" s="30">
        <f>IF(AD285=15,J285,0)</f>
        <v>0</v>
      </c>
      <c r="AB285" s="30">
        <f>IF(AD285=21,J285,0)</f>
        <v>0</v>
      </c>
      <c r="AD285" s="32">
        <v>21</v>
      </c>
      <c r="AE285" s="32">
        <f>G285*0.381443298969072</f>
        <v>0</v>
      </c>
      <c r="AF285" s="32">
        <f>G285*(1-0.381443298969072)</f>
        <v>0</v>
      </c>
      <c r="AM285" s="32">
        <f>F285*AE285</f>
        <v>0</v>
      </c>
      <c r="AN285" s="32">
        <f>F285*AF285</f>
        <v>0</v>
      </c>
      <c r="AO285" s="33" t="s">
        <v>171</v>
      </c>
      <c r="AP285" s="33" t="s">
        <v>171</v>
      </c>
      <c r="AQ285" s="21" t="s">
        <v>286</v>
      </c>
    </row>
    <row r="286" spans="1:43" x14ac:dyDescent="0.25">
      <c r="A286" s="26"/>
      <c r="B286" s="27" t="s">
        <v>284</v>
      </c>
      <c r="C286" s="27" t="s">
        <v>52</v>
      </c>
      <c r="D286" s="338" t="s">
        <v>53</v>
      </c>
      <c r="E286" s="339"/>
      <c r="F286" s="339"/>
      <c r="G286" s="339"/>
      <c r="H286" s="28">
        <f>SUM(H287:H289)</f>
        <v>0</v>
      </c>
      <c r="I286" s="28">
        <f>SUM(I287:I289)</f>
        <v>0</v>
      </c>
      <c r="J286" s="28">
        <f>H286+I286</f>
        <v>0</v>
      </c>
      <c r="K286" s="21"/>
      <c r="L286" s="28">
        <f>SUM(L287:L289)</f>
        <v>0.48199140000000007</v>
      </c>
      <c r="M286" s="21"/>
      <c r="P286" s="28">
        <f>IF(Q286="PR",J286,SUM(O287:O289))</f>
        <v>0</v>
      </c>
      <c r="Q286" s="21" t="s">
        <v>54</v>
      </c>
      <c r="R286" s="28">
        <f>IF(Q286="HS",H286,0)</f>
        <v>0</v>
      </c>
      <c r="S286" s="28">
        <f>IF(Q286="HS",I286-P286,0)</f>
        <v>0</v>
      </c>
      <c r="T286" s="28">
        <f>IF(Q286="PS",H286,0)</f>
        <v>0</v>
      </c>
      <c r="U286" s="28">
        <f>IF(Q286="PS",I286-P286,0)</f>
        <v>0</v>
      </c>
      <c r="V286" s="28">
        <f>IF(Q286="MP",H286,0)</f>
        <v>0</v>
      </c>
      <c r="W286" s="28">
        <f>IF(Q286="MP",I286-P286,0)</f>
        <v>0</v>
      </c>
      <c r="X286" s="28">
        <f>IF(Q286="OM",H286,0)</f>
        <v>0</v>
      </c>
      <c r="Y286" s="21" t="s">
        <v>284</v>
      </c>
      <c r="AI286" s="28">
        <f>SUM(Z287:Z289)</f>
        <v>0</v>
      </c>
      <c r="AJ286" s="28">
        <f>SUM(AA287:AA289)</f>
        <v>0</v>
      </c>
      <c r="AK286" s="28">
        <f>SUM(AB287:AB289)</f>
        <v>0</v>
      </c>
    </row>
    <row r="287" spans="1:43" x14ac:dyDescent="0.25">
      <c r="A287" s="29" t="s">
        <v>287</v>
      </c>
      <c r="B287" s="29" t="s">
        <v>284</v>
      </c>
      <c r="C287" s="29" t="s">
        <v>156</v>
      </c>
      <c r="D287" s="29" t="s">
        <v>2279</v>
      </c>
      <c r="E287" s="29" t="s">
        <v>58</v>
      </c>
      <c r="F287" s="30">
        <v>21.78</v>
      </c>
      <c r="G287" s="317">
        <v>0</v>
      </c>
      <c r="H287" s="30">
        <f>ROUND(F287*AE287,2)</f>
        <v>0</v>
      </c>
      <c r="I287" s="30">
        <f>J287-H287</f>
        <v>0</v>
      </c>
      <c r="J287" s="30">
        <f>ROUND(F287*G287,2)</f>
        <v>0</v>
      </c>
      <c r="K287" s="30">
        <v>2.0310000000000002E-2</v>
      </c>
      <c r="L287" s="30">
        <f>F287*K287</f>
        <v>0.44235180000000007</v>
      </c>
      <c r="M287" s="258" t="s">
        <v>2291</v>
      </c>
      <c r="N287" s="31" t="s">
        <v>55</v>
      </c>
      <c r="O287" s="30">
        <f>IF(N287="5",I287,0)</f>
        <v>0</v>
      </c>
      <c r="Z287" s="30">
        <f>IF(AD287=0,J287,0)</f>
        <v>0</v>
      </c>
      <c r="AA287" s="30">
        <f>IF(AD287=15,J287,0)</f>
        <v>0</v>
      </c>
      <c r="AB287" s="30">
        <f>IF(AD287=21,J287,0)</f>
        <v>0</v>
      </c>
      <c r="AD287" s="32">
        <v>21</v>
      </c>
      <c r="AE287" s="32">
        <f>G287*0.423217647685695</f>
        <v>0</v>
      </c>
      <c r="AF287" s="32">
        <f>G287*(1-0.423217647685695)</f>
        <v>0</v>
      </c>
      <c r="AM287" s="32">
        <f>F287*AE287</f>
        <v>0</v>
      </c>
      <c r="AN287" s="32">
        <f>F287*AF287</f>
        <v>0</v>
      </c>
      <c r="AO287" s="33" t="s">
        <v>60</v>
      </c>
      <c r="AP287" s="33" t="s">
        <v>61</v>
      </c>
      <c r="AQ287" s="21" t="s">
        <v>286</v>
      </c>
    </row>
    <row r="288" spans="1:43" ht="25.7" customHeight="1" x14ac:dyDescent="0.25">
      <c r="C288" s="34" t="s">
        <v>63</v>
      </c>
      <c r="D288" s="340" t="s">
        <v>157</v>
      </c>
      <c r="E288" s="341"/>
      <c r="F288" s="341"/>
      <c r="G288" s="341"/>
      <c r="H288" s="341"/>
      <c r="I288" s="341"/>
      <c r="J288" s="341"/>
      <c r="K288" s="341"/>
      <c r="L288" s="341"/>
      <c r="M288" s="341"/>
    </row>
    <row r="289" spans="1:43" x14ac:dyDescent="0.25">
      <c r="A289" s="29" t="s">
        <v>288</v>
      </c>
      <c r="B289" s="29" t="s">
        <v>284</v>
      </c>
      <c r="C289" s="29" t="s">
        <v>56</v>
      </c>
      <c r="D289" s="29" t="s">
        <v>57</v>
      </c>
      <c r="E289" s="29" t="s">
        <v>58</v>
      </c>
      <c r="F289" s="30">
        <v>3.96</v>
      </c>
      <c r="G289" s="317">
        <v>0</v>
      </c>
      <c r="H289" s="30">
        <f>ROUND(F289*AE289,2)</f>
        <v>0</v>
      </c>
      <c r="I289" s="30">
        <f>J289-H289</f>
        <v>0</v>
      </c>
      <c r="J289" s="30">
        <f>ROUND(F289*G289,2)</f>
        <v>0</v>
      </c>
      <c r="K289" s="30">
        <v>1.001E-2</v>
      </c>
      <c r="L289" s="30">
        <f>F289*K289</f>
        <v>3.9639599999999997E-2</v>
      </c>
      <c r="M289" s="258" t="s">
        <v>2291</v>
      </c>
      <c r="N289" s="31" t="s">
        <v>59</v>
      </c>
      <c r="O289" s="30">
        <f>IF(N289="5",I289,0)</f>
        <v>0</v>
      </c>
      <c r="Z289" s="30">
        <f>IF(AD289=0,J289,0)</f>
        <v>0</v>
      </c>
      <c r="AA289" s="30">
        <f>IF(AD289=15,J289,0)</f>
        <v>0</v>
      </c>
      <c r="AB289" s="30">
        <f>IF(AD289=21,J289,0)</f>
        <v>0</v>
      </c>
      <c r="AD289" s="32">
        <v>21</v>
      </c>
      <c r="AE289" s="32">
        <f>G289*0.0756575801052128</f>
        <v>0</v>
      </c>
      <c r="AF289" s="32">
        <f>G289*(1-0.0756575801052128)</f>
        <v>0</v>
      </c>
      <c r="AM289" s="32">
        <f>F289*AE289</f>
        <v>0</v>
      </c>
      <c r="AN289" s="32">
        <f>F289*AF289</f>
        <v>0</v>
      </c>
      <c r="AO289" s="33" t="s">
        <v>60</v>
      </c>
      <c r="AP289" s="33" t="s">
        <v>61</v>
      </c>
      <c r="AQ289" s="21" t="s">
        <v>286</v>
      </c>
    </row>
    <row r="290" spans="1:43" ht="25.7" customHeight="1" x14ac:dyDescent="0.25">
      <c r="C290" s="34" t="s">
        <v>63</v>
      </c>
      <c r="D290" s="340" t="s">
        <v>64</v>
      </c>
      <c r="E290" s="341"/>
      <c r="F290" s="341"/>
      <c r="G290" s="341"/>
      <c r="H290" s="341"/>
      <c r="I290" s="341"/>
      <c r="J290" s="341"/>
      <c r="K290" s="341"/>
      <c r="L290" s="341"/>
      <c r="M290" s="341"/>
    </row>
    <row r="291" spans="1:43" x14ac:dyDescent="0.25">
      <c r="A291" s="26"/>
      <c r="B291" s="27" t="s">
        <v>284</v>
      </c>
      <c r="C291" s="27" t="s">
        <v>68</v>
      </c>
      <c r="D291" s="338" t="s">
        <v>69</v>
      </c>
      <c r="E291" s="339"/>
      <c r="F291" s="339"/>
      <c r="G291" s="339"/>
      <c r="H291" s="28">
        <f>SUM(H292:H293)</f>
        <v>0</v>
      </c>
      <c r="I291" s="28">
        <f>SUM(I292:I293)</f>
        <v>0</v>
      </c>
      <c r="J291" s="28">
        <f>H291+I291</f>
        <v>0</v>
      </c>
      <c r="K291" s="21"/>
      <c r="L291" s="28">
        <f>SUM(L292:L293)</f>
        <v>3.0418848000000001</v>
      </c>
      <c r="M291" s="21"/>
      <c r="P291" s="28">
        <f>IF(Q291="PR",J291,SUM(O292:O293))</f>
        <v>0</v>
      </c>
      <c r="Q291" s="21" t="s">
        <v>54</v>
      </c>
      <c r="R291" s="28">
        <f>IF(Q291="HS",H291,0)</f>
        <v>0</v>
      </c>
      <c r="S291" s="28">
        <f>IF(Q291="HS",I291-P291,0)</f>
        <v>0</v>
      </c>
      <c r="T291" s="28">
        <f>IF(Q291="PS",H291,0)</f>
        <v>0</v>
      </c>
      <c r="U291" s="28">
        <f>IF(Q291="PS",I291-P291,0)</f>
        <v>0</v>
      </c>
      <c r="V291" s="28">
        <f>IF(Q291="MP",H291,0)</f>
        <v>0</v>
      </c>
      <c r="W291" s="28">
        <f>IF(Q291="MP",I291-P291,0)</f>
        <v>0</v>
      </c>
      <c r="X291" s="28">
        <f>IF(Q291="OM",H291,0)</f>
        <v>0</v>
      </c>
      <c r="Y291" s="21" t="s">
        <v>284</v>
      </c>
      <c r="AI291" s="28">
        <f>SUM(Z292:Z293)</f>
        <v>0</v>
      </c>
      <c r="AJ291" s="28">
        <f>SUM(AA292:AA293)</f>
        <v>0</v>
      </c>
      <c r="AK291" s="28">
        <f>SUM(AB292:AB293)</f>
        <v>0</v>
      </c>
    </row>
    <row r="292" spans="1:43" x14ac:dyDescent="0.25">
      <c r="A292" s="29" t="s">
        <v>289</v>
      </c>
      <c r="B292" s="29" t="s">
        <v>284</v>
      </c>
      <c r="C292" s="29" t="s">
        <v>70</v>
      </c>
      <c r="D292" s="29" t="s">
        <v>71</v>
      </c>
      <c r="E292" s="29" t="s">
        <v>58</v>
      </c>
      <c r="F292" s="30">
        <v>4.32</v>
      </c>
      <c r="G292" s="317">
        <v>0</v>
      </c>
      <c r="H292" s="30">
        <f>ROUND(F292*AE292,2)</f>
        <v>0</v>
      </c>
      <c r="I292" s="30">
        <f>J292-H292</f>
        <v>0</v>
      </c>
      <c r="J292" s="30">
        <f>ROUND(F292*G292,2)</f>
        <v>0</v>
      </c>
      <c r="K292" s="30">
        <v>4.9840000000000002E-2</v>
      </c>
      <c r="L292" s="30">
        <f>F292*K292</f>
        <v>0.21530880000000002</v>
      </c>
      <c r="M292" s="258" t="s">
        <v>2291</v>
      </c>
      <c r="N292" s="31" t="s">
        <v>59</v>
      </c>
      <c r="O292" s="30">
        <f>IF(N292="5",I292,0)</f>
        <v>0</v>
      </c>
      <c r="Z292" s="30">
        <f>IF(AD292=0,J292,0)</f>
        <v>0</v>
      </c>
      <c r="AA292" s="30">
        <f>IF(AD292=15,J292,0)</f>
        <v>0</v>
      </c>
      <c r="AB292" s="30">
        <f>IF(AD292=21,J292,0)</f>
        <v>0</v>
      </c>
      <c r="AD292" s="32">
        <v>21</v>
      </c>
      <c r="AE292" s="32">
        <f>G292*0.411768721414431</f>
        <v>0</v>
      </c>
      <c r="AF292" s="32">
        <f>G292*(1-0.411768721414431)</f>
        <v>0</v>
      </c>
      <c r="AM292" s="32">
        <f>F292*AE292</f>
        <v>0</v>
      </c>
      <c r="AN292" s="32">
        <f>F292*AF292</f>
        <v>0</v>
      </c>
      <c r="AO292" s="33" t="s">
        <v>72</v>
      </c>
      <c r="AP292" s="33" t="s">
        <v>61</v>
      </c>
      <c r="AQ292" s="21" t="s">
        <v>286</v>
      </c>
    </row>
    <row r="293" spans="1:43" x14ac:dyDescent="0.25">
      <c r="A293" s="29" t="s">
        <v>290</v>
      </c>
      <c r="B293" s="29" t="s">
        <v>284</v>
      </c>
      <c r="C293" s="29" t="s">
        <v>185</v>
      </c>
      <c r="D293" s="29" t="s">
        <v>186</v>
      </c>
      <c r="E293" s="29" t="s">
        <v>58</v>
      </c>
      <c r="F293" s="30">
        <v>4.32</v>
      </c>
      <c r="G293" s="317">
        <v>0</v>
      </c>
      <c r="H293" s="30">
        <f>ROUND(F293*AE293,2)</f>
        <v>0</v>
      </c>
      <c r="I293" s="30">
        <f>J293-H293</f>
        <v>0</v>
      </c>
      <c r="J293" s="30">
        <f>ROUND(F293*G293,2)</f>
        <v>0</v>
      </c>
      <c r="K293" s="30">
        <v>0.65429999999999999</v>
      </c>
      <c r="L293" s="30">
        <f>F293*K293</f>
        <v>2.8265760000000002</v>
      </c>
      <c r="M293" s="258" t="s">
        <v>2291</v>
      </c>
      <c r="N293" s="31" t="s">
        <v>59</v>
      </c>
      <c r="O293" s="30">
        <f>IF(N293="5",I293,0)</f>
        <v>0</v>
      </c>
      <c r="Z293" s="30">
        <f>IF(AD293=0,J293,0)</f>
        <v>0</v>
      </c>
      <c r="AA293" s="30">
        <f>IF(AD293=15,J293,0)</f>
        <v>0</v>
      </c>
      <c r="AB293" s="30">
        <f>IF(AD293=21,J293,0)</f>
        <v>0</v>
      </c>
      <c r="AD293" s="32">
        <v>21</v>
      </c>
      <c r="AE293" s="32">
        <f>G293*0.563622974963181</f>
        <v>0</v>
      </c>
      <c r="AF293" s="32">
        <f>G293*(1-0.563622974963181)</f>
        <v>0</v>
      </c>
      <c r="AM293" s="32">
        <f>F293*AE293</f>
        <v>0</v>
      </c>
      <c r="AN293" s="32">
        <f>F293*AF293</f>
        <v>0</v>
      </c>
      <c r="AO293" s="33" t="s">
        <v>72</v>
      </c>
      <c r="AP293" s="33" t="s">
        <v>61</v>
      </c>
      <c r="AQ293" s="21" t="s">
        <v>286</v>
      </c>
    </row>
    <row r="294" spans="1:43" x14ac:dyDescent="0.25">
      <c r="A294" s="26"/>
      <c r="B294" s="27" t="s">
        <v>284</v>
      </c>
      <c r="C294" s="27" t="s">
        <v>73</v>
      </c>
      <c r="D294" s="338" t="s">
        <v>74</v>
      </c>
      <c r="E294" s="339"/>
      <c r="F294" s="339"/>
      <c r="G294" s="339"/>
      <c r="H294" s="28">
        <f>SUM(H295:H297)</f>
        <v>0</v>
      </c>
      <c r="I294" s="28">
        <f>SUM(I295:I297)</f>
        <v>0</v>
      </c>
      <c r="J294" s="28">
        <f>H294+I294</f>
        <v>0</v>
      </c>
      <c r="K294" s="21"/>
      <c r="L294" s="28">
        <f>SUM(L295:L297)</f>
        <v>0.39847680000000002</v>
      </c>
      <c r="M294" s="21"/>
      <c r="P294" s="28">
        <f>IF(Q294="PR",J294,SUM(O295:O297))</f>
        <v>0</v>
      </c>
      <c r="Q294" s="21" t="s">
        <v>75</v>
      </c>
      <c r="R294" s="28">
        <f>IF(Q294="HS",H294,0)</f>
        <v>0</v>
      </c>
      <c r="S294" s="28">
        <f>IF(Q294="HS",I294-P294,0)</f>
        <v>0</v>
      </c>
      <c r="T294" s="28">
        <f>IF(Q294="PS",H294,0)</f>
        <v>0</v>
      </c>
      <c r="U294" s="28">
        <f>IF(Q294="PS",I294-P294,0)</f>
        <v>0</v>
      </c>
      <c r="V294" s="28">
        <f>IF(Q294="MP",H294,0)</f>
        <v>0</v>
      </c>
      <c r="W294" s="28">
        <f>IF(Q294="MP",I294-P294,0)</f>
        <v>0</v>
      </c>
      <c r="X294" s="28">
        <f>IF(Q294="OM",H294,0)</f>
        <v>0</v>
      </c>
      <c r="Y294" s="21" t="s">
        <v>284</v>
      </c>
      <c r="AI294" s="28">
        <f>SUM(Z295:Z297)</f>
        <v>0</v>
      </c>
      <c r="AJ294" s="28">
        <f>SUM(AA295:AA297)</f>
        <v>0</v>
      </c>
      <c r="AK294" s="28">
        <f>SUM(AB295:AB297)</f>
        <v>0</v>
      </c>
    </row>
    <row r="295" spans="1:43" x14ac:dyDescent="0.25">
      <c r="A295" s="29" t="s">
        <v>291</v>
      </c>
      <c r="B295" s="29" t="s">
        <v>284</v>
      </c>
      <c r="C295" s="29" t="s">
        <v>77</v>
      </c>
      <c r="D295" s="29" t="s">
        <v>2278</v>
      </c>
      <c r="E295" s="29" t="s">
        <v>58</v>
      </c>
      <c r="F295" s="30">
        <v>4.32</v>
      </c>
      <c r="G295" s="317">
        <v>0</v>
      </c>
      <c r="H295" s="30">
        <f>ROUND(F295*AE295,2)</f>
        <v>0</v>
      </c>
      <c r="I295" s="30">
        <f>J295-H295</f>
        <v>0</v>
      </c>
      <c r="J295" s="30">
        <f>ROUND(F295*G295,2)</f>
        <v>0</v>
      </c>
      <c r="K295" s="30">
        <v>1.61E-2</v>
      </c>
      <c r="L295" s="30">
        <f>F295*K295</f>
        <v>6.9552000000000003E-2</v>
      </c>
      <c r="M295" s="258" t="s">
        <v>2291</v>
      </c>
      <c r="N295" s="31" t="s">
        <v>59</v>
      </c>
      <c r="O295" s="30">
        <f>IF(N295="5",I295,0)</f>
        <v>0</v>
      </c>
      <c r="Z295" s="30">
        <f>IF(AD295=0,J295,0)</f>
        <v>0</v>
      </c>
      <c r="AA295" s="30">
        <f>IF(AD295=15,J295,0)</f>
        <v>0</v>
      </c>
      <c r="AB295" s="30">
        <f>IF(AD295=21,J295,0)</f>
        <v>0</v>
      </c>
      <c r="AD295" s="32">
        <v>21</v>
      </c>
      <c r="AE295" s="32">
        <f>G295*0.787221324717286</f>
        <v>0</v>
      </c>
      <c r="AF295" s="32">
        <f>G295*(1-0.787221324717286)</f>
        <v>0</v>
      </c>
      <c r="AM295" s="32">
        <f>F295*AE295</f>
        <v>0</v>
      </c>
      <c r="AN295" s="32">
        <f>F295*AF295</f>
        <v>0</v>
      </c>
      <c r="AO295" s="33" t="s">
        <v>78</v>
      </c>
      <c r="AP295" s="33" t="s">
        <v>79</v>
      </c>
      <c r="AQ295" s="21" t="s">
        <v>286</v>
      </c>
    </row>
    <row r="296" spans="1:43" ht="12.75" customHeight="1" x14ac:dyDescent="0.25">
      <c r="C296" s="34" t="s">
        <v>63</v>
      </c>
      <c r="D296" s="340" t="s">
        <v>2280</v>
      </c>
      <c r="E296" s="341"/>
      <c r="F296" s="341"/>
      <c r="G296" s="341"/>
      <c r="H296" s="341"/>
      <c r="I296" s="341"/>
      <c r="J296" s="341"/>
      <c r="K296" s="341"/>
      <c r="L296" s="341"/>
      <c r="M296" s="341"/>
    </row>
    <row r="297" spans="1:43" x14ac:dyDescent="0.25">
      <c r="A297" s="29" t="s">
        <v>292</v>
      </c>
      <c r="B297" s="29" t="s">
        <v>284</v>
      </c>
      <c r="C297" s="29" t="s">
        <v>122</v>
      </c>
      <c r="D297" s="29" t="s">
        <v>123</v>
      </c>
      <c r="E297" s="29" t="s">
        <v>58</v>
      </c>
      <c r="F297" s="30">
        <v>4.32</v>
      </c>
      <c r="G297" s="317">
        <v>0</v>
      </c>
      <c r="H297" s="30">
        <f>ROUND(F297*AE297,2)</f>
        <v>0</v>
      </c>
      <c r="I297" s="30">
        <f>J297-H297</f>
        <v>0</v>
      </c>
      <c r="J297" s="30">
        <f>ROUND(F297*G297,2)</f>
        <v>0</v>
      </c>
      <c r="K297" s="30">
        <v>7.6139999999999999E-2</v>
      </c>
      <c r="L297" s="30">
        <f>F297*K297</f>
        <v>0.32892480000000002</v>
      </c>
      <c r="M297" s="258" t="s">
        <v>2291</v>
      </c>
      <c r="N297" s="31" t="s">
        <v>59</v>
      </c>
      <c r="O297" s="30">
        <f>IF(N297="5",I297,0)</f>
        <v>0</v>
      </c>
      <c r="Z297" s="30">
        <f>IF(AD297=0,J297,0)</f>
        <v>0</v>
      </c>
      <c r="AA297" s="30">
        <f>IF(AD297=15,J297,0)</f>
        <v>0</v>
      </c>
      <c r="AB297" s="30">
        <f>IF(AD297=21,J297,0)</f>
        <v>0</v>
      </c>
      <c r="AD297" s="32">
        <v>21</v>
      </c>
      <c r="AE297" s="32">
        <f>G297*0.547569562266712</f>
        <v>0</v>
      </c>
      <c r="AF297" s="32">
        <f>G297*(1-0.547569562266712)</f>
        <v>0</v>
      </c>
      <c r="AM297" s="32">
        <f>F297*AE297</f>
        <v>0</v>
      </c>
      <c r="AN297" s="32">
        <f>F297*AF297</f>
        <v>0</v>
      </c>
      <c r="AO297" s="33" t="s">
        <v>78</v>
      </c>
      <c r="AP297" s="33" t="s">
        <v>79</v>
      </c>
      <c r="AQ297" s="21" t="s">
        <v>286</v>
      </c>
    </row>
    <row r="298" spans="1:43" x14ac:dyDescent="0.25">
      <c r="A298" s="26"/>
      <c r="B298" s="27" t="s">
        <v>284</v>
      </c>
      <c r="C298" s="27" t="s">
        <v>189</v>
      </c>
      <c r="D298" s="338" t="s">
        <v>190</v>
      </c>
      <c r="E298" s="339"/>
      <c r="F298" s="339"/>
      <c r="G298" s="339"/>
      <c r="H298" s="28">
        <f>SUM(H299:H299)</f>
        <v>0</v>
      </c>
      <c r="I298" s="28">
        <f>SUM(I299:I299)</f>
        <v>0</v>
      </c>
      <c r="J298" s="28">
        <f>H298+I298</f>
        <v>0</v>
      </c>
      <c r="K298" s="21"/>
      <c r="L298" s="28">
        <f>SUM(L299:L299)</f>
        <v>1.945068</v>
      </c>
      <c r="M298" s="21"/>
      <c r="P298" s="28">
        <f>IF(Q298="PR",J298,SUM(O299:O299))</f>
        <v>0</v>
      </c>
      <c r="Q298" s="21" t="s">
        <v>75</v>
      </c>
      <c r="R298" s="28">
        <f>IF(Q298="HS",H298,0)</f>
        <v>0</v>
      </c>
      <c r="S298" s="28">
        <f>IF(Q298="HS",I298-P298,0)</f>
        <v>0</v>
      </c>
      <c r="T298" s="28">
        <f>IF(Q298="PS",H298,0)</f>
        <v>0</v>
      </c>
      <c r="U298" s="28">
        <f>IF(Q298="PS",I298-P298,0)</f>
        <v>0</v>
      </c>
      <c r="V298" s="28">
        <f>IF(Q298="MP",H298,0)</f>
        <v>0</v>
      </c>
      <c r="W298" s="28">
        <f>IF(Q298="MP",I298-P298,0)</f>
        <v>0</v>
      </c>
      <c r="X298" s="28">
        <f>IF(Q298="OM",H298,0)</f>
        <v>0</v>
      </c>
      <c r="Y298" s="21" t="s">
        <v>284</v>
      </c>
      <c r="AI298" s="28">
        <f>SUM(Z299:Z299)</f>
        <v>0</v>
      </c>
      <c r="AJ298" s="28">
        <f>SUM(AA299:AA299)</f>
        <v>0</v>
      </c>
      <c r="AK298" s="28">
        <f>SUM(AB299:AB299)</f>
        <v>0</v>
      </c>
    </row>
    <row r="299" spans="1:43" x14ac:dyDescent="0.25">
      <c r="A299" s="29" t="s">
        <v>293</v>
      </c>
      <c r="B299" s="29" t="s">
        <v>284</v>
      </c>
      <c r="C299" s="29" t="s">
        <v>192</v>
      </c>
      <c r="D299" s="29" t="s">
        <v>193</v>
      </c>
      <c r="E299" s="29" t="s">
        <v>58</v>
      </c>
      <c r="F299" s="30">
        <v>22.8</v>
      </c>
      <c r="G299" s="317">
        <v>0</v>
      </c>
      <c r="H299" s="30">
        <f>ROUND(F299*AE299,2)</f>
        <v>0</v>
      </c>
      <c r="I299" s="30">
        <f>J299-H299</f>
        <v>0</v>
      </c>
      <c r="J299" s="30">
        <f>ROUND(F299*G299,2)</f>
        <v>0</v>
      </c>
      <c r="K299" s="30">
        <v>8.5309999999999997E-2</v>
      </c>
      <c r="L299" s="30">
        <f>F299*K299</f>
        <v>1.945068</v>
      </c>
      <c r="M299" s="258" t="s">
        <v>2291</v>
      </c>
      <c r="N299" s="31" t="s">
        <v>59</v>
      </c>
      <c r="O299" s="30">
        <f>IF(N299="5",I299,0)</f>
        <v>0</v>
      </c>
      <c r="Z299" s="30">
        <f>IF(AD299=0,J299,0)</f>
        <v>0</v>
      </c>
      <c r="AA299" s="30">
        <f>IF(AD299=15,J299,0)</f>
        <v>0</v>
      </c>
      <c r="AB299" s="30">
        <f>IF(AD299=21,J299,0)</f>
        <v>0</v>
      </c>
      <c r="AD299" s="32">
        <v>21</v>
      </c>
      <c r="AE299" s="32">
        <f>G299*0.531096976382174</f>
        <v>0</v>
      </c>
      <c r="AF299" s="32">
        <f>G299*(1-0.531096976382174)</f>
        <v>0</v>
      </c>
      <c r="AM299" s="32">
        <f>F299*AE299</f>
        <v>0</v>
      </c>
      <c r="AN299" s="32">
        <f>F299*AF299</f>
        <v>0</v>
      </c>
      <c r="AO299" s="33" t="s">
        <v>194</v>
      </c>
      <c r="AP299" s="33" t="s">
        <v>92</v>
      </c>
      <c r="AQ299" s="21" t="s">
        <v>286</v>
      </c>
    </row>
    <row r="300" spans="1:43" x14ac:dyDescent="0.25">
      <c r="A300" s="26"/>
      <c r="B300" s="27" t="s">
        <v>284</v>
      </c>
      <c r="C300" s="27" t="s">
        <v>86</v>
      </c>
      <c r="D300" s="338" t="s">
        <v>87</v>
      </c>
      <c r="E300" s="339"/>
      <c r="F300" s="339"/>
      <c r="G300" s="339"/>
      <c r="H300" s="28">
        <f>SUM(H301:H301)</f>
        <v>0</v>
      </c>
      <c r="I300" s="28">
        <f>SUM(I301:I301)</f>
        <v>0</v>
      </c>
      <c r="J300" s="28">
        <f>H300+I300</f>
        <v>0</v>
      </c>
      <c r="K300" s="21"/>
      <c r="L300" s="28">
        <f>SUM(L301:L301)</f>
        <v>2.16E-3</v>
      </c>
      <c r="M300" s="21"/>
      <c r="P300" s="28">
        <f>IF(Q300="PR",J300,SUM(O301:O301))</f>
        <v>0</v>
      </c>
      <c r="Q300" s="21" t="s">
        <v>75</v>
      </c>
      <c r="R300" s="28">
        <f>IF(Q300="HS",H300,0)</f>
        <v>0</v>
      </c>
      <c r="S300" s="28">
        <f>IF(Q300="HS",I300-P300,0)</f>
        <v>0</v>
      </c>
      <c r="T300" s="28">
        <f>IF(Q300="PS",H300,0)</f>
        <v>0</v>
      </c>
      <c r="U300" s="28">
        <f>IF(Q300="PS",I300-P300,0)</f>
        <v>0</v>
      </c>
      <c r="V300" s="28">
        <f>IF(Q300="MP",H300,0)</f>
        <v>0</v>
      </c>
      <c r="W300" s="28">
        <f>IF(Q300="MP",I300-P300,0)</f>
        <v>0</v>
      </c>
      <c r="X300" s="28">
        <f>IF(Q300="OM",H300,0)</f>
        <v>0</v>
      </c>
      <c r="Y300" s="21" t="s">
        <v>284</v>
      </c>
      <c r="AI300" s="28">
        <f>SUM(Z301:Z301)</f>
        <v>0</v>
      </c>
      <c r="AJ300" s="28">
        <f>SUM(AA301:AA301)</f>
        <v>0</v>
      </c>
      <c r="AK300" s="28">
        <f>SUM(AB301:AB301)</f>
        <v>0</v>
      </c>
    </row>
    <row r="301" spans="1:43" x14ac:dyDescent="0.25">
      <c r="A301" s="29" t="s">
        <v>294</v>
      </c>
      <c r="B301" s="29" t="s">
        <v>284</v>
      </c>
      <c r="C301" s="29" t="s">
        <v>89</v>
      </c>
      <c r="D301" s="29" t="s">
        <v>90</v>
      </c>
      <c r="E301" s="29" t="s">
        <v>58</v>
      </c>
      <c r="F301" s="30">
        <v>8</v>
      </c>
      <c r="G301" s="317">
        <v>0</v>
      </c>
      <c r="H301" s="30">
        <f>ROUND(F301*AE301,2)</f>
        <v>0</v>
      </c>
      <c r="I301" s="30">
        <f>J301-H301</f>
        <v>0</v>
      </c>
      <c r="J301" s="30">
        <f>ROUND(F301*G301,2)</f>
        <v>0</v>
      </c>
      <c r="K301" s="30">
        <v>2.7E-4</v>
      </c>
      <c r="L301" s="30">
        <f>F301*K301</f>
        <v>2.16E-3</v>
      </c>
      <c r="M301" s="258" t="s">
        <v>2291</v>
      </c>
      <c r="N301" s="31" t="s">
        <v>59</v>
      </c>
      <c r="O301" s="30">
        <f>IF(N301="5",I301,0)</f>
        <v>0</v>
      </c>
      <c r="Z301" s="30">
        <f>IF(AD301=0,J301,0)</f>
        <v>0</v>
      </c>
      <c r="AA301" s="30">
        <f>IF(AD301=15,J301,0)</f>
        <v>0</v>
      </c>
      <c r="AB301" s="30">
        <f>IF(AD301=21,J301,0)</f>
        <v>0</v>
      </c>
      <c r="AD301" s="32">
        <v>21</v>
      </c>
      <c r="AE301" s="32">
        <f>G301*0.186098187625859</f>
        <v>0</v>
      </c>
      <c r="AF301" s="32">
        <f>G301*(1-0.186098187625859)</f>
        <v>0</v>
      </c>
      <c r="AM301" s="32">
        <f>F301*AE301</f>
        <v>0</v>
      </c>
      <c r="AN301" s="32">
        <f>F301*AF301</f>
        <v>0</v>
      </c>
      <c r="AO301" s="33" t="s">
        <v>91</v>
      </c>
      <c r="AP301" s="33" t="s">
        <v>92</v>
      </c>
      <c r="AQ301" s="21" t="s">
        <v>286</v>
      </c>
    </row>
    <row r="302" spans="1:43" x14ac:dyDescent="0.25">
      <c r="A302" s="26"/>
      <c r="B302" s="27" t="s">
        <v>284</v>
      </c>
      <c r="C302" s="27" t="s">
        <v>93</v>
      </c>
      <c r="D302" s="338" t="s">
        <v>94</v>
      </c>
      <c r="E302" s="339"/>
      <c r="F302" s="339"/>
      <c r="G302" s="339"/>
      <c r="H302" s="28">
        <f>SUM(H303:H303)</f>
        <v>0</v>
      </c>
      <c r="I302" s="28">
        <f>SUM(I303:I303)</f>
        <v>0</v>
      </c>
      <c r="J302" s="28">
        <f>H302+I302</f>
        <v>0</v>
      </c>
      <c r="K302" s="21"/>
      <c r="L302" s="28">
        <f>SUM(L303:L303)</f>
        <v>4.6800000000000001E-3</v>
      </c>
      <c r="M302" s="21"/>
      <c r="P302" s="28">
        <f>IF(Q302="PR",J302,SUM(O303:O303))</f>
        <v>0</v>
      </c>
      <c r="Q302" s="21" t="s">
        <v>75</v>
      </c>
      <c r="R302" s="28">
        <f>IF(Q302="HS",H302,0)</f>
        <v>0</v>
      </c>
      <c r="S302" s="28">
        <f>IF(Q302="HS",I302-P302,0)</f>
        <v>0</v>
      </c>
      <c r="T302" s="28">
        <f>IF(Q302="PS",H302,0)</f>
        <v>0</v>
      </c>
      <c r="U302" s="28">
        <f>IF(Q302="PS",I302-P302,0)</f>
        <v>0</v>
      </c>
      <c r="V302" s="28">
        <f>IF(Q302="MP",H302,0)</f>
        <v>0</v>
      </c>
      <c r="W302" s="28">
        <f>IF(Q302="MP",I302-P302,0)</f>
        <v>0</v>
      </c>
      <c r="X302" s="28">
        <f>IF(Q302="OM",H302,0)</f>
        <v>0</v>
      </c>
      <c r="Y302" s="21" t="s">
        <v>284</v>
      </c>
      <c r="AI302" s="28">
        <f>SUM(Z303:Z303)</f>
        <v>0</v>
      </c>
      <c r="AJ302" s="28">
        <f>SUM(AA303:AA303)</f>
        <v>0</v>
      </c>
      <c r="AK302" s="28">
        <f>SUM(AB303:AB303)</f>
        <v>0</v>
      </c>
    </row>
    <row r="303" spans="1:43" x14ac:dyDescent="0.25">
      <c r="A303" s="29" t="s">
        <v>295</v>
      </c>
      <c r="B303" s="29" t="s">
        <v>284</v>
      </c>
      <c r="C303" s="29" t="s">
        <v>96</v>
      </c>
      <c r="D303" s="29" t="s">
        <v>97</v>
      </c>
      <c r="E303" s="29" t="s">
        <v>58</v>
      </c>
      <c r="F303" s="30">
        <v>7.2</v>
      </c>
      <c r="G303" s="317">
        <v>0</v>
      </c>
      <c r="H303" s="30">
        <f>ROUND(F303*AE303,2)</f>
        <v>0</v>
      </c>
      <c r="I303" s="30">
        <f>J303-H303</f>
        <v>0</v>
      </c>
      <c r="J303" s="30">
        <f>ROUND(F303*G303,2)</f>
        <v>0</v>
      </c>
      <c r="K303" s="30">
        <v>6.4999999999999997E-4</v>
      </c>
      <c r="L303" s="30">
        <f>F303*K303</f>
        <v>4.6800000000000001E-3</v>
      </c>
      <c r="M303" s="258" t="s">
        <v>2291</v>
      </c>
      <c r="N303" s="31" t="s">
        <v>59</v>
      </c>
      <c r="O303" s="30">
        <f>IF(N303="5",I303,0)</f>
        <v>0</v>
      </c>
      <c r="Z303" s="30">
        <f>IF(AD303=0,J303,0)</f>
        <v>0</v>
      </c>
      <c r="AA303" s="30">
        <f>IF(AD303=15,J303,0)</f>
        <v>0</v>
      </c>
      <c r="AB303" s="30">
        <f>IF(AD303=21,J303,0)</f>
        <v>0</v>
      </c>
      <c r="AD303" s="32">
        <v>21</v>
      </c>
      <c r="AE303" s="32">
        <f>G303*0.333747476316198</f>
        <v>0</v>
      </c>
      <c r="AF303" s="32">
        <f>G303*(1-0.333747476316198)</f>
        <v>0</v>
      </c>
      <c r="AM303" s="32">
        <f>F303*AE303</f>
        <v>0</v>
      </c>
      <c r="AN303" s="32">
        <f>F303*AF303</f>
        <v>0</v>
      </c>
      <c r="AO303" s="33" t="s">
        <v>98</v>
      </c>
      <c r="AP303" s="33" t="s">
        <v>92</v>
      </c>
      <c r="AQ303" s="21" t="s">
        <v>286</v>
      </c>
    </row>
    <row r="304" spans="1:43" x14ac:dyDescent="0.25">
      <c r="A304" s="26"/>
      <c r="B304" s="27" t="s">
        <v>296</v>
      </c>
      <c r="C304" s="27"/>
      <c r="D304" s="338" t="s">
        <v>296</v>
      </c>
      <c r="E304" s="339"/>
      <c r="F304" s="339"/>
      <c r="G304" s="339"/>
      <c r="H304" s="28">
        <f>H305+H310+H312+H315+H317+H319+H321+H324</f>
        <v>0</v>
      </c>
      <c r="I304" s="28">
        <f>I305+I310+I312+I315+I317+I319+I321+I324</f>
        <v>0</v>
      </c>
      <c r="J304" s="28">
        <f>H304+I304</f>
        <v>0</v>
      </c>
      <c r="K304" s="21"/>
      <c r="L304" s="28">
        <f>L305+L310+L312+L315+L317+L319+L321+L324</f>
        <v>1.5466959999999998</v>
      </c>
      <c r="M304" s="21"/>
    </row>
    <row r="305" spans="1:43" x14ac:dyDescent="0.25">
      <c r="A305" s="26"/>
      <c r="B305" s="27" t="s">
        <v>296</v>
      </c>
      <c r="C305" s="27" t="s">
        <v>52</v>
      </c>
      <c r="D305" s="338" t="s">
        <v>53</v>
      </c>
      <c r="E305" s="339"/>
      <c r="F305" s="339"/>
      <c r="G305" s="339"/>
      <c r="H305" s="28">
        <f>SUM(H306:H308)</f>
        <v>0</v>
      </c>
      <c r="I305" s="28">
        <f>SUM(I306:I308)</f>
        <v>0</v>
      </c>
      <c r="J305" s="28">
        <f>H305+I305</f>
        <v>0</v>
      </c>
      <c r="K305" s="21"/>
      <c r="L305" s="28">
        <f>SUM(L306:L308)</f>
        <v>0.550095</v>
      </c>
      <c r="M305" s="21"/>
      <c r="P305" s="28">
        <f>IF(Q305="PR",J305,SUM(O306:O308))</f>
        <v>0</v>
      </c>
      <c r="Q305" s="21" t="s">
        <v>54</v>
      </c>
      <c r="R305" s="28">
        <f>IF(Q305="HS",H305,0)</f>
        <v>0</v>
      </c>
      <c r="S305" s="28">
        <f>IF(Q305="HS",I305-P305,0)</f>
        <v>0</v>
      </c>
      <c r="T305" s="28">
        <f>IF(Q305="PS",H305,0)</f>
        <v>0</v>
      </c>
      <c r="U305" s="28">
        <f>IF(Q305="PS",I305-P305,0)</f>
        <v>0</v>
      </c>
      <c r="V305" s="28">
        <f>IF(Q305="MP",H305,0)</f>
        <v>0</v>
      </c>
      <c r="W305" s="28">
        <f>IF(Q305="MP",I305-P305,0)</f>
        <v>0</v>
      </c>
      <c r="X305" s="28">
        <f>IF(Q305="OM",H305,0)</f>
        <v>0</v>
      </c>
      <c r="Y305" s="21" t="s">
        <v>296</v>
      </c>
      <c r="AI305" s="28">
        <f>SUM(Z306:Z308)</f>
        <v>0</v>
      </c>
      <c r="AJ305" s="28">
        <f>SUM(AA306:AA308)</f>
        <v>0</v>
      </c>
      <c r="AK305" s="28">
        <f>SUM(AB306:AB308)</f>
        <v>0</v>
      </c>
    </row>
    <row r="306" spans="1:43" x14ac:dyDescent="0.25">
      <c r="A306" s="29" t="s">
        <v>297</v>
      </c>
      <c r="B306" s="29" t="s">
        <v>296</v>
      </c>
      <c r="C306" s="29" t="s">
        <v>56</v>
      </c>
      <c r="D306" s="29" t="s">
        <v>57</v>
      </c>
      <c r="E306" s="29" t="s">
        <v>58</v>
      </c>
      <c r="F306" s="30">
        <v>44.22</v>
      </c>
      <c r="G306" s="317">
        <v>0</v>
      </c>
      <c r="H306" s="30">
        <f>ROUND(F306*AE306,2)</f>
        <v>0</v>
      </c>
      <c r="I306" s="30">
        <f>J306-H306</f>
        <v>0</v>
      </c>
      <c r="J306" s="30">
        <f>ROUND(F306*G306,2)</f>
        <v>0</v>
      </c>
      <c r="K306" s="30">
        <v>1.001E-2</v>
      </c>
      <c r="L306" s="30">
        <f>F306*K306</f>
        <v>0.44264219999999999</v>
      </c>
      <c r="M306" s="258" t="s">
        <v>2291</v>
      </c>
      <c r="N306" s="31" t="s">
        <v>59</v>
      </c>
      <c r="O306" s="30">
        <f>IF(N306="5",I306,0)</f>
        <v>0</v>
      </c>
      <c r="Z306" s="30">
        <f>IF(AD306=0,J306,0)</f>
        <v>0</v>
      </c>
      <c r="AA306" s="30">
        <f>IF(AD306=15,J306,0)</f>
        <v>0</v>
      </c>
      <c r="AB306" s="30">
        <f>IF(AD306=21,J306,0)</f>
        <v>0</v>
      </c>
      <c r="AD306" s="32">
        <v>21</v>
      </c>
      <c r="AE306" s="32">
        <f>G306*0.0756575801052128</f>
        <v>0</v>
      </c>
      <c r="AF306" s="32">
        <f>G306*(1-0.0756575801052128)</f>
        <v>0</v>
      </c>
      <c r="AM306" s="32">
        <f>F306*AE306</f>
        <v>0</v>
      </c>
      <c r="AN306" s="32">
        <f>F306*AF306</f>
        <v>0</v>
      </c>
      <c r="AO306" s="33" t="s">
        <v>60</v>
      </c>
      <c r="AP306" s="33" t="s">
        <v>61</v>
      </c>
      <c r="AQ306" s="21" t="s">
        <v>298</v>
      </c>
    </row>
    <row r="307" spans="1:43" ht="25.7" customHeight="1" x14ac:dyDescent="0.25">
      <c r="C307" s="34" t="s">
        <v>63</v>
      </c>
      <c r="D307" s="340" t="s">
        <v>64</v>
      </c>
      <c r="E307" s="341"/>
      <c r="F307" s="341"/>
      <c r="G307" s="341"/>
      <c r="H307" s="341"/>
      <c r="I307" s="341"/>
      <c r="J307" s="341"/>
      <c r="K307" s="341"/>
      <c r="L307" s="341"/>
      <c r="M307" s="341"/>
    </row>
    <row r="308" spans="1:43" x14ac:dyDescent="0.25">
      <c r="A308" s="29" t="s">
        <v>299</v>
      </c>
      <c r="B308" s="29" t="s">
        <v>296</v>
      </c>
      <c r="C308" s="29" t="s">
        <v>66</v>
      </c>
      <c r="D308" s="29" t="s">
        <v>67</v>
      </c>
      <c r="E308" s="29" t="s">
        <v>58</v>
      </c>
      <c r="F308" s="30">
        <v>10.92</v>
      </c>
      <c r="G308" s="317">
        <v>0</v>
      </c>
      <c r="H308" s="30">
        <f>ROUND(F308*AE308,2)</f>
        <v>0</v>
      </c>
      <c r="I308" s="30">
        <f>J308-H308</f>
        <v>0</v>
      </c>
      <c r="J308" s="30">
        <f>ROUND(F308*G308,2)</f>
        <v>0</v>
      </c>
      <c r="K308" s="30">
        <v>9.8399999999999998E-3</v>
      </c>
      <c r="L308" s="30">
        <f>F308*K308</f>
        <v>0.1074528</v>
      </c>
      <c r="M308" s="258" t="s">
        <v>2291</v>
      </c>
      <c r="N308" s="31" t="s">
        <v>59</v>
      </c>
      <c r="O308" s="30">
        <f>IF(N308="5",I308,0)</f>
        <v>0</v>
      </c>
      <c r="Z308" s="30">
        <f>IF(AD308=0,J308,0)</f>
        <v>0</v>
      </c>
      <c r="AA308" s="30">
        <f>IF(AD308=15,J308,0)</f>
        <v>0</v>
      </c>
      <c r="AB308" s="30">
        <f>IF(AD308=21,J308,0)</f>
        <v>0</v>
      </c>
      <c r="AD308" s="32">
        <v>21</v>
      </c>
      <c r="AE308" s="32">
        <f>G308*0.160304682766381</f>
        <v>0</v>
      </c>
      <c r="AF308" s="32">
        <f>G308*(1-0.160304682766381)</f>
        <v>0</v>
      </c>
      <c r="AM308" s="32">
        <f>F308*AE308</f>
        <v>0</v>
      </c>
      <c r="AN308" s="32">
        <f>F308*AF308</f>
        <v>0</v>
      </c>
      <c r="AO308" s="33" t="s">
        <v>60</v>
      </c>
      <c r="AP308" s="33" t="s">
        <v>61</v>
      </c>
      <c r="AQ308" s="21" t="s">
        <v>298</v>
      </c>
    </row>
    <row r="309" spans="1:43" ht="25.7" customHeight="1" x14ac:dyDescent="0.25">
      <c r="C309" s="34" t="s">
        <v>63</v>
      </c>
      <c r="D309" s="340" t="s">
        <v>64</v>
      </c>
      <c r="E309" s="341"/>
      <c r="F309" s="341"/>
      <c r="G309" s="341"/>
      <c r="H309" s="341"/>
      <c r="I309" s="341"/>
      <c r="J309" s="341"/>
      <c r="K309" s="341"/>
      <c r="L309" s="341"/>
      <c r="M309" s="341"/>
    </row>
    <row r="310" spans="1:43" x14ac:dyDescent="0.25">
      <c r="A310" s="26"/>
      <c r="B310" s="27" t="s">
        <v>296</v>
      </c>
      <c r="C310" s="27" t="s">
        <v>68</v>
      </c>
      <c r="D310" s="338" t="s">
        <v>69</v>
      </c>
      <c r="E310" s="339"/>
      <c r="F310" s="339"/>
      <c r="G310" s="339"/>
      <c r="H310" s="28">
        <f>SUM(H311:H311)</f>
        <v>0</v>
      </c>
      <c r="I310" s="28">
        <f>SUM(I311:I311)</f>
        <v>0</v>
      </c>
      <c r="J310" s="28">
        <f>H310+I310</f>
        <v>0</v>
      </c>
      <c r="K310" s="21"/>
      <c r="L310" s="28">
        <f>SUM(L311:L311)</f>
        <v>0.54425279999999998</v>
      </c>
      <c r="M310" s="21"/>
      <c r="P310" s="28">
        <f>IF(Q310="PR",J310,SUM(O311:O311))</f>
        <v>0</v>
      </c>
      <c r="Q310" s="21" t="s">
        <v>54</v>
      </c>
      <c r="R310" s="28">
        <f>IF(Q310="HS",H310,0)</f>
        <v>0</v>
      </c>
      <c r="S310" s="28">
        <f>IF(Q310="HS",I310-P310,0)</f>
        <v>0</v>
      </c>
      <c r="T310" s="28">
        <f>IF(Q310="PS",H310,0)</f>
        <v>0</v>
      </c>
      <c r="U310" s="28">
        <f>IF(Q310="PS",I310-P310,0)</f>
        <v>0</v>
      </c>
      <c r="V310" s="28">
        <f>IF(Q310="MP",H310,0)</f>
        <v>0</v>
      </c>
      <c r="W310" s="28">
        <f>IF(Q310="MP",I310-P310,0)</f>
        <v>0</v>
      </c>
      <c r="X310" s="28">
        <f>IF(Q310="OM",H310,0)</f>
        <v>0</v>
      </c>
      <c r="Y310" s="21" t="s">
        <v>296</v>
      </c>
      <c r="AI310" s="28">
        <f>SUM(Z311:Z311)</f>
        <v>0</v>
      </c>
      <c r="AJ310" s="28">
        <f>SUM(AA311:AA311)</f>
        <v>0</v>
      </c>
      <c r="AK310" s="28">
        <f>SUM(AB311:AB311)</f>
        <v>0</v>
      </c>
    </row>
    <row r="311" spans="1:43" x14ac:dyDescent="0.25">
      <c r="A311" s="29" t="s">
        <v>300</v>
      </c>
      <c r="B311" s="29" t="s">
        <v>296</v>
      </c>
      <c r="C311" s="29" t="s">
        <v>70</v>
      </c>
      <c r="D311" s="29" t="s">
        <v>71</v>
      </c>
      <c r="E311" s="29" t="s">
        <v>58</v>
      </c>
      <c r="F311" s="30">
        <v>10.92</v>
      </c>
      <c r="G311" s="317">
        <v>0</v>
      </c>
      <c r="H311" s="30">
        <f>ROUND(F311*AE311,2)</f>
        <v>0</v>
      </c>
      <c r="I311" s="30">
        <f>J311-H311</f>
        <v>0</v>
      </c>
      <c r="J311" s="30">
        <f>ROUND(F311*G311,2)</f>
        <v>0</v>
      </c>
      <c r="K311" s="30">
        <v>4.9840000000000002E-2</v>
      </c>
      <c r="L311" s="30">
        <f>F311*K311</f>
        <v>0.54425279999999998</v>
      </c>
      <c r="M311" s="258" t="s">
        <v>2291</v>
      </c>
      <c r="N311" s="31" t="s">
        <v>59</v>
      </c>
      <c r="O311" s="30">
        <f>IF(N311="5",I311,0)</f>
        <v>0</v>
      </c>
      <c r="Z311" s="30">
        <f>IF(AD311=0,J311,0)</f>
        <v>0</v>
      </c>
      <c r="AA311" s="30">
        <f>IF(AD311=15,J311,0)</f>
        <v>0</v>
      </c>
      <c r="AB311" s="30">
        <f>IF(AD311=21,J311,0)</f>
        <v>0</v>
      </c>
      <c r="AD311" s="32">
        <v>21</v>
      </c>
      <c r="AE311" s="32">
        <f>G311*0.411768721414431</f>
        <v>0</v>
      </c>
      <c r="AF311" s="32">
        <f>G311*(1-0.411768721414431)</f>
        <v>0</v>
      </c>
      <c r="AM311" s="32">
        <f>F311*AE311</f>
        <v>0</v>
      </c>
      <c r="AN311" s="32">
        <f>F311*AF311</f>
        <v>0</v>
      </c>
      <c r="AO311" s="33" t="s">
        <v>72</v>
      </c>
      <c r="AP311" s="33" t="s">
        <v>61</v>
      </c>
      <c r="AQ311" s="21" t="s">
        <v>298</v>
      </c>
    </row>
    <row r="312" spans="1:43" x14ac:dyDescent="0.25">
      <c r="A312" s="26"/>
      <c r="B312" s="27" t="s">
        <v>296</v>
      </c>
      <c r="C312" s="27" t="s">
        <v>73</v>
      </c>
      <c r="D312" s="338" t="s">
        <v>74</v>
      </c>
      <c r="E312" s="339"/>
      <c r="F312" s="339"/>
      <c r="G312" s="339"/>
      <c r="H312" s="28">
        <f>SUM(H313:H313)</f>
        <v>0</v>
      </c>
      <c r="I312" s="28">
        <f>SUM(I313:I313)</f>
        <v>0</v>
      </c>
      <c r="J312" s="28">
        <f>H312+I312</f>
        <v>0</v>
      </c>
      <c r="K312" s="21"/>
      <c r="L312" s="28">
        <f>SUM(L313:L313)</f>
        <v>0.175812</v>
      </c>
      <c r="M312" s="21"/>
      <c r="P312" s="28">
        <f>IF(Q312="PR",J312,SUM(O313:O313))</f>
        <v>0</v>
      </c>
      <c r="Q312" s="21" t="s">
        <v>75</v>
      </c>
      <c r="R312" s="28">
        <f>IF(Q312="HS",H312,0)</f>
        <v>0</v>
      </c>
      <c r="S312" s="28">
        <f>IF(Q312="HS",I312-P312,0)</f>
        <v>0</v>
      </c>
      <c r="T312" s="28">
        <f>IF(Q312="PS",H312,0)</f>
        <v>0</v>
      </c>
      <c r="U312" s="28">
        <f>IF(Q312="PS",I312-P312,0)</f>
        <v>0</v>
      </c>
      <c r="V312" s="28">
        <f>IF(Q312="MP",H312,0)</f>
        <v>0</v>
      </c>
      <c r="W312" s="28">
        <f>IF(Q312="MP",I312-P312,0)</f>
        <v>0</v>
      </c>
      <c r="X312" s="28">
        <f>IF(Q312="OM",H312,0)</f>
        <v>0</v>
      </c>
      <c r="Y312" s="21" t="s">
        <v>296</v>
      </c>
      <c r="AI312" s="28">
        <f>SUM(Z313:Z313)</f>
        <v>0</v>
      </c>
      <c r="AJ312" s="28">
        <f>SUM(AA313:AA313)</f>
        <v>0</v>
      </c>
      <c r="AK312" s="28">
        <f>SUM(AB313:AB313)</f>
        <v>0</v>
      </c>
    </row>
    <row r="313" spans="1:43" x14ac:dyDescent="0.25">
      <c r="A313" s="29" t="s">
        <v>301</v>
      </c>
      <c r="B313" s="29" t="s">
        <v>296</v>
      </c>
      <c r="C313" s="29" t="s">
        <v>77</v>
      </c>
      <c r="D313" s="29" t="s">
        <v>2278</v>
      </c>
      <c r="E313" s="29" t="s">
        <v>58</v>
      </c>
      <c r="F313" s="30">
        <v>10.92</v>
      </c>
      <c r="G313" s="317">
        <v>0</v>
      </c>
      <c r="H313" s="30">
        <f>ROUND(F313*AE313,2)</f>
        <v>0</v>
      </c>
      <c r="I313" s="30">
        <f>J313-H313</f>
        <v>0</v>
      </c>
      <c r="J313" s="30">
        <f>ROUND(F313*G313,2)</f>
        <v>0</v>
      </c>
      <c r="K313" s="30">
        <v>1.61E-2</v>
      </c>
      <c r="L313" s="30">
        <f>F313*K313</f>
        <v>0.175812</v>
      </c>
      <c r="M313" s="258" t="s">
        <v>2291</v>
      </c>
      <c r="N313" s="31" t="s">
        <v>59</v>
      </c>
      <c r="O313" s="30">
        <f>IF(N313="5",I313,0)</f>
        <v>0</v>
      </c>
      <c r="Z313" s="30">
        <f>IF(AD313=0,J313,0)</f>
        <v>0</v>
      </c>
      <c r="AA313" s="30">
        <f>IF(AD313=15,J313,0)</f>
        <v>0</v>
      </c>
      <c r="AB313" s="30">
        <f>IF(AD313=21,J313,0)</f>
        <v>0</v>
      </c>
      <c r="AD313" s="32">
        <v>21</v>
      </c>
      <c r="AE313" s="32">
        <f>G313*0.787221324717286</f>
        <v>0</v>
      </c>
      <c r="AF313" s="32">
        <f>G313*(1-0.787221324717286)</f>
        <v>0</v>
      </c>
      <c r="AM313" s="32">
        <f>F313*AE313</f>
        <v>0</v>
      </c>
      <c r="AN313" s="32">
        <f>F313*AF313</f>
        <v>0</v>
      </c>
      <c r="AO313" s="33" t="s">
        <v>78</v>
      </c>
      <c r="AP313" s="33" t="s">
        <v>79</v>
      </c>
      <c r="AQ313" s="21" t="s">
        <v>298</v>
      </c>
    </row>
    <row r="314" spans="1:43" ht="12.75" customHeight="1" x14ac:dyDescent="0.25">
      <c r="C314" s="34" t="s">
        <v>63</v>
      </c>
      <c r="D314" s="340" t="s">
        <v>2280</v>
      </c>
      <c r="E314" s="341"/>
      <c r="F314" s="341"/>
      <c r="G314" s="341"/>
      <c r="H314" s="341"/>
      <c r="I314" s="341"/>
      <c r="J314" s="341"/>
      <c r="K314" s="341"/>
      <c r="L314" s="341"/>
      <c r="M314" s="341"/>
    </row>
    <row r="315" spans="1:43" x14ac:dyDescent="0.25">
      <c r="A315" s="26"/>
      <c r="B315" s="27" t="s">
        <v>296</v>
      </c>
      <c r="C315" s="27" t="s">
        <v>80</v>
      </c>
      <c r="D315" s="338" t="s">
        <v>81</v>
      </c>
      <c r="E315" s="339"/>
      <c r="F315" s="339"/>
      <c r="G315" s="339"/>
      <c r="H315" s="28">
        <f>SUM(H316:H316)</f>
        <v>0</v>
      </c>
      <c r="I315" s="28">
        <f>SUM(I316:I316)</f>
        <v>0</v>
      </c>
      <c r="J315" s="28">
        <f>H315+I315</f>
        <v>0</v>
      </c>
      <c r="K315" s="21"/>
      <c r="L315" s="28">
        <f>SUM(L316:L316)</f>
        <v>4.4335200000000005E-2</v>
      </c>
      <c r="M315" s="21"/>
      <c r="P315" s="28">
        <f>IF(Q315="PR",J315,SUM(O316:O316))</f>
        <v>0</v>
      </c>
      <c r="Q315" s="21" t="s">
        <v>75</v>
      </c>
      <c r="R315" s="28">
        <f>IF(Q315="HS",H315,0)</f>
        <v>0</v>
      </c>
      <c r="S315" s="28">
        <f>IF(Q315="HS",I315-P315,0)</f>
        <v>0</v>
      </c>
      <c r="T315" s="28">
        <f>IF(Q315="PS",H315,0)</f>
        <v>0</v>
      </c>
      <c r="U315" s="28">
        <f>IF(Q315="PS",I315-P315,0)</f>
        <v>0</v>
      </c>
      <c r="V315" s="28">
        <f>IF(Q315="MP",H315,0)</f>
        <v>0</v>
      </c>
      <c r="W315" s="28">
        <f>IF(Q315="MP",I315-P315,0)</f>
        <v>0</v>
      </c>
      <c r="X315" s="28">
        <f>IF(Q315="OM",H315,0)</f>
        <v>0</v>
      </c>
      <c r="Y315" s="21" t="s">
        <v>296</v>
      </c>
      <c r="AI315" s="28">
        <f>SUM(Z316:Z316)</f>
        <v>0</v>
      </c>
      <c r="AJ315" s="28">
        <f>SUM(AA316:AA316)</f>
        <v>0</v>
      </c>
      <c r="AK315" s="28">
        <f>SUM(AB316:AB316)</f>
        <v>0</v>
      </c>
    </row>
    <row r="316" spans="1:43" x14ac:dyDescent="0.25">
      <c r="A316" s="29" t="s">
        <v>302</v>
      </c>
      <c r="B316" s="29" t="s">
        <v>296</v>
      </c>
      <c r="C316" s="29" t="s">
        <v>83</v>
      </c>
      <c r="D316" s="29" t="s">
        <v>84</v>
      </c>
      <c r="E316" s="29" t="s">
        <v>58</v>
      </c>
      <c r="F316" s="30">
        <v>10.92</v>
      </c>
      <c r="G316" s="317">
        <v>0</v>
      </c>
      <c r="H316" s="30">
        <f>ROUND(F316*AE316,2)</f>
        <v>0</v>
      </c>
      <c r="I316" s="30">
        <f>J316-H316</f>
        <v>0</v>
      </c>
      <c r="J316" s="30">
        <f>ROUND(F316*G316,2)</f>
        <v>0</v>
      </c>
      <c r="K316" s="30">
        <v>4.0600000000000002E-3</v>
      </c>
      <c r="L316" s="30">
        <f>F316*K316</f>
        <v>4.4335200000000005E-2</v>
      </c>
      <c r="M316" s="258" t="s">
        <v>2291</v>
      </c>
      <c r="N316" s="31" t="s">
        <v>59</v>
      </c>
      <c r="O316" s="30">
        <f>IF(N316="5",I316,0)</f>
        <v>0</v>
      </c>
      <c r="Z316" s="30">
        <f>IF(AD316=0,J316,0)</f>
        <v>0</v>
      </c>
      <c r="AA316" s="30">
        <f>IF(AD316=15,J316,0)</f>
        <v>0</v>
      </c>
      <c r="AB316" s="30">
        <f>IF(AD316=21,J316,0)</f>
        <v>0</v>
      </c>
      <c r="AD316" s="32">
        <v>21</v>
      </c>
      <c r="AE316" s="32">
        <f>G316*0.67230605738576</f>
        <v>0</v>
      </c>
      <c r="AF316" s="32">
        <f>G316*(1-0.67230605738576)</f>
        <v>0</v>
      </c>
      <c r="AM316" s="32">
        <f>F316*AE316</f>
        <v>0</v>
      </c>
      <c r="AN316" s="32">
        <f>F316*AF316</f>
        <v>0</v>
      </c>
      <c r="AO316" s="33" t="s">
        <v>85</v>
      </c>
      <c r="AP316" s="33" t="s">
        <v>79</v>
      </c>
      <c r="AQ316" s="21" t="s">
        <v>298</v>
      </c>
    </row>
    <row r="317" spans="1:43" x14ac:dyDescent="0.25">
      <c r="A317" s="26"/>
      <c r="B317" s="27" t="s">
        <v>296</v>
      </c>
      <c r="C317" s="27" t="s">
        <v>86</v>
      </c>
      <c r="D317" s="338" t="s">
        <v>87</v>
      </c>
      <c r="E317" s="339"/>
      <c r="F317" s="339"/>
      <c r="G317" s="339"/>
      <c r="H317" s="28">
        <f>SUM(H318:H318)</f>
        <v>0</v>
      </c>
      <c r="I317" s="28">
        <f>SUM(I318:I318)</f>
        <v>0</v>
      </c>
      <c r="J317" s="28">
        <f>H317+I317</f>
        <v>0</v>
      </c>
      <c r="K317" s="21"/>
      <c r="L317" s="28">
        <f>SUM(L318:L318)</f>
        <v>5.4000000000000001E-4</v>
      </c>
      <c r="M317" s="21"/>
      <c r="P317" s="28">
        <f>IF(Q317="PR",J317,SUM(O318:O318))</f>
        <v>0</v>
      </c>
      <c r="Q317" s="21" t="s">
        <v>75</v>
      </c>
      <c r="R317" s="28">
        <f>IF(Q317="HS",H317,0)</f>
        <v>0</v>
      </c>
      <c r="S317" s="28">
        <f>IF(Q317="HS",I317-P317,0)</f>
        <v>0</v>
      </c>
      <c r="T317" s="28">
        <f>IF(Q317="PS",H317,0)</f>
        <v>0</v>
      </c>
      <c r="U317" s="28">
        <f>IF(Q317="PS",I317-P317,0)</f>
        <v>0</v>
      </c>
      <c r="V317" s="28">
        <f>IF(Q317="MP",H317,0)</f>
        <v>0</v>
      </c>
      <c r="W317" s="28">
        <f>IF(Q317="MP",I317-P317,0)</f>
        <v>0</v>
      </c>
      <c r="X317" s="28">
        <f>IF(Q317="OM",H317,0)</f>
        <v>0</v>
      </c>
      <c r="Y317" s="21" t="s">
        <v>296</v>
      </c>
      <c r="AI317" s="28">
        <f>SUM(Z318:Z318)</f>
        <v>0</v>
      </c>
      <c r="AJ317" s="28">
        <f>SUM(AA318:AA318)</f>
        <v>0</v>
      </c>
      <c r="AK317" s="28">
        <f>SUM(AB318:AB318)</f>
        <v>0</v>
      </c>
    </row>
    <row r="318" spans="1:43" x14ac:dyDescent="0.25">
      <c r="A318" s="29" t="s">
        <v>303</v>
      </c>
      <c r="B318" s="29" t="s">
        <v>296</v>
      </c>
      <c r="C318" s="29" t="s">
        <v>89</v>
      </c>
      <c r="D318" s="29" t="s">
        <v>90</v>
      </c>
      <c r="E318" s="29" t="s">
        <v>58</v>
      </c>
      <c r="F318" s="30">
        <v>2</v>
      </c>
      <c r="G318" s="317">
        <v>0</v>
      </c>
      <c r="H318" s="30">
        <f>ROUND(F318*AE318,2)</f>
        <v>0</v>
      </c>
      <c r="I318" s="30">
        <f>J318-H318</f>
        <v>0</v>
      </c>
      <c r="J318" s="30">
        <f>ROUND(F318*G318,2)</f>
        <v>0</v>
      </c>
      <c r="K318" s="30">
        <v>2.7E-4</v>
      </c>
      <c r="L318" s="30">
        <f>F318*K318</f>
        <v>5.4000000000000001E-4</v>
      </c>
      <c r="M318" s="258" t="s">
        <v>2291</v>
      </c>
      <c r="N318" s="31" t="s">
        <v>59</v>
      </c>
      <c r="O318" s="30">
        <f>IF(N318="5",I318,0)</f>
        <v>0</v>
      </c>
      <c r="Z318" s="30">
        <f>IF(AD318=0,J318,0)</f>
        <v>0</v>
      </c>
      <c r="AA318" s="30">
        <f>IF(AD318=15,J318,0)</f>
        <v>0</v>
      </c>
      <c r="AB318" s="30">
        <f>IF(AD318=21,J318,0)</f>
        <v>0</v>
      </c>
      <c r="AD318" s="32">
        <v>21</v>
      </c>
      <c r="AE318" s="32">
        <f>G318*0.186098187625859</f>
        <v>0</v>
      </c>
      <c r="AF318" s="32">
        <f>G318*(1-0.186098187625859)</f>
        <v>0</v>
      </c>
      <c r="AM318" s="32">
        <f>F318*AE318</f>
        <v>0</v>
      </c>
      <c r="AN318" s="32">
        <f>F318*AF318</f>
        <v>0</v>
      </c>
      <c r="AO318" s="33" t="s">
        <v>91</v>
      </c>
      <c r="AP318" s="33" t="s">
        <v>92</v>
      </c>
      <c r="AQ318" s="21" t="s">
        <v>298</v>
      </c>
    </row>
    <row r="319" spans="1:43" x14ac:dyDescent="0.25">
      <c r="A319" s="26"/>
      <c r="B319" s="27" t="s">
        <v>296</v>
      </c>
      <c r="C319" s="27" t="s">
        <v>93</v>
      </c>
      <c r="D319" s="338" t="s">
        <v>94</v>
      </c>
      <c r="E319" s="339"/>
      <c r="F319" s="339"/>
      <c r="G319" s="339"/>
      <c r="H319" s="28">
        <f>SUM(H320:H320)</f>
        <v>0</v>
      </c>
      <c r="I319" s="28">
        <f>SUM(I320:I320)</f>
        <v>0</v>
      </c>
      <c r="J319" s="28">
        <f>H319+I319</f>
        <v>0</v>
      </c>
      <c r="K319" s="21"/>
      <c r="L319" s="28">
        <f>SUM(L320:L320)</f>
        <v>3.5840999999999998E-2</v>
      </c>
      <c r="M319" s="21"/>
      <c r="P319" s="28">
        <f>IF(Q319="PR",J319,SUM(O320:O320))</f>
        <v>0</v>
      </c>
      <c r="Q319" s="21" t="s">
        <v>75</v>
      </c>
      <c r="R319" s="28">
        <f>IF(Q319="HS",H319,0)</f>
        <v>0</v>
      </c>
      <c r="S319" s="28">
        <f>IF(Q319="HS",I319-P319,0)</f>
        <v>0</v>
      </c>
      <c r="T319" s="28">
        <f>IF(Q319="PS",H319,0)</f>
        <v>0</v>
      </c>
      <c r="U319" s="28">
        <f>IF(Q319="PS",I319-P319,0)</f>
        <v>0</v>
      </c>
      <c r="V319" s="28">
        <f>IF(Q319="MP",H319,0)</f>
        <v>0</v>
      </c>
      <c r="W319" s="28">
        <f>IF(Q319="MP",I319-P319,0)</f>
        <v>0</v>
      </c>
      <c r="X319" s="28">
        <f>IF(Q319="OM",H319,0)</f>
        <v>0</v>
      </c>
      <c r="Y319" s="21" t="s">
        <v>296</v>
      </c>
      <c r="AI319" s="28">
        <f>SUM(Z320:Z320)</f>
        <v>0</v>
      </c>
      <c r="AJ319" s="28">
        <f>SUM(AA320:AA320)</f>
        <v>0</v>
      </c>
      <c r="AK319" s="28">
        <f>SUM(AB320:AB320)</f>
        <v>0</v>
      </c>
    </row>
    <row r="320" spans="1:43" x14ac:dyDescent="0.25">
      <c r="A320" s="29" t="s">
        <v>304</v>
      </c>
      <c r="B320" s="29" t="s">
        <v>296</v>
      </c>
      <c r="C320" s="29" t="s">
        <v>96</v>
      </c>
      <c r="D320" s="29" t="s">
        <v>97</v>
      </c>
      <c r="E320" s="29" t="s">
        <v>58</v>
      </c>
      <c r="F320" s="30">
        <v>55.14</v>
      </c>
      <c r="G320" s="317">
        <v>0</v>
      </c>
      <c r="H320" s="30">
        <f>ROUND(F320*AE320,2)</f>
        <v>0</v>
      </c>
      <c r="I320" s="30">
        <f>J320-H320</f>
        <v>0</v>
      </c>
      <c r="J320" s="30">
        <f>ROUND(F320*G320,2)</f>
        <v>0</v>
      </c>
      <c r="K320" s="30">
        <v>6.4999999999999997E-4</v>
      </c>
      <c r="L320" s="30">
        <f>F320*K320</f>
        <v>3.5840999999999998E-2</v>
      </c>
      <c r="M320" s="258" t="s">
        <v>2291</v>
      </c>
      <c r="N320" s="31" t="s">
        <v>59</v>
      </c>
      <c r="O320" s="30">
        <f>IF(N320="5",I320,0)</f>
        <v>0</v>
      </c>
      <c r="Z320" s="30">
        <f>IF(AD320=0,J320,0)</f>
        <v>0</v>
      </c>
      <c r="AA320" s="30">
        <f>IF(AD320=15,J320,0)</f>
        <v>0</v>
      </c>
      <c r="AB320" s="30">
        <f>IF(AD320=21,J320,0)</f>
        <v>0</v>
      </c>
      <c r="AD320" s="32">
        <v>21</v>
      </c>
      <c r="AE320" s="32">
        <f>G320*0.333747476316198</f>
        <v>0</v>
      </c>
      <c r="AF320" s="32">
        <f>G320*(1-0.333747476316198)</f>
        <v>0</v>
      </c>
      <c r="AM320" s="32">
        <f>F320*AE320</f>
        <v>0</v>
      </c>
      <c r="AN320" s="32">
        <f>F320*AF320</f>
        <v>0</v>
      </c>
      <c r="AO320" s="33" t="s">
        <v>98</v>
      </c>
      <c r="AP320" s="33" t="s">
        <v>92</v>
      </c>
      <c r="AQ320" s="21" t="s">
        <v>298</v>
      </c>
    </row>
    <row r="321" spans="1:43" x14ac:dyDescent="0.25">
      <c r="A321" s="26"/>
      <c r="B321" s="27" t="s">
        <v>296</v>
      </c>
      <c r="C321" s="27" t="s">
        <v>99</v>
      </c>
      <c r="D321" s="338" t="s">
        <v>100</v>
      </c>
      <c r="E321" s="339"/>
      <c r="F321" s="339"/>
      <c r="G321" s="339"/>
      <c r="H321" s="28">
        <f>SUM(H322:H322)</f>
        <v>0</v>
      </c>
      <c r="I321" s="28">
        <f>SUM(I322:I322)</f>
        <v>0</v>
      </c>
      <c r="J321" s="28">
        <f>H321+I321</f>
        <v>0</v>
      </c>
      <c r="K321" s="21"/>
      <c r="L321" s="28">
        <f>SUM(L322:L322)</f>
        <v>0</v>
      </c>
      <c r="M321" s="21"/>
      <c r="P321" s="28">
        <f>IF(Q321="PR",J321,SUM(O322:O322))</f>
        <v>0</v>
      </c>
      <c r="Q321" s="21" t="s">
        <v>54</v>
      </c>
      <c r="R321" s="28">
        <f>IF(Q321="HS",H321,0)</f>
        <v>0</v>
      </c>
      <c r="S321" s="28">
        <f>IF(Q321="HS",I321-P321,0)</f>
        <v>0</v>
      </c>
      <c r="T321" s="28">
        <f>IF(Q321="PS",H321,0)</f>
        <v>0</v>
      </c>
      <c r="U321" s="28">
        <f>IF(Q321="PS",I321-P321,0)</f>
        <v>0</v>
      </c>
      <c r="V321" s="28">
        <f>IF(Q321="MP",H321,0)</f>
        <v>0</v>
      </c>
      <c r="W321" s="28">
        <f>IF(Q321="MP",I321-P321,0)</f>
        <v>0</v>
      </c>
      <c r="X321" s="28">
        <f>IF(Q321="OM",H321,0)</f>
        <v>0</v>
      </c>
      <c r="Y321" s="21" t="s">
        <v>296</v>
      </c>
      <c r="AI321" s="28">
        <f>SUM(Z322:Z322)</f>
        <v>0</v>
      </c>
      <c r="AJ321" s="28">
        <f>SUM(AA322:AA322)</f>
        <v>0</v>
      </c>
      <c r="AK321" s="28">
        <f>SUM(AB322:AB322)</f>
        <v>0</v>
      </c>
    </row>
    <row r="322" spans="1:43" x14ac:dyDescent="0.25">
      <c r="A322" s="29" t="s">
        <v>305</v>
      </c>
      <c r="B322" s="29" t="s">
        <v>296</v>
      </c>
      <c r="C322" s="29" t="s">
        <v>102</v>
      </c>
      <c r="D322" s="29" t="s">
        <v>103</v>
      </c>
      <c r="E322" s="29" t="s">
        <v>104</v>
      </c>
      <c r="F322" s="30">
        <v>2.4</v>
      </c>
      <c r="G322" s="317">
        <v>0</v>
      </c>
      <c r="H322" s="30">
        <f>ROUND(F322*AE322,2)</f>
        <v>0</v>
      </c>
      <c r="I322" s="30">
        <f>J322-H322</f>
        <v>0</v>
      </c>
      <c r="J322" s="30">
        <f>ROUND(F322*G322,2)</f>
        <v>0</v>
      </c>
      <c r="K322" s="30">
        <v>0</v>
      </c>
      <c r="L322" s="30">
        <f>F322*K322</f>
        <v>0</v>
      </c>
      <c r="M322" s="258" t="s">
        <v>2291</v>
      </c>
      <c r="N322" s="31" t="s">
        <v>55</v>
      </c>
      <c r="O322" s="30">
        <f>IF(N322="5",I322,0)</f>
        <v>0</v>
      </c>
      <c r="Z322" s="30">
        <f>IF(AD322=0,J322,0)</f>
        <v>0</v>
      </c>
      <c r="AA322" s="30">
        <f>IF(AD322=15,J322,0)</f>
        <v>0</v>
      </c>
      <c r="AB322" s="30">
        <f>IF(AD322=21,J322,0)</f>
        <v>0</v>
      </c>
      <c r="AD322" s="32">
        <v>21</v>
      </c>
      <c r="AE322" s="32">
        <f>G322*0</f>
        <v>0</v>
      </c>
      <c r="AF322" s="32">
        <f>G322*(1-0)</f>
        <v>0</v>
      </c>
      <c r="AM322" s="32">
        <f>F322*AE322</f>
        <v>0</v>
      </c>
      <c r="AN322" s="32">
        <f>F322*AF322</f>
        <v>0</v>
      </c>
      <c r="AO322" s="33" t="s">
        <v>105</v>
      </c>
      <c r="AP322" s="33" t="s">
        <v>106</v>
      </c>
      <c r="AQ322" s="21" t="s">
        <v>298</v>
      </c>
    </row>
    <row r="323" spans="1:43" x14ac:dyDescent="0.25">
      <c r="C323" s="34" t="s">
        <v>63</v>
      </c>
      <c r="D323" s="340" t="s">
        <v>107</v>
      </c>
      <c r="E323" s="341"/>
      <c r="F323" s="341"/>
      <c r="G323" s="341"/>
      <c r="H323" s="341"/>
      <c r="I323" s="341"/>
      <c r="J323" s="341"/>
      <c r="K323" s="341"/>
      <c r="L323" s="341"/>
      <c r="M323" s="341"/>
    </row>
    <row r="324" spans="1:43" x14ac:dyDescent="0.25">
      <c r="A324" s="26"/>
      <c r="B324" s="27" t="s">
        <v>296</v>
      </c>
      <c r="C324" s="27" t="s">
        <v>108</v>
      </c>
      <c r="D324" s="338" t="s">
        <v>109</v>
      </c>
      <c r="E324" s="339"/>
      <c r="F324" s="339"/>
      <c r="G324" s="339"/>
      <c r="H324" s="28">
        <f>SUM(H325:H325)</f>
        <v>0</v>
      </c>
      <c r="I324" s="28">
        <f>SUM(I325:I325)</f>
        <v>0</v>
      </c>
      <c r="J324" s="28">
        <f>H324+I324</f>
        <v>0</v>
      </c>
      <c r="K324" s="21"/>
      <c r="L324" s="28">
        <f>SUM(L325:L325)</f>
        <v>0.19581999999999999</v>
      </c>
      <c r="M324" s="21"/>
      <c r="P324" s="28">
        <f>IF(Q324="PR",J324,SUM(O325:O325))</f>
        <v>0</v>
      </c>
      <c r="Q324" s="21" t="s">
        <v>54</v>
      </c>
      <c r="R324" s="28">
        <f>IF(Q324="HS",H324,0)</f>
        <v>0</v>
      </c>
      <c r="S324" s="28">
        <f>IF(Q324="HS",I324-P324,0)</f>
        <v>0</v>
      </c>
      <c r="T324" s="28">
        <f>IF(Q324="PS",H324,0)</f>
        <v>0</v>
      </c>
      <c r="U324" s="28">
        <f>IF(Q324="PS",I324-P324,0)</f>
        <v>0</v>
      </c>
      <c r="V324" s="28">
        <f>IF(Q324="MP",H324,0)</f>
        <v>0</v>
      </c>
      <c r="W324" s="28">
        <f>IF(Q324="MP",I324-P324,0)</f>
        <v>0</v>
      </c>
      <c r="X324" s="28">
        <f>IF(Q324="OM",H324,0)</f>
        <v>0</v>
      </c>
      <c r="Y324" s="21" t="s">
        <v>296</v>
      </c>
      <c r="AI324" s="28">
        <f>SUM(Z325:Z325)</f>
        <v>0</v>
      </c>
      <c r="AJ324" s="28">
        <f>SUM(AA325:AA325)</f>
        <v>0</v>
      </c>
      <c r="AK324" s="28">
        <f>SUM(AB325:AB325)</f>
        <v>0</v>
      </c>
    </row>
    <row r="325" spans="1:43" x14ac:dyDescent="0.25">
      <c r="A325" s="29" t="s">
        <v>306</v>
      </c>
      <c r="B325" s="29" t="s">
        <v>296</v>
      </c>
      <c r="C325" s="29" t="s">
        <v>111</v>
      </c>
      <c r="D325" s="29" t="s">
        <v>112</v>
      </c>
      <c r="E325" s="29" t="s">
        <v>113</v>
      </c>
      <c r="F325" s="30">
        <v>2</v>
      </c>
      <c r="G325" s="317">
        <v>0</v>
      </c>
      <c r="H325" s="30">
        <f>ROUND(F325*AE325,2)</f>
        <v>0</v>
      </c>
      <c r="I325" s="30">
        <f>J325-H325</f>
        <v>0</v>
      </c>
      <c r="J325" s="30">
        <f>ROUND(F325*G325,2)</f>
        <v>0</v>
      </c>
      <c r="K325" s="30">
        <v>9.7909999999999997E-2</v>
      </c>
      <c r="L325" s="30">
        <f>F325*K325</f>
        <v>0.19581999999999999</v>
      </c>
      <c r="M325" s="258" t="s">
        <v>2291</v>
      </c>
      <c r="N325" s="31" t="s">
        <v>55</v>
      </c>
      <c r="O325" s="30">
        <f>IF(N325="5",I325,0)</f>
        <v>0</v>
      </c>
      <c r="Z325" s="30">
        <f>IF(AD325=0,J325,0)</f>
        <v>0</v>
      </c>
      <c r="AA325" s="30">
        <f>IF(AD325=15,J325,0)</f>
        <v>0</v>
      </c>
      <c r="AB325" s="30">
        <f>IF(AD325=21,J325,0)</f>
        <v>0</v>
      </c>
      <c r="AD325" s="32">
        <v>21</v>
      </c>
      <c r="AE325" s="32">
        <f>G325*0.0762897526501767</f>
        <v>0</v>
      </c>
      <c r="AF325" s="32">
        <f>G325*(1-0.0762897526501767)</f>
        <v>0</v>
      </c>
      <c r="AM325" s="32">
        <f>F325*AE325</f>
        <v>0</v>
      </c>
      <c r="AN325" s="32">
        <f>F325*AF325</f>
        <v>0</v>
      </c>
      <c r="AO325" s="33" t="s">
        <v>114</v>
      </c>
      <c r="AP325" s="33" t="s">
        <v>106</v>
      </c>
      <c r="AQ325" s="21" t="s">
        <v>298</v>
      </c>
    </row>
    <row r="326" spans="1:43" x14ac:dyDescent="0.25">
      <c r="C326" s="34" t="s">
        <v>63</v>
      </c>
      <c r="D326" s="340" t="s">
        <v>107</v>
      </c>
      <c r="E326" s="341"/>
      <c r="F326" s="341"/>
      <c r="G326" s="341"/>
      <c r="H326" s="341"/>
      <c r="I326" s="341"/>
      <c r="J326" s="341"/>
      <c r="K326" s="341"/>
      <c r="L326" s="341"/>
      <c r="M326" s="341"/>
    </row>
    <row r="327" spans="1:43" x14ac:dyDescent="0.25">
      <c r="A327" s="26"/>
      <c r="B327" s="27" t="s">
        <v>307</v>
      </c>
      <c r="C327" s="27"/>
      <c r="D327" s="338" t="s">
        <v>307</v>
      </c>
      <c r="E327" s="339"/>
      <c r="F327" s="339"/>
      <c r="G327" s="339"/>
      <c r="H327" s="28">
        <f>H328+H333+H335+H339+H343+H348+H350</f>
        <v>0</v>
      </c>
      <c r="I327" s="28">
        <f>I328+I333+I335+I339+I343+I348+I350</f>
        <v>0</v>
      </c>
      <c r="J327" s="28">
        <f>H327+I327</f>
        <v>0</v>
      </c>
      <c r="K327" s="21"/>
      <c r="L327" s="28">
        <f>L328+L333+L335+L339+L343+L348+L350</f>
        <v>9.9206987999999985</v>
      </c>
      <c r="M327" s="21"/>
    </row>
    <row r="328" spans="1:43" x14ac:dyDescent="0.25">
      <c r="A328" s="26"/>
      <c r="B328" s="27" t="s">
        <v>307</v>
      </c>
      <c r="C328" s="27" t="s">
        <v>52</v>
      </c>
      <c r="D328" s="338" t="s">
        <v>53</v>
      </c>
      <c r="E328" s="339"/>
      <c r="F328" s="339"/>
      <c r="G328" s="339"/>
      <c r="H328" s="28">
        <f>SUM(H329:H331)</f>
        <v>0</v>
      </c>
      <c r="I328" s="28">
        <f>SUM(I329:I331)</f>
        <v>0</v>
      </c>
      <c r="J328" s="28">
        <f>H328+I328</f>
        <v>0</v>
      </c>
      <c r="K328" s="21"/>
      <c r="L328" s="28">
        <f>SUM(L329:L331)</f>
        <v>0.64493699999999998</v>
      </c>
      <c r="M328" s="21"/>
      <c r="P328" s="28">
        <f>IF(Q328="PR",J328,SUM(O329:O331))</f>
        <v>0</v>
      </c>
      <c r="Q328" s="21" t="s">
        <v>54</v>
      </c>
      <c r="R328" s="28">
        <f>IF(Q328="HS",H328,0)</f>
        <v>0</v>
      </c>
      <c r="S328" s="28">
        <f>IF(Q328="HS",I328-P328,0)</f>
        <v>0</v>
      </c>
      <c r="T328" s="28">
        <f>IF(Q328="PS",H328,0)</f>
        <v>0</v>
      </c>
      <c r="U328" s="28">
        <f>IF(Q328="PS",I328-P328,0)</f>
        <v>0</v>
      </c>
      <c r="V328" s="28">
        <f>IF(Q328="MP",H328,0)</f>
        <v>0</v>
      </c>
      <c r="W328" s="28">
        <f>IF(Q328="MP",I328-P328,0)</f>
        <v>0</v>
      </c>
      <c r="X328" s="28">
        <f>IF(Q328="OM",H328,0)</f>
        <v>0</v>
      </c>
      <c r="Y328" s="21" t="s">
        <v>307</v>
      </c>
      <c r="AI328" s="28">
        <f>SUM(Z329:Z331)</f>
        <v>0</v>
      </c>
      <c r="AJ328" s="28">
        <f>SUM(AA329:AA331)</f>
        <v>0</v>
      </c>
      <c r="AK328" s="28">
        <f>SUM(AB329:AB331)</f>
        <v>0</v>
      </c>
    </row>
    <row r="329" spans="1:43" x14ac:dyDescent="0.25">
      <c r="A329" s="29" t="s">
        <v>308</v>
      </c>
      <c r="B329" s="29" t="s">
        <v>307</v>
      </c>
      <c r="C329" s="29" t="s">
        <v>56</v>
      </c>
      <c r="D329" s="29" t="s">
        <v>57</v>
      </c>
      <c r="E329" s="29" t="s">
        <v>58</v>
      </c>
      <c r="F329" s="30">
        <v>48.18</v>
      </c>
      <c r="G329" s="317">
        <v>0</v>
      </c>
      <c r="H329" s="30">
        <f>ROUND(F329*AE329,2)</f>
        <v>0</v>
      </c>
      <c r="I329" s="30">
        <f>J329-H329</f>
        <v>0</v>
      </c>
      <c r="J329" s="30">
        <f>ROUND(F329*G329,2)</f>
        <v>0</v>
      </c>
      <c r="K329" s="30">
        <v>1.001E-2</v>
      </c>
      <c r="L329" s="30">
        <f>F329*K329</f>
        <v>0.48228179999999998</v>
      </c>
      <c r="M329" s="258" t="s">
        <v>2291</v>
      </c>
      <c r="N329" s="31" t="s">
        <v>59</v>
      </c>
      <c r="O329" s="30">
        <f>IF(N329="5",I329,0)</f>
        <v>0</v>
      </c>
      <c r="Z329" s="30">
        <f>IF(AD329=0,J329,0)</f>
        <v>0</v>
      </c>
      <c r="AA329" s="30">
        <f>IF(AD329=15,J329,0)</f>
        <v>0</v>
      </c>
      <c r="AB329" s="30">
        <f>IF(AD329=21,J329,0)</f>
        <v>0</v>
      </c>
      <c r="AD329" s="32">
        <v>21</v>
      </c>
      <c r="AE329" s="32">
        <f>G329*0.0756575801052128</f>
        <v>0</v>
      </c>
      <c r="AF329" s="32">
        <f>G329*(1-0.0756575801052128)</f>
        <v>0</v>
      </c>
      <c r="AM329" s="32">
        <f>F329*AE329</f>
        <v>0</v>
      </c>
      <c r="AN329" s="32">
        <f>F329*AF329</f>
        <v>0</v>
      </c>
      <c r="AO329" s="33" t="s">
        <v>60</v>
      </c>
      <c r="AP329" s="33" t="s">
        <v>61</v>
      </c>
      <c r="AQ329" s="21" t="s">
        <v>309</v>
      </c>
    </row>
    <row r="330" spans="1:43" ht="25.7" customHeight="1" x14ac:dyDescent="0.25">
      <c r="C330" s="34" t="s">
        <v>63</v>
      </c>
      <c r="D330" s="340" t="s">
        <v>64</v>
      </c>
      <c r="E330" s="341"/>
      <c r="F330" s="341"/>
      <c r="G330" s="341"/>
      <c r="H330" s="341"/>
      <c r="I330" s="341"/>
      <c r="J330" s="341"/>
      <c r="K330" s="341"/>
      <c r="L330" s="341"/>
      <c r="M330" s="341"/>
    </row>
    <row r="331" spans="1:43" x14ac:dyDescent="0.25">
      <c r="A331" s="29" t="s">
        <v>310</v>
      </c>
      <c r="B331" s="29" t="s">
        <v>307</v>
      </c>
      <c r="C331" s="29" t="s">
        <v>66</v>
      </c>
      <c r="D331" s="29" t="s">
        <v>67</v>
      </c>
      <c r="E331" s="29" t="s">
        <v>58</v>
      </c>
      <c r="F331" s="30">
        <v>16.53</v>
      </c>
      <c r="G331" s="317">
        <v>0</v>
      </c>
      <c r="H331" s="30">
        <f>ROUND(F331*AE331,2)</f>
        <v>0</v>
      </c>
      <c r="I331" s="30">
        <f>J331-H331</f>
        <v>0</v>
      </c>
      <c r="J331" s="30">
        <f>ROUND(F331*G331,2)</f>
        <v>0</v>
      </c>
      <c r="K331" s="30">
        <v>9.8399999999999998E-3</v>
      </c>
      <c r="L331" s="30">
        <f>F331*K331</f>
        <v>0.1626552</v>
      </c>
      <c r="M331" s="258" t="s">
        <v>2291</v>
      </c>
      <c r="N331" s="31" t="s">
        <v>59</v>
      </c>
      <c r="O331" s="30">
        <f>IF(N331="5",I331,0)</f>
        <v>0</v>
      </c>
      <c r="Z331" s="30">
        <f>IF(AD331=0,J331,0)</f>
        <v>0</v>
      </c>
      <c r="AA331" s="30">
        <f>IF(AD331=15,J331,0)</f>
        <v>0</v>
      </c>
      <c r="AB331" s="30">
        <f>IF(AD331=21,J331,0)</f>
        <v>0</v>
      </c>
      <c r="AD331" s="32">
        <v>21</v>
      </c>
      <c r="AE331" s="32">
        <f>G331*0.160304682766381</f>
        <v>0</v>
      </c>
      <c r="AF331" s="32">
        <f>G331*(1-0.160304682766381)</f>
        <v>0</v>
      </c>
      <c r="AM331" s="32">
        <f>F331*AE331</f>
        <v>0</v>
      </c>
      <c r="AN331" s="32">
        <f>F331*AF331</f>
        <v>0</v>
      </c>
      <c r="AO331" s="33" t="s">
        <v>60</v>
      </c>
      <c r="AP331" s="33" t="s">
        <v>61</v>
      </c>
      <c r="AQ331" s="21" t="s">
        <v>309</v>
      </c>
    </row>
    <row r="332" spans="1:43" ht="25.7" customHeight="1" x14ac:dyDescent="0.25">
      <c r="C332" s="34" t="s">
        <v>63</v>
      </c>
      <c r="D332" s="340" t="s">
        <v>64</v>
      </c>
      <c r="E332" s="341"/>
      <c r="F332" s="341"/>
      <c r="G332" s="341"/>
      <c r="H332" s="341"/>
      <c r="I332" s="341"/>
      <c r="J332" s="341"/>
      <c r="K332" s="341"/>
      <c r="L332" s="341"/>
      <c r="M332" s="341"/>
    </row>
    <row r="333" spans="1:43" x14ac:dyDescent="0.25">
      <c r="A333" s="26"/>
      <c r="B333" s="27" t="s">
        <v>307</v>
      </c>
      <c r="C333" s="27" t="s">
        <v>68</v>
      </c>
      <c r="D333" s="338" t="s">
        <v>69</v>
      </c>
      <c r="E333" s="339"/>
      <c r="F333" s="339"/>
      <c r="G333" s="339"/>
      <c r="H333" s="28">
        <f>SUM(H334:H334)</f>
        <v>0</v>
      </c>
      <c r="I333" s="28">
        <f>SUM(I334:I334)</f>
        <v>0</v>
      </c>
      <c r="J333" s="28">
        <f>H333+I333</f>
        <v>0</v>
      </c>
      <c r="K333" s="21"/>
      <c r="L333" s="28">
        <f>SUM(L334:L334)</f>
        <v>3.4311321000000001</v>
      </c>
      <c r="M333" s="21"/>
      <c r="P333" s="28">
        <f>IF(Q333="PR",J333,SUM(O334:O334))</f>
        <v>0</v>
      </c>
      <c r="Q333" s="21" t="s">
        <v>54</v>
      </c>
      <c r="R333" s="28">
        <f>IF(Q333="HS",H333,0)</f>
        <v>0</v>
      </c>
      <c r="S333" s="28">
        <f>IF(Q333="HS",I333-P333,0)</f>
        <v>0</v>
      </c>
      <c r="T333" s="28">
        <f>IF(Q333="PS",H333,0)</f>
        <v>0</v>
      </c>
      <c r="U333" s="28">
        <f>IF(Q333="PS",I333-P333,0)</f>
        <v>0</v>
      </c>
      <c r="V333" s="28">
        <f>IF(Q333="MP",H333,0)</f>
        <v>0</v>
      </c>
      <c r="W333" s="28">
        <f>IF(Q333="MP",I333-P333,0)</f>
        <v>0</v>
      </c>
      <c r="X333" s="28">
        <f>IF(Q333="OM",H333,0)</f>
        <v>0</v>
      </c>
      <c r="Y333" s="21" t="s">
        <v>307</v>
      </c>
      <c r="AI333" s="28">
        <f>SUM(Z334:Z334)</f>
        <v>0</v>
      </c>
      <c r="AJ333" s="28">
        <f>SUM(AA334:AA334)</f>
        <v>0</v>
      </c>
      <c r="AK333" s="28">
        <f>SUM(AB334:AB334)</f>
        <v>0</v>
      </c>
    </row>
    <row r="334" spans="1:43" x14ac:dyDescent="0.25">
      <c r="A334" s="29" t="s">
        <v>311</v>
      </c>
      <c r="B334" s="29" t="s">
        <v>307</v>
      </c>
      <c r="C334" s="29" t="s">
        <v>312</v>
      </c>
      <c r="D334" s="29" t="s">
        <v>313</v>
      </c>
      <c r="E334" s="29" t="s">
        <v>58</v>
      </c>
      <c r="F334" s="30">
        <v>16.53</v>
      </c>
      <c r="G334" s="317">
        <v>0</v>
      </c>
      <c r="H334" s="30">
        <f>ROUND(F334*AE334,2)</f>
        <v>0</v>
      </c>
      <c r="I334" s="30">
        <f>J334-H334</f>
        <v>0</v>
      </c>
      <c r="J334" s="30">
        <f>ROUND(F334*G334,2)</f>
        <v>0</v>
      </c>
      <c r="K334" s="30">
        <v>0.20757</v>
      </c>
      <c r="L334" s="30">
        <f>F334*K334</f>
        <v>3.4311321000000001</v>
      </c>
      <c r="M334" s="258" t="s">
        <v>2291</v>
      </c>
      <c r="N334" s="31" t="s">
        <v>59</v>
      </c>
      <c r="O334" s="30">
        <f>IF(N334="5",I334,0)</f>
        <v>0</v>
      </c>
      <c r="Z334" s="30">
        <f>IF(AD334=0,J334,0)</f>
        <v>0</v>
      </c>
      <c r="AA334" s="30">
        <f>IF(AD334=15,J334,0)</f>
        <v>0</v>
      </c>
      <c r="AB334" s="30">
        <f>IF(AD334=21,J334,0)</f>
        <v>0</v>
      </c>
      <c r="AD334" s="32">
        <v>21</v>
      </c>
      <c r="AE334" s="32">
        <f>G334*0.605216640631423</f>
        <v>0</v>
      </c>
      <c r="AF334" s="32">
        <f>G334*(1-0.605216640631423)</f>
        <v>0</v>
      </c>
      <c r="AM334" s="32">
        <f>F334*AE334</f>
        <v>0</v>
      </c>
      <c r="AN334" s="32">
        <f>F334*AF334</f>
        <v>0</v>
      </c>
      <c r="AO334" s="33" t="s">
        <v>72</v>
      </c>
      <c r="AP334" s="33" t="s">
        <v>61</v>
      </c>
      <c r="AQ334" s="21" t="s">
        <v>309</v>
      </c>
    </row>
    <row r="335" spans="1:43" x14ac:dyDescent="0.25">
      <c r="A335" s="26"/>
      <c r="B335" s="27" t="s">
        <v>307</v>
      </c>
      <c r="C335" s="27" t="s">
        <v>130</v>
      </c>
      <c r="D335" s="338" t="s">
        <v>131</v>
      </c>
      <c r="E335" s="339"/>
      <c r="F335" s="339"/>
      <c r="G335" s="339"/>
      <c r="H335" s="28">
        <f>SUM(H336:H338)</f>
        <v>0</v>
      </c>
      <c r="I335" s="28">
        <f>SUM(I336:I338)</f>
        <v>0</v>
      </c>
      <c r="J335" s="28">
        <f>H335+I335</f>
        <v>0</v>
      </c>
      <c r="K335" s="21"/>
      <c r="L335" s="28">
        <f>SUM(L336:L338)</f>
        <v>4.10473</v>
      </c>
      <c r="M335" s="21"/>
      <c r="P335" s="28">
        <f>IF(Q335="PR",J335,SUM(O336:O338))</f>
        <v>0</v>
      </c>
      <c r="Q335" s="21" t="s">
        <v>54</v>
      </c>
      <c r="R335" s="28">
        <f>IF(Q335="HS",H335,0)</f>
        <v>0</v>
      </c>
      <c r="S335" s="28">
        <f>IF(Q335="HS",I335-P335,0)</f>
        <v>0</v>
      </c>
      <c r="T335" s="28">
        <f>IF(Q335="PS",H335,0)</f>
        <v>0</v>
      </c>
      <c r="U335" s="28">
        <f>IF(Q335="PS",I335-P335,0)</f>
        <v>0</v>
      </c>
      <c r="V335" s="28">
        <f>IF(Q335="MP",H335,0)</f>
        <v>0</v>
      </c>
      <c r="W335" s="28">
        <f>IF(Q335="MP",I335-P335,0)</f>
        <v>0</v>
      </c>
      <c r="X335" s="28">
        <f>IF(Q335="OM",H335,0)</f>
        <v>0</v>
      </c>
      <c r="Y335" s="21" t="s">
        <v>307</v>
      </c>
      <c r="AI335" s="28">
        <f>SUM(Z336:Z338)</f>
        <v>0</v>
      </c>
      <c r="AJ335" s="28">
        <f>SUM(AA336:AA338)</f>
        <v>0</v>
      </c>
      <c r="AK335" s="28">
        <f>SUM(AB336:AB338)</f>
        <v>0</v>
      </c>
    </row>
    <row r="336" spans="1:43" x14ac:dyDescent="0.25">
      <c r="A336" s="29" t="s">
        <v>314</v>
      </c>
      <c r="B336" s="29" t="s">
        <v>307</v>
      </c>
      <c r="C336" s="29" t="s">
        <v>133</v>
      </c>
      <c r="D336" s="29" t="s">
        <v>134</v>
      </c>
      <c r="E336" s="29" t="s">
        <v>113</v>
      </c>
      <c r="F336" s="30">
        <v>1</v>
      </c>
      <c r="G336" s="317">
        <v>0</v>
      </c>
      <c r="H336" s="30">
        <f>ROUND(F336*AE336,2)</f>
        <v>0</v>
      </c>
      <c r="I336" s="30">
        <f>J336-H336</f>
        <v>0</v>
      </c>
      <c r="J336" s="30">
        <f>ROUND(F336*G336,2)</f>
        <v>0</v>
      </c>
      <c r="K336" s="30">
        <v>4.02386</v>
      </c>
      <c r="L336" s="30">
        <f>F336*K336</f>
        <v>4.02386</v>
      </c>
      <c r="M336" s="258" t="s">
        <v>2291</v>
      </c>
      <c r="N336" s="31" t="s">
        <v>59</v>
      </c>
      <c r="O336" s="30">
        <f>IF(N336="5",I336,0)</f>
        <v>0</v>
      </c>
      <c r="Z336" s="30">
        <f>IF(AD336=0,J336,0)</f>
        <v>0</v>
      </c>
      <c r="AA336" s="30">
        <f>IF(AD336=15,J336,0)</f>
        <v>0</v>
      </c>
      <c r="AB336" s="30">
        <f>IF(AD336=21,J336,0)</f>
        <v>0</v>
      </c>
      <c r="AD336" s="32">
        <v>21</v>
      </c>
      <c r="AE336" s="32">
        <f>G336*0.425369632778091</f>
        <v>0</v>
      </c>
      <c r="AF336" s="32">
        <f>G336*(1-0.425369632778091)</f>
        <v>0</v>
      </c>
      <c r="AM336" s="32">
        <f>F336*AE336</f>
        <v>0</v>
      </c>
      <c r="AN336" s="32">
        <f>F336*AF336</f>
        <v>0</v>
      </c>
      <c r="AO336" s="33" t="s">
        <v>135</v>
      </c>
      <c r="AP336" s="33" t="s">
        <v>61</v>
      </c>
      <c r="AQ336" s="21" t="s">
        <v>309</v>
      </c>
    </row>
    <row r="337" spans="1:43" ht="25.7" customHeight="1" x14ac:dyDescent="0.25">
      <c r="C337" s="34" t="s">
        <v>63</v>
      </c>
      <c r="D337" s="340" t="s">
        <v>136</v>
      </c>
      <c r="E337" s="341"/>
      <c r="F337" s="341"/>
      <c r="G337" s="341"/>
      <c r="H337" s="341"/>
      <c r="I337" s="341"/>
      <c r="J337" s="341"/>
      <c r="K337" s="341"/>
      <c r="L337" s="341"/>
      <c r="M337" s="341"/>
    </row>
    <row r="338" spans="1:43" x14ac:dyDescent="0.25">
      <c r="A338" s="29" t="s">
        <v>315</v>
      </c>
      <c r="B338" s="29" t="s">
        <v>307</v>
      </c>
      <c r="C338" s="29" t="s">
        <v>138</v>
      </c>
      <c r="D338" s="29" t="s">
        <v>139</v>
      </c>
      <c r="E338" s="29" t="s">
        <v>113</v>
      </c>
      <c r="F338" s="30">
        <v>1</v>
      </c>
      <c r="G338" s="317">
        <v>0</v>
      </c>
      <c r="H338" s="30">
        <f>ROUND(F338*AE338,2)</f>
        <v>0</v>
      </c>
      <c r="I338" s="30">
        <f>J338-H338</f>
        <v>0</v>
      </c>
      <c r="J338" s="30">
        <f>ROUND(F338*G338,2)</f>
        <v>0</v>
      </c>
      <c r="K338" s="30">
        <v>8.0869999999999997E-2</v>
      </c>
      <c r="L338" s="30">
        <f>F338*K338</f>
        <v>8.0869999999999997E-2</v>
      </c>
      <c r="M338" s="258" t="s">
        <v>2291</v>
      </c>
      <c r="N338" s="31" t="s">
        <v>59</v>
      </c>
      <c r="O338" s="30">
        <f>IF(N338="5",I338,0)</f>
        <v>0</v>
      </c>
      <c r="Z338" s="30">
        <f>IF(AD338=0,J338,0)</f>
        <v>0</v>
      </c>
      <c r="AA338" s="30">
        <f>IF(AD338=15,J338,0)</f>
        <v>0</v>
      </c>
      <c r="AB338" s="30">
        <f>IF(AD338=21,J338,0)</f>
        <v>0</v>
      </c>
      <c r="AD338" s="32">
        <v>21</v>
      </c>
      <c r="AE338" s="32">
        <f>G338*0.927547713673244</f>
        <v>0</v>
      </c>
      <c r="AF338" s="32">
        <f>G338*(1-0.927547713673244)</f>
        <v>0</v>
      </c>
      <c r="AM338" s="32">
        <f>F338*AE338</f>
        <v>0</v>
      </c>
      <c r="AN338" s="32">
        <f>F338*AF338</f>
        <v>0</v>
      </c>
      <c r="AO338" s="33" t="s">
        <v>135</v>
      </c>
      <c r="AP338" s="33" t="s">
        <v>61</v>
      </c>
      <c r="AQ338" s="21" t="s">
        <v>309</v>
      </c>
    </row>
    <row r="339" spans="1:43" x14ac:dyDescent="0.25">
      <c r="A339" s="26"/>
      <c r="B339" s="27" t="s">
        <v>307</v>
      </c>
      <c r="C339" s="27" t="s">
        <v>73</v>
      </c>
      <c r="D339" s="338" t="s">
        <v>74</v>
      </c>
      <c r="E339" s="339"/>
      <c r="F339" s="339"/>
      <c r="G339" s="339"/>
      <c r="H339" s="28">
        <f>SUM(H340:H342)</f>
        <v>0</v>
      </c>
      <c r="I339" s="28">
        <f>SUM(I340:I342)</f>
        <v>0</v>
      </c>
      <c r="J339" s="28">
        <f>H339+I339</f>
        <v>0</v>
      </c>
      <c r="K339" s="21"/>
      <c r="L339" s="28">
        <f>SUM(L340:L342)</f>
        <v>1.5247272000000001</v>
      </c>
      <c r="M339" s="21"/>
      <c r="P339" s="28">
        <f>IF(Q339="PR",J339,SUM(O340:O342))</f>
        <v>0</v>
      </c>
      <c r="Q339" s="21" t="s">
        <v>75</v>
      </c>
      <c r="R339" s="28">
        <f>IF(Q339="HS",H339,0)</f>
        <v>0</v>
      </c>
      <c r="S339" s="28">
        <f>IF(Q339="HS",I339-P339,0)</f>
        <v>0</v>
      </c>
      <c r="T339" s="28">
        <f>IF(Q339="PS",H339,0)</f>
        <v>0</v>
      </c>
      <c r="U339" s="28">
        <f>IF(Q339="PS",I339-P339,0)</f>
        <v>0</v>
      </c>
      <c r="V339" s="28">
        <f>IF(Q339="MP",H339,0)</f>
        <v>0</v>
      </c>
      <c r="W339" s="28">
        <f>IF(Q339="MP",I339-P339,0)</f>
        <v>0</v>
      </c>
      <c r="X339" s="28">
        <f>IF(Q339="OM",H339,0)</f>
        <v>0</v>
      </c>
      <c r="Y339" s="21" t="s">
        <v>307</v>
      </c>
      <c r="AI339" s="28">
        <f>SUM(Z340:Z342)</f>
        <v>0</v>
      </c>
      <c r="AJ339" s="28">
        <f>SUM(AA340:AA342)</f>
        <v>0</v>
      </c>
      <c r="AK339" s="28">
        <f>SUM(AB340:AB342)</f>
        <v>0</v>
      </c>
    </row>
    <row r="340" spans="1:43" x14ac:dyDescent="0.25">
      <c r="A340" s="29" t="s">
        <v>316</v>
      </c>
      <c r="B340" s="29" t="s">
        <v>307</v>
      </c>
      <c r="C340" s="29" t="s">
        <v>77</v>
      </c>
      <c r="D340" s="29" t="s">
        <v>2278</v>
      </c>
      <c r="E340" s="29" t="s">
        <v>58</v>
      </c>
      <c r="F340" s="30">
        <v>16.53</v>
      </c>
      <c r="G340" s="317">
        <v>0</v>
      </c>
      <c r="H340" s="30">
        <f>ROUND(F340*AE340,2)</f>
        <v>0</v>
      </c>
      <c r="I340" s="30">
        <f>J340-H340</f>
        <v>0</v>
      </c>
      <c r="J340" s="30">
        <f>ROUND(F340*G340,2)</f>
        <v>0</v>
      </c>
      <c r="K340" s="30">
        <v>1.61E-2</v>
      </c>
      <c r="L340" s="30">
        <f>F340*K340</f>
        <v>0.26613300000000001</v>
      </c>
      <c r="M340" s="258" t="s">
        <v>2291</v>
      </c>
      <c r="N340" s="31" t="s">
        <v>59</v>
      </c>
      <c r="O340" s="30">
        <f>IF(N340="5",I340,0)</f>
        <v>0</v>
      </c>
      <c r="Z340" s="30">
        <f>IF(AD340=0,J340,0)</f>
        <v>0</v>
      </c>
      <c r="AA340" s="30">
        <f>IF(AD340=15,J340,0)</f>
        <v>0</v>
      </c>
      <c r="AB340" s="30">
        <f>IF(AD340=21,J340,0)</f>
        <v>0</v>
      </c>
      <c r="AD340" s="32">
        <v>21</v>
      </c>
      <c r="AE340" s="32">
        <f>G340*0.787221324717286</f>
        <v>0</v>
      </c>
      <c r="AF340" s="32">
        <f>G340*(1-0.787221324717286)</f>
        <v>0</v>
      </c>
      <c r="AM340" s="32">
        <f>F340*AE340</f>
        <v>0</v>
      </c>
      <c r="AN340" s="32">
        <f>F340*AF340</f>
        <v>0</v>
      </c>
      <c r="AO340" s="33" t="s">
        <v>78</v>
      </c>
      <c r="AP340" s="33" t="s">
        <v>79</v>
      </c>
      <c r="AQ340" s="21" t="s">
        <v>309</v>
      </c>
    </row>
    <row r="341" spans="1:43" ht="12.75" customHeight="1" x14ac:dyDescent="0.25">
      <c r="C341" s="34" t="s">
        <v>63</v>
      </c>
      <c r="D341" s="340" t="s">
        <v>2280</v>
      </c>
      <c r="E341" s="341"/>
      <c r="F341" s="341"/>
      <c r="G341" s="341"/>
      <c r="H341" s="341"/>
      <c r="I341" s="341"/>
      <c r="J341" s="341"/>
      <c r="K341" s="341"/>
      <c r="L341" s="341"/>
      <c r="M341" s="341"/>
    </row>
    <row r="342" spans="1:43" x14ac:dyDescent="0.25">
      <c r="A342" s="29" t="s">
        <v>317</v>
      </c>
      <c r="B342" s="29" t="s">
        <v>307</v>
      </c>
      <c r="C342" s="29" t="s">
        <v>122</v>
      </c>
      <c r="D342" s="29" t="s">
        <v>123</v>
      </c>
      <c r="E342" s="29" t="s">
        <v>58</v>
      </c>
      <c r="F342" s="30">
        <v>16.53</v>
      </c>
      <c r="G342" s="317">
        <v>0</v>
      </c>
      <c r="H342" s="30">
        <f>ROUND(F342*AE342,2)</f>
        <v>0</v>
      </c>
      <c r="I342" s="30">
        <f>J342-H342</f>
        <v>0</v>
      </c>
      <c r="J342" s="30">
        <f>ROUND(F342*G342,2)</f>
        <v>0</v>
      </c>
      <c r="K342" s="30">
        <v>7.6139999999999999E-2</v>
      </c>
      <c r="L342" s="30">
        <f>F342*K342</f>
        <v>1.2585942000000001</v>
      </c>
      <c r="M342" s="258" t="s">
        <v>2291</v>
      </c>
      <c r="N342" s="31" t="s">
        <v>59</v>
      </c>
      <c r="O342" s="30">
        <f>IF(N342="5",I342,0)</f>
        <v>0</v>
      </c>
      <c r="Z342" s="30">
        <f>IF(AD342=0,J342,0)</f>
        <v>0</v>
      </c>
      <c r="AA342" s="30">
        <f>IF(AD342=15,J342,0)</f>
        <v>0</v>
      </c>
      <c r="AB342" s="30">
        <f>IF(AD342=21,J342,0)</f>
        <v>0</v>
      </c>
      <c r="AD342" s="32">
        <v>21</v>
      </c>
      <c r="AE342" s="32">
        <f>G342*0.547569562266712</f>
        <v>0</v>
      </c>
      <c r="AF342" s="32">
        <f>G342*(1-0.547569562266712)</f>
        <v>0</v>
      </c>
      <c r="AM342" s="32">
        <f>F342*AE342</f>
        <v>0</v>
      </c>
      <c r="AN342" s="32">
        <f>F342*AF342</f>
        <v>0</v>
      </c>
      <c r="AO342" s="33" t="s">
        <v>78</v>
      </c>
      <c r="AP342" s="33" t="s">
        <v>79</v>
      </c>
      <c r="AQ342" s="21" t="s">
        <v>309</v>
      </c>
    </row>
    <row r="343" spans="1:43" x14ac:dyDescent="0.25">
      <c r="A343" s="26"/>
      <c r="B343" s="27" t="s">
        <v>307</v>
      </c>
      <c r="C343" s="27" t="s">
        <v>80</v>
      </c>
      <c r="D343" s="338" t="s">
        <v>81</v>
      </c>
      <c r="E343" s="339"/>
      <c r="F343" s="339"/>
      <c r="G343" s="339"/>
      <c r="H343" s="28">
        <f>SUM(H344:H347)</f>
        <v>0</v>
      </c>
      <c r="I343" s="28">
        <f>SUM(I344:I347)</f>
        <v>0</v>
      </c>
      <c r="J343" s="28">
        <f>H343+I343</f>
        <v>0</v>
      </c>
      <c r="K343" s="21"/>
      <c r="L343" s="28">
        <f>SUM(L344:L347)</f>
        <v>9.9823499999999996E-2</v>
      </c>
      <c r="M343" s="21"/>
      <c r="P343" s="28">
        <f>IF(Q343="PR",J343,SUM(O344:O347))</f>
        <v>0</v>
      </c>
      <c r="Q343" s="21" t="s">
        <v>75</v>
      </c>
      <c r="R343" s="28">
        <f>IF(Q343="HS",H343,0)</f>
        <v>0</v>
      </c>
      <c r="S343" s="28">
        <f>IF(Q343="HS",I343-P343,0)</f>
        <v>0</v>
      </c>
      <c r="T343" s="28">
        <f>IF(Q343="PS",H343,0)</f>
        <v>0</v>
      </c>
      <c r="U343" s="28">
        <f>IF(Q343="PS",I343-P343,0)</f>
        <v>0</v>
      </c>
      <c r="V343" s="28">
        <f>IF(Q343="MP",H343,0)</f>
        <v>0</v>
      </c>
      <c r="W343" s="28">
        <f>IF(Q343="MP",I343-P343,0)</f>
        <v>0</v>
      </c>
      <c r="X343" s="28">
        <f>IF(Q343="OM",H343,0)</f>
        <v>0</v>
      </c>
      <c r="Y343" s="21" t="s">
        <v>307</v>
      </c>
      <c r="AI343" s="28">
        <f>SUM(Z344:Z347)</f>
        <v>0</v>
      </c>
      <c r="AJ343" s="28">
        <f>SUM(AA344:AA347)</f>
        <v>0</v>
      </c>
      <c r="AK343" s="28">
        <f>SUM(AB344:AB347)</f>
        <v>0</v>
      </c>
    </row>
    <row r="344" spans="1:43" x14ac:dyDescent="0.25">
      <c r="A344" s="29" t="s">
        <v>318</v>
      </c>
      <c r="B344" s="29" t="s">
        <v>307</v>
      </c>
      <c r="C344" s="29" t="s">
        <v>143</v>
      </c>
      <c r="D344" s="29" t="s">
        <v>144</v>
      </c>
      <c r="E344" s="29" t="s">
        <v>58</v>
      </c>
      <c r="F344" s="30">
        <v>4.3499999999999996</v>
      </c>
      <c r="G344" s="317">
        <v>0</v>
      </c>
      <c r="H344" s="30">
        <f>ROUND(F344*AE344,2)</f>
        <v>0</v>
      </c>
      <c r="I344" s="30">
        <f>J344-H344</f>
        <v>0</v>
      </c>
      <c r="J344" s="30">
        <f>ROUND(F344*G344,2)</f>
        <v>0</v>
      </c>
      <c r="K344" s="30">
        <v>1E-3</v>
      </c>
      <c r="L344" s="30">
        <f>F344*K344</f>
        <v>4.3499999999999997E-3</v>
      </c>
      <c r="M344" s="258" t="s">
        <v>2291</v>
      </c>
      <c r="N344" s="31" t="s">
        <v>59</v>
      </c>
      <c r="O344" s="30">
        <f>IF(N344="5",I344,0)</f>
        <v>0</v>
      </c>
      <c r="Z344" s="30">
        <f>IF(AD344=0,J344,0)</f>
        <v>0</v>
      </c>
      <c r="AA344" s="30">
        <f>IF(AD344=15,J344,0)</f>
        <v>0</v>
      </c>
      <c r="AB344" s="30">
        <f>IF(AD344=21,J344,0)</f>
        <v>0</v>
      </c>
      <c r="AD344" s="32">
        <v>21</v>
      </c>
      <c r="AE344" s="32">
        <f>G344*0</f>
        <v>0</v>
      </c>
      <c r="AF344" s="32">
        <f>G344*(1-0)</f>
        <v>0</v>
      </c>
      <c r="AM344" s="32">
        <f>F344*AE344</f>
        <v>0</v>
      </c>
      <c r="AN344" s="32">
        <f>F344*AF344</f>
        <v>0</v>
      </c>
      <c r="AO344" s="33" t="s">
        <v>85</v>
      </c>
      <c r="AP344" s="33" t="s">
        <v>79</v>
      </c>
      <c r="AQ344" s="21" t="s">
        <v>309</v>
      </c>
    </row>
    <row r="345" spans="1:43" ht="25.7" customHeight="1" x14ac:dyDescent="0.25">
      <c r="C345" s="34" t="s">
        <v>63</v>
      </c>
      <c r="D345" s="340" t="s">
        <v>145</v>
      </c>
      <c r="E345" s="341"/>
      <c r="F345" s="341"/>
      <c r="G345" s="341"/>
      <c r="H345" s="341"/>
      <c r="I345" s="341"/>
      <c r="J345" s="341"/>
      <c r="K345" s="341"/>
      <c r="L345" s="341"/>
      <c r="M345" s="341"/>
    </row>
    <row r="346" spans="1:43" x14ac:dyDescent="0.25">
      <c r="A346" s="29" t="s">
        <v>319</v>
      </c>
      <c r="B346" s="29" t="s">
        <v>307</v>
      </c>
      <c r="C346" s="29" t="s">
        <v>147</v>
      </c>
      <c r="D346" s="29" t="s">
        <v>148</v>
      </c>
      <c r="E346" s="29" t="s">
        <v>104</v>
      </c>
      <c r="F346" s="30">
        <v>31.25</v>
      </c>
      <c r="G346" s="317">
        <v>0</v>
      </c>
      <c r="H346" s="30">
        <f>ROUND(F346*AE346,2)</f>
        <v>0</v>
      </c>
      <c r="I346" s="30">
        <f>J346-H346</f>
        <v>0</v>
      </c>
      <c r="J346" s="30">
        <f>ROUND(F346*G346,2)</f>
        <v>0</v>
      </c>
      <c r="K346" s="30">
        <v>2.49E-3</v>
      </c>
      <c r="L346" s="30">
        <f>F346*K346</f>
        <v>7.7812500000000007E-2</v>
      </c>
      <c r="M346" s="258" t="s">
        <v>2291</v>
      </c>
      <c r="N346" s="31" t="s">
        <v>59</v>
      </c>
      <c r="O346" s="30">
        <f>IF(N346="5",I346,0)</f>
        <v>0</v>
      </c>
      <c r="Z346" s="30">
        <f>IF(AD346=0,J346,0)</f>
        <v>0</v>
      </c>
      <c r="AA346" s="30">
        <f>IF(AD346=15,J346,0)</f>
        <v>0</v>
      </c>
      <c r="AB346" s="30">
        <f>IF(AD346=21,J346,0)</f>
        <v>0</v>
      </c>
      <c r="AD346" s="32">
        <v>21</v>
      </c>
      <c r="AE346" s="32">
        <f>G346*0.640489690721649</f>
        <v>0</v>
      </c>
      <c r="AF346" s="32">
        <f>G346*(1-0.640489690721649)</f>
        <v>0</v>
      </c>
      <c r="AM346" s="32">
        <f>F346*AE346</f>
        <v>0</v>
      </c>
      <c r="AN346" s="32">
        <f>F346*AF346</f>
        <v>0</v>
      </c>
      <c r="AO346" s="33" t="s">
        <v>85</v>
      </c>
      <c r="AP346" s="33" t="s">
        <v>79</v>
      </c>
      <c r="AQ346" s="21" t="s">
        <v>309</v>
      </c>
    </row>
    <row r="347" spans="1:43" x14ac:dyDescent="0.25">
      <c r="A347" s="29" t="s">
        <v>320</v>
      </c>
      <c r="B347" s="29" t="s">
        <v>307</v>
      </c>
      <c r="C347" s="29" t="s">
        <v>83</v>
      </c>
      <c r="D347" s="29" t="s">
        <v>84</v>
      </c>
      <c r="E347" s="29" t="s">
        <v>58</v>
      </c>
      <c r="F347" s="30">
        <v>4.3499999999999996</v>
      </c>
      <c r="G347" s="317">
        <v>0</v>
      </c>
      <c r="H347" s="30">
        <f>ROUND(F347*AE347,2)</f>
        <v>0</v>
      </c>
      <c r="I347" s="30">
        <f>J347-H347</f>
        <v>0</v>
      </c>
      <c r="J347" s="30">
        <f>ROUND(F347*G347,2)</f>
        <v>0</v>
      </c>
      <c r="K347" s="30">
        <v>4.0600000000000002E-3</v>
      </c>
      <c r="L347" s="30">
        <f>F347*K347</f>
        <v>1.7661E-2</v>
      </c>
      <c r="M347" s="258" t="s">
        <v>2291</v>
      </c>
      <c r="N347" s="31" t="s">
        <v>59</v>
      </c>
      <c r="O347" s="30">
        <f>IF(N347="5",I347,0)</f>
        <v>0</v>
      </c>
      <c r="Z347" s="30">
        <f>IF(AD347=0,J347,0)</f>
        <v>0</v>
      </c>
      <c r="AA347" s="30">
        <f>IF(AD347=15,J347,0)</f>
        <v>0</v>
      </c>
      <c r="AB347" s="30">
        <f>IF(AD347=21,J347,0)</f>
        <v>0</v>
      </c>
      <c r="AD347" s="32">
        <v>21</v>
      </c>
      <c r="AE347" s="32">
        <f>G347*0.67230605738576</f>
        <v>0</v>
      </c>
      <c r="AF347" s="32">
        <f>G347*(1-0.67230605738576)</f>
        <v>0</v>
      </c>
      <c r="AM347" s="32">
        <f>F347*AE347</f>
        <v>0</v>
      </c>
      <c r="AN347" s="32">
        <f>F347*AF347</f>
        <v>0</v>
      </c>
      <c r="AO347" s="33" t="s">
        <v>85</v>
      </c>
      <c r="AP347" s="33" t="s">
        <v>79</v>
      </c>
      <c r="AQ347" s="21" t="s">
        <v>309</v>
      </c>
    </row>
    <row r="348" spans="1:43" x14ac:dyDescent="0.25">
      <c r="A348" s="26"/>
      <c r="B348" s="27" t="s">
        <v>307</v>
      </c>
      <c r="C348" s="27" t="s">
        <v>93</v>
      </c>
      <c r="D348" s="338" t="s">
        <v>94</v>
      </c>
      <c r="E348" s="339"/>
      <c r="F348" s="339"/>
      <c r="G348" s="339"/>
      <c r="H348" s="28">
        <f>SUM(H349:H349)</f>
        <v>0</v>
      </c>
      <c r="I348" s="28">
        <f>SUM(I349:I349)</f>
        <v>0</v>
      </c>
      <c r="J348" s="28">
        <f>H348+I348</f>
        <v>0</v>
      </c>
      <c r="K348" s="21"/>
      <c r="L348" s="28">
        <f>SUM(L349:L349)</f>
        <v>0.11534899999999999</v>
      </c>
      <c r="M348" s="21"/>
      <c r="P348" s="28">
        <f>IF(Q348="PR",J348,SUM(O349:O349))</f>
        <v>0</v>
      </c>
      <c r="Q348" s="21" t="s">
        <v>75</v>
      </c>
      <c r="R348" s="28">
        <f>IF(Q348="HS",H348,0)</f>
        <v>0</v>
      </c>
      <c r="S348" s="28">
        <f>IF(Q348="HS",I348-P348,0)</f>
        <v>0</v>
      </c>
      <c r="T348" s="28">
        <f>IF(Q348="PS",H348,0)</f>
        <v>0</v>
      </c>
      <c r="U348" s="28">
        <f>IF(Q348="PS",I348-P348,0)</f>
        <v>0</v>
      </c>
      <c r="V348" s="28">
        <f>IF(Q348="MP",H348,0)</f>
        <v>0</v>
      </c>
      <c r="W348" s="28">
        <f>IF(Q348="MP",I348-P348,0)</f>
        <v>0</v>
      </c>
      <c r="X348" s="28">
        <f>IF(Q348="OM",H348,0)</f>
        <v>0</v>
      </c>
      <c r="Y348" s="21" t="s">
        <v>307</v>
      </c>
      <c r="AI348" s="28">
        <f>SUM(Z349:Z349)</f>
        <v>0</v>
      </c>
      <c r="AJ348" s="28">
        <f>SUM(AA349:AA349)</f>
        <v>0</v>
      </c>
      <c r="AK348" s="28">
        <f>SUM(AB349:AB349)</f>
        <v>0</v>
      </c>
    </row>
    <row r="349" spans="1:43" x14ac:dyDescent="0.25">
      <c r="A349" s="29" t="s">
        <v>321</v>
      </c>
      <c r="B349" s="29" t="s">
        <v>307</v>
      </c>
      <c r="C349" s="29" t="s">
        <v>96</v>
      </c>
      <c r="D349" s="29" t="s">
        <v>97</v>
      </c>
      <c r="E349" s="29" t="s">
        <v>58</v>
      </c>
      <c r="F349" s="30">
        <v>177.46</v>
      </c>
      <c r="G349" s="317">
        <v>0</v>
      </c>
      <c r="H349" s="30">
        <f>ROUND(F349*AE349,2)</f>
        <v>0</v>
      </c>
      <c r="I349" s="30">
        <f>J349-H349</f>
        <v>0</v>
      </c>
      <c r="J349" s="30">
        <f>ROUND(F349*G349,2)</f>
        <v>0</v>
      </c>
      <c r="K349" s="30">
        <v>6.4999999999999997E-4</v>
      </c>
      <c r="L349" s="30">
        <f>F349*K349</f>
        <v>0.11534899999999999</v>
      </c>
      <c r="M349" s="258" t="s">
        <v>2291</v>
      </c>
      <c r="N349" s="31" t="s">
        <v>59</v>
      </c>
      <c r="O349" s="30">
        <f>IF(N349="5",I349,0)</f>
        <v>0</v>
      </c>
      <c r="Z349" s="30">
        <f>IF(AD349=0,J349,0)</f>
        <v>0</v>
      </c>
      <c r="AA349" s="30">
        <f>IF(AD349=15,J349,0)</f>
        <v>0</v>
      </c>
      <c r="AB349" s="30">
        <f>IF(AD349=21,J349,0)</f>
        <v>0</v>
      </c>
      <c r="AD349" s="32">
        <v>21</v>
      </c>
      <c r="AE349" s="32">
        <f>G349*0.333747476316198</f>
        <v>0</v>
      </c>
      <c r="AF349" s="32">
        <f>G349*(1-0.333747476316198)</f>
        <v>0</v>
      </c>
      <c r="AM349" s="32">
        <f>F349*AE349</f>
        <v>0</v>
      </c>
      <c r="AN349" s="32">
        <f>F349*AF349</f>
        <v>0</v>
      </c>
      <c r="AO349" s="33" t="s">
        <v>98</v>
      </c>
      <c r="AP349" s="33" t="s">
        <v>92</v>
      </c>
      <c r="AQ349" s="21" t="s">
        <v>309</v>
      </c>
    </row>
    <row r="350" spans="1:43" x14ac:dyDescent="0.25">
      <c r="A350" s="26"/>
      <c r="B350" s="27" t="s">
        <v>307</v>
      </c>
      <c r="C350" s="27" t="s">
        <v>99</v>
      </c>
      <c r="D350" s="338" t="s">
        <v>100</v>
      </c>
      <c r="E350" s="339"/>
      <c r="F350" s="339"/>
      <c r="G350" s="339"/>
      <c r="H350" s="28">
        <f>SUM(H351:H351)</f>
        <v>0</v>
      </c>
      <c r="I350" s="28">
        <f>SUM(I351:I351)</f>
        <v>0</v>
      </c>
      <c r="J350" s="28">
        <f>H350+I350</f>
        <v>0</v>
      </c>
      <c r="K350" s="21"/>
      <c r="L350" s="28">
        <f>SUM(L351:L351)</f>
        <v>0</v>
      </c>
      <c r="M350" s="21"/>
      <c r="P350" s="28">
        <f>IF(Q350="PR",J350,SUM(O351:O351))</f>
        <v>0</v>
      </c>
      <c r="Q350" s="21" t="s">
        <v>54</v>
      </c>
      <c r="R350" s="28">
        <f>IF(Q350="HS",H350,0)</f>
        <v>0</v>
      </c>
      <c r="S350" s="28">
        <f>IF(Q350="HS",I350-P350,0)</f>
        <v>0</v>
      </c>
      <c r="T350" s="28">
        <f>IF(Q350="PS",H350,0)</f>
        <v>0</v>
      </c>
      <c r="U350" s="28">
        <f>IF(Q350="PS",I350-P350,0)</f>
        <v>0</v>
      </c>
      <c r="V350" s="28">
        <f>IF(Q350="MP",H350,0)</f>
        <v>0</v>
      </c>
      <c r="W350" s="28">
        <f>IF(Q350="MP",I350-P350,0)</f>
        <v>0</v>
      </c>
      <c r="X350" s="28">
        <f>IF(Q350="OM",H350,0)</f>
        <v>0</v>
      </c>
      <c r="Y350" s="21" t="s">
        <v>307</v>
      </c>
      <c r="AI350" s="28">
        <f>SUM(Z351:Z351)</f>
        <v>0</v>
      </c>
      <c r="AJ350" s="28">
        <f>SUM(AA351:AA351)</f>
        <v>0</v>
      </c>
      <c r="AK350" s="28">
        <f>SUM(AB351:AB351)</f>
        <v>0</v>
      </c>
    </row>
    <row r="351" spans="1:43" x14ac:dyDescent="0.25">
      <c r="A351" s="29" t="s">
        <v>322</v>
      </c>
      <c r="B351" s="29" t="s">
        <v>307</v>
      </c>
      <c r="C351" s="29" t="s">
        <v>102</v>
      </c>
      <c r="D351" s="29" t="s">
        <v>103</v>
      </c>
      <c r="E351" s="29" t="s">
        <v>104</v>
      </c>
      <c r="F351" s="30">
        <v>1.2</v>
      </c>
      <c r="G351" s="317">
        <v>0</v>
      </c>
      <c r="H351" s="30">
        <f>ROUND(F351*AE351,2)</f>
        <v>0</v>
      </c>
      <c r="I351" s="30">
        <f>J351-H351</f>
        <v>0</v>
      </c>
      <c r="J351" s="30">
        <f>ROUND(F351*G351,2)</f>
        <v>0</v>
      </c>
      <c r="K351" s="30">
        <v>0</v>
      </c>
      <c r="L351" s="30">
        <f>F351*K351</f>
        <v>0</v>
      </c>
      <c r="M351" s="258" t="s">
        <v>2291</v>
      </c>
      <c r="N351" s="31" t="s">
        <v>55</v>
      </c>
      <c r="O351" s="30">
        <f>IF(N351="5",I351,0)</f>
        <v>0</v>
      </c>
      <c r="Z351" s="30">
        <f>IF(AD351=0,J351,0)</f>
        <v>0</v>
      </c>
      <c r="AA351" s="30">
        <f>IF(AD351=15,J351,0)</f>
        <v>0</v>
      </c>
      <c r="AB351" s="30">
        <f>IF(AD351=21,J351,0)</f>
        <v>0</v>
      </c>
      <c r="AD351" s="32">
        <v>21</v>
      </c>
      <c r="AE351" s="32">
        <f>G351*0</f>
        <v>0</v>
      </c>
      <c r="AF351" s="32">
        <f>G351*(1-0)</f>
        <v>0</v>
      </c>
      <c r="AM351" s="32">
        <f>F351*AE351</f>
        <v>0</v>
      </c>
      <c r="AN351" s="32">
        <f>F351*AF351</f>
        <v>0</v>
      </c>
      <c r="AO351" s="33" t="s">
        <v>105</v>
      </c>
      <c r="AP351" s="33" t="s">
        <v>106</v>
      </c>
      <c r="AQ351" s="21" t="s">
        <v>309</v>
      </c>
    </row>
    <row r="352" spans="1:43" x14ac:dyDescent="0.25">
      <c r="C352" s="34" t="s">
        <v>63</v>
      </c>
      <c r="D352" s="340" t="s">
        <v>107</v>
      </c>
      <c r="E352" s="341"/>
      <c r="F352" s="341"/>
      <c r="G352" s="341"/>
      <c r="H352" s="341"/>
      <c r="I352" s="341"/>
      <c r="J352" s="341"/>
      <c r="K352" s="341"/>
      <c r="L352" s="341"/>
      <c r="M352" s="341"/>
    </row>
    <row r="353" spans="1:43" x14ac:dyDescent="0.25">
      <c r="A353" s="26"/>
      <c r="B353" s="27" t="s">
        <v>323</v>
      </c>
      <c r="C353" s="27"/>
      <c r="D353" s="338" t="s">
        <v>323</v>
      </c>
      <c r="E353" s="339"/>
      <c r="F353" s="339"/>
      <c r="G353" s="339"/>
      <c r="H353" s="28">
        <f>H354+H359+H361+H364+H366+H368+H370</f>
        <v>0</v>
      </c>
      <c r="I353" s="28">
        <f>I354+I359+I361+I364+I366+I368+I370</f>
        <v>0</v>
      </c>
      <c r="J353" s="28">
        <f>H353+I353</f>
        <v>0</v>
      </c>
      <c r="K353" s="21"/>
      <c r="L353" s="28">
        <f>L354+L359+L361+L364+L366+L368+L370</f>
        <v>1.350876</v>
      </c>
      <c r="M353" s="21"/>
    </row>
    <row r="354" spans="1:43" x14ac:dyDescent="0.25">
      <c r="A354" s="26"/>
      <c r="B354" s="27" t="s">
        <v>323</v>
      </c>
      <c r="C354" s="27" t="s">
        <v>52</v>
      </c>
      <c r="D354" s="338" t="s">
        <v>53</v>
      </c>
      <c r="E354" s="339"/>
      <c r="F354" s="339"/>
      <c r="G354" s="339"/>
      <c r="H354" s="28">
        <f>SUM(H355:H357)</f>
        <v>0</v>
      </c>
      <c r="I354" s="28">
        <f>SUM(I355:I357)</f>
        <v>0</v>
      </c>
      <c r="J354" s="28">
        <f>H354+I354</f>
        <v>0</v>
      </c>
      <c r="K354" s="21"/>
      <c r="L354" s="28">
        <f>SUM(L355:L357)</f>
        <v>0.550095</v>
      </c>
      <c r="M354" s="21"/>
      <c r="P354" s="28">
        <f>IF(Q354="PR",J354,SUM(O355:O357))</f>
        <v>0</v>
      </c>
      <c r="Q354" s="21" t="s">
        <v>54</v>
      </c>
      <c r="R354" s="28">
        <f>IF(Q354="HS",H354,0)</f>
        <v>0</v>
      </c>
      <c r="S354" s="28">
        <f>IF(Q354="HS",I354-P354,0)</f>
        <v>0</v>
      </c>
      <c r="T354" s="28">
        <f>IF(Q354="PS",H354,0)</f>
        <v>0</v>
      </c>
      <c r="U354" s="28">
        <f>IF(Q354="PS",I354-P354,0)</f>
        <v>0</v>
      </c>
      <c r="V354" s="28">
        <f>IF(Q354="MP",H354,0)</f>
        <v>0</v>
      </c>
      <c r="W354" s="28">
        <f>IF(Q354="MP",I354-P354,0)</f>
        <v>0</v>
      </c>
      <c r="X354" s="28">
        <f>IF(Q354="OM",H354,0)</f>
        <v>0</v>
      </c>
      <c r="Y354" s="21" t="s">
        <v>323</v>
      </c>
      <c r="AI354" s="28">
        <f>SUM(Z355:Z357)</f>
        <v>0</v>
      </c>
      <c r="AJ354" s="28">
        <f>SUM(AA355:AA357)</f>
        <v>0</v>
      </c>
      <c r="AK354" s="28">
        <f>SUM(AB355:AB357)</f>
        <v>0</v>
      </c>
    </row>
    <row r="355" spans="1:43" x14ac:dyDescent="0.25">
      <c r="A355" s="29" t="s">
        <v>324</v>
      </c>
      <c r="B355" s="29" t="s">
        <v>323</v>
      </c>
      <c r="C355" s="29" t="s">
        <v>56</v>
      </c>
      <c r="D355" s="29" t="s">
        <v>57</v>
      </c>
      <c r="E355" s="29" t="s">
        <v>58</v>
      </c>
      <c r="F355" s="30">
        <v>44.22</v>
      </c>
      <c r="G355" s="317">
        <v>0</v>
      </c>
      <c r="H355" s="30">
        <f>ROUND(F355*AE355,2)</f>
        <v>0</v>
      </c>
      <c r="I355" s="30">
        <f>J355-H355</f>
        <v>0</v>
      </c>
      <c r="J355" s="30">
        <f>ROUND(F355*G355,2)</f>
        <v>0</v>
      </c>
      <c r="K355" s="30">
        <v>1.001E-2</v>
      </c>
      <c r="L355" s="30">
        <f>F355*K355</f>
        <v>0.44264219999999999</v>
      </c>
      <c r="M355" s="258" t="s">
        <v>2291</v>
      </c>
      <c r="N355" s="31" t="s">
        <v>59</v>
      </c>
      <c r="O355" s="30">
        <f>IF(N355="5",I355,0)</f>
        <v>0</v>
      </c>
      <c r="Z355" s="30">
        <f>IF(AD355=0,J355,0)</f>
        <v>0</v>
      </c>
      <c r="AA355" s="30">
        <f>IF(AD355=15,J355,0)</f>
        <v>0</v>
      </c>
      <c r="AB355" s="30">
        <f>IF(AD355=21,J355,0)</f>
        <v>0</v>
      </c>
      <c r="AD355" s="32">
        <v>21</v>
      </c>
      <c r="AE355" s="32">
        <f>G355*0.0756575801052128</f>
        <v>0</v>
      </c>
      <c r="AF355" s="32">
        <f>G355*(1-0.0756575801052128)</f>
        <v>0</v>
      </c>
      <c r="AM355" s="32">
        <f>F355*AE355</f>
        <v>0</v>
      </c>
      <c r="AN355" s="32">
        <f>F355*AF355</f>
        <v>0</v>
      </c>
      <c r="AO355" s="33" t="s">
        <v>60</v>
      </c>
      <c r="AP355" s="33" t="s">
        <v>61</v>
      </c>
      <c r="AQ355" s="21" t="s">
        <v>325</v>
      </c>
    </row>
    <row r="356" spans="1:43" ht="25.7" customHeight="1" x14ac:dyDescent="0.25">
      <c r="C356" s="34" t="s">
        <v>63</v>
      </c>
      <c r="D356" s="340" t="s">
        <v>64</v>
      </c>
      <c r="E356" s="341"/>
      <c r="F356" s="341"/>
      <c r="G356" s="341"/>
      <c r="H356" s="341"/>
      <c r="I356" s="341"/>
      <c r="J356" s="341"/>
      <c r="K356" s="341"/>
      <c r="L356" s="341"/>
      <c r="M356" s="341"/>
    </row>
    <row r="357" spans="1:43" x14ac:dyDescent="0.25">
      <c r="A357" s="29" t="s">
        <v>326</v>
      </c>
      <c r="B357" s="29" t="s">
        <v>323</v>
      </c>
      <c r="C357" s="29" t="s">
        <v>66</v>
      </c>
      <c r="D357" s="29" t="s">
        <v>67</v>
      </c>
      <c r="E357" s="29" t="s">
        <v>58</v>
      </c>
      <c r="F357" s="30">
        <v>10.92</v>
      </c>
      <c r="G357" s="317">
        <v>0</v>
      </c>
      <c r="H357" s="30">
        <f>ROUND(F357*AE357,2)</f>
        <v>0</v>
      </c>
      <c r="I357" s="30">
        <f>J357-H357</f>
        <v>0</v>
      </c>
      <c r="J357" s="30">
        <f>ROUND(F357*G357,2)</f>
        <v>0</v>
      </c>
      <c r="K357" s="30">
        <v>9.8399999999999998E-3</v>
      </c>
      <c r="L357" s="30">
        <f>F357*K357</f>
        <v>0.1074528</v>
      </c>
      <c r="M357" s="258" t="s">
        <v>2291</v>
      </c>
      <c r="N357" s="31" t="s">
        <v>59</v>
      </c>
      <c r="O357" s="30">
        <f>IF(N357="5",I357,0)</f>
        <v>0</v>
      </c>
      <c r="Z357" s="30">
        <f>IF(AD357=0,J357,0)</f>
        <v>0</v>
      </c>
      <c r="AA357" s="30">
        <f>IF(AD357=15,J357,0)</f>
        <v>0</v>
      </c>
      <c r="AB357" s="30">
        <f>IF(AD357=21,J357,0)</f>
        <v>0</v>
      </c>
      <c r="AD357" s="32">
        <v>21</v>
      </c>
      <c r="AE357" s="32">
        <f>G357*0.160304682766381</f>
        <v>0</v>
      </c>
      <c r="AF357" s="32">
        <f>G357*(1-0.160304682766381)</f>
        <v>0</v>
      </c>
      <c r="AM357" s="32">
        <f>F357*AE357</f>
        <v>0</v>
      </c>
      <c r="AN357" s="32">
        <f>F357*AF357</f>
        <v>0</v>
      </c>
      <c r="AO357" s="33" t="s">
        <v>60</v>
      </c>
      <c r="AP357" s="33" t="s">
        <v>61</v>
      </c>
      <c r="AQ357" s="21" t="s">
        <v>325</v>
      </c>
    </row>
    <row r="358" spans="1:43" ht="25.7" customHeight="1" x14ac:dyDescent="0.25">
      <c r="C358" s="34" t="s">
        <v>63</v>
      </c>
      <c r="D358" s="340" t="s">
        <v>64</v>
      </c>
      <c r="E358" s="341"/>
      <c r="F358" s="341"/>
      <c r="G358" s="341"/>
      <c r="H358" s="341"/>
      <c r="I358" s="341"/>
      <c r="J358" s="341"/>
      <c r="K358" s="341"/>
      <c r="L358" s="341"/>
      <c r="M358" s="341"/>
    </row>
    <row r="359" spans="1:43" x14ac:dyDescent="0.25">
      <c r="A359" s="26"/>
      <c r="B359" s="27" t="s">
        <v>323</v>
      </c>
      <c r="C359" s="27" t="s">
        <v>68</v>
      </c>
      <c r="D359" s="338" t="s">
        <v>69</v>
      </c>
      <c r="E359" s="339"/>
      <c r="F359" s="339"/>
      <c r="G359" s="339"/>
      <c r="H359" s="28">
        <f>SUM(H360:H360)</f>
        <v>0</v>
      </c>
      <c r="I359" s="28">
        <f>SUM(I360:I360)</f>
        <v>0</v>
      </c>
      <c r="J359" s="28">
        <f>H359+I359</f>
        <v>0</v>
      </c>
      <c r="K359" s="21"/>
      <c r="L359" s="28">
        <f>SUM(L360:L360)</f>
        <v>0.54425279999999998</v>
      </c>
      <c r="M359" s="21"/>
      <c r="P359" s="28">
        <f>IF(Q359="PR",J359,SUM(O360:O360))</f>
        <v>0</v>
      </c>
      <c r="Q359" s="21" t="s">
        <v>54</v>
      </c>
      <c r="R359" s="28">
        <f>IF(Q359="HS",H359,0)</f>
        <v>0</v>
      </c>
      <c r="S359" s="28">
        <f>IF(Q359="HS",I359-P359,0)</f>
        <v>0</v>
      </c>
      <c r="T359" s="28">
        <f>IF(Q359="PS",H359,0)</f>
        <v>0</v>
      </c>
      <c r="U359" s="28">
        <f>IF(Q359="PS",I359-P359,0)</f>
        <v>0</v>
      </c>
      <c r="V359" s="28">
        <f>IF(Q359="MP",H359,0)</f>
        <v>0</v>
      </c>
      <c r="W359" s="28">
        <f>IF(Q359="MP",I359-P359,0)</f>
        <v>0</v>
      </c>
      <c r="X359" s="28">
        <f>IF(Q359="OM",H359,0)</f>
        <v>0</v>
      </c>
      <c r="Y359" s="21" t="s">
        <v>323</v>
      </c>
      <c r="AI359" s="28">
        <f>SUM(Z360:Z360)</f>
        <v>0</v>
      </c>
      <c r="AJ359" s="28">
        <f>SUM(AA360:AA360)</f>
        <v>0</v>
      </c>
      <c r="AK359" s="28">
        <f>SUM(AB360:AB360)</f>
        <v>0</v>
      </c>
    </row>
    <row r="360" spans="1:43" x14ac:dyDescent="0.25">
      <c r="A360" s="29" t="s">
        <v>327</v>
      </c>
      <c r="B360" s="29" t="s">
        <v>323</v>
      </c>
      <c r="C360" s="29" t="s">
        <v>70</v>
      </c>
      <c r="D360" s="29" t="s">
        <v>71</v>
      </c>
      <c r="E360" s="29" t="s">
        <v>58</v>
      </c>
      <c r="F360" s="30">
        <v>10.92</v>
      </c>
      <c r="G360" s="317">
        <v>0</v>
      </c>
      <c r="H360" s="30">
        <f>ROUND(F360*AE360,2)</f>
        <v>0</v>
      </c>
      <c r="I360" s="30">
        <f>J360-H360</f>
        <v>0</v>
      </c>
      <c r="J360" s="30">
        <f>ROUND(F360*G360,2)</f>
        <v>0</v>
      </c>
      <c r="K360" s="30">
        <v>4.9840000000000002E-2</v>
      </c>
      <c r="L360" s="30">
        <f>F360*K360</f>
        <v>0.54425279999999998</v>
      </c>
      <c r="M360" s="258" t="s">
        <v>2291</v>
      </c>
      <c r="N360" s="31" t="s">
        <v>59</v>
      </c>
      <c r="O360" s="30">
        <f>IF(N360="5",I360,0)</f>
        <v>0</v>
      </c>
      <c r="Z360" s="30">
        <f>IF(AD360=0,J360,0)</f>
        <v>0</v>
      </c>
      <c r="AA360" s="30">
        <f>IF(AD360=15,J360,0)</f>
        <v>0</v>
      </c>
      <c r="AB360" s="30">
        <f>IF(AD360=21,J360,0)</f>
        <v>0</v>
      </c>
      <c r="AD360" s="32">
        <v>21</v>
      </c>
      <c r="AE360" s="32">
        <f>G360*0.411768721414431</f>
        <v>0</v>
      </c>
      <c r="AF360" s="32">
        <f>G360*(1-0.411768721414431)</f>
        <v>0</v>
      </c>
      <c r="AM360" s="32">
        <f>F360*AE360</f>
        <v>0</v>
      </c>
      <c r="AN360" s="32">
        <f>F360*AF360</f>
        <v>0</v>
      </c>
      <c r="AO360" s="33" t="s">
        <v>72</v>
      </c>
      <c r="AP360" s="33" t="s">
        <v>61</v>
      </c>
      <c r="AQ360" s="21" t="s">
        <v>325</v>
      </c>
    </row>
    <row r="361" spans="1:43" x14ac:dyDescent="0.25">
      <c r="A361" s="26"/>
      <c r="B361" s="27" t="s">
        <v>323</v>
      </c>
      <c r="C361" s="27" t="s">
        <v>73</v>
      </c>
      <c r="D361" s="338" t="s">
        <v>74</v>
      </c>
      <c r="E361" s="339"/>
      <c r="F361" s="339"/>
      <c r="G361" s="339"/>
      <c r="H361" s="28">
        <f>SUM(H362:H362)</f>
        <v>0</v>
      </c>
      <c r="I361" s="28">
        <f>SUM(I362:I362)</f>
        <v>0</v>
      </c>
      <c r="J361" s="28">
        <f>H361+I361</f>
        <v>0</v>
      </c>
      <c r="K361" s="21"/>
      <c r="L361" s="28">
        <f>SUM(L362:L362)</f>
        <v>0.175812</v>
      </c>
      <c r="M361" s="21"/>
      <c r="P361" s="28">
        <f>IF(Q361="PR",J361,SUM(O362:O362))</f>
        <v>0</v>
      </c>
      <c r="Q361" s="21" t="s">
        <v>75</v>
      </c>
      <c r="R361" s="28">
        <f>IF(Q361="HS",H361,0)</f>
        <v>0</v>
      </c>
      <c r="S361" s="28">
        <f>IF(Q361="HS",I361-P361,0)</f>
        <v>0</v>
      </c>
      <c r="T361" s="28">
        <f>IF(Q361="PS",H361,0)</f>
        <v>0</v>
      </c>
      <c r="U361" s="28">
        <f>IF(Q361="PS",I361-P361,0)</f>
        <v>0</v>
      </c>
      <c r="V361" s="28">
        <f>IF(Q361="MP",H361,0)</f>
        <v>0</v>
      </c>
      <c r="W361" s="28">
        <f>IF(Q361="MP",I361-P361,0)</f>
        <v>0</v>
      </c>
      <c r="X361" s="28">
        <f>IF(Q361="OM",H361,0)</f>
        <v>0</v>
      </c>
      <c r="Y361" s="21" t="s">
        <v>323</v>
      </c>
      <c r="AI361" s="28">
        <f>SUM(Z362:Z362)</f>
        <v>0</v>
      </c>
      <c r="AJ361" s="28">
        <f>SUM(AA362:AA362)</f>
        <v>0</v>
      </c>
      <c r="AK361" s="28">
        <f>SUM(AB362:AB362)</f>
        <v>0</v>
      </c>
    </row>
    <row r="362" spans="1:43" x14ac:dyDescent="0.25">
      <c r="A362" s="29" t="s">
        <v>328</v>
      </c>
      <c r="B362" s="29" t="s">
        <v>323</v>
      </c>
      <c r="C362" s="29" t="s">
        <v>77</v>
      </c>
      <c r="D362" s="29" t="s">
        <v>2278</v>
      </c>
      <c r="E362" s="29" t="s">
        <v>58</v>
      </c>
      <c r="F362" s="30">
        <v>10.92</v>
      </c>
      <c r="G362" s="317">
        <v>0</v>
      </c>
      <c r="H362" s="30">
        <f>ROUND(F362*AE362,2)</f>
        <v>0</v>
      </c>
      <c r="I362" s="30">
        <f>J362-H362</f>
        <v>0</v>
      </c>
      <c r="J362" s="30">
        <f>ROUND(F362*G362,2)</f>
        <v>0</v>
      </c>
      <c r="K362" s="30">
        <v>1.61E-2</v>
      </c>
      <c r="L362" s="30">
        <f>F362*K362</f>
        <v>0.175812</v>
      </c>
      <c r="M362" s="258" t="s">
        <v>2291</v>
      </c>
      <c r="N362" s="31" t="s">
        <v>59</v>
      </c>
      <c r="O362" s="30">
        <f>IF(N362="5",I362,0)</f>
        <v>0</v>
      </c>
      <c r="Z362" s="30">
        <f>IF(AD362=0,J362,0)</f>
        <v>0</v>
      </c>
      <c r="AA362" s="30">
        <f>IF(AD362=15,J362,0)</f>
        <v>0</v>
      </c>
      <c r="AB362" s="30">
        <f>IF(AD362=21,J362,0)</f>
        <v>0</v>
      </c>
      <c r="AD362" s="32">
        <v>21</v>
      </c>
      <c r="AE362" s="32">
        <f>G362*0.787221324717286</f>
        <v>0</v>
      </c>
      <c r="AF362" s="32">
        <f>G362*(1-0.787221324717286)</f>
        <v>0</v>
      </c>
      <c r="AM362" s="32">
        <f>F362*AE362</f>
        <v>0</v>
      </c>
      <c r="AN362" s="32">
        <f>F362*AF362</f>
        <v>0</v>
      </c>
      <c r="AO362" s="33" t="s">
        <v>78</v>
      </c>
      <c r="AP362" s="33" t="s">
        <v>79</v>
      </c>
      <c r="AQ362" s="21" t="s">
        <v>325</v>
      </c>
    </row>
    <row r="363" spans="1:43" ht="12.75" customHeight="1" x14ac:dyDescent="0.25">
      <c r="C363" s="34" t="s">
        <v>63</v>
      </c>
      <c r="D363" s="340" t="s">
        <v>2280</v>
      </c>
      <c r="E363" s="341"/>
      <c r="F363" s="341"/>
      <c r="G363" s="341"/>
      <c r="H363" s="341"/>
      <c r="I363" s="341"/>
      <c r="J363" s="341"/>
      <c r="K363" s="341"/>
      <c r="L363" s="341"/>
      <c r="M363" s="341"/>
    </row>
    <row r="364" spans="1:43" x14ac:dyDescent="0.25">
      <c r="A364" s="26"/>
      <c r="B364" s="27" t="s">
        <v>323</v>
      </c>
      <c r="C364" s="27" t="s">
        <v>80</v>
      </c>
      <c r="D364" s="338" t="s">
        <v>81</v>
      </c>
      <c r="E364" s="339"/>
      <c r="F364" s="339"/>
      <c r="G364" s="339"/>
      <c r="H364" s="28">
        <f>SUM(H365:H365)</f>
        <v>0</v>
      </c>
      <c r="I364" s="28">
        <f>SUM(I365:I365)</f>
        <v>0</v>
      </c>
      <c r="J364" s="28">
        <f>H364+I364</f>
        <v>0</v>
      </c>
      <c r="K364" s="21"/>
      <c r="L364" s="28">
        <f>SUM(L365:L365)</f>
        <v>4.4335200000000005E-2</v>
      </c>
      <c r="M364" s="21"/>
      <c r="P364" s="28">
        <f>IF(Q364="PR",J364,SUM(O365:O365))</f>
        <v>0</v>
      </c>
      <c r="Q364" s="21" t="s">
        <v>75</v>
      </c>
      <c r="R364" s="28">
        <f>IF(Q364="HS",H364,0)</f>
        <v>0</v>
      </c>
      <c r="S364" s="28">
        <f>IF(Q364="HS",I364-P364,0)</f>
        <v>0</v>
      </c>
      <c r="T364" s="28">
        <f>IF(Q364="PS",H364,0)</f>
        <v>0</v>
      </c>
      <c r="U364" s="28">
        <f>IF(Q364="PS",I364-P364,0)</f>
        <v>0</v>
      </c>
      <c r="V364" s="28">
        <f>IF(Q364="MP",H364,0)</f>
        <v>0</v>
      </c>
      <c r="W364" s="28">
        <f>IF(Q364="MP",I364-P364,0)</f>
        <v>0</v>
      </c>
      <c r="X364" s="28">
        <f>IF(Q364="OM",H364,0)</f>
        <v>0</v>
      </c>
      <c r="Y364" s="21" t="s">
        <v>323</v>
      </c>
      <c r="AI364" s="28">
        <f>SUM(Z365:Z365)</f>
        <v>0</v>
      </c>
      <c r="AJ364" s="28">
        <f>SUM(AA365:AA365)</f>
        <v>0</v>
      </c>
      <c r="AK364" s="28">
        <f>SUM(AB365:AB365)</f>
        <v>0</v>
      </c>
    </row>
    <row r="365" spans="1:43" x14ac:dyDescent="0.25">
      <c r="A365" s="29" t="s">
        <v>329</v>
      </c>
      <c r="B365" s="29" t="s">
        <v>323</v>
      </c>
      <c r="C365" s="29" t="s">
        <v>83</v>
      </c>
      <c r="D365" s="29" t="s">
        <v>84</v>
      </c>
      <c r="E365" s="29" t="s">
        <v>58</v>
      </c>
      <c r="F365" s="30">
        <v>10.92</v>
      </c>
      <c r="G365" s="317">
        <v>0</v>
      </c>
      <c r="H365" s="30">
        <f>ROUND(F365*AE365,2)</f>
        <v>0</v>
      </c>
      <c r="I365" s="30">
        <f>J365-H365</f>
        <v>0</v>
      </c>
      <c r="J365" s="30">
        <f>ROUND(F365*G365,2)</f>
        <v>0</v>
      </c>
      <c r="K365" s="30">
        <v>4.0600000000000002E-3</v>
      </c>
      <c r="L365" s="30">
        <f>F365*K365</f>
        <v>4.4335200000000005E-2</v>
      </c>
      <c r="M365" s="258" t="s">
        <v>2291</v>
      </c>
      <c r="N365" s="31" t="s">
        <v>59</v>
      </c>
      <c r="O365" s="30">
        <f>IF(N365="5",I365,0)</f>
        <v>0</v>
      </c>
      <c r="Z365" s="30">
        <f>IF(AD365=0,J365,0)</f>
        <v>0</v>
      </c>
      <c r="AA365" s="30">
        <f>IF(AD365=15,J365,0)</f>
        <v>0</v>
      </c>
      <c r="AB365" s="30">
        <f>IF(AD365=21,J365,0)</f>
        <v>0</v>
      </c>
      <c r="AD365" s="32">
        <v>21</v>
      </c>
      <c r="AE365" s="32">
        <f>G365*0.67230605738576</f>
        <v>0</v>
      </c>
      <c r="AF365" s="32">
        <f>G365*(1-0.67230605738576)</f>
        <v>0</v>
      </c>
      <c r="AM365" s="32">
        <f>F365*AE365</f>
        <v>0</v>
      </c>
      <c r="AN365" s="32">
        <f>F365*AF365</f>
        <v>0</v>
      </c>
      <c r="AO365" s="33" t="s">
        <v>85</v>
      </c>
      <c r="AP365" s="33" t="s">
        <v>79</v>
      </c>
      <c r="AQ365" s="21" t="s">
        <v>325</v>
      </c>
    </row>
    <row r="366" spans="1:43" x14ac:dyDescent="0.25">
      <c r="A366" s="26"/>
      <c r="B366" s="27" t="s">
        <v>323</v>
      </c>
      <c r="C366" s="27" t="s">
        <v>86</v>
      </c>
      <c r="D366" s="338" t="s">
        <v>87</v>
      </c>
      <c r="E366" s="339"/>
      <c r="F366" s="339"/>
      <c r="G366" s="339"/>
      <c r="H366" s="28">
        <f>SUM(H367:H367)</f>
        <v>0</v>
      </c>
      <c r="I366" s="28">
        <f>SUM(I367:I367)</f>
        <v>0</v>
      </c>
      <c r="J366" s="28">
        <f>H366+I366</f>
        <v>0</v>
      </c>
      <c r="K366" s="21"/>
      <c r="L366" s="28">
        <f>SUM(L367:L367)</f>
        <v>5.4000000000000001E-4</v>
      </c>
      <c r="M366" s="21"/>
      <c r="P366" s="28">
        <f>IF(Q366="PR",J366,SUM(O367:O367))</f>
        <v>0</v>
      </c>
      <c r="Q366" s="21" t="s">
        <v>75</v>
      </c>
      <c r="R366" s="28">
        <f>IF(Q366="HS",H366,0)</f>
        <v>0</v>
      </c>
      <c r="S366" s="28">
        <f>IF(Q366="HS",I366-P366,0)</f>
        <v>0</v>
      </c>
      <c r="T366" s="28">
        <f>IF(Q366="PS",H366,0)</f>
        <v>0</v>
      </c>
      <c r="U366" s="28">
        <f>IF(Q366="PS",I366-P366,0)</f>
        <v>0</v>
      </c>
      <c r="V366" s="28">
        <f>IF(Q366="MP",H366,0)</f>
        <v>0</v>
      </c>
      <c r="W366" s="28">
        <f>IF(Q366="MP",I366-P366,0)</f>
        <v>0</v>
      </c>
      <c r="X366" s="28">
        <f>IF(Q366="OM",H366,0)</f>
        <v>0</v>
      </c>
      <c r="Y366" s="21" t="s">
        <v>323</v>
      </c>
      <c r="AI366" s="28">
        <f>SUM(Z367:Z367)</f>
        <v>0</v>
      </c>
      <c r="AJ366" s="28">
        <f>SUM(AA367:AA367)</f>
        <v>0</v>
      </c>
      <c r="AK366" s="28">
        <f>SUM(AB367:AB367)</f>
        <v>0</v>
      </c>
    </row>
    <row r="367" spans="1:43" x14ac:dyDescent="0.25">
      <c r="A367" s="29" t="s">
        <v>330</v>
      </c>
      <c r="B367" s="29" t="s">
        <v>323</v>
      </c>
      <c r="C367" s="29" t="s">
        <v>89</v>
      </c>
      <c r="D367" s="29" t="s">
        <v>90</v>
      </c>
      <c r="E367" s="29" t="s">
        <v>58</v>
      </c>
      <c r="F367" s="30">
        <v>2</v>
      </c>
      <c r="G367" s="317">
        <v>0</v>
      </c>
      <c r="H367" s="30">
        <f>ROUND(F367*AE367,2)</f>
        <v>0</v>
      </c>
      <c r="I367" s="30">
        <f>J367-H367</f>
        <v>0</v>
      </c>
      <c r="J367" s="30">
        <f>ROUND(F367*G367,2)</f>
        <v>0</v>
      </c>
      <c r="K367" s="30">
        <v>2.7E-4</v>
      </c>
      <c r="L367" s="30">
        <f>F367*K367</f>
        <v>5.4000000000000001E-4</v>
      </c>
      <c r="M367" s="258" t="s">
        <v>2291</v>
      </c>
      <c r="N367" s="31" t="s">
        <v>59</v>
      </c>
      <c r="O367" s="30">
        <f>IF(N367="5",I367,0)</f>
        <v>0</v>
      </c>
      <c r="Z367" s="30">
        <f>IF(AD367=0,J367,0)</f>
        <v>0</v>
      </c>
      <c r="AA367" s="30">
        <f>IF(AD367=15,J367,0)</f>
        <v>0</v>
      </c>
      <c r="AB367" s="30">
        <f>IF(AD367=21,J367,0)</f>
        <v>0</v>
      </c>
      <c r="AD367" s="32">
        <v>21</v>
      </c>
      <c r="AE367" s="32">
        <f>G367*0.186098187625859</f>
        <v>0</v>
      </c>
      <c r="AF367" s="32">
        <f>G367*(1-0.186098187625859)</f>
        <v>0</v>
      </c>
      <c r="AM367" s="32">
        <f>F367*AE367</f>
        <v>0</v>
      </c>
      <c r="AN367" s="32">
        <f>F367*AF367</f>
        <v>0</v>
      </c>
      <c r="AO367" s="33" t="s">
        <v>91</v>
      </c>
      <c r="AP367" s="33" t="s">
        <v>92</v>
      </c>
      <c r="AQ367" s="21" t="s">
        <v>325</v>
      </c>
    </row>
    <row r="368" spans="1:43" x14ac:dyDescent="0.25">
      <c r="A368" s="26"/>
      <c r="B368" s="27" t="s">
        <v>323</v>
      </c>
      <c r="C368" s="27" t="s">
        <v>93</v>
      </c>
      <c r="D368" s="338" t="s">
        <v>94</v>
      </c>
      <c r="E368" s="339"/>
      <c r="F368" s="339"/>
      <c r="G368" s="339"/>
      <c r="H368" s="28">
        <f>SUM(H369:H369)</f>
        <v>0</v>
      </c>
      <c r="I368" s="28">
        <f>SUM(I369:I369)</f>
        <v>0</v>
      </c>
      <c r="J368" s="28">
        <f>H368+I368</f>
        <v>0</v>
      </c>
      <c r="K368" s="21"/>
      <c r="L368" s="28">
        <f>SUM(L369:L369)</f>
        <v>3.5840999999999998E-2</v>
      </c>
      <c r="M368" s="21"/>
      <c r="P368" s="28">
        <f>IF(Q368="PR",J368,SUM(O369:O369))</f>
        <v>0</v>
      </c>
      <c r="Q368" s="21" t="s">
        <v>75</v>
      </c>
      <c r="R368" s="28">
        <f>IF(Q368="HS",H368,0)</f>
        <v>0</v>
      </c>
      <c r="S368" s="28">
        <f>IF(Q368="HS",I368-P368,0)</f>
        <v>0</v>
      </c>
      <c r="T368" s="28">
        <f>IF(Q368="PS",H368,0)</f>
        <v>0</v>
      </c>
      <c r="U368" s="28">
        <f>IF(Q368="PS",I368-P368,0)</f>
        <v>0</v>
      </c>
      <c r="V368" s="28">
        <f>IF(Q368="MP",H368,0)</f>
        <v>0</v>
      </c>
      <c r="W368" s="28">
        <f>IF(Q368="MP",I368-P368,0)</f>
        <v>0</v>
      </c>
      <c r="X368" s="28">
        <f>IF(Q368="OM",H368,0)</f>
        <v>0</v>
      </c>
      <c r="Y368" s="21" t="s">
        <v>323</v>
      </c>
      <c r="AI368" s="28">
        <f>SUM(Z369:Z369)</f>
        <v>0</v>
      </c>
      <c r="AJ368" s="28">
        <f>SUM(AA369:AA369)</f>
        <v>0</v>
      </c>
      <c r="AK368" s="28">
        <f>SUM(AB369:AB369)</f>
        <v>0</v>
      </c>
    </row>
    <row r="369" spans="1:43" x14ac:dyDescent="0.25">
      <c r="A369" s="29" t="s">
        <v>331</v>
      </c>
      <c r="B369" s="29" t="s">
        <v>323</v>
      </c>
      <c r="C369" s="29" t="s">
        <v>96</v>
      </c>
      <c r="D369" s="29" t="s">
        <v>97</v>
      </c>
      <c r="E369" s="29" t="s">
        <v>58</v>
      </c>
      <c r="F369" s="30">
        <v>55.14</v>
      </c>
      <c r="G369" s="317">
        <v>0</v>
      </c>
      <c r="H369" s="30">
        <f>ROUND(F369*AE369,2)</f>
        <v>0</v>
      </c>
      <c r="I369" s="30">
        <f>J369-H369</f>
        <v>0</v>
      </c>
      <c r="J369" s="30">
        <f>ROUND(F369*G369,2)</f>
        <v>0</v>
      </c>
      <c r="K369" s="30">
        <v>6.4999999999999997E-4</v>
      </c>
      <c r="L369" s="30">
        <f>F369*K369</f>
        <v>3.5840999999999998E-2</v>
      </c>
      <c r="M369" s="258" t="s">
        <v>2291</v>
      </c>
      <c r="N369" s="31" t="s">
        <v>59</v>
      </c>
      <c r="O369" s="30">
        <f>IF(N369="5",I369,0)</f>
        <v>0</v>
      </c>
      <c r="Z369" s="30">
        <f>IF(AD369=0,J369,0)</f>
        <v>0</v>
      </c>
      <c r="AA369" s="30">
        <f>IF(AD369=15,J369,0)</f>
        <v>0</v>
      </c>
      <c r="AB369" s="30">
        <f>IF(AD369=21,J369,0)</f>
        <v>0</v>
      </c>
      <c r="AD369" s="32">
        <v>21</v>
      </c>
      <c r="AE369" s="32">
        <f>G369*0.333747476316198</f>
        <v>0</v>
      </c>
      <c r="AF369" s="32">
        <f>G369*(1-0.333747476316198)</f>
        <v>0</v>
      </c>
      <c r="AM369" s="32">
        <f>F369*AE369</f>
        <v>0</v>
      </c>
      <c r="AN369" s="32">
        <f>F369*AF369</f>
        <v>0</v>
      </c>
      <c r="AO369" s="33" t="s">
        <v>98</v>
      </c>
      <c r="AP369" s="33" t="s">
        <v>92</v>
      </c>
      <c r="AQ369" s="21" t="s">
        <v>325</v>
      </c>
    </row>
    <row r="370" spans="1:43" x14ac:dyDescent="0.25">
      <c r="A370" s="26"/>
      <c r="B370" s="27" t="s">
        <v>323</v>
      </c>
      <c r="C370" s="27" t="s">
        <v>99</v>
      </c>
      <c r="D370" s="338" t="s">
        <v>100</v>
      </c>
      <c r="E370" s="339"/>
      <c r="F370" s="339"/>
      <c r="G370" s="339"/>
      <c r="H370" s="28">
        <f>SUM(H371:H371)</f>
        <v>0</v>
      </c>
      <c r="I370" s="28">
        <f>SUM(I371:I371)</f>
        <v>0</v>
      </c>
      <c r="J370" s="28">
        <f>H370+I370</f>
        <v>0</v>
      </c>
      <c r="K370" s="21"/>
      <c r="L370" s="28">
        <f>SUM(L371:L371)</f>
        <v>0</v>
      </c>
      <c r="M370" s="21"/>
      <c r="P370" s="28">
        <f>IF(Q370="PR",J370,SUM(O371:O371))</f>
        <v>0</v>
      </c>
      <c r="Q370" s="21" t="s">
        <v>54</v>
      </c>
      <c r="R370" s="28">
        <f>IF(Q370="HS",H370,0)</f>
        <v>0</v>
      </c>
      <c r="S370" s="28">
        <f>IF(Q370="HS",I370-P370,0)</f>
        <v>0</v>
      </c>
      <c r="T370" s="28">
        <f>IF(Q370="PS",H370,0)</f>
        <v>0</v>
      </c>
      <c r="U370" s="28">
        <f>IF(Q370="PS",I370-P370,0)</f>
        <v>0</v>
      </c>
      <c r="V370" s="28">
        <f>IF(Q370="MP",H370,0)</f>
        <v>0</v>
      </c>
      <c r="W370" s="28">
        <f>IF(Q370="MP",I370-P370,0)</f>
        <v>0</v>
      </c>
      <c r="X370" s="28">
        <f>IF(Q370="OM",H370,0)</f>
        <v>0</v>
      </c>
      <c r="Y370" s="21" t="s">
        <v>323</v>
      </c>
      <c r="AI370" s="28">
        <f>SUM(Z371:Z371)</f>
        <v>0</v>
      </c>
      <c r="AJ370" s="28">
        <f>SUM(AA371:AA371)</f>
        <v>0</v>
      </c>
      <c r="AK370" s="28">
        <f>SUM(AB371:AB371)</f>
        <v>0</v>
      </c>
    </row>
    <row r="371" spans="1:43" x14ac:dyDescent="0.25">
      <c r="A371" s="29" t="s">
        <v>332</v>
      </c>
      <c r="B371" s="29" t="s">
        <v>323</v>
      </c>
      <c r="C371" s="29" t="s">
        <v>102</v>
      </c>
      <c r="D371" s="29" t="s">
        <v>103</v>
      </c>
      <c r="E371" s="29" t="s">
        <v>104</v>
      </c>
      <c r="F371" s="30">
        <v>2.4</v>
      </c>
      <c r="G371" s="317">
        <v>0</v>
      </c>
      <c r="H371" s="30">
        <f>ROUND(F371*AE371,2)</f>
        <v>0</v>
      </c>
      <c r="I371" s="30">
        <f>J371-H371</f>
        <v>0</v>
      </c>
      <c r="J371" s="30">
        <f>ROUND(F371*G371,2)</f>
        <v>0</v>
      </c>
      <c r="K371" s="30">
        <v>0</v>
      </c>
      <c r="L371" s="30">
        <f>F371*K371</f>
        <v>0</v>
      </c>
      <c r="M371" s="258" t="s">
        <v>2291</v>
      </c>
      <c r="N371" s="31" t="s">
        <v>55</v>
      </c>
      <c r="O371" s="30">
        <f>IF(N371="5",I371,0)</f>
        <v>0</v>
      </c>
      <c r="Z371" s="30">
        <f>IF(AD371=0,J371,0)</f>
        <v>0</v>
      </c>
      <c r="AA371" s="30">
        <f>IF(AD371=15,J371,0)</f>
        <v>0</v>
      </c>
      <c r="AB371" s="30">
        <f>IF(AD371=21,J371,0)</f>
        <v>0</v>
      </c>
      <c r="AD371" s="32">
        <v>21</v>
      </c>
      <c r="AE371" s="32">
        <f>G371*0</f>
        <v>0</v>
      </c>
      <c r="AF371" s="32">
        <f>G371*(1-0)</f>
        <v>0</v>
      </c>
      <c r="AM371" s="32">
        <f>F371*AE371</f>
        <v>0</v>
      </c>
      <c r="AN371" s="32">
        <f>F371*AF371</f>
        <v>0</v>
      </c>
      <c r="AO371" s="33" t="s">
        <v>105</v>
      </c>
      <c r="AP371" s="33" t="s">
        <v>106</v>
      </c>
      <c r="AQ371" s="21" t="s">
        <v>325</v>
      </c>
    </row>
    <row r="372" spans="1:43" x14ac:dyDescent="0.25">
      <c r="C372" s="34" t="s">
        <v>63</v>
      </c>
      <c r="D372" s="340" t="s">
        <v>107</v>
      </c>
      <c r="E372" s="341"/>
      <c r="F372" s="341"/>
      <c r="G372" s="341"/>
      <c r="H372" s="341"/>
      <c r="I372" s="341"/>
      <c r="J372" s="341"/>
      <c r="K372" s="341"/>
      <c r="L372" s="341"/>
      <c r="M372" s="341"/>
    </row>
    <row r="373" spans="1:43" x14ac:dyDescent="0.25">
      <c r="A373" s="26"/>
      <c r="B373" s="27" t="s">
        <v>333</v>
      </c>
      <c r="C373" s="27"/>
      <c r="D373" s="338" t="s">
        <v>333</v>
      </c>
      <c r="E373" s="339"/>
      <c r="F373" s="339"/>
      <c r="G373" s="339"/>
      <c r="H373" s="28">
        <f>H374+H379+H381+H384+H386+H388+H390</f>
        <v>0</v>
      </c>
      <c r="I373" s="28">
        <f>I374+I379+I381+I384+I386+I388+I390</f>
        <v>0</v>
      </c>
      <c r="J373" s="28">
        <f>H373+I373</f>
        <v>0</v>
      </c>
      <c r="K373" s="21"/>
      <c r="L373" s="28">
        <f>L374+L379+L381+L384+L386+L388+L390</f>
        <v>1.350876</v>
      </c>
      <c r="M373" s="21"/>
    </row>
    <row r="374" spans="1:43" x14ac:dyDescent="0.25">
      <c r="A374" s="26"/>
      <c r="B374" s="27" t="s">
        <v>333</v>
      </c>
      <c r="C374" s="27" t="s">
        <v>52</v>
      </c>
      <c r="D374" s="338" t="s">
        <v>53</v>
      </c>
      <c r="E374" s="339"/>
      <c r="F374" s="339"/>
      <c r="G374" s="339"/>
      <c r="H374" s="28">
        <f>SUM(H375:H377)</f>
        <v>0</v>
      </c>
      <c r="I374" s="28">
        <f>SUM(I375:I377)</f>
        <v>0</v>
      </c>
      <c r="J374" s="28">
        <f>H374+I374</f>
        <v>0</v>
      </c>
      <c r="K374" s="21"/>
      <c r="L374" s="28">
        <f>SUM(L375:L377)</f>
        <v>0.550095</v>
      </c>
      <c r="M374" s="21"/>
      <c r="P374" s="28">
        <f>IF(Q374="PR",J374,SUM(O375:O377))</f>
        <v>0</v>
      </c>
      <c r="Q374" s="21" t="s">
        <v>54</v>
      </c>
      <c r="R374" s="28">
        <f>IF(Q374="HS",H374,0)</f>
        <v>0</v>
      </c>
      <c r="S374" s="28">
        <f>IF(Q374="HS",I374-P374,0)</f>
        <v>0</v>
      </c>
      <c r="T374" s="28">
        <f>IF(Q374="PS",H374,0)</f>
        <v>0</v>
      </c>
      <c r="U374" s="28">
        <f>IF(Q374="PS",I374-P374,0)</f>
        <v>0</v>
      </c>
      <c r="V374" s="28">
        <f>IF(Q374="MP",H374,0)</f>
        <v>0</v>
      </c>
      <c r="W374" s="28">
        <f>IF(Q374="MP",I374-P374,0)</f>
        <v>0</v>
      </c>
      <c r="X374" s="28">
        <f>IF(Q374="OM",H374,0)</f>
        <v>0</v>
      </c>
      <c r="Y374" s="21" t="s">
        <v>333</v>
      </c>
      <c r="AI374" s="28">
        <f>SUM(Z375:Z377)</f>
        <v>0</v>
      </c>
      <c r="AJ374" s="28">
        <f>SUM(AA375:AA377)</f>
        <v>0</v>
      </c>
      <c r="AK374" s="28">
        <f>SUM(AB375:AB377)</f>
        <v>0</v>
      </c>
    </row>
    <row r="375" spans="1:43" x14ac:dyDescent="0.25">
      <c r="A375" s="29" t="s">
        <v>334</v>
      </c>
      <c r="B375" s="29" t="s">
        <v>333</v>
      </c>
      <c r="C375" s="29" t="s">
        <v>56</v>
      </c>
      <c r="D375" s="29" t="s">
        <v>57</v>
      </c>
      <c r="E375" s="29" t="s">
        <v>58</v>
      </c>
      <c r="F375" s="30">
        <v>44.22</v>
      </c>
      <c r="G375" s="317">
        <v>0</v>
      </c>
      <c r="H375" s="30">
        <f>ROUND(F375*AE375,2)</f>
        <v>0</v>
      </c>
      <c r="I375" s="30">
        <f>J375-H375</f>
        <v>0</v>
      </c>
      <c r="J375" s="30">
        <f>ROUND(F375*G375,2)</f>
        <v>0</v>
      </c>
      <c r="K375" s="30">
        <v>1.001E-2</v>
      </c>
      <c r="L375" s="30">
        <f>F375*K375</f>
        <v>0.44264219999999999</v>
      </c>
      <c r="M375" s="258" t="s">
        <v>2291</v>
      </c>
      <c r="N375" s="31" t="s">
        <v>59</v>
      </c>
      <c r="O375" s="30">
        <f>IF(N375="5",I375,0)</f>
        <v>0</v>
      </c>
      <c r="Z375" s="30">
        <f>IF(AD375=0,J375,0)</f>
        <v>0</v>
      </c>
      <c r="AA375" s="30">
        <f>IF(AD375=15,J375,0)</f>
        <v>0</v>
      </c>
      <c r="AB375" s="30">
        <f>IF(AD375=21,J375,0)</f>
        <v>0</v>
      </c>
      <c r="AD375" s="32">
        <v>21</v>
      </c>
      <c r="AE375" s="32">
        <f>G375*0.0756575801052128</f>
        <v>0</v>
      </c>
      <c r="AF375" s="32">
        <f>G375*(1-0.0756575801052128)</f>
        <v>0</v>
      </c>
      <c r="AM375" s="32">
        <f>F375*AE375</f>
        <v>0</v>
      </c>
      <c r="AN375" s="32">
        <f>F375*AF375</f>
        <v>0</v>
      </c>
      <c r="AO375" s="33" t="s">
        <v>60</v>
      </c>
      <c r="AP375" s="33" t="s">
        <v>61</v>
      </c>
      <c r="AQ375" s="21" t="s">
        <v>335</v>
      </c>
    </row>
    <row r="376" spans="1:43" ht="25.7" customHeight="1" x14ac:dyDescent="0.25">
      <c r="C376" s="34" t="s">
        <v>63</v>
      </c>
      <c r="D376" s="340" t="s">
        <v>64</v>
      </c>
      <c r="E376" s="341"/>
      <c r="F376" s="341"/>
      <c r="G376" s="341"/>
      <c r="H376" s="341"/>
      <c r="I376" s="341"/>
      <c r="J376" s="341"/>
      <c r="K376" s="341"/>
      <c r="L376" s="341"/>
      <c r="M376" s="341"/>
    </row>
    <row r="377" spans="1:43" x14ac:dyDescent="0.25">
      <c r="A377" s="29" t="s">
        <v>336</v>
      </c>
      <c r="B377" s="29" t="s">
        <v>333</v>
      </c>
      <c r="C377" s="29" t="s">
        <v>66</v>
      </c>
      <c r="D377" s="29" t="s">
        <v>67</v>
      </c>
      <c r="E377" s="29" t="s">
        <v>58</v>
      </c>
      <c r="F377" s="30">
        <v>10.92</v>
      </c>
      <c r="G377" s="317">
        <v>0</v>
      </c>
      <c r="H377" s="30">
        <f>ROUND(F377*AE377,2)</f>
        <v>0</v>
      </c>
      <c r="I377" s="30">
        <f>J377-H377</f>
        <v>0</v>
      </c>
      <c r="J377" s="30">
        <f>ROUND(F377*G377,2)</f>
        <v>0</v>
      </c>
      <c r="K377" s="30">
        <v>9.8399999999999998E-3</v>
      </c>
      <c r="L377" s="30">
        <f>F377*K377</f>
        <v>0.1074528</v>
      </c>
      <c r="M377" s="258" t="s">
        <v>2291</v>
      </c>
      <c r="N377" s="31" t="s">
        <v>59</v>
      </c>
      <c r="O377" s="30">
        <f>IF(N377="5",I377,0)</f>
        <v>0</v>
      </c>
      <c r="Z377" s="30">
        <f>IF(AD377=0,J377,0)</f>
        <v>0</v>
      </c>
      <c r="AA377" s="30">
        <f>IF(AD377=15,J377,0)</f>
        <v>0</v>
      </c>
      <c r="AB377" s="30">
        <f>IF(AD377=21,J377,0)</f>
        <v>0</v>
      </c>
      <c r="AD377" s="32">
        <v>21</v>
      </c>
      <c r="AE377" s="32">
        <f>G377*0.160304682766381</f>
        <v>0</v>
      </c>
      <c r="AF377" s="32">
        <f>G377*(1-0.160304682766381)</f>
        <v>0</v>
      </c>
      <c r="AM377" s="32">
        <f>F377*AE377</f>
        <v>0</v>
      </c>
      <c r="AN377" s="32">
        <f>F377*AF377</f>
        <v>0</v>
      </c>
      <c r="AO377" s="33" t="s">
        <v>60</v>
      </c>
      <c r="AP377" s="33" t="s">
        <v>61</v>
      </c>
      <c r="AQ377" s="21" t="s">
        <v>335</v>
      </c>
    </row>
    <row r="378" spans="1:43" ht="25.7" customHeight="1" x14ac:dyDescent="0.25">
      <c r="C378" s="34" t="s">
        <v>63</v>
      </c>
      <c r="D378" s="340" t="s">
        <v>64</v>
      </c>
      <c r="E378" s="341"/>
      <c r="F378" s="341"/>
      <c r="G378" s="341"/>
      <c r="H378" s="341"/>
      <c r="I378" s="341"/>
      <c r="J378" s="341"/>
      <c r="K378" s="341"/>
      <c r="L378" s="341"/>
      <c r="M378" s="341"/>
    </row>
    <row r="379" spans="1:43" x14ac:dyDescent="0.25">
      <c r="A379" s="26"/>
      <c r="B379" s="27" t="s">
        <v>333</v>
      </c>
      <c r="C379" s="27" t="s">
        <v>68</v>
      </c>
      <c r="D379" s="338" t="s">
        <v>69</v>
      </c>
      <c r="E379" s="339"/>
      <c r="F379" s="339"/>
      <c r="G379" s="339"/>
      <c r="H379" s="28">
        <f>SUM(H380:H380)</f>
        <v>0</v>
      </c>
      <c r="I379" s="28">
        <f>SUM(I380:I380)</f>
        <v>0</v>
      </c>
      <c r="J379" s="28">
        <f>H379+I379</f>
        <v>0</v>
      </c>
      <c r="K379" s="21"/>
      <c r="L379" s="28">
        <f>SUM(L380:L380)</f>
        <v>0.54425279999999998</v>
      </c>
      <c r="M379" s="21"/>
      <c r="P379" s="28">
        <f>IF(Q379="PR",J379,SUM(O380:O380))</f>
        <v>0</v>
      </c>
      <c r="Q379" s="21" t="s">
        <v>54</v>
      </c>
      <c r="R379" s="28">
        <f>IF(Q379="HS",H379,0)</f>
        <v>0</v>
      </c>
      <c r="S379" s="28">
        <f>IF(Q379="HS",I379-P379,0)</f>
        <v>0</v>
      </c>
      <c r="T379" s="28">
        <f>IF(Q379="PS",H379,0)</f>
        <v>0</v>
      </c>
      <c r="U379" s="28">
        <f>IF(Q379="PS",I379-P379,0)</f>
        <v>0</v>
      </c>
      <c r="V379" s="28">
        <f>IF(Q379="MP",H379,0)</f>
        <v>0</v>
      </c>
      <c r="W379" s="28">
        <f>IF(Q379="MP",I379-P379,0)</f>
        <v>0</v>
      </c>
      <c r="X379" s="28">
        <f>IF(Q379="OM",H379,0)</f>
        <v>0</v>
      </c>
      <c r="Y379" s="21" t="s">
        <v>333</v>
      </c>
      <c r="AI379" s="28">
        <f>SUM(Z380:Z380)</f>
        <v>0</v>
      </c>
      <c r="AJ379" s="28">
        <f>SUM(AA380:AA380)</f>
        <v>0</v>
      </c>
      <c r="AK379" s="28">
        <f>SUM(AB380:AB380)</f>
        <v>0</v>
      </c>
    </row>
    <row r="380" spans="1:43" x14ac:dyDescent="0.25">
      <c r="A380" s="29" t="s">
        <v>337</v>
      </c>
      <c r="B380" s="29" t="s">
        <v>333</v>
      </c>
      <c r="C380" s="29" t="s">
        <v>70</v>
      </c>
      <c r="D380" s="29" t="s">
        <v>71</v>
      </c>
      <c r="E380" s="29" t="s">
        <v>58</v>
      </c>
      <c r="F380" s="30">
        <v>10.92</v>
      </c>
      <c r="G380" s="317">
        <v>0</v>
      </c>
      <c r="H380" s="30">
        <f>ROUND(F380*AE380,2)</f>
        <v>0</v>
      </c>
      <c r="I380" s="30">
        <f>J380-H380</f>
        <v>0</v>
      </c>
      <c r="J380" s="30">
        <f>ROUND(F380*G380,2)</f>
        <v>0</v>
      </c>
      <c r="K380" s="30">
        <v>4.9840000000000002E-2</v>
      </c>
      <c r="L380" s="30">
        <f>F380*K380</f>
        <v>0.54425279999999998</v>
      </c>
      <c r="M380" s="258" t="s">
        <v>2291</v>
      </c>
      <c r="N380" s="31" t="s">
        <v>59</v>
      </c>
      <c r="O380" s="30">
        <f>IF(N380="5",I380,0)</f>
        <v>0</v>
      </c>
      <c r="Z380" s="30">
        <f>IF(AD380=0,J380,0)</f>
        <v>0</v>
      </c>
      <c r="AA380" s="30">
        <f>IF(AD380=15,J380,0)</f>
        <v>0</v>
      </c>
      <c r="AB380" s="30">
        <f>IF(AD380=21,J380,0)</f>
        <v>0</v>
      </c>
      <c r="AD380" s="32">
        <v>21</v>
      </c>
      <c r="AE380" s="32">
        <f>G380*0.411768721414431</f>
        <v>0</v>
      </c>
      <c r="AF380" s="32">
        <f>G380*(1-0.411768721414431)</f>
        <v>0</v>
      </c>
      <c r="AM380" s="32">
        <f>F380*AE380</f>
        <v>0</v>
      </c>
      <c r="AN380" s="32">
        <f>F380*AF380</f>
        <v>0</v>
      </c>
      <c r="AO380" s="33" t="s">
        <v>72</v>
      </c>
      <c r="AP380" s="33" t="s">
        <v>61</v>
      </c>
      <c r="AQ380" s="21" t="s">
        <v>335</v>
      </c>
    </row>
    <row r="381" spans="1:43" x14ac:dyDescent="0.25">
      <c r="A381" s="26"/>
      <c r="B381" s="27" t="s">
        <v>333</v>
      </c>
      <c r="C381" s="27" t="s">
        <v>73</v>
      </c>
      <c r="D381" s="338" t="s">
        <v>74</v>
      </c>
      <c r="E381" s="339"/>
      <c r="F381" s="339"/>
      <c r="G381" s="339"/>
      <c r="H381" s="28">
        <f>SUM(H382:H382)</f>
        <v>0</v>
      </c>
      <c r="I381" s="28">
        <f>SUM(I382:I382)</f>
        <v>0</v>
      </c>
      <c r="J381" s="28">
        <f>H381+I381</f>
        <v>0</v>
      </c>
      <c r="K381" s="21"/>
      <c r="L381" s="28">
        <f>SUM(L382:L382)</f>
        <v>0.175812</v>
      </c>
      <c r="M381" s="21"/>
      <c r="P381" s="28">
        <f>IF(Q381="PR",J381,SUM(O382:O382))</f>
        <v>0</v>
      </c>
      <c r="Q381" s="21" t="s">
        <v>75</v>
      </c>
      <c r="R381" s="28">
        <f>IF(Q381="HS",H381,0)</f>
        <v>0</v>
      </c>
      <c r="S381" s="28">
        <f>IF(Q381="HS",I381-P381,0)</f>
        <v>0</v>
      </c>
      <c r="T381" s="28">
        <f>IF(Q381="PS",H381,0)</f>
        <v>0</v>
      </c>
      <c r="U381" s="28">
        <f>IF(Q381="PS",I381-P381,0)</f>
        <v>0</v>
      </c>
      <c r="V381" s="28">
        <f>IF(Q381="MP",H381,0)</f>
        <v>0</v>
      </c>
      <c r="W381" s="28">
        <f>IF(Q381="MP",I381-P381,0)</f>
        <v>0</v>
      </c>
      <c r="X381" s="28">
        <f>IF(Q381="OM",H381,0)</f>
        <v>0</v>
      </c>
      <c r="Y381" s="21" t="s">
        <v>333</v>
      </c>
      <c r="AI381" s="28">
        <f>SUM(Z382:Z382)</f>
        <v>0</v>
      </c>
      <c r="AJ381" s="28">
        <f>SUM(AA382:AA382)</f>
        <v>0</v>
      </c>
      <c r="AK381" s="28">
        <f>SUM(AB382:AB382)</f>
        <v>0</v>
      </c>
    </row>
    <row r="382" spans="1:43" x14ac:dyDescent="0.25">
      <c r="A382" s="29" t="s">
        <v>338</v>
      </c>
      <c r="B382" s="29" t="s">
        <v>333</v>
      </c>
      <c r="C382" s="29" t="s">
        <v>77</v>
      </c>
      <c r="D382" s="29" t="s">
        <v>2278</v>
      </c>
      <c r="E382" s="29" t="s">
        <v>58</v>
      </c>
      <c r="F382" s="30">
        <v>10.92</v>
      </c>
      <c r="G382" s="317">
        <v>0</v>
      </c>
      <c r="H382" s="30">
        <f>ROUND(F382*AE382,2)</f>
        <v>0</v>
      </c>
      <c r="I382" s="30">
        <f>J382-H382</f>
        <v>0</v>
      </c>
      <c r="J382" s="30">
        <f>ROUND(F382*G382,2)</f>
        <v>0</v>
      </c>
      <c r="K382" s="30">
        <v>1.61E-2</v>
      </c>
      <c r="L382" s="30">
        <f>F382*K382</f>
        <v>0.175812</v>
      </c>
      <c r="M382" s="258" t="s">
        <v>2291</v>
      </c>
      <c r="N382" s="31" t="s">
        <v>59</v>
      </c>
      <c r="O382" s="30">
        <f>IF(N382="5",I382,0)</f>
        <v>0</v>
      </c>
      <c r="Z382" s="30">
        <f>IF(AD382=0,J382,0)</f>
        <v>0</v>
      </c>
      <c r="AA382" s="30">
        <f>IF(AD382=15,J382,0)</f>
        <v>0</v>
      </c>
      <c r="AB382" s="30">
        <f>IF(AD382=21,J382,0)</f>
        <v>0</v>
      </c>
      <c r="AD382" s="32">
        <v>21</v>
      </c>
      <c r="AE382" s="32">
        <f>G382*0.787221324717286</f>
        <v>0</v>
      </c>
      <c r="AF382" s="32">
        <f>G382*(1-0.787221324717286)</f>
        <v>0</v>
      </c>
      <c r="AM382" s="32">
        <f>F382*AE382</f>
        <v>0</v>
      </c>
      <c r="AN382" s="32">
        <f>F382*AF382</f>
        <v>0</v>
      </c>
      <c r="AO382" s="33" t="s">
        <v>78</v>
      </c>
      <c r="AP382" s="33" t="s">
        <v>79</v>
      </c>
      <c r="AQ382" s="21" t="s">
        <v>335</v>
      </c>
    </row>
    <row r="383" spans="1:43" ht="12.75" customHeight="1" x14ac:dyDescent="0.25">
      <c r="C383" s="34" t="s">
        <v>63</v>
      </c>
      <c r="D383" s="340" t="s">
        <v>2280</v>
      </c>
      <c r="E383" s="341"/>
      <c r="F383" s="341"/>
      <c r="G383" s="341"/>
      <c r="H383" s="341"/>
      <c r="I383" s="341"/>
      <c r="J383" s="341"/>
      <c r="K383" s="341"/>
      <c r="L383" s="341"/>
      <c r="M383" s="341"/>
    </row>
    <row r="384" spans="1:43" x14ac:dyDescent="0.25">
      <c r="A384" s="26"/>
      <c r="B384" s="27" t="s">
        <v>333</v>
      </c>
      <c r="C384" s="27" t="s">
        <v>80</v>
      </c>
      <c r="D384" s="338" t="s">
        <v>81</v>
      </c>
      <c r="E384" s="339"/>
      <c r="F384" s="339"/>
      <c r="G384" s="339"/>
      <c r="H384" s="28">
        <f>SUM(H385:H385)</f>
        <v>0</v>
      </c>
      <c r="I384" s="28">
        <f>SUM(I385:I385)</f>
        <v>0</v>
      </c>
      <c r="J384" s="28">
        <f>H384+I384</f>
        <v>0</v>
      </c>
      <c r="K384" s="21"/>
      <c r="L384" s="28">
        <f>SUM(L385:L385)</f>
        <v>4.4335200000000005E-2</v>
      </c>
      <c r="M384" s="21"/>
      <c r="P384" s="28">
        <f>IF(Q384="PR",J384,SUM(O385:O385))</f>
        <v>0</v>
      </c>
      <c r="Q384" s="21" t="s">
        <v>75</v>
      </c>
      <c r="R384" s="28">
        <f>IF(Q384="HS",H384,0)</f>
        <v>0</v>
      </c>
      <c r="S384" s="28">
        <f>IF(Q384="HS",I384-P384,0)</f>
        <v>0</v>
      </c>
      <c r="T384" s="28">
        <f>IF(Q384="PS",H384,0)</f>
        <v>0</v>
      </c>
      <c r="U384" s="28">
        <f>IF(Q384="PS",I384-P384,0)</f>
        <v>0</v>
      </c>
      <c r="V384" s="28">
        <f>IF(Q384="MP",H384,0)</f>
        <v>0</v>
      </c>
      <c r="W384" s="28">
        <f>IF(Q384="MP",I384-P384,0)</f>
        <v>0</v>
      </c>
      <c r="X384" s="28">
        <f>IF(Q384="OM",H384,0)</f>
        <v>0</v>
      </c>
      <c r="Y384" s="21" t="s">
        <v>333</v>
      </c>
      <c r="AI384" s="28">
        <f>SUM(Z385:Z385)</f>
        <v>0</v>
      </c>
      <c r="AJ384" s="28">
        <f>SUM(AA385:AA385)</f>
        <v>0</v>
      </c>
      <c r="AK384" s="28">
        <f>SUM(AB385:AB385)</f>
        <v>0</v>
      </c>
    </row>
    <row r="385" spans="1:43" x14ac:dyDescent="0.25">
      <c r="A385" s="29" t="s">
        <v>339</v>
      </c>
      <c r="B385" s="29" t="s">
        <v>333</v>
      </c>
      <c r="C385" s="29" t="s">
        <v>83</v>
      </c>
      <c r="D385" s="29" t="s">
        <v>84</v>
      </c>
      <c r="E385" s="29" t="s">
        <v>58</v>
      </c>
      <c r="F385" s="30">
        <v>10.92</v>
      </c>
      <c r="G385" s="317">
        <v>0</v>
      </c>
      <c r="H385" s="30">
        <f>ROUND(F385*AE385,2)</f>
        <v>0</v>
      </c>
      <c r="I385" s="30">
        <f>J385-H385</f>
        <v>0</v>
      </c>
      <c r="J385" s="30">
        <f>ROUND(F385*G385,2)</f>
        <v>0</v>
      </c>
      <c r="K385" s="30">
        <v>4.0600000000000002E-3</v>
      </c>
      <c r="L385" s="30">
        <f>F385*K385</f>
        <v>4.4335200000000005E-2</v>
      </c>
      <c r="M385" s="258" t="s">
        <v>2291</v>
      </c>
      <c r="N385" s="31" t="s">
        <v>59</v>
      </c>
      <c r="O385" s="30">
        <f>IF(N385="5",I385,0)</f>
        <v>0</v>
      </c>
      <c r="Z385" s="30">
        <f>IF(AD385=0,J385,0)</f>
        <v>0</v>
      </c>
      <c r="AA385" s="30">
        <f>IF(AD385=15,J385,0)</f>
        <v>0</v>
      </c>
      <c r="AB385" s="30">
        <f>IF(AD385=21,J385,0)</f>
        <v>0</v>
      </c>
      <c r="AD385" s="32">
        <v>21</v>
      </c>
      <c r="AE385" s="32">
        <f>G385*0.67230605738576</f>
        <v>0</v>
      </c>
      <c r="AF385" s="32">
        <f>G385*(1-0.67230605738576)</f>
        <v>0</v>
      </c>
      <c r="AM385" s="32">
        <f>F385*AE385</f>
        <v>0</v>
      </c>
      <c r="AN385" s="32">
        <f>F385*AF385</f>
        <v>0</v>
      </c>
      <c r="AO385" s="33" t="s">
        <v>85</v>
      </c>
      <c r="AP385" s="33" t="s">
        <v>79</v>
      </c>
      <c r="AQ385" s="21" t="s">
        <v>335</v>
      </c>
    </row>
    <row r="386" spans="1:43" x14ac:dyDescent="0.25">
      <c r="A386" s="26"/>
      <c r="B386" s="27" t="s">
        <v>333</v>
      </c>
      <c r="C386" s="27" t="s">
        <v>86</v>
      </c>
      <c r="D386" s="338" t="s">
        <v>87</v>
      </c>
      <c r="E386" s="339"/>
      <c r="F386" s="339"/>
      <c r="G386" s="339"/>
      <c r="H386" s="28">
        <f>SUM(H387:H387)</f>
        <v>0</v>
      </c>
      <c r="I386" s="28">
        <f>SUM(I387:I387)</f>
        <v>0</v>
      </c>
      <c r="J386" s="28">
        <f>H386+I386</f>
        <v>0</v>
      </c>
      <c r="K386" s="21"/>
      <c r="L386" s="28">
        <f>SUM(L387:L387)</f>
        <v>5.4000000000000001E-4</v>
      </c>
      <c r="M386" s="21"/>
      <c r="P386" s="28">
        <f>IF(Q386="PR",J386,SUM(O387:O387))</f>
        <v>0</v>
      </c>
      <c r="Q386" s="21" t="s">
        <v>75</v>
      </c>
      <c r="R386" s="28">
        <f>IF(Q386="HS",H386,0)</f>
        <v>0</v>
      </c>
      <c r="S386" s="28">
        <f>IF(Q386="HS",I386-P386,0)</f>
        <v>0</v>
      </c>
      <c r="T386" s="28">
        <f>IF(Q386="PS",H386,0)</f>
        <v>0</v>
      </c>
      <c r="U386" s="28">
        <f>IF(Q386="PS",I386-P386,0)</f>
        <v>0</v>
      </c>
      <c r="V386" s="28">
        <f>IF(Q386="MP",H386,0)</f>
        <v>0</v>
      </c>
      <c r="W386" s="28">
        <f>IF(Q386="MP",I386-P386,0)</f>
        <v>0</v>
      </c>
      <c r="X386" s="28">
        <f>IF(Q386="OM",H386,0)</f>
        <v>0</v>
      </c>
      <c r="Y386" s="21" t="s">
        <v>333</v>
      </c>
      <c r="AI386" s="28">
        <f>SUM(Z387:Z387)</f>
        <v>0</v>
      </c>
      <c r="AJ386" s="28">
        <f>SUM(AA387:AA387)</f>
        <v>0</v>
      </c>
      <c r="AK386" s="28">
        <f>SUM(AB387:AB387)</f>
        <v>0</v>
      </c>
    </row>
    <row r="387" spans="1:43" x14ac:dyDescent="0.25">
      <c r="A387" s="29" t="s">
        <v>340</v>
      </c>
      <c r="B387" s="29" t="s">
        <v>333</v>
      </c>
      <c r="C387" s="29" t="s">
        <v>89</v>
      </c>
      <c r="D387" s="29" t="s">
        <v>90</v>
      </c>
      <c r="E387" s="29" t="s">
        <v>58</v>
      </c>
      <c r="F387" s="30">
        <v>2</v>
      </c>
      <c r="G387" s="317">
        <v>0</v>
      </c>
      <c r="H387" s="30">
        <f>ROUND(F387*AE387,2)</f>
        <v>0</v>
      </c>
      <c r="I387" s="30">
        <f>J387-H387</f>
        <v>0</v>
      </c>
      <c r="J387" s="30">
        <f>ROUND(F387*G387,2)</f>
        <v>0</v>
      </c>
      <c r="K387" s="30">
        <v>2.7E-4</v>
      </c>
      <c r="L387" s="30">
        <f>F387*K387</f>
        <v>5.4000000000000001E-4</v>
      </c>
      <c r="M387" s="258" t="s">
        <v>2291</v>
      </c>
      <c r="N387" s="31" t="s">
        <v>59</v>
      </c>
      <c r="O387" s="30">
        <f>IF(N387="5",I387,0)</f>
        <v>0</v>
      </c>
      <c r="Z387" s="30">
        <f>IF(AD387=0,J387,0)</f>
        <v>0</v>
      </c>
      <c r="AA387" s="30">
        <f>IF(AD387=15,J387,0)</f>
        <v>0</v>
      </c>
      <c r="AB387" s="30">
        <f>IF(AD387=21,J387,0)</f>
        <v>0</v>
      </c>
      <c r="AD387" s="32">
        <v>21</v>
      </c>
      <c r="AE387" s="32">
        <f>G387*0.186098187625859</f>
        <v>0</v>
      </c>
      <c r="AF387" s="32">
        <f>G387*(1-0.186098187625859)</f>
        <v>0</v>
      </c>
      <c r="AM387" s="32">
        <f>F387*AE387</f>
        <v>0</v>
      </c>
      <c r="AN387" s="32">
        <f>F387*AF387</f>
        <v>0</v>
      </c>
      <c r="AO387" s="33" t="s">
        <v>91</v>
      </c>
      <c r="AP387" s="33" t="s">
        <v>92</v>
      </c>
      <c r="AQ387" s="21" t="s">
        <v>335</v>
      </c>
    </row>
    <row r="388" spans="1:43" x14ac:dyDescent="0.25">
      <c r="A388" s="26"/>
      <c r="B388" s="27" t="s">
        <v>333</v>
      </c>
      <c r="C388" s="27" t="s">
        <v>93</v>
      </c>
      <c r="D388" s="338" t="s">
        <v>94</v>
      </c>
      <c r="E388" s="339"/>
      <c r="F388" s="339"/>
      <c r="G388" s="339"/>
      <c r="H388" s="28">
        <f>SUM(H389:H389)</f>
        <v>0</v>
      </c>
      <c r="I388" s="28">
        <f>SUM(I389:I389)</f>
        <v>0</v>
      </c>
      <c r="J388" s="28">
        <f>H388+I388</f>
        <v>0</v>
      </c>
      <c r="K388" s="21"/>
      <c r="L388" s="28">
        <f>SUM(L389:L389)</f>
        <v>3.5840999999999998E-2</v>
      </c>
      <c r="M388" s="21"/>
      <c r="P388" s="28">
        <f>IF(Q388="PR",J388,SUM(O389:O389))</f>
        <v>0</v>
      </c>
      <c r="Q388" s="21" t="s">
        <v>75</v>
      </c>
      <c r="R388" s="28">
        <f>IF(Q388="HS",H388,0)</f>
        <v>0</v>
      </c>
      <c r="S388" s="28">
        <f>IF(Q388="HS",I388-P388,0)</f>
        <v>0</v>
      </c>
      <c r="T388" s="28">
        <f>IF(Q388="PS",H388,0)</f>
        <v>0</v>
      </c>
      <c r="U388" s="28">
        <f>IF(Q388="PS",I388-P388,0)</f>
        <v>0</v>
      </c>
      <c r="V388" s="28">
        <f>IF(Q388="MP",H388,0)</f>
        <v>0</v>
      </c>
      <c r="W388" s="28">
        <f>IF(Q388="MP",I388-P388,0)</f>
        <v>0</v>
      </c>
      <c r="X388" s="28">
        <f>IF(Q388="OM",H388,0)</f>
        <v>0</v>
      </c>
      <c r="Y388" s="21" t="s">
        <v>333</v>
      </c>
      <c r="AI388" s="28">
        <f>SUM(Z389:Z389)</f>
        <v>0</v>
      </c>
      <c r="AJ388" s="28">
        <f>SUM(AA389:AA389)</f>
        <v>0</v>
      </c>
      <c r="AK388" s="28">
        <f>SUM(AB389:AB389)</f>
        <v>0</v>
      </c>
    </row>
    <row r="389" spans="1:43" x14ac:dyDescent="0.25">
      <c r="A389" s="29" t="s">
        <v>341</v>
      </c>
      <c r="B389" s="29" t="s">
        <v>333</v>
      </c>
      <c r="C389" s="29" t="s">
        <v>96</v>
      </c>
      <c r="D389" s="29" t="s">
        <v>97</v>
      </c>
      <c r="E389" s="29" t="s">
        <v>58</v>
      </c>
      <c r="F389" s="30">
        <v>55.14</v>
      </c>
      <c r="G389" s="317">
        <v>0</v>
      </c>
      <c r="H389" s="30">
        <f>ROUND(F389*AE389,2)</f>
        <v>0</v>
      </c>
      <c r="I389" s="30">
        <f>J389-H389</f>
        <v>0</v>
      </c>
      <c r="J389" s="30">
        <f>ROUND(F389*G389,2)</f>
        <v>0</v>
      </c>
      <c r="K389" s="30">
        <v>6.4999999999999997E-4</v>
      </c>
      <c r="L389" s="30">
        <f>F389*K389</f>
        <v>3.5840999999999998E-2</v>
      </c>
      <c r="M389" s="258" t="s">
        <v>2291</v>
      </c>
      <c r="N389" s="31" t="s">
        <v>59</v>
      </c>
      <c r="O389" s="30">
        <f>IF(N389="5",I389,0)</f>
        <v>0</v>
      </c>
      <c r="Z389" s="30">
        <f>IF(AD389=0,J389,0)</f>
        <v>0</v>
      </c>
      <c r="AA389" s="30">
        <f>IF(AD389=15,J389,0)</f>
        <v>0</v>
      </c>
      <c r="AB389" s="30">
        <f>IF(AD389=21,J389,0)</f>
        <v>0</v>
      </c>
      <c r="AD389" s="32">
        <v>21</v>
      </c>
      <c r="AE389" s="32">
        <f>G389*0.333747476316198</f>
        <v>0</v>
      </c>
      <c r="AF389" s="32">
        <f>G389*(1-0.333747476316198)</f>
        <v>0</v>
      </c>
      <c r="AM389" s="32">
        <f>F389*AE389</f>
        <v>0</v>
      </c>
      <c r="AN389" s="32">
        <f>F389*AF389</f>
        <v>0</v>
      </c>
      <c r="AO389" s="33" t="s">
        <v>98</v>
      </c>
      <c r="AP389" s="33" t="s">
        <v>92</v>
      </c>
      <c r="AQ389" s="21" t="s">
        <v>335</v>
      </c>
    </row>
    <row r="390" spans="1:43" x14ac:dyDescent="0.25">
      <c r="A390" s="26"/>
      <c r="B390" s="27" t="s">
        <v>333</v>
      </c>
      <c r="C390" s="27" t="s">
        <v>99</v>
      </c>
      <c r="D390" s="338" t="s">
        <v>100</v>
      </c>
      <c r="E390" s="339"/>
      <c r="F390" s="339"/>
      <c r="G390" s="339"/>
      <c r="H390" s="28">
        <f>SUM(H391:H391)</f>
        <v>0</v>
      </c>
      <c r="I390" s="28">
        <f>SUM(I391:I391)</f>
        <v>0</v>
      </c>
      <c r="J390" s="28">
        <f>H390+I390</f>
        <v>0</v>
      </c>
      <c r="K390" s="21"/>
      <c r="L390" s="28">
        <f>SUM(L391:L391)</f>
        <v>0</v>
      </c>
      <c r="M390" s="21"/>
      <c r="P390" s="28">
        <f>IF(Q390="PR",J390,SUM(O391:O391))</f>
        <v>0</v>
      </c>
      <c r="Q390" s="21" t="s">
        <v>54</v>
      </c>
      <c r="R390" s="28">
        <f>IF(Q390="HS",H390,0)</f>
        <v>0</v>
      </c>
      <c r="S390" s="28">
        <f>IF(Q390="HS",I390-P390,0)</f>
        <v>0</v>
      </c>
      <c r="T390" s="28">
        <f>IF(Q390="PS",H390,0)</f>
        <v>0</v>
      </c>
      <c r="U390" s="28">
        <f>IF(Q390="PS",I390-P390,0)</f>
        <v>0</v>
      </c>
      <c r="V390" s="28">
        <f>IF(Q390="MP",H390,0)</f>
        <v>0</v>
      </c>
      <c r="W390" s="28">
        <f>IF(Q390="MP",I390-P390,0)</f>
        <v>0</v>
      </c>
      <c r="X390" s="28">
        <f>IF(Q390="OM",H390,0)</f>
        <v>0</v>
      </c>
      <c r="Y390" s="21" t="s">
        <v>333</v>
      </c>
      <c r="AI390" s="28">
        <f>SUM(Z391:Z391)</f>
        <v>0</v>
      </c>
      <c r="AJ390" s="28">
        <f>SUM(AA391:AA391)</f>
        <v>0</v>
      </c>
      <c r="AK390" s="28">
        <f>SUM(AB391:AB391)</f>
        <v>0</v>
      </c>
    </row>
    <row r="391" spans="1:43" x14ac:dyDescent="0.25">
      <c r="A391" s="29" t="s">
        <v>342</v>
      </c>
      <c r="B391" s="29" t="s">
        <v>333</v>
      </c>
      <c r="C391" s="29" t="s">
        <v>102</v>
      </c>
      <c r="D391" s="29" t="s">
        <v>103</v>
      </c>
      <c r="E391" s="29" t="s">
        <v>104</v>
      </c>
      <c r="F391" s="30">
        <v>2.4</v>
      </c>
      <c r="G391" s="317">
        <v>0</v>
      </c>
      <c r="H391" s="30">
        <f>ROUND(F391*AE391,2)</f>
        <v>0</v>
      </c>
      <c r="I391" s="30">
        <f>J391-H391</f>
        <v>0</v>
      </c>
      <c r="J391" s="30">
        <f>ROUND(F391*G391,2)</f>
        <v>0</v>
      </c>
      <c r="K391" s="30">
        <v>0</v>
      </c>
      <c r="L391" s="30">
        <f>F391*K391</f>
        <v>0</v>
      </c>
      <c r="M391" s="258" t="s">
        <v>2291</v>
      </c>
      <c r="N391" s="31" t="s">
        <v>55</v>
      </c>
      <c r="O391" s="30">
        <f>IF(N391="5",I391,0)</f>
        <v>0</v>
      </c>
      <c r="Z391" s="30">
        <f>IF(AD391=0,J391,0)</f>
        <v>0</v>
      </c>
      <c r="AA391" s="30">
        <f>IF(AD391=15,J391,0)</f>
        <v>0</v>
      </c>
      <c r="AB391" s="30">
        <f>IF(AD391=21,J391,0)</f>
        <v>0</v>
      </c>
      <c r="AD391" s="32">
        <v>21</v>
      </c>
      <c r="AE391" s="32">
        <f>G391*0</f>
        <v>0</v>
      </c>
      <c r="AF391" s="32">
        <f>G391*(1-0)</f>
        <v>0</v>
      </c>
      <c r="AM391" s="32">
        <f>F391*AE391</f>
        <v>0</v>
      </c>
      <c r="AN391" s="32">
        <f>F391*AF391</f>
        <v>0</v>
      </c>
      <c r="AO391" s="33" t="s">
        <v>105</v>
      </c>
      <c r="AP391" s="33" t="s">
        <v>106</v>
      </c>
      <c r="AQ391" s="21" t="s">
        <v>335</v>
      </c>
    </row>
    <row r="392" spans="1:43" x14ac:dyDescent="0.25">
      <c r="C392" s="34" t="s">
        <v>63</v>
      </c>
      <c r="D392" s="340" t="s">
        <v>107</v>
      </c>
      <c r="E392" s="341"/>
      <c r="F392" s="341"/>
      <c r="G392" s="341"/>
      <c r="H392" s="341"/>
      <c r="I392" s="341"/>
      <c r="J392" s="341"/>
      <c r="K392" s="341"/>
      <c r="L392" s="341"/>
      <c r="M392" s="341"/>
    </row>
    <row r="393" spans="1:43" x14ac:dyDescent="0.25">
      <c r="A393" s="26"/>
      <c r="B393" s="27" t="s">
        <v>343</v>
      </c>
      <c r="C393" s="27"/>
      <c r="D393" s="338" t="s">
        <v>343</v>
      </c>
      <c r="E393" s="339"/>
      <c r="F393" s="339"/>
      <c r="G393" s="339"/>
      <c r="H393" s="28">
        <f>H394+H399+H401+H404+H406+H408+H410</f>
        <v>0</v>
      </c>
      <c r="I393" s="28">
        <f>I394+I399+I401+I404+I406+I408+I410</f>
        <v>0</v>
      </c>
      <c r="J393" s="28">
        <f>H393+I393</f>
        <v>0</v>
      </c>
      <c r="K393" s="21"/>
      <c r="L393" s="28">
        <f>L394+L399+L401+L404+L406+L408+L410</f>
        <v>1.350876</v>
      </c>
      <c r="M393" s="21"/>
    </row>
    <row r="394" spans="1:43" x14ac:dyDescent="0.25">
      <c r="A394" s="26"/>
      <c r="B394" s="27" t="s">
        <v>343</v>
      </c>
      <c r="C394" s="27" t="s">
        <v>52</v>
      </c>
      <c r="D394" s="338" t="s">
        <v>53</v>
      </c>
      <c r="E394" s="339"/>
      <c r="F394" s="339"/>
      <c r="G394" s="339"/>
      <c r="H394" s="28">
        <f>SUM(H395:H397)</f>
        <v>0</v>
      </c>
      <c r="I394" s="28">
        <f>SUM(I395:I397)</f>
        <v>0</v>
      </c>
      <c r="J394" s="28">
        <f>H394+I394</f>
        <v>0</v>
      </c>
      <c r="K394" s="21"/>
      <c r="L394" s="28">
        <f>SUM(L395:L397)</f>
        <v>0.550095</v>
      </c>
      <c r="M394" s="21"/>
      <c r="P394" s="28">
        <f>IF(Q394="PR",J394,SUM(O395:O397))</f>
        <v>0</v>
      </c>
      <c r="Q394" s="21" t="s">
        <v>54</v>
      </c>
      <c r="R394" s="28">
        <f>IF(Q394="HS",H394,0)</f>
        <v>0</v>
      </c>
      <c r="S394" s="28">
        <f>IF(Q394="HS",I394-P394,0)</f>
        <v>0</v>
      </c>
      <c r="T394" s="28">
        <f>IF(Q394="PS",H394,0)</f>
        <v>0</v>
      </c>
      <c r="U394" s="28">
        <f>IF(Q394="PS",I394-P394,0)</f>
        <v>0</v>
      </c>
      <c r="V394" s="28">
        <f>IF(Q394="MP",H394,0)</f>
        <v>0</v>
      </c>
      <c r="W394" s="28">
        <f>IF(Q394="MP",I394-P394,0)</f>
        <v>0</v>
      </c>
      <c r="X394" s="28">
        <f>IF(Q394="OM",H394,0)</f>
        <v>0</v>
      </c>
      <c r="Y394" s="21" t="s">
        <v>343</v>
      </c>
      <c r="AI394" s="28">
        <f>SUM(Z395:Z397)</f>
        <v>0</v>
      </c>
      <c r="AJ394" s="28">
        <f>SUM(AA395:AA397)</f>
        <v>0</v>
      </c>
      <c r="AK394" s="28">
        <f>SUM(AB395:AB397)</f>
        <v>0</v>
      </c>
    </row>
    <row r="395" spans="1:43" x14ac:dyDescent="0.25">
      <c r="A395" s="29" t="s">
        <v>344</v>
      </c>
      <c r="B395" s="29" t="s">
        <v>343</v>
      </c>
      <c r="C395" s="29" t="s">
        <v>56</v>
      </c>
      <c r="D395" s="29" t="s">
        <v>57</v>
      </c>
      <c r="E395" s="29" t="s">
        <v>58</v>
      </c>
      <c r="F395" s="30">
        <v>44.22</v>
      </c>
      <c r="G395" s="317">
        <v>0</v>
      </c>
      <c r="H395" s="30">
        <f>ROUND(F395*AE395,2)</f>
        <v>0</v>
      </c>
      <c r="I395" s="30">
        <f>J395-H395</f>
        <v>0</v>
      </c>
      <c r="J395" s="30">
        <f>ROUND(F395*G395,2)</f>
        <v>0</v>
      </c>
      <c r="K395" s="30">
        <v>1.001E-2</v>
      </c>
      <c r="L395" s="30">
        <f>F395*K395</f>
        <v>0.44264219999999999</v>
      </c>
      <c r="M395" s="258" t="s">
        <v>2291</v>
      </c>
      <c r="N395" s="31" t="s">
        <v>59</v>
      </c>
      <c r="O395" s="30">
        <f>IF(N395="5",I395,0)</f>
        <v>0</v>
      </c>
      <c r="Z395" s="30">
        <f>IF(AD395=0,J395,0)</f>
        <v>0</v>
      </c>
      <c r="AA395" s="30">
        <f>IF(AD395=15,J395,0)</f>
        <v>0</v>
      </c>
      <c r="AB395" s="30">
        <f>IF(AD395=21,J395,0)</f>
        <v>0</v>
      </c>
      <c r="AD395" s="32">
        <v>21</v>
      </c>
      <c r="AE395" s="32">
        <f>G395*0.0756575801052128</f>
        <v>0</v>
      </c>
      <c r="AF395" s="32">
        <f>G395*(1-0.0756575801052128)</f>
        <v>0</v>
      </c>
      <c r="AM395" s="32">
        <f>F395*AE395</f>
        <v>0</v>
      </c>
      <c r="AN395" s="32">
        <f>F395*AF395</f>
        <v>0</v>
      </c>
      <c r="AO395" s="33" t="s">
        <v>60</v>
      </c>
      <c r="AP395" s="33" t="s">
        <v>61</v>
      </c>
      <c r="AQ395" s="21" t="s">
        <v>345</v>
      </c>
    </row>
    <row r="396" spans="1:43" ht="25.7" customHeight="1" x14ac:dyDescent="0.25">
      <c r="C396" s="34" t="s">
        <v>63</v>
      </c>
      <c r="D396" s="340" t="s">
        <v>64</v>
      </c>
      <c r="E396" s="341"/>
      <c r="F396" s="341"/>
      <c r="G396" s="341"/>
      <c r="H396" s="341"/>
      <c r="I396" s="341"/>
      <c r="J396" s="341"/>
      <c r="K396" s="341"/>
      <c r="L396" s="341"/>
      <c r="M396" s="341"/>
    </row>
    <row r="397" spans="1:43" x14ac:dyDescent="0.25">
      <c r="A397" s="29" t="s">
        <v>346</v>
      </c>
      <c r="B397" s="29" t="s">
        <v>343</v>
      </c>
      <c r="C397" s="29" t="s">
        <v>66</v>
      </c>
      <c r="D397" s="29" t="s">
        <v>67</v>
      </c>
      <c r="E397" s="29" t="s">
        <v>58</v>
      </c>
      <c r="F397" s="30">
        <v>10.92</v>
      </c>
      <c r="G397" s="317">
        <v>0</v>
      </c>
      <c r="H397" s="30">
        <f>ROUND(F397*AE397,2)</f>
        <v>0</v>
      </c>
      <c r="I397" s="30">
        <f>J397-H397</f>
        <v>0</v>
      </c>
      <c r="J397" s="30">
        <f>ROUND(F397*G397,2)</f>
        <v>0</v>
      </c>
      <c r="K397" s="30">
        <v>9.8399999999999998E-3</v>
      </c>
      <c r="L397" s="30">
        <f>F397*K397</f>
        <v>0.1074528</v>
      </c>
      <c r="M397" s="258" t="s">
        <v>2291</v>
      </c>
      <c r="N397" s="31" t="s">
        <v>59</v>
      </c>
      <c r="O397" s="30">
        <f>IF(N397="5",I397,0)</f>
        <v>0</v>
      </c>
      <c r="Z397" s="30">
        <f>IF(AD397=0,J397,0)</f>
        <v>0</v>
      </c>
      <c r="AA397" s="30">
        <f>IF(AD397=15,J397,0)</f>
        <v>0</v>
      </c>
      <c r="AB397" s="30">
        <f>IF(AD397=21,J397,0)</f>
        <v>0</v>
      </c>
      <c r="AD397" s="32">
        <v>21</v>
      </c>
      <c r="AE397" s="32">
        <f>G397*0.160304682766381</f>
        <v>0</v>
      </c>
      <c r="AF397" s="32">
        <f>G397*(1-0.160304682766381)</f>
        <v>0</v>
      </c>
      <c r="AM397" s="32">
        <f>F397*AE397</f>
        <v>0</v>
      </c>
      <c r="AN397" s="32">
        <f>F397*AF397</f>
        <v>0</v>
      </c>
      <c r="AO397" s="33" t="s">
        <v>60</v>
      </c>
      <c r="AP397" s="33" t="s">
        <v>61</v>
      </c>
      <c r="AQ397" s="21" t="s">
        <v>345</v>
      </c>
    </row>
    <row r="398" spans="1:43" ht="25.7" customHeight="1" x14ac:dyDescent="0.25">
      <c r="C398" s="34" t="s">
        <v>63</v>
      </c>
      <c r="D398" s="340" t="s">
        <v>64</v>
      </c>
      <c r="E398" s="341"/>
      <c r="F398" s="341"/>
      <c r="G398" s="341"/>
      <c r="H398" s="341"/>
      <c r="I398" s="341"/>
      <c r="J398" s="341"/>
      <c r="K398" s="341"/>
      <c r="L398" s="341"/>
      <c r="M398" s="341"/>
    </row>
    <row r="399" spans="1:43" x14ac:dyDescent="0.25">
      <c r="A399" s="26"/>
      <c r="B399" s="27" t="s">
        <v>343</v>
      </c>
      <c r="C399" s="27" t="s">
        <v>68</v>
      </c>
      <c r="D399" s="338" t="s">
        <v>69</v>
      </c>
      <c r="E399" s="339"/>
      <c r="F399" s="339"/>
      <c r="G399" s="339"/>
      <c r="H399" s="28">
        <f>SUM(H400:H400)</f>
        <v>0</v>
      </c>
      <c r="I399" s="28">
        <f>SUM(I400:I400)</f>
        <v>0</v>
      </c>
      <c r="J399" s="28">
        <f>H399+I399</f>
        <v>0</v>
      </c>
      <c r="K399" s="21"/>
      <c r="L399" s="28">
        <f>SUM(L400:L400)</f>
        <v>0.54425279999999998</v>
      </c>
      <c r="M399" s="21"/>
      <c r="P399" s="28">
        <f>IF(Q399="PR",J399,SUM(O400:O400))</f>
        <v>0</v>
      </c>
      <c r="Q399" s="21" t="s">
        <v>54</v>
      </c>
      <c r="R399" s="28">
        <f>IF(Q399="HS",H399,0)</f>
        <v>0</v>
      </c>
      <c r="S399" s="28">
        <f>IF(Q399="HS",I399-P399,0)</f>
        <v>0</v>
      </c>
      <c r="T399" s="28">
        <f>IF(Q399="PS",H399,0)</f>
        <v>0</v>
      </c>
      <c r="U399" s="28">
        <f>IF(Q399="PS",I399-P399,0)</f>
        <v>0</v>
      </c>
      <c r="V399" s="28">
        <f>IF(Q399="MP",H399,0)</f>
        <v>0</v>
      </c>
      <c r="W399" s="28">
        <f>IF(Q399="MP",I399-P399,0)</f>
        <v>0</v>
      </c>
      <c r="X399" s="28">
        <f>IF(Q399="OM",H399,0)</f>
        <v>0</v>
      </c>
      <c r="Y399" s="21" t="s">
        <v>343</v>
      </c>
      <c r="AI399" s="28">
        <f>SUM(Z400:Z400)</f>
        <v>0</v>
      </c>
      <c r="AJ399" s="28">
        <f>SUM(AA400:AA400)</f>
        <v>0</v>
      </c>
      <c r="AK399" s="28">
        <f>SUM(AB400:AB400)</f>
        <v>0</v>
      </c>
    </row>
    <row r="400" spans="1:43" x14ac:dyDescent="0.25">
      <c r="A400" s="29" t="s">
        <v>347</v>
      </c>
      <c r="B400" s="29" t="s">
        <v>343</v>
      </c>
      <c r="C400" s="29" t="s">
        <v>70</v>
      </c>
      <c r="D400" s="29" t="s">
        <v>71</v>
      </c>
      <c r="E400" s="29" t="s">
        <v>58</v>
      </c>
      <c r="F400" s="30">
        <v>10.92</v>
      </c>
      <c r="G400" s="317">
        <v>0</v>
      </c>
      <c r="H400" s="30">
        <f>ROUND(F400*AE400,2)</f>
        <v>0</v>
      </c>
      <c r="I400" s="30">
        <f>J400-H400</f>
        <v>0</v>
      </c>
      <c r="J400" s="30">
        <f>ROUND(F400*G400,2)</f>
        <v>0</v>
      </c>
      <c r="K400" s="30">
        <v>4.9840000000000002E-2</v>
      </c>
      <c r="L400" s="30">
        <f>F400*K400</f>
        <v>0.54425279999999998</v>
      </c>
      <c r="M400" s="258" t="s">
        <v>2291</v>
      </c>
      <c r="N400" s="31" t="s">
        <v>59</v>
      </c>
      <c r="O400" s="30">
        <f>IF(N400="5",I400,0)</f>
        <v>0</v>
      </c>
      <c r="Z400" s="30">
        <f>IF(AD400=0,J400,0)</f>
        <v>0</v>
      </c>
      <c r="AA400" s="30">
        <f>IF(AD400=15,J400,0)</f>
        <v>0</v>
      </c>
      <c r="AB400" s="30">
        <f>IF(AD400=21,J400,0)</f>
        <v>0</v>
      </c>
      <c r="AD400" s="32">
        <v>21</v>
      </c>
      <c r="AE400" s="32">
        <f>G400*0.411768721414431</f>
        <v>0</v>
      </c>
      <c r="AF400" s="32">
        <f>G400*(1-0.411768721414431)</f>
        <v>0</v>
      </c>
      <c r="AM400" s="32">
        <f>F400*AE400</f>
        <v>0</v>
      </c>
      <c r="AN400" s="32">
        <f>F400*AF400</f>
        <v>0</v>
      </c>
      <c r="AO400" s="33" t="s">
        <v>72</v>
      </c>
      <c r="AP400" s="33" t="s">
        <v>61</v>
      </c>
      <c r="AQ400" s="21" t="s">
        <v>345</v>
      </c>
    </row>
    <row r="401" spans="1:43" x14ac:dyDescent="0.25">
      <c r="A401" s="26"/>
      <c r="B401" s="27" t="s">
        <v>343</v>
      </c>
      <c r="C401" s="27" t="s">
        <v>73</v>
      </c>
      <c r="D401" s="338" t="s">
        <v>74</v>
      </c>
      <c r="E401" s="339"/>
      <c r="F401" s="339"/>
      <c r="G401" s="339"/>
      <c r="H401" s="28">
        <f>SUM(H402:H402)</f>
        <v>0</v>
      </c>
      <c r="I401" s="28">
        <f>SUM(I402:I402)</f>
        <v>0</v>
      </c>
      <c r="J401" s="28">
        <f>H401+I401</f>
        <v>0</v>
      </c>
      <c r="K401" s="21"/>
      <c r="L401" s="28">
        <f>SUM(L402:L402)</f>
        <v>0.175812</v>
      </c>
      <c r="M401" s="21"/>
      <c r="P401" s="28">
        <f>IF(Q401="PR",J401,SUM(O402:O402))</f>
        <v>0</v>
      </c>
      <c r="Q401" s="21" t="s">
        <v>75</v>
      </c>
      <c r="R401" s="28">
        <f>IF(Q401="HS",H401,0)</f>
        <v>0</v>
      </c>
      <c r="S401" s="28">
        <f>IF(Q401="HS",I401-P401,0)</f>
        <v>0</v>
      </c>
      <c r="T401" s="28">
        <f>IF(Q401="PS",H401,0)</f>
        <v>0</v>
      </c>
      <c r="U401" s="28">
        <f>IF(Q401="PS",I401-P401,0)</f>
        <v>0</v>
      </c>
      <c r="V401" s="28">
        <f>IF(Q401="MP",H401,0)</f>
        <v>0</v>
      </c>
      <c r="W401" s="28">
        <f>IF(Q401="MP",I401-P401,0)</f>
        <v>0</v>
      </c>
      <c r="X401" s="28">
        <f>IF(Q401="OM",H401,0)</f>
        <v>0</v>
      </c>
      <c r="Y401" s="21" t="s">
        <v>343</v>
      </c>
      <c r="AI401" s="28">
        <f>SUM(Z402:Z402)</f>
        <v>0</v>
      </c>
      <c r="AJ401" s="28">
        <f>SUM(AA402:AA402)</f>
        <v>0</v>
      </c>
      <c r="AK401" s="28">
        <f>SUM(AB402:AB402)</f>
        <v>0</v>
      </c>
    </row>
    <row r="402" spans="1:43" x14ac:dyDescent="0.25">
      <c r="A402" s="29" t="s">
        <v>348</v>
      </c>
      <c r="B402" s="29" t="s">
        <v>343</v>
      </c>
      <c r="C402" s="29" t="s">
        <v>77</v>
      </c>
      <c r="D402" s="29" t="s">
        <v>2278</v>
      </c>
      <c r="E402" s="29" t="s">
        <v>58</v>
      </c>
      <c r="F402" s="30">
        <v>10.92</v>
      </c>
      <c r="G402" s="317">
        <v>0</v>
      </c>
      <c r="H402" s="30">
        <f>ROUND(F402*AE402,2)</f>
        <v>0</v>
      </c>
      <c r="I402" s="30">
        <f>J402-H402</f>
        <v>0</v>
      </c>
      <c r="J402" s="30">
        <f>ROUND(F402*G402,2)</f>
        <v>0</v>
      </c>
      <c r="K402" s="30">
        <v>1.61E-2</v>
      </c>
      <c r="L402" s="30">
        <f>F402*K402</f>
        <v>0.175812</v>
      </c>
      <c r="M402" s="258" t="s">
        <v>2291</v>
      </c>
      <c r="N402" s="31" t="s">
        <v>59</v>
      </c>
      <c r="O402" s="30">
        <f>IF(N402="5",I402,0)</f>
        <v>0</v>
      </c>
      <c r="Z402" s="30">
        <f>IF(AD402=0,J402,0)</f>
        <v>0</v>
      </c>
      <c r="AA402" s="30">
        <f>IF(AD402=15,J402,0)</f>
        <v>0</v>
      </c>
      <c r="AB402" s="30">
        <f>IF(AD402=21,J402,0)</f>
        <v>0</v>
      </c>
      <c r="AD402" s="32">
        <v>21</v>
      </c>
      <c r="AE402" s="32">
        <f>G402*0.787221324717286</f>
        <v>0</v>
      </c>
      <c r="AF402" s="32">
        <f>G402*(1-0.787221324717286)</f>
        <v>0</v>
      </c>
      <c r="AM402" s="32">
        <f>F402*AE402</f>
        <v>0</v>
      </c>
      <c r="AN402" s="32">
        <f>F402*AF402</f>
        <v>0</v>
      </c>
      <c r="AO402" s="33" t="s">
        <v>78</v>
      </c>
      <c r="AP402" s="33" t="s">
        <v>79</v>
      </c>
      <c r="AQ402" s="21" t="s">
        <v>345</v>
      </c>
    </row>
    <row r="403" spans="1:43" ht="12.75" customHeight="1" x14ac:dyDescent="0.25">
      <c r="C403" s="34" t="s">
        <v>63</v>
      </c>
      <c r="D403" s="340" t="s">
        <v>2280</v>
      </c>
      <c r="E403" s="341"/>
      <c r="F403" s="341"/>
      <c r="G403" s="341"/>
      <c r="H403" s="341"/>
      <c r="I403" s="341"/>
      <c r="J403" s="341"/>
      <c r="K403" s="341"/>
      <c r="L403" s="341"/>
      <c r="M403" s="341"/>
    </row>
    <row r="404" spans="1:43" x14ac:dyDescent="0.25">
      <c r="A404" s="26"/>
      <c r="B404" s="27" t="s">
        <v>343</v>
      </c>
      <c r="C404" s="27" t="s">
        <v>80</v>
      </c>
      <c r="D404" s="338" t="s">
        <v>81</v>
      </c>
      <c r="E404" s="339"/>
      <c r="F404" s="339"/>
      <c r="G404" s="339"/>
      <c r="H404" s="28">
        <f>SUM(H405:H405)</f>
        <v>0</v>
      </c>
      <c r="I404" s="28">
        <f>SUM(I405:I405)</f>
        <v>0</v>
      </c>
      <c r="J404" s="28">
        <f>H404+I404</f>
        <v>0</v>
      </c>
      <c r="K404" s="21"/>
      <c r="L404" s="28">
        <f>SUM(L405:L405)</f>
        <v>4.4335200000000005E-2</v>
      </c>
      <c r="M404" s="21"/>
      <c r="P404" s="28">
        <f>IF(Q404="PR",J404,SUM(O405:O405))</f>
        <v>0</v>
      </c>
      <c r="Q404" s="21" t="s">
        <v>75</v>
      </c>
      <c r="R404" s="28">
        <f>IF(Q404="HS",H404,0)</f>
        <v>0</v>
      </c>
      <c r="S404" s="28">
        <f>IF(Q404="HS",I404-P404,0)</f>
        <v>0</v>
      </c>
      <c r="T404" s="28">
        <f>IF(Q404="PS",H404,0)</f>
        <v>0</v>
      </c>
      <c r="U404" s="28">
        <f>IF(Q404="PS",I404-P404,0)</f>
        <v>0</v>
      </c>
      <c r="V404" s="28">
        <f>IF(Q404="MP",H404,0)</f>
        <v>0</v>
      </c>
      <c r="W404" s="28">
        <f>IF(Q404="MP",I404-P404,0)</f>
        <v>0</v>
      </c>
      <c r="X404" s="28">
        <f>IF(Q404="OM",H404,0)</f>
        <v>0</v>
      </c>
      <c r="Y404" s="21" t="s">
        <v>343</v>
      </c>
      <c r="AI404" s="28">
        <f>SUM(Z405:Z405)</f>
        <v>0</v>
      </c>
      <c r="AJ404" s="28">
        <f>SUM(AA405:AA405)</f>
        <v>0</v>
      </c>
      <c r="AK404" s="28">
        <f>SUM(AB405:AB405)</f>
        <v>0</v>
      </c>
    </row>
    <row r="405" spans="1:43" x14ac:dyDescent="0.25">
      <c r="A405" s="29" t="s">
        <v>349</v>
      </c>
      <c r="B405" s="29" t="s">
        <v>343</v>
      </c>
      <c r="C405" s="29" t="s">
        <v>83</v>
      </c>
      <c r="D405" s="29" t="s">
        <v>84</v>
      </c>
      <c r="E405" s="29" t="s">
        <v>58</v>
      </c>
      <c r="F405" s="30">
        <v>10.92</v>
      </c>
      <c r="G405" s="317">
        <v>0</v>
      </c>
      <c r="H405" s="30">
        <f>ROUND(F405*AE405,2)</f>
        <v>0</v>
      </c>
      <c r="I405" s="30">
        <f>J405-H405</f>
        <v>0</v>
      </c>
      <c r="J405" s="30">
        <f>ROUND(F405*G405,2)</f>
        <v>0</v>
      </c>
      <c r="K405" s="30">
        <v>4.0600000000000002E-3</v>
      </c>
      <c r="L405" s="30">
        <f>F405*K405</f>
        <v>4.4335200000000005E-2</v>
      </c>
      <c r="M405" s="258" t="s">
        <v>2291</v>
      </c>
      <c r="N405" s="31" t="s">
        <v>59</v>
      </c>
      <c r="O405" s="30">
        <f>IF(N405="5",I405,0)</f>
        <v>0</v>
      </c>
      <c r="Z405" s="30">
        <f>IF(AD405=0,J405,0)</f>
        <v>0</v>
      </c>
      <c r="AA405" s="30">
        <f>IF(AD405=15,J405,0)</f>
        <v>0</v>
      </c>
      <c r="AB405" s="30">
        <f>IF(AD405=21,J405,0)</f>
        <v>0</v>
      </c>
      <c r="AD405" s="32">
        <v>21</v>
      </c>
      <c r="AE405" s="32">
        <f>G405*0.67230605738576</f>
        <v>0</v>
      </c>
      <c r="AF405" s="32">
        <f>G405*(1-0.67230605738576)</f>
        <v>0</v>
      </c>
      <c r="AM405" s="32">
        <f>F405*AE405</f>
        <v>0</v>
      </c>
      <c r="AN405" s="32">
        <f>F405*AF405</f>
        <v>0</v>
      </c>
      <c r="AO405" s="33" t="s">
        <v>85</v>
      </c>
      <c r="AP405" s="33" t="s">
        <v>79</v>
      </c>
      <c r="AQ405" s="21" t="s">
        <v>345</v>
      </c>
    </row>
    <row r="406" spans="1:43" x14ac:dyDescent="0.25">
      <c r="A406" s="26"/>
      <c r="B406" s="27" t="s">
        <v>343</v>
      </c>
      <c r="C406" s="27" t="s">
        <v>86</v>
      </c>
      <c r="D406" s="338" t="s">
        <v>87</v>
      </c>
      <c r="E406" s="339"/>
      <c r="F406" s="339"/>
      <c r="G406" s="339"/>
      <c r="H406" s="28">
        <f>SUM(H407:H407)</f>
        <v>0</v>
      </c>
      <c r="I406" s="28">
        <f>SUM(I407:I407)</f>
        <v>0</v>
      </c>
      <c r="J406" s="28">
        <f>H406+I406</f>
        <v>0</v>
      </c>
      <c r="K406" s="21"/>
      <c r="L406" s="28">
        <f>SUM(L407:L407)</f>
        <v>5.4000000000000001E-4</v>
      </c>
      <c r="M406" s="21"/>
      <c r="P406" s="28">
        <f>IF(Q406="PR",J406,SUM(O407:O407))</f>
        <v>0</v>
      </c>
      <c r="Q406" s="21" t="s">
        <v>75</v>
      </c>
      <c r="R406" s="28">
        <f>IF(Q406="HS",H406,0)</f>
        <v>0</v>
      </c>
      <c r="S406" s="28">
        <f>IF(Q406="HS",I406-P406,0)</f>
        <v>0</v>
      </c>
      <c r="T406" s="28">
        <f>IF(Q406="PS",H406,0)</f>
        <v>0</v>
      </c>
      <c r="U406" s="28">
        <f>IF(Q406="PS",I406-P406,0)</f>
        <v>0</v>
      </c>
      <c r="V406" s="28">
        <f>IF(Q406="MP",H406,0)</f>
        <v>0</v>
      </c>
      <c r="W406" s="28">
        <f>IF(Q406="MP",I406-P406,0)</f>
        <v>0</v>
      </c>
      <c r="X406" s="28">
        <f>IF(Q406="OM",H406,0)</f>
        <v>0</v>
      </c>
      <c r="Y406" s="21" t="s">
        <v>343</v>
      </c>
      <c r="AI406" s="28">
        <f>SUM(Z407:Z407)</f>
        <v>0</v>
      </c>
      <c r="AJ406" s="28">
        <f>SUM(AA407:AA407)</f>
        <v>0</v>
      </c>
      <c r="AK406" s="28">
        <f>SUM(AB407:AB407)</f>
        <v>0</v>
      </c>
    </row>
    <row r="407" spans="1:43" x14ac:dyDescent="0.25">
      <c r="A407" s="29" t="s">
        <v>350</v>
      </c>
      <c r="B407" s="29" t="s">
        <v>343</v>
      </c>
      <c r="C407" s="29" t="s">
        <v>89</v>
      </c>
      <c r="D407" s="29" t="s">
        <v>90</v>
      </c>
      <c r="E407" s="29" t="s">
        <v>58</v>
      </c>
      <c r="F407" s="30">
        <v>2</v>
      </c>
      <c r="G407" s="317">
        <v>0</v>
      </c>
      <c r="H407" s="30">
        <f>ROUND(F407*AE407,2)</f>
        <v>0</v>
      </c>
      <c r="I407" s="30">
        <f>J407-H407</f>
        <v>0</v>
      </c>
      <c r="J407" s="30">
        <f>ROUND(F407*G407,2)</f>
        <v>0</v>
      </c>
      <c r="K407" s="30">
        <v>2.7E-4</v>
      </c>
      <c r="L407" s="30">
        <f>F407*K407</f>
        <v>5.4000000000000001E-4</v>
      </c>
      <c r="M407" s="258" t="s">
        <v>2291</v>
      </c>
      <c r="N407" s="31" t="s">
        <v>59</v>
      </c>
      <c r="O407" s="30">
        <f>IF(N407="5",I407,0)</f>
        <v>0</v>
      </c>
      <c r="Z407" s="30">
        <f>IF(AD407=0,J407,0)</f>
        <v>0</v>
      </c>
      <c r="AA407" s="30">
        <f>IF(AD407=15,J407,0)</f>
        <v>0</v>
      </c>
      <c r="AB407" s="30">
        <f>IF(AD407=21,J407,0)</f>
        <v>0</v>
      </c>
      <c r="AD407" s="32">
        <v>21</v>
      </c>
      <c r="AE407" s="32">
        <f>G407*0.186098187625859</f>
        <v>0</v>
      </c>
      <c r="AF407" s="32">
        <f>G407*(1-0.186098187625859)</f>
        <v>0</v>
      </c>
      <c r="AM407" s="32">
        <f>F407*AE407</f>
        <v>0</v>
      </c>
      <c r="AN407" s="32">
        <f>F407*AF407</f>
        <v>0</v>
      </c>
      <c r="AO407" s="33" t="s">
        <v>91</v>
      </c>
      <c r="AP407" s="33" t="s">
        <v>92</v>
      </c>
      <c r="AQ407" s="21" t="s">
        <v>345</v>
      </c>
    </row>
    <row r="408" spans="1:43" x14ac:dyDescent="0.25">
      <c r="A408" s="26"/>
      <c r="B408" s="27" t="s">
        <v>343</v>
      </c>
      <c r="C408" s="27" t="s">
        <v>93</v>
      </c>
      <c r="D408" s="338" t="s">
        <v>94</v>
      </c>
      <c r="E408" s="339"/>
      <c r="F408" s="339"/>
      <c r="G408" s="339"/>
      <c r="H408" s="28">
        <f>SUM(H409:H409)</f>
        <v>0</v>
      </c>
      <c r="I408" s="28">
        <f>SUM(I409:I409)</f>
        <v>0</v>
      </c>
      <c r="J408" s="28">
        <f>H408+I408</f>
        <v>0</v>
      </c>
      <c r="K408" s="21"/>
      <c r="L408" s="28">
        <f>SUM(L409:L409)</f>
        <v>3.5840999999999998E-2</v>
      </c>
      <c r="M408" s="21"/>
      <c r="P408" s="28">
        <f>IF(Q408="PR",J408,SUM(O409:O409))</f>
        <v>0</v>
      </c>
      <c r="Q408" s="21" t="s">
        <v>75</v>
      </c>
      <c r="R408" s="28">
        <f>IF(Q408="HS",H408,0)</f>
        <v>0</v>
      </c>
      <c r="S408" s="28">
        <f>IF(Q408="HS",I408-P408,0)</f>
        <v>0</v>
      </c>
      <c r="T408" s="28">
        <f>IF(Q408="PS",H408,0)</f>
        <v>0</v>
      </c>
      <c r="U408" s="28">
        <f>IF(Q408="PS",I408-P408,0)</f>
        <v>0</v>
      </c>
      <c r="V408" s="28">
        <f>IF(Q408="MP",H408,0)</f>
        <v>0</v>
      </c>
      <c r="W408" s="28">
        <f>IF(Q408="MP",I408-P408,0)</f>
        <v>0</v>
      </c>
      <c r="X408" s="28">
        <f>IF(Q408="OM",H408,0)</f>
        <v>0</v>
      </c>
      <c r="Y408" s="21" t="s">
        <v>343</v>
      </c>
      <c r="AI408" s="28">
        <f>SUM(Z409:Z409)</f>
        <v>0</v>
      </c>
      <c r="AJ408" s="28">
        <f>SUM(AA409:AA409)</f>
        <v>0</v>
      </c>
      <c r="AK408" s="28">
        <f>SUM(AB409:AB409)</f>
        <v>0</v>
      </c>
    </row>
    <row r="409" spans="1:43" x14ac:dyDescent="0.25">
      <c r="A409" s="29" t="s">
        <v>351</v>
      </c>
      <c r="B409" s="29" t="s">
        <v>343</v>
      </c>
      <c r="C409" s="29" t="s">
        <v>96</v>
      </c>
      <c r="D409" s="29" t="s">
        <v>97</v>
      </c>
      <c r="E409" s="29" t="s">
        <v>58</v>
      </c>
      <c r="F409" s="30">
        <v>55.14</v>
      </c>
      <c r="G409" s="317">
        <v>0</v>
      </c>
      <c r="H409" s="30">
        <f>ROUND(F409*AE409,2)</f>
        <v>0</v>
      </c>
      <c r="I409" s="30">
        <f>J409-H409</f>
        <v>0</v>
      </c>
      <c r="J409" s="30">
        <f>ROUND(F409*G409,2)</f>
        <v>0</v>
      </c>
      <c r="K409" s="30">
        <v>6.4999999999999997E-4</v>
      </c>
      <c r="L409" s="30">
        <f>F409*K409</f>
        <v>3.5840999999999998E-2</v>
      </c>
      <c r="M409" s="258" t="s">
        <v>2291</v>
      </c>
      <c r="N409" s="31" t="s">
        <v>59</v>
      </c>
      <c r="O409" s="30">
        <f>IF(N409="5",I409,0)</f>
        <v>0</v>
      </c>
      <c r="Z409" s="30">
        <f>IF(AD409=0,J409,0)</f>
        <v>0</v>
      </c>
      <c r="AA409" s="30">
        <f>IF(AD409=15,J409,0)</f>
        <v>0</v>
      </c>
      <c r="AB409" s="30">
        <f>IF(AD409=21,J409,0)</f>
        <v>0</v>
      </c>
      <c r="AD409" s="32">
        <v>21</v>
      </c>
      <c r="AE409" s="32">
        <f>G409*0.333747476316198</f>
        <v>0</v>
      </c>
      <c r="AF409" s="32">
        <f>G409*(1-0.333747476316198)</f>
        <v>0</v>
      </c>
      <c r="AM409" s="32">
        <f>F409*AE409</f>
        <v>0</v>
      </c>
      <c r="AN409" s="32">
        <f>F409*AF409</f>
        <v>0</v>
      </c>
      <c r="AO409" s="33" t="s">
        <v>98</v>
      </c>
      <c r="AP409" s="33" t="s">
        <v>92</v>
      </c>
      <c r="AQ409" s="21" t="s">
        <v>345</v>
      </c>
    </row>
    <row r="410" spans="1:43" x14ac:dyDescent="0.25">
      <c r="A410" s="26"/>
      <c r="B410" s="27" t="s">
        <v>343</v>
      </c>
      <c r="C410" s="27" t="s">
        <v>99</v>
      </c>
      <c r="D410" s="338" t="s">
        <v>100</v>
      </c>
      <c r="E410" s="339"/>
      <c r="F410" s="339"/>
      <c r="G410" s="339"/>
      <c r="H410" s="28">
        <f>SUM(H411:H411)</f>
        <v>0</v>
      </c>
      <c r="I410" s="28">
        <f>SUM(I411:I411)</f>
        <v>0</v>
      </c>
      <c r="J410" s="28">
        <f>H410+I410</f>
        <v>0</v>
      </c>
      <c r="K410" s="21"/>
      <c r="L410" s="28">
        <f>SUM(L411:L411)</f>
        <v>0</v>
      </c>
      <c r="M410" s="21"/>
      <c r="P410" s="28">
        <f>IF(Q410="PR",J410,SUM(O411:O411))</f>
        <v>0</v>
      </c>
      <c r="Q410" s="21" t="s">
        <v>54</v>
      </c>
      <c r="R410" s="28">
        <f>IF(Q410="HS",H410,0)</f>
        <v>0</v>
      </c>
      <c r="S410" s="28">
        <f>IF(Q410="HS",I410-P410,0)</f>
        <v>0</v>
      </c>
      <c r="T410" s="28">
        <f>IF(Q410="PS",H410,0)</f>
        <v>0</v>
      </c>
      <c r="U410" s="28">
        <f>IF(Q410="PS",I410-P410,0)</f>
        <v>0</v>
      </c>
      <c r="V410" s="28">
        <f>IF(Q410="MP",H410,0)</f>
        <v>0</v>
      </c>
      <c r="W410" s="28">
        <f>IF(Q410="MP",I410-P410,0)</f>
        <v>0</v>
      </c>
      <c r="X410" s="28">
        <f>IF(Q410="OM",H410,0)</f>
        <v>0</v>
      </c>
      <c r="Y410" s="21" t="s">
        <v>343</v>
      </c>
      <c r="AI410" s="28">
        <f>SUM(Z411:Z411)</f>
        <v>0</v>
      </c>
      <c r="AJ410" s="28">
        <f>SUM(AA411:AA411)</f>
        <v>0</v>
      </c>
      <c r="AK410" s="28">
        <f>SUM(AB411:AB411)</f>
        <v>0</v>
      </c>
    </row>
    <row r="411" spans="1:43" x14ac:dyDescent="0.25">
      <c r="A411" s="29" t="s">
        <v>352</v>
      </c>
      <c r="B411" s="29" t="s">
        <v>343</v>
      </c>
      <c r="C411" s="29" t="s">
        <v>102</v>
      </c>
      <c r="D411" s="29" t="s">
        <v>103</v>
      </c>
      <c r="E411" s="29" t="s">
        <v>104</v>
      </c>
      <c r="F411" s="30">
        <v>2.4</v>
      </c>
      <c r="G411" s="317">
        <v>0</v>
      </c>
      <c r="H411" s="30">
        <f>ROUND(F411*AE411,2)</f>
        <v>0</v>
      </c>
      <c r="I411" s="30">
        <f>J411-H411</f>
        <v>0</v>
      </c>
      <c r="J411" s="30">
        <f>ROUND(F411*G411,2)</f>
        <v>0</v>
      </c>
      <c r="K411" s="30">
        <v>0</v>
      </c>
      <c r="L411" s="30">
        <f>F411*K411</f>
        <v>0</v>
      </c>
      <c r="M411" s="258" t="s">
        <v>2291</v>
      </c>
      <c r="N411" s="31" t="s">
        <v>55</v>
      </c>
      <c r="O411" s="30">
        <f>IF(N411="5",I411,0)</f>
        <v>0</v>
      </c>
      <c r="Z411" s="30">
        <f>IF(AD411=0,J411,0)</f>
        <v>0</v>
      </c>
      <c r="AA411" s="30">
        <f>IF(AD411=15,J411,0)</f>
        <v>0</v>
      </c>
      <c r="AB411" s="30">
        <f>IF(AD411=21,J411,0)</f>
        <v>0</v>
      </c>
      <c r="AD411" s="32">
        <v>21</v>
      </c>
      <c r="AE411" s="32">
        <f>G411*0</f>
        <v>0</v>
      </c>
      <c r="AF411" s="32">
        <f>G411*(1-0)</f>
        <v>0</v>
      </c>
      <c r="AM411" s="32">
        <f>F411*AE411</f>
        <v>0</v>
      </c>
      <c r="AN411" s="32">
        <f>F411*AF411</f>
        <v>0</v>
      </c>
      <c r="AO411" s="33" t="s">
        <v>105</v>
      </c>
      <c r="AP411" s="33" t="s">
        <v>106</v>
      </c>
      <c r="AQ411" s="21" t="s">
        <v>345</v>
      </c>
    </row>
    <row r="412" spans="1:43" x14ac:dyDescent="0.25">
      <c r="C412" s="34" t="s">
        <v>63</v>
      </c>
      <c r="D412" s="340" t="s">
        <v>107</v>
      </c>
      <c r="E412" s="341"/>
      <c r="F412" s="341"/>
      <c r="G412" s="341"/>
      <c r="H412" s="341"/>
      <c r="I412" s="341"/>
      <c r="J412" s="341"/>
      <c r="K412" s="341"/>
      <c r="L412" s="341"/>
      <c r="M412" s="341"/>
    </row>
    <row r="413" spans="1:43" x14ac:dyDescent="0.25">
      <c r="A413" s="26"/>
      <c r="B413" s="27" t="s">
        <v>353</v>
      </c>
      <c r="C413" s="27"/>
      <c r="D413" s="338" t="s">
        <v>353</v>
      </c>
      <c r="E413" s="339"/>
      <c r="F413" s="339"/>
      <c r="G413" s="339"/>
      <c r="H413" s="28">
        <f>H414+H419+H421+H424+H426+H428+H430</f>
        <v>0</v>
      </c>
      <c r="I413" s="28">
        <f>I414+I419+I421+I424+I426+I428+I430</f>
        <v>0</v>
      </c>
      <c r="J413" s="28">
        <f>H413+I413</f>
        <v>0</v>
      </c>
      <c r="K413" s="21"/>
      <c r="L413" s="28">
        <f>L414+L419+L421+L424+L426+L428+L430</f>
        <v>1.350876</v>
      </c>
      <c r="M413" s="21"/>
    </row>
    <row r="414" spans="1:43" x14ac:dyDescent="0.25">
      <c r="A414" s="26"/>
      <c r="B414" s="27" t="s">
        <v>353</v>
      </c>
      <c r="C414" s="27" t="s">
        <v>52</v>
      </c>
      <c r="D414" s="338" t="s">
        <v>53</v>
      </c>
      <c r="E414" s="339"/>
      <c r="F414" s="339"/>
      <c r="G414" s="339"/>
      <c r="H414" s="28">
        <f>SUM(H415:H417)</f>
        <v>0</v>
      </c>
      <c r="I414" s="28">
        <f>SUM(I415:I417)</f>
        <v>0</v>
      </c>
      <c r="J414" s="28">
        <f>H414+I414</f>
        <v>0</v>
      </c>
      <c r="K414" s="21"/>
      <c r="L414" s="28">
        <f>SUM(L415:L417)</f>
        <v>0.550095</v>
      </c>
      <c r="M414" s="21"/>
      <c r="P414" s="28">
        <f>IF(Q414="PR",J414,SUM(O415:O417))</f>
        <v>0</v>
      </c>
      <c r="Q414" s="21" t="s">
        <v>54</v>
      </c>
      <c r="R414" s="28">
        <f>IF(Q414="HS",H414,0)</f>
        <v>0</v>
      </c>
      <c r="S414" s="28">
        <f>IF(Q414="HS",I414-P414,0)</f>
        <v>0</v>
      </c>
      <c r="T414" s="28">
        <f>IF(Q414="PS",H414,0)</f>
        <v>0</v>
      </c>
      <c r="U414" s="28">
        <f>IF(Q414="PS",I414-P414,0)</f>
        <v>0</v>
      </c>
      <c r="V414" s="28">
        <f>IF(Q414="MP",H414,0)</f>
        <v>0</v>
      </c>
      <c r="W414" s="28">
        <f>IF(Q414="MP",I414-P414,0)</f>
        <v>0</v>
      </c>
      <c r="X414" s="28">
        <f>IF(Q414="OM",H414,0)</f>
        <v>0</v>
      </c>
      <c r="Y414" s="21" t="s">
        <v>353</v>
      </c>
      <c r="AI414" s="28">
        <f>SUM(Z415:Z417)</f>
        <v>0</v>
      </c>
      <c r="AJ414" s="28">
        <f>SUM(AA415:AA417)</f>
        <v>0</v>
      </c>
      <c r="AK414" s="28">
        <f>SUM(AB415:AB417)</f>
        <v>0</v>
      </c>
    </row>
    <row r="415" spans="1:43" x14ac:dyDescent="0.25">
      <c r="A415" s="29" t="s">
        <v>354</v>
      </c>
      <c r="B415" s="29" t="s">
        <v>353</v>
      </c>
      <c r="C415" s="29" t="s">
        <v>56</v>
      </c>
      <c r="D415" s="29" t="s">
        <v>57</v>
      </c>
      <c r="E415" s="29" t="s">
        <v>58</v>
      </c>
      <c r="F415" s="30">
        <v>44.22</v>
      </c>
      <c r="G415" s="317">
        <v>0</v>
      </c>
      <c r="H415" s="30">
        <f>ROUND(F415*AE415,2)</f>
        <v>0</v>
      </c>
      <c r="I415" s="30">
        <f>J415-H415</f>
        <v>0</v>
      </c>
      <c r="J415" s="30">
        <f>ROUND(F415*G415,2)</f>
        <v>0</v>
      </c>
      <c r="K415" s="30">
        <v>1.001E-2</v>
      </c>
      <c r="L415" s="30">
        <f>F415*K415</f>
        <v>0.44264219999999999</v>
      </c>
      <c r="M415" s="258" t="s">
        <v>2291</v>
      </c>
      <c r="N415" s="31" t="s">
        <v>59</v>
      </c>
      <c r="O415" s="30">
        <f>IF(N415="5",I415,0)</f>
        <v>0</v>
      </c>
      <c r="Z415" s="30">
        <f>IF(AD415=0,J415,0)</f>
        <v>0</v>
      </c>
      <c r="AA415" s="30">
        <f>IF(AD415=15,J415,0)</f>
        <v>0</v>
      </c>
      <c r="AB415" s="30">
        <f>IF(AD415=21,J415,0)</f>
        <v>0</v>
      </c>
      <c r="AD415" s="32">
        <v>21</v>
      </c>
      <c r="AE415" s="32">
        <f>G415*0.0756575801052128</f>
        <v>0</v>
      </c>
      <c r="AF415" s="32">
        <f>G415*(1-0.0756575801052128)</f>
        <v>0</v>
      </c>
      <c r="AM415" s="32">
        <f>F415*AE415</f>
        <v>0</v>
      </c>
      <c r="AN415" s="32">
        <f>F415*AF415</f>
        <v>0</v>
      </c>
      <c r="AO415" s="33" t="s">
        <v>60</v>
      </c>
      <c r="AP415" s="33" t="s">
        <v>61</v>
      </c>
      <c r="AQ415" s="21" t="s">
        <v>355</v>
      </c>
    </row>
    <row r="416" spans="1:43" ht="25.7" customHeight="1" x14ac:dyDescent="0.25">
      <c r="C416" s="34" t="s">
        <v>63</v>
      </c>
      <c r="D416" s="340" t="s">
        <v>64</v>
      </c>
      <c r="E416" s="341"/>
      <c r="F416" s="341"/>
      <c r="G416" s="341"/>
      <c r="H416" s="341"/>
      <c r="I416" s="341"/>
      <c r="J416" s="341"/>
      <c r="K416" s="341"/>
      <c r="L416" s="341"/>
      <c r="M416" s="341"/>
    </row>
    <row r="417" spans="1:43" x14ac:dyDescent="0.25">
      <c r="A417" s="29" t="s">
        <v>356</v>
      </c>
      <c r="B417" s="29" t="s">
        <v>353</v>
      </c>
      <c r="C417" s="29" t="s">
        <v>66</v>
      </c>
      <c r="D417" s="29" t="s">
        <v>67</v>
      </c>
      <c r="E417" s="29" t="s">
        <v>58</v>
      </c>
      <c r="F417" s="30">
        <v>10.92</v>
      </c>
      <c r="G417" s="317">
        <v>0</v>
      </c>
      <c r="H417" s="30">
        <f>ROUND(F417*AE417,2)</f>
        <v>0</v>
      </c>
      <c r="I417" s="30">
        <f>J417-H417</f>
        <v>0</v>
      </c>
      <c r="J417" s="30">
        <f>ROUND(F417*G417,2)</f>
        <v>0</v>
      </c>
      <c r="K417" s="30">
        <v>9.8399999999999998E-3</v>
      </c>
      <c r="L417" s="30">
        <f>F417*K417</f>
        <v>0.1074528</v>
      </c>
      <c r="M417" s="258" t="s">
        <v>2291</v>
      </c>
      <c r="N417" s="31" t="s">
        <v>59</v>
      </c>
      <c r="O417" s="30">
        <f>IF(N417="5",I417,0)</f>
        <v>0</v>
      </c>
      <c r="Z417" s="30">
        <f>IF(AD417=0,J417,0)</f>
        <v>0</v>
      </c>
      <c r="AA417" s="30">
        <f>IF(AD417=15,J417,0)</f>
        <v>0</v>
      </c>
      <c r="AB417" s="30">
        <f>IF(AD417=21,J417,0)</f>
        <v>0</v>
      </c>
      <c r="AD417" s="32">
        <v>21</v>
      </c>
      <c r="AE417" s="32">
        <f>G417*0.160304682766381</f>
        <v>0</v>
      </c>
      <c r="AF417" s="32">
        <f>G417*(1-0.160304682766381)</f>
        <v>0</v>
      </c>
      <c r="AM417" s="32">
        <f>F417*AE417</f>
        <v>0</v>
      </c>
      <c r="AN417" s="32">
        <f>F417*AF417</f>
        <v>0</v>
      </c>
      <c r="AO417" s="33" t="s">
        <v>60</v>
      </c>
      <c r="AP417" s="33" t="s">
        <v>61</v>
      </c>
      <c r="AQ417" s="21" t="s">
        <v>355</v>
      </c>
    </row>
    <row r="418" spans="1:43" ht="25.7" customHeight="1" x14ac:dyDescent="0.25">
      <c r="C418" s="34" t="s">
        <v>63</v>
      </c>
      <c r="D418" s="340" t="s">
        <v>64</v>
      </c>
      <c r="E418" s="341"/>
      <c r="F418" s="341"/>
      <c r="G418" s="341"/>
      <c r="H418" s="341"/>
      <c r="I418" s="341"/>
      <c r="J418" s="341"/>
      <c r="K418" s="341"/>
      <c r="L418" s="341"/>
      <c r="M418" s="341"/>
    </row>
    <row r="419" spans="1:43" x14ac:dyDescent="0.25">
      <c r="A419" s="26"/>
      <c r="B419" s="27" t="s">
        <v>353</v>
      </c>
      <c r="C419" s="27" t="s">
        <v>68</v>
      </c>
      <c r="D419" s="338" t="s">
        <v>69</v>
      </c>
      <c r="E419" s="339"/>
      <c r="F419" s="339"/>
      <c r="G419" s="339"/>
      <c r="H419" s="28">
        <f>SUM(H420:H420)</f>
        <v>0</v>
      </c>
      <c r="I419" s="28">
        <f>SUM(I420:I420)</f>
        <v>0</v>
      </c>
      <c r="J419" s="28">
        <f>H419+I419</f>
        <v>0</v>
      </c>
      <c r="K419" s="21"/>
      <c r="L419" s="28">
        <f>SUM(L420:L420)</f>
        <v>0.54425279999999998</v>
      </c>
      <c r="M419" s="21"/>
      <c r="P419" s="28">
        <f>IF(Q419="PR",J419,SUM(O420:O420))</f>
        <v>0</v>
      </c>
      <c r="Q419" s="21" t="s">
        <v>54</v>
      </c>
      <c r="R419" s="28">
        <f>IF(Q419="HS",H419,0)</f>
        <v>0</v>
      </c>
      <c r="S419" s="28">
        <f>IF(Q419="HS",I419-P419,0)</f>
        <v>0</v>
      </c>
      <c r="T419" s="28">
        <f>IF(Q419="PS",H419,0)</f>
        <v>0</v>
      </c>
      <c r="U419" s="28">
        <f>IF(Q419="PS",I419-P419,0)</f>
        <v>0</v>
      </c>
      <c r="V419" s="28">
        <f>IF(Q419="MP",H419,0)</f>
        <v>0</v>
      </c>
      <c r="W419" s="28">
        <f>IF(Q419="MP",I419-P419,0)</f>
        <v>0</v>
      </c>
      <c r="X419" s="28">
        <f>IF(Q419="OM",H419,0)</f>
        <v>0</v>
      </c>
      <c r="Y419" s="21" t="s">
        <v>353</v>
      </c>
      <c r="AI419" s="28">
        <f>SUM(Z420:Z420)</f>
        <v>0</v>
      </c>
      <c r="AJ419" s="28">
        <f>SUM(AA420:AA420)</f>
        <v>0</v>
      </c>
      <c r="AK419" s="28">
        <f>SUM(AB420:AB420)</f>
        <v>0</v>
      </c>
    </row>
    <row r="420" spans="1:43" x14ac:dyDescent="0.25">
      <c r="A420" s="29" t="s">
        <v>357</v>
      </c>
      <c r="B420" s="29" t="s">
        <v>353</v>
      </c>
      <c r="C420" s="29" t="s">
        <v>70</v>
      </c>
      <c r="D420" s="29" t="s">
        <v>71</v>
      </c>
      <c r="E420" s="29" t="s">
        <v>58</v>
      </c>
      <c r="F420" s="30">
        <v>10.92</v>
      </c>
      <c r="G420" s="317">
        <v>0</v>
      </c>
      <c r="H420" s="30">
        <f>ROUND(F420*AE420,2)</f>
        <v>0</v>
      </c>
      <c r="I420" s="30">
        <f>J420-H420</f>
        <v>0</v>
      </c>
      <c r="J420" s="30">
        <f>ROUND(F420*G420,2)</f>
        <v>0</v>
      </c>
      <c r="K420" s="30">
        <v>4.9840000000000002E-2</v>
      </c>
      <c r="L420" s="30">
        <f>F420*K420</f>
        <v>0.54425279999999998</v>
      </c>
      <c r="M420" s="258" t="s">
        <v>2291</v>
      </c>
      <c r="N420" s="31" t="s">
        <v>59</v>
      </c>
      <c r="O420" s="30">
        <f>IF(N420="5",I420,0)</f>
        <v>0</v>
      </c>
      <c r="Z420" s="30">
        <f>IF(AD420=0,J420,0)</f>
        <v>0</v>
      </c>
      <c r="AA420" s="30">
        <f>IF(AD420=15,J420,0)</f>
        <v>0</v>
      </c>
      <c r="AB420" s="30">
        <f>IF(AD420=21,J420,0)</f>
        <v>0</v>
      </c>
      <c r="AD420" s="32">
        <v>21</v>
      </c>
      <c r="AE420" s="32">
        <f>G420*0.411768721414431</f>
        <v>0</v>
      </c>
      <c r="AF420" s="32">
        <f>G420*(1-0.411768721414431)</f>
        <v>0</v>
      </c>
      <c r="AM420" s="32">
        <f>F420*AE420</f>
        <v>0</v>
      </c>
      <c r="AN420" s="32">
        <f>F420*AF420</f>
        <v>0</v>
      </c>
      <c r="AO420" s="33" t="s">
        <v>72</v>
      </c>
      <c r="AP420" s="33" t="s">
        <v>61</v>
      </c>
      <c r="AQ420" s="21" t="s">
        <v>355</v>
      </c>
    </row>
    <row r="421" spans="1:43" x14ac:dyDescent="0.25">
      <c r="A421" s="26"/>
      <c r="B421" s="27" t="s">
        <v>353</v>
      </c>
      <c r="C421" s="27" t="s">
        <v>73</v>
      </c>
      <c r="D421" s="338" t="s">
        <v>74</v>
      </c>
      <c r="E421" s="339"/>
      <c r="F421" s="339"/>
      <c r="G421" s="339"/>
      <c r="H421" s="28">
        <f>SUM(H422:H422)</f>
        <v>0</v>
      </c>
      <c r="I421" s="28">
        <f>SUM(I422:I422)</f>
        <v>0</v>
      </c>
      <c r="J421" s="28">
        <f>H421+I421</f>
        <v>0</v>
      </c>
      <c r="K421" s="21"/>
      <c r="L421" s="28">
        <f>SUM(L422:L422)</f>
        <v>0.175812</v>
      </c>
      <c r="M421" s="21"/>
      <c r="P421" s="28">
        <f>IF(Q421="PR",J421,SUM(O422:O422))</f>
        <v>0</v>
      </c>
      <c r="Q421" s="21" t="s">
        <v>75</v>
      </c>
      <c r="R421" s="28">
        <f>IF(Q421="HS",H421,0)</f>
        <v>0</v>
      </c>
      <c r="S421" s="28">
        <f>IF(Q421="HS",I421-P421,0)</f>
        <v>0</v>
      </c>
      <c r="T421" s="28">
        <f>IF(Q421="PS",H421,0)</f>
        <v>0</v>
      </c>
      <c r="U421" s="28">
        <f>IF(Q421="PS",I421-P421,0)</f>
        <v>0</v>
      </c>
      <c r="V421" s="28">
        <f>IF(Q421="MP",H421,0)</f>
        <v>0</v>
      </c>
      <c r="W421" s="28">
        <f>IF(Q421="MP",I421-P421,0)</f>
        <v>0</v>
      </c>
      <c r="X421" s="28">
        <f>IF(Q421="OM",H421,0)</f>
        <v>0</v>
      </c>
      <c r="Y421" s="21" t="s">
        <v>353</v>
      </c>
      <c r="AI421" s="28">
        <f>SUM(Z422:Z422)</f>
        <v>0</v>
      </c>
      <c r="AJ421" s="28">
        <f>SUM(AA422:AA422)</f>
        <v>0</v>
      </c>
      <c r="AK421" s="28">
        <f>SUM(AB422:AB422)</f>
        <v>0</v>
      </c>
    </row>
    <row r="422" spans="1:43" x14ac:dyDescent="0.25">
      <c r="A422" s="29" t="s">
        <v>358</v>
      </c>
      <c r="B422" s="29" t="s">
        <v>353</v>
      </c>
      <c r="C422" s="29" t="s">
        <v>77</v>
      </c>
      <c r="D422" s="29" t="s">
        <v>2278</v>
      </c>
      <c r="E422" s="29" t="s">
        <v>58</v>
      </c>
      <c r="F422" s="30">
        <v>10.92</v>
      </c>
      <c r="G422" s="317">
        <v>0</v>
      </c>
      <c r="H422" s="30">
        <f>ROUND(F422*AE422,2)</f>
        <v>0</v>
      </c>
      <c r="I422" s="30">
        <f>J422-H422</f>
        <v>0</v>
      </c>
      <c r="J422" s="30">
        <f>ROUND(F422*G422,2)</f>
        <v>0</v>
      </c>
      <c r="K422" s="30">
        <v>1.61E-2</v>
      </c>
      <c r="L422" s="30">
        <f>F422*K422</f>
        <v>0.175812</v>
      </c>
      <c r="M422" s="258" t="s">
        <v>2291</v>
      </c>
      <c r="N422" s="31" t="s">
        <v>59</v>
      </c>
      <c r="O422" s="30">
        <f>IF(N422="5",I422,0)</f>
        <v>0</v>
      </c>
      <c r="Z422" s="30">
        <f>IF(AD422=0,J422,0)</f>
        <v>0</v>
      </c>
      <c r="AA422" s="30">
        <f>IF(AD422=15,J422,0)</f>
        <v>0</v>
      </c>
      <c r="AB422" s="30">
        <f>IF(AD422=21,J422,0)</f>
        <v>0</v>
      </c>
      <c r="AD422" s="32">
        <v>21</v>
      </c>
      <c r="AE422" s="32">
        <f>G422*0.787221324717286</f>
        <v>0</v>
      </c>
      <c r="AF422" s="32">
        <f>G422*(1-0.787221324717286)</f>
        <v>0</v>
      </c>
      <c r="AM422" s="32">
        <f>F422*AE422</f>
        <v>0</v>
      </c>
      <c r="AN422" s="32">
        <f>F422*AF422</f>
        <v>0</v>
      </c>
      <c r="AO422" s="33" t="s">
        <v>78</v>
      </c>
      <c r="AP422" s="33" t="s">
        <v>79</v>
      </c>
      <c r="AQ422" s="21" t="s">
        <v>355</v>
      </c>
    </row>
    <row r="423" spans="1:43" ht="12.75" customHeight="1" x14ac:dyDescent="0.25">
      <c r="C423" s="34" t="s">
        <v>63</v>
      </c>
      <c r="D423" s="340" t="s">
        <v>2280</v>
      </c>
      <c r="E423" s="341"/>
      <c r="F423" s="341"/>
      <c r="G423" s="341"/>
      <c r="H423" s="341"/>
      <c r="I423" s="341"/>
      <c r="J423" s="341"/>
      <c r="K423" s="341"/>
      <c r="L423" s="341"/>
      <c r="M423" s="341"/>
    </row>
    <row r="424" spans="1:43" x14ac:dyDescent="0.25">
      <c r="A424" s="26"/>
      <c r="B424" s="27" t="s">
        <v>353</v>
      </c>
      <c r="C424" s="27" t="s">
        <v>80</v>
      </c>
      <c r="D424" s="338" t="s">
        <v>81</v>
      </c>
      <c r="E424" s="339"/>
      <c r="F424" s="339"/>
      <c r="G424" s="339"/>
      <c r="H424" s="28">
        <f>SUM(H425:H425)</f>
        <v>0</v>
      </c>
      <c r="I424" s="28">
        <f>SUM(I425:I425)</f>
        <v>0</v>
      </c>
      <c r="J424" s="28">
        <f>H424+I424</f>
        <v>0</v>
      </c>
      <c r="K424" s="21"/>
      <c r="L424" s="28">
        <f>SUM(L425:L425)</f>
        <v>4.4335200000000005E-2</v>
      </c>
      <c r="M424" s="21"/>
      <c r="P424" s="28">
        <f>IF(Q424="PR",J424,SUM(O425:O425))</f>
        <v>0</v>
      </c>
      <c r="Q424" s="21" t="s">
        <v>75</v>
      </c>
      <c r="R424" s="28">
        <f>IF(Q424="HS",H424,0)</f>
        <v>0</v>
      </c>
      <c r="S424" s="28">
        <f>IF(Q424="HS",I424-P424,0)</f>
        <v>0</v>
      </c>
      <c r="T424" s="28">
        <f>IF(Q424="PS",H424,0)</f>
        <v>0</v>
      </c>
      <c r="U424" s="28">
        <f>IF(Q424="PS",I424-P424,0)</f>
        <v>0</v>
      </c>
      <c r="V424" s="28">
        <f>IF(Q424="MP",H424,0)</f>
        <v>0</v>
      </c>
      <c r="W424" s="28">
        <f>IF(Q424="MP",I424-P424,0)</f>
        <v>0</v>
      </c>
      <c r="X424" s="28">
        <f>IF(Q424="OM",H424,0)</f>
        <v>0</v>
      </c>
      <c r="Y424" s="21" t="s">
        <v>353</v>
      </c>
      <c r="AI424" s="28">
        <f>SUM(Z425:Z425)</f>
        <v>0</v>
      </c>
      <c r="AJ424" s="28">
        <f>SUM(AA425:AA425)</f>
        <v>0</v>
      </c>
      <c r="AK424" s="28">
        <f>SUM(AB425:AB425)</f>
        <v>0</v>
      </c>
    </row>
    <row r="425" spans="1:43" x14ac:dyDescent="0.25">
      <c r="A425" s="29" t="s">
        <v>359</v>
      </c>
      <c r="B425" s="29" t="s">
        <v>353</v>
      </c>
      <c r="C425" s="29" t="s">
        <v>83</v>
      </c>
      <c r="D425" s="29" t="s">
        <v>84</v>
      </c>
      <c r="E425" s="29" t="s">
        <v>58</v>
      </c>
      <c r="F425" s="30">
        <v>10.92</v>
      </c>
      <c r="G425" s="317">
        <v>0</v>
      </c>
      <c r="H425" s="30">
        <f>ROUND(F425*AE425,2)</f>
        <v>0</v>
      </c>
      <c r="I425" s="30">
        <f>J425-H425</f>
        <v>0</v>
      </c>
      <c r="J425" s="30">
        <f>ROUND(F425*G425,2)</f>
        <v>0</v>
      </c>
      <c r="K425" s="30">
        <v>4.0600000000000002E-3</v>
      </c>
      <c r="L425" s="30">
        <f>F425*K425</f>
        <v>4.4335200000000005E-2</v>
      </c>
      <c r="M425" s="258" t="s">
        <v>2291</v>
      </c>
      <c r="N425" s="31" t="s">
        <v>59</v>
      </c>
      <c r="O425" s="30">
        <f>IF(N425="5",I425,0)</f>
        <v>0</v>
      </c>
      <c r="Z425" s="30">
        <f>IF(AD425=0,J425,0)</f>
        <v>0</v>
      </c>
      <c r="AA425" s="30">
        <f>IF(AD425=15,J425,0)</f>
        <v>0</v>
      </c>
      <c r="AB425" s="30">
        <f>IF(AD425=21,J425,0)</f>
        <v>0</v>
      </c>
      <c r="AD425" s="32">
        <v>21</v>
      </c>
      <c r="AE425" s="32">
        <f>G425*0.67230605738576</f>
        <v>0</v>
      </c>
      <c r="AF425" s="32">
        <f>G425*(1-0.67230605738576)</f>
        <v>0</v>
      </c>
      <c r="AM425" s="32">
        <f>F425*AE425</f>
        <v>0</v>
      </c>
      <c r="AN425" s="32">
        <f>F425*AF425</f>
        <v>0</v>
      </c>
      <c r="AO425" s="33" t="s">
        <v>85</v>
      </c>
      <c r="AP425" s="33" t="s">
        <v>79</v>
      </c>
      <c r="AQ425" s="21" t="s">
        <v>355</v>
      </c>
    </row>
    <row r="426" spans="1:43" x14ac:dyDescent="0.25">
      <c r="A426" s="26"/>
      <c r="B426" s="27" t="s">
        <v>353</v>
      </c>
      <c r="C426" s="27" t="s">
        <v>86</v>
      </c>
      <c r="D426" s="338" t="s">
        <v>87</v>
      </c>
      <c r="E426" s="339"/>
      <c r="F426" s="339"/>
      <c r="G426" s="339"/>
      <c r="H426" s="28">
        <f>SUM(H427:H427)</f>
        <v>0</v>
      </c>
      <c r="I426" s="28">
        <f>SUM(I427:I427)</f>
        <v>0</v>
      </c>
      <c r="J426" s="28">
        <f>H426+I426</f>
        <v>0</v>
      </c>
      <c r="K426" s="21"/>
      <c r="L426" s="28">
        <f>SUM(L427:L427)</f>
        <v>5.4000000000000001E-4</v>
      </c>
      <c r="M426" s="21"/>
      <c r="P426" s="28">
        <f>IF(Q426="PR",J426,SUM(O427:O427))</f>
        <v>0</v>
      </c>
      <c r="Q426" s="21" t="s">
        <v>75</v>
      </c>
      <c r="R426" s="28">
        <f>IF(Q426="HS",H426,0)</f>
        <v>0</v>
      </c>
      <c r="S426" s="28">
        <f>IF(Q426="HS",I426-P426,0)</f>
        <v>0</v>
      </c>
      <c r="T426" s="28">
        <f>IF(Q426="PS",H426,0)</f>
        <v>0</v>
      </c>
      <c r="U426" s="28">
        <f>IF(Q426="PS",I426-P426,0)</f>
        <v>0</v>
      </c>
      <c r="V426" s="28">
        <f>IF(Q426="MP",H426,0)</f>
        <v>0</v>
      </c>
      <c r="W426" s="28">
        <f>IF(Q426="MP",I426-P426,0)</f>
        <v>0</v>
      </c>
      <c r="X426" s="28">
        <f>IF(Q426="OM",H426,0)</f>
        <v>0</v>
      </c>
      <c r="Y426" s="21" t="s">
        <v>353</v>
      </c>
      <c r="AI426" s="28">
        <f>SUM(Z427:Z427)</f>
        <v>0</v>
      </c>
      <c r="AJ426" s="28">
        <f>SUM(AA427:AA427)</f>
        <v>0</v>
      </c>
      <c r="AK426" s="28">
        <f>SUM(AB427:AB427)</f>
        <v>0</v>
      </c>
    </row>
    <row r="427" spans="1:43" x14ac:dyDescent="0.25">
      <c r="A427" s="29" t="s">
        <v>360</v>
      </c>
      <c r="B427" s="29" t="s">
        <v>353</v>
      </c>
      <c r="C427" s="29" t="s">
        <v>89</v>
      </c>
      <c r="D427" s="29" t="s">
        <v>90</v>
      </c>
      <c r="E427" s="29" t="s">
        <v>58</v>
      </c>
      <c r="F427" s="30">
        <v>2</v>
      </c>
      <c r="G427" s="317">
        <v>0</v>
      </c>
      <c r="H427" s="30">
        <f>ROUND(F427*AE427,2)</f>
        <v>0</v>
      </c>
      <c r="I427" s="30">
        <f>J427-H427</f>
        <v>0</v>
      </c>
      <c r="J427" s="30">
        <f>ROUND(F427*G427,2)</f>
        <v>0</v>
      </c>
      <c r="K427" s="30">
        <v>2.7E-4</v>
      </c>
      <c r="L427" s="30">
        <f>F427*K427</f>
        <v>5.4000000000000001E-4</v>
      </c>
      <c r="M427" s="258" t="s">
        <v>2291</v>
      </c>
      <c r="N427" s="31" t="s">
        <v>59</v>
      </c>
      <c r="O427" s="30">
        <f>IF(N427="5",I427,0)</f>
        <v>0</v>
      </c>
      <c r="Z427" s="30">
        <f>IF(AD427=0,J427,0)</f>
        <v>0</v>
      </c>
      <c r="AA427" s="30">
        <f>IF(AD427=15,J427,0)</f>
        <v>0</v>
      </c>
      <c r="AB427" s="30">
        <f>IF(AD427=21,J427,0)</f>
        <v>0</v>
      </c>
      <c r="AD427" s="32">
        <v>21</v>
      </c>
      <c r="AE427" s="32">
        <f>G427*0.186098187625859</f>
        <v>0</v>
      </c>
      <c r="AF427" s="32">
        <f>G427*(1-0.186098187625859)</f>
        <v>0</v>
      </c>
      <c r="AM427" s="32">
        <f>F427*AE427</f>
        <v>0</v>
      </c>
      <c r="AN427" s="32">
        <f>F427*AF427</f>
        <v>0</v>
      </c>
      <c r="AO427" s="33" t="s">
        <v>91</v>
      </c>
      <c r="AP427" s="33" t="s">
        <v>92</v>
      </c>
      <c r="AQ427" s="21" t="s">
        <v>355</v>
      </c>
    </row>
    <row r="428" spans="1:43" x14ac:dyDescent="0.25">
      <c r="A428" s="26"/>
      <c r="B428" s="27" t="s">
        <v>353</v>
      </c>
      <c r="C428" s="27" t="s">
        <v>93</v>
      </c>
      <c r="D428" s="338" t="s">
        <v>94</v>
      </c>
      <c r="E428" s="339"/>
      <c r="F428" s="339"/>
      <c r="G428" s="339"/>
      <c r="H428" s="28">
        <f>SUM(H429:H429)</f>
        <v>0</v>
      </c>
      <c r="I428" s="28">
        <f>SUM(I429:I429)</f>
        <v>0</v>
      </c>
      <c r="J428" s="28">
        <f>H428+I428</f>
        <v>0</v>
      </c>
      <c r="K428" s="21"/>
      <c r="L428" s="28">
        <f>SUM(L429:L429)</f>
        <v>3.5840999999999998E-2</v>
      </c>
      <c r="M428" s="21"/>
      <c r="P428" s="28">
        <f>IF(Q428="PR",J428,SUM(O429:O429))</f>
        <v>0</v>
      </c>
      <c r="Q428" s="21" t="s">
        <v>75</v>
      </c>
      <c r="R428" s="28">
        <f>IF(Q428="HS",H428,0)</f>
        <v>0</v>
      </c>
      <c r="S428" s="28">
        <f>IF(Q428="HS",I428-P428,0)</f>
        <v>0</v>
      </c>
      <c r="T428" s="28">
        <f>IF(Q428="PS",H428,0)</f>
        <v>0</v>
      </c>
      <c r="U428" s="28">
        <f>IF(Q428="PS",I428-P428,0)</f>
        <v>0</v>
      </c>
      <c r="V428" s="28">
        <f>IF(Q428="MP",H428,0)</f>
        <v>0</v>
      </c>
      <c r="W428" s="28">
        <f>IF(Q428="MP",I428-P428,0)</f>
        <v>0</v>
      </c>
      <c r="X428" s="28">
        <f>IF(Q428="OM",H428,0)</f>
        <v>0</v>
      </c>
      <c r="Y428" s="21" t="s">
        <v>353</v>
      </c>
      <c r="AI428" s="28">
        <f>SUM(Z429:Z429)</f>
        <v>0</v>
      </c>
      <c r="AJ428" s="28">
        <f>SUM(AA429:AA429)</f>
        <v>0</v>
      </c>
      <c r="AK428" s="28">
        <f>SUM(AB429:AB429)</f>
        <v>0</v>
      </c>
    </row>
    <row r="429" spans="1:43" x14ac:dyDescent="0.25">
      <c r="A429" s="29" t="s">
        <v>361</v>
      </c>
      <c r="B429" s="29" t="s">
        <v>353</v>
      </c>
      <c r="C429" s="29" t="s">
        <v>96</v>
      </c>
      <c r="D429" s="29" t="s">
        <v>97</v>
      </c>
      <c r="E429" s="29" t="s">
        <v>58</v>
      </c>
      <c r="F429" s="30">
        <v>55.14</v>
      </c>
      <c r="G429" s="317">
        <v>0</v>
      </c>
      <c r="H429" s="30">
        <f>ROUND(F429*AE429,2)</f>
        <v>0</v>
      </c>
      <c r="I429" s="30">
        <f>J429-H429</f>
        <v>0</v>
      </c>
      <c r="J429" s="30">
        <f>ROUND(F429*G429,2)</f>
        <v>0</v>
      </c>
      <c r="K429" s="30">
        <v>6.4999999999999997E-4</v>
      </c>
      <c r="L429" s="30">
        <f>F429*K429</f>
        <v>3.5840999999999998E-2</v>
      </c>
      <c r="M429" s="258" t="s">
        <v>2291</v>
      </c>
      <c r="N429" s="31" t="s">
        <v>59</v>
      </c>
      <c r="O429" s="30">
        <f>IF(N429="5",I429,0)</f>
        <v>0</v>
      </c>
      <c r="Z429" s="30">
        <f>IF(AD429=0,J429,0)</f>
        <v>0</v>
      </c>
      <c r="AA429" s="30">
        <f>IF(AD429=15,J429,0)</f>
        <v>0</v>
      </c>
      <c r="AB429" s="30">
        <f>IF(AD429=21,J429,0)</f>
        <v>0</v>
      </c>
      <c r="AD429" s="32">
        <v>21</v>
      </c>
      <c r="AE429" s="32">
        <f>G429*0.333747476316198</f>
        <v>0</v>
      </c>
      <c r="AF429" s="32">
        <f>G429*(1-0.333747476316198)</f>
        <v>0</v>
      </c>
      <c r="AM429" s="32">
        <f>F429*AE429</f>
        <v>0</v>
      </c>
      <c r="AN429" s="32">
        <f>F429*AF429</f>
        <v>0</v>
      </c>
      <c r="AO429" s="33" t="s">
        <v>98</v>
      </c>
      <c r="AP429" s="33" t="s">
        <v>92</v>
      </c>
      <c r="AQ429" s="21" t="s">
        <v>355</v>
      </c>
    </row>
    <row r="430" spans="1:43" x14ac:dyDescent="0.25">
      <c r="A430" s="26"/>
      <c r="B430" s="27" t="s">
        <v>353</v>
      </c>
      <c r="C430" s="27" t="s">
        <v>99</v>
      </c>
      <c r="D430" s="338" t="s">
        <v>100</v>
      </c>
      <c r="E430" s="339"/>
      <c r="F430" s="339"/>
      <c r="G430" s="339"/>
      <c r="H430" s="28">
        <f>SUM(H431:H431)</f>
        <v>0</v>
      </c>
      <c r="I430" s="28">
        <f>SUM(I431:I431)</f>
        <v>0</v>
      </c>
      <c r="J430" s="28">
        <f>H430+I430</f>
        <v>0</v>
      </c>
      <c r="K430" s="21"/>
      <c r="L430" s="28">
        <f>SUM(L431:L431)</f>
        <v>0</v>
      </c>
      <c r="M430" s="21"/>
      <c r="P430" s="28">
        <f>IF(Q430="PR",J430,SUM(O431:O431))</f>
        <v>0</v>
      </c>
      <c r="Q430" s="21" t="s">
        <v>54</v>
      </c>
      <c r="R430" s="28">
        <f>IF(Q430="HS",H430,0)</f>
        <v>0</v>
      </c>
      <c r="S430" s="28">
        <f>IF(Q430="HS",I430-P430,0)</f>
        <v>0</v>
      </c>
      <c r="T430" s="28">
        <f>IF(Q430="PS",H430,0)</f>
        <v>0</v>
      </c>
      <c r="U430" s="28">
        <f>IF(Q430="PS",I430-P430,0)</f>
        <v>0</v>
      </c>
      <c r="V430" s="28">
        <f>IF(Q430="MP",H430,0)</f>
        <v>0</v>
      </c>
      <c r="W430" s="28">
        <f>IF(Q430="MP",I430-P430,0)</f>
        <v>0</v>
      </c>
      <c r="X430" s="28">
        <f>IF(Q430="OM",H430,0)</f>
        <v>0</v>
      </c>
      <c r="Y430" s="21" t="s">
        <v>353</v>
      </c>
      <c r="AI430" s="28">
        <f>SUM(Z431:Z431)</f>
        <v>0</v>
      </c>
      <c r="AJ430" s="28">
        <f>SUM(AA431:AA431)</f>
        <v>0</v>
      </c>
      <c r="AK430" s="28">
        <f>SUM(AB431:AB431)</f>
        <v>0</v>
      </c>
    </row>
    <row r="431" spans="1:43" x14ac:dyDescent="0.25">
      <c r="A431" s="29" t="s">
        <v>362</v>
      </c>
      <c r="B431" s="29" t="s">
        <v>353</v>
      </c>
      <c r="C431" s="29" t="s">
        <v>102</v>
      </c>
      <c r="D431" s="29" t="s">
        <v>103</v>
      </c>
      <c r="E431" s="29" t="s">
        <v>104</v>
      </c>
      <c r="F431" s="30">
        <v>2.4</v>
      </c>
      <c r="G431" s="317">
        <v>0</v>
      </c>
      <c r="H431" s="30">
        <f>ROUND(F431*AE431,2)</f>
        <v>0</v>
      </c>
      <c r="I431" s="30">
        <f>J431-H431</f>
        <v>0</v>
      </c>
      <c r="J431" s="30">
        <f>ROUND(F431*G431,2)</f>
        <v>0</v>
      </c>
      <c r="K431" s="30">
        <v>0</v>
      </c>
      <c r="L431" s="30">
        <f>F431*K431</f>
        <v>0</v>
      </c>
      <c r="M431" s="258" t="s">
        <v>2291</v>
      </c>
      <c r="N431" s="31" t="s">
        <v>55</v>
      </c>
      <c r="O431" s="30">
        <f>IF(N431="5",I431,0)</f>
        <v>0</v>
      </c>
      <c r="Z431" s="30">
        <f>IF(AD431=0,J431,0)</f>
        <v>0</v>
      </c>
      <c r="AA431" s="30">
        <f>IF(AD431=15,J431,0)</f>
        <v>0</v>
      </c>
      <c r="AB431" s="30">
        <f>IF(AD431=21,J431,0)</f>
        <v>0</v>
      </c>
      <c r="AD431" s="32">
        <v>21</v>
      </c>
      <c r="AE431" s="32">
        <f>G431*0</f>
        <v>0</v>
      </c>
      <c r="AF431" s="32">
        <f>G431*(1-0)</f>
        <v>0</v>
      </c>
      <c r="AM431" s="32">
        <f>F431*AE431</f>
        <v>0</v>
      </c>
      <c r="AN431" s="32">
        <f>F431*AF431</f>
        <v>0</v>
      </c>
      <c r="AO431" s="33" t="s">
        <v>105</v>
      </c>
      <c r="AP431" s="33" t="s">
        <v>106</v>
      </c>
      <c r="AQ431" s="21" t="s">
        <v>355</v>
      </c>
    </row>
    <row r="432" spans="1:43" x14ac:dyDescent="0.25">
      <c r="C432" s="34" t="s">
        <v>63</v>
      </c>
      <c r="D432" s="340" t="s">
        <v>107</v>
      </c>
      <c r="E432" s="341"/>
      <c r="F432" s="341"/>
      <c r="G432" s="341"/>
      <c r="H432" s="341"/>
      <c r="I432" s="341"/>
      <c r="J432" s="341"/>
      <c r="K432" s="341"/>
      <c r="L432" s="341"/>
      <c r="M432" s="341"/>
    </row>
    <row r="433" spans="1:43" x14ac:dyDescent="0.25">
      <c r="A433" s="26"/>
      <c r="B433" s="27" t="s">
        <v>363</v>
      </c>
      <c r="C433" s="27"/>
      <c r="D433" s="338" t="s">
        <v>363</v>
      </c>
      <c r="E433" s="339"/>
      <c r="F433" s="339"/>
      <c r="G433" s="339"/>
      <c r="H433" s="28">
        <f>H434+H436+H439+H441+H445+H447+H449</f>
        <v>0</v>
      </c>
      <c r="I433" s="28">
        <f>I434+I436+I439+I441+I445+I447+I449</f>
        <v>0</v>
      </c>
      <c r="J433" s="28">
        <f>H433+I433</f>
        <v>0</v>
      </c>
      <c r="K433" s="21"/>
      <c r="L433" s="28">
        <f>L434+L436+L439+L441+L445+L447+L449</f>
        <v>11.0621022</v>
      </c>
      <c r="M433" s="21"/>
    </row>
    <row r="434" spans="1:43" x14ac:dyDescent="0.25">
      <c r="A434" s="26"/>
      <c r="B434" s="27" t="s">
        <v>363</v>
      </c>
      <c r="C434" s="27" t="s">
        <v>166</v>
      </c>
      <c r="D434" s="338" t="s">
        <v>167</v>
      </c>
      <c r="E434" s="339"/>
      <c r="F434" s="339"/>
      <c r="G434" s="339"/>
      <c r="H434" s="28">
        <f>SUM(H435:H435)</f>
        <v>0</v>
      </c>
      <c r="I434" s="28">
        <f>SUM(I435:I435)</f>
        <v>0</v>
      </c>
      <c r="J434" s="28">
        <f>H434+I434</f>
        <v>0</v>
      </c>
      <c r="K434" s="21"/>
      <c r="L434" s="28">
        <f>SUM(L435:L435)</f>
        <v>0.1404</v>
      </c>
      <c r="M434" s="21"/>
      <c r="P434" s="28">
        <f>IF(Q434="PR",J434,SUM(O435:O435))</f>
        <v>0</v>
      </c>
      <c r="Q434" s="21" t="s">
        <v>54</v>
      </c>
      <c r="R434" s="28">
        <f>IF(Q434="HS",H434,0)</f>
        <v>0</v>
      </c>
      <c r="S434" s="28">
        <f>IF(Q434="HS",I434-P434,0)</f>
        <v>0</v>
      </c>
      <c r="T434" s="28">
        <f>IF(Q434="PS",H434,0)</f>
        <v>0</v>
      </c>
      <c r="U434" s="28">
        <f>IF(Q434="PS",I434-P434,0)</f>
        <v>0</v>
      </c>
      <c r="V434" s="28">
        <f>IF(Q434="MP",H434,0)</f>
        <v>0</v>
      </c>
      <c r="W434" s="28">
        <f>IF(Q434="MP",I434-P434,0)</f>
        <v>0</v>
      </c>
      <c r="X434" s="28">
        <f>IF(Q434="OM",H434,0)</f>
        <v>0</v>
      </c>
      <c r="Y434" s="21" t="s">
        <v>363</v>
      </c>
      <c r="AI434" s="28">
        <f>SUM(Z435:Z435)</f>
        <v>0</v>
      </c>
      <c r="AJ434" s="28">
        <f>SUM(AA435:AA435)</f>
        <v>0</v>
      </c>
      <c r="AK434" s="28">
        <f>SUM(AB435:AB435)</f>
        <v>0</v>
      </c>
    </row>
    <row r="435" spans="1:43" x14ac:dyDescent="0.25">
      <c r="A435" s="29" t="s">
        <v>364</v>
      </c>
      <c r="B435" s="29" t="s">
        <v>363</v>
      </c>
      <c r="C435" s="29" t="s">
        <v>169</v>
      </c>
      <c r="D435" s="29" t="s">
        <v>170</v>
      </c>
      <c r="E435" s="29" t="s">
        <v>58</v>
      </c>
      <c r="F435" s="30">
        <v>11.7</v>
      </c>
      <c r="G435" s="317">
        <v>0</v>
      </c>
      <c r="H435" s="30">
        <f>ROUND(F435*AE435,2)</f>
        <v>0</v>
      </c>
      <c r="I435" s="30">
        <f>J435-H435</f>
        <v>0</v>
      </c>
      <c r="J435" s="30">
        <f>ROUND(F435*G435,2)</f>
        <v>0</v>
      </c>
      <c r="K435" s="30">
        <v>1.2E-2</v>
      </c>
      <c r="L435" s="30">
        <f>F435*K435</f>
        <v>0.1404</v>
      </c>
      <c r="M435" s="31"/>
      <c r="N435" s="31" t="s">
        <v>55</v>
      </c>
      <c r="O435" s="30">
        <f>IF(N435="5",I435,0)</f>
        <v>0</v>
      </c>
      <c r="Z435" s="30">
        <f>IF(AD435=0,J435,0)</f>
        <v>0</v>
      </c>
      <c r="AA435" s="30">
        <f>IF(AD435=15,J435,0)</f>
        <v>0</v>
      </c>
      <c r="AB435" s="30">
        <f>IF(AD435=21,J435,0)</f>
        <v>0</v>
      </c>
      <c r="AD435" s="32">
        <v>21</v>
      </c>
      <c r="AE435" s="32">
        <f>G435*0.381443298969072</f>
        <v>0</v>
      </c>
      <c r="AF435" s="32">
        <f>G435*(1-0.381443298969072)</f>
        <v>0</v>
      </c>
      <c r="AM435" s="32">
        <f>F435*AE435</f>
        <v>0</v>
      </c>
      <c r="AN435" s="32">
        <f>F435*AF435</f>
        <v>0</v>
      </c>
      <c r="AO435" s="33" t="s">
        <v>171</v>
      </c>
      <c r="AP435" s="33" t="s">
        <v>171</v>
      </c>
      <c r="AQ435" s="21" t="s">
        <v>365</v>
      </c>
    </row>
    <row r="436" spans="1:43" x14ac:dyDescent="0.25">
      <c r="A436" s="26"/>
      <c r="B436" s="27" t="s">
        <v>363</v>
      </c>
      <c r="C436" s="27" t="s">
        <v>52</v>
      </c>
      <c r="D436" s="338" t="s">
        <v>53</v>
      </c>
      <c r="E436" s="339"/>
      <c r="F436" s="339"/>
      <c r="G436" s="339"/>
      <c r="H436" s="28">
        <f>SUM(H437:H437)</f>
        <v>0</v>
      </c>
      <c r="I436" s="28">
        <f>SUM(I437:I437)</f>
        <v>0</v>
      </c>
      <c r="J436" s="28">
        <f>H436+I436</f>
        <v>0</v>
      </c>
      <c r="K436" s="21"/>
      <c r="L436" s="28">
        <f>SUM(L437:L437)</f>
        <v>0.1543542</v>
      </c>
      <c r="M436" s="21"/>
      <c r="P436" s="28">
        <f>IF(Q436="PR",J436,SUM(O437:O437))</f>
        <v>0</v>
      </c>
      <c r="Q436" s="21" t="s">
        <v>54</v>
      </c>
      <c r="R436" s="28">
        <f>IF(Q436="HS",H436,0)</f>
        <v>0</v>
      </c>
      <c r="S436" s="28">
        <f>IF(Q436="HS",I436-P436,0)</f>
        <v>0</v>
      </c>
      <c r="T436" s="28">
        <f>IF(Q436="PS",H436,0)</f>
        <v>0</v>
      </c>
      <c r="U436" s="28">
        <f>IF(Q436="PS",I436-P436,0)</f>
        <v>0</v>
      </c>
      <c r="V436" s="28">
        <f>IF(Q436="MP",H436,0)</f>
        <v>0</v>
      </c>
      <c r="W436" s="28">
        <f>IF(Q436="MP",I436-P436,0)</f>
        <v>0</v>
      </c>
      <c r="X436" s="28">
        <f>IF(Q436="OM",H436,0)</f>
        <v>0</v>
      </c>
      <c r="Y436" s="21" t="s">
        <v>363</v>
      </c>
      <c r="AI436" s="28">
        <f>SUM(Z437:Z437)</f>
        <v>0</v>
      </c>
      <c r="AJ436" s="28">
        <f>SUM(AA437:AA437)</f>
        <v>0</v>
      </c>
      <c r="AK436" s="28">
        <f>SUM(AB437:AB437)</f>
        <v>0</v>
      </c>
    </row>
    <row r="437" spans="1:43" x14ac:dyDescent="0.25">
      <c r="A437" s="29" t="s">
        <v>366</v>
      </c>
      <c r="B437" s="29" t="s">
        <v>363</v>
      </c>
      <c r="C437" s="29" t="s">
        <v>56</v>
      </c>
      <c r="D437" s="29" t="s">
        <v>57</v>
      </c>
      <c r="E437" s="29" t="s">
        <v>58</v>
      </c>
      <c r="F437" s="30">
        <v>15.42</v>
      </c>
      <c r="G437" s="317">
        <v>0</v>
      </c>
      <c r="H437" s="30">
        <f>ROUND(F437*AE437,2)</f>
        <v>0</v>
      </c>
      <c r="I437" s="30">
        <f>J437-H437</f>
        <v>0</v>
      </c>
      <c r="J437" s="30">
        <f>ROUND(F437*G437,2)</f>
        <v>0</v>
      </c>
      <c r="K437" s="30">
        <v>1.001E-2</v>
      </c>
      <c r="L437" s="30">
        <f>F437*K437</f>
        <v>0.1543542</v>
      </c>
      <c r="M437" s="258" t="s">
        <v>2291</v>
      </c>
      <c r="N437" s="31" t="s">
        <v>59</v>
      </c>
      <c r="O437" s="30">
        <f>IF(N437="5",I437,0)</f>
        <v>0</v>
      </c>
      <c r="Z437" s="30">
        <f>IF(AD437=0,J437,0)</f>
        <v>0</v>
      </c>
      <c r="AA437" s="30">
        <f>IF(AD437=15,J437,0)</f>
        <v>0</v>
      </c>
      <c r="AB437" s="30">
        <f>IF(AD437=21,J437,0)</f>
        <v>0</v>
      </c>
      <c r="AD437" s="32">
        <v>21</v>
      </c>
      <c r="AE437" s="32">
        <f>G437*0.0756575801052128</f>
        <v>0</v>
      </c>
      <c r="AF437" s="32">
        <f>G437*(1-0.0756575801052128)</f>
        <v>0</v>
      </c>
      <c r="AM437" s="32">
        <f>F437*AE437</f>
        <v>0</v>
      </c>
      <c r="AN437" s="32">
        <f>F437*AF437</f>
        <v>0</v>
      </c>
      <c r="AO437" s="33" t="s">
        <v>60</v>
      </c>
      <c r="AP437" s="33" t="s">
        <v>61</v>
      </c>
      <c r="AQ437" s="21" t="s">
        <v>365</v>
      </c>
    </row>
    <row r="438" spans="1:43" ht="25.7" customHeight="1" x14ac:dyDescent="0.25">
      <c r="C438" s="34" t="s">
        <v>63</v>
      </c>
      <c r="D438" s="340" t="s">
        <v>64</v>
      </c>
      <c r="E438" s="341"/>
      <c r="F438" s="341"/>
      <c r="G438" s="341"/>
      <c r="H438" s="341"/>
      <c r="I438" s="341"/>
      <c r="J438" s="341"/>
      <c r="K438" s="341"/>
      <c r="L438" s="341"/>
      <c r="M438" s="341"/>
    </row>
    <row r="439" spans="1:43" x14ac:dyDescent="0.25">
      <c r="A439" s="26"/>
      <c r="B439" s="27" t="s">
        <v>363</v>
      </c>
      <c r="C439" s="27" t="s">
        <v>68</v>
      </c>
      <c r="D439" s="338" t="s">
        <v>69</v>
      </c>
      <c r="E439" s="339"/>
      <c r="F439" s="339"/>
      <c r="G439" s="339"/>
      <c r="H439" s="28">
        <f>SUM(H440:H440)</f>
        <v>0</v>
      </c>
      <c r="I439" s="28">
        <f>SUM(I440:I440)</f>
        <v>0</v>
      </c>
      <c r="J439" s="28">
        <f>H439+I439</f>
        <v>0</v>
      </c>
      <c r="K439" s="21"/>
      <c r="L439" s="28">
        <f>SUM(L440:L440)</f>
        <v>0.58312799999999998</v>
      </c>
      <c r="M439" s="21"/>
      <c r="P439" s="28">
        <f>IF(Q439="PR",J439,SUM(O440:O440))</f>
        <v>0</v>
      </c>
      <c r="Q439" s="21" t="s">
        <v>54</v>
      </c>
      <c r="R439" s="28">
        <f>IF(Q439="HS",H439,0)</f>
        <v>0</v>
      </c>
      <c r="S439" s="28">
        <f>IF(Q439="HS",I439-P439,0)</f>
        <v>0</v>
      </c>
      <c r="T439" s="28">
        <f>IF(Q439="PS",H439,0)</f>
        <v>0</v>
      </c>
      <c r="U439" s="28">
        <f>IF(Q439="PS",I439-P439,0)</f>
        <v>0</v>
      </c>
      <c r="V439" s="28">
        <f>IF(Q439="MP",H439,0)</f>
        <v>0</v>
      </c>
      <c r="W439" s="28">
        <f>IF(Q439="MP",I439-P439,0)</f>
        <v>0</v>
      </c>
      <c r="X439" s="28">
        <f>IF(Q439="OM",H439,0)</f>
        <v>0</v>
      </c>
      <c r="Y439" s="21" t="s">
        <v>363</v>
      </c>
      <c r="AI439" s="28">
        <f>SUM(Z440:Z440)</f>
        <v>0</v>
      </c>
      <c r="AJ439" s="28">
        <f>SUM(AA440:AA440)</f>
        <v>0</v>
      </c>
      <c r="AK439" s="28">
        <f>SUM(AB440:AB440)</f>
        <v>0</v>
      </c>
    </row>
    <row r="440" spans="1:43" x14ac:dyDescent="0.25">
      <c r="A440" s="29" t="s">
        <v>367</v>
      </c>
      <c r="B440" s="29" t="s">
        <v>363</v>
      </c>
      <c r="C440" s="29" t="s">
        <v>70</v>
      </c>
      <c r="D440" s="29" t="s">
        <v>71</v>
      </c>
      <c r="E440" s="29" t="s">
        <v>58</v>
      </c>
      <c r="F440" s="30">
        <v>11.7</v>
      </c>
      <c r="G440" s="317">
        <v>0</v>
      </c>
      <c r="H440" s="30">
        <f>ROUND(F440*AE440,2)</f>
        <v>0</v>
      </c>
      <c r="I440" s="30">
        <f>J440-H440</f>
        <v>0</v>
      </c>
      <c r="J440" s="30">
        <f>ROUND(F440*G440,2)</f>
        <v>0</v>
      </c>
      <c r="K440" s="30">
        <v>4.9840000000000002E-2</v>
      </c>
      <c r="L440" s="30">
        <f>F440*K440</f>
        <v>0.58312799999999998</v>
      </c>
      <c r="M440" s="258" t="s">
        <v>2291</v>
      </c>
      <c r="N440" s="31" t="s">
        <v>59</v>
      </c>
      <c r="O440" s="30">
        <f>IF(N440="5",I440,0)</f>
        <v>0</v>
      </c>
      <c r="Z440" s="30">
        <f>IF(AD440=0,J440,0)</f>
        <v>0</v>
      </c>
      <c r="AA440" s="30">
        <f>IF(AD440=15,J440,0)</f>
        <v>0</v>
      </c>
      <c r="AB440" s="30">
        <f>IF(AD440=21,J440,0)</f>
        <v>0</v>
      </c>
      <c r="AD440" s="32">
        <v>21</v>
      </c>
      <c r="AE440" s="32">
        <f>G440*0.411768721414431</f>
        <v>0</v>
      </c>
      <c r="AF440" s="32">
        <f>G440*(1-0.411768721414431)</f>
        <v>0</v>
      </c>
      <c r="AM440" s="32">
        <f>F440*AE440</f>
        <v>0</v>
      </c>
      <c r="AN440" s="32">
        <f>F440*AF440</f>
        <v>0</v>
      </c>
      <c r="AO440" s="33" t="s">
        <v>72</v>
      </c>
      <c r="AP440" s="33" t="s">
        <v>61</v>
      </c>
      <c r="AQ440" s="21" t="s">
        <v>365</v>
      </c>
    </row>
    <row r="441" spans="1:43" x14ac:dyDescent="0.25">
      <c r="A441" s="26"/>
      <c r="B441" s="27" t="s">
        <v>363</v>
      </c>
      <c r="C441" s="27" t="s">
        <v>73</v>
      </c>
      <c r="D441" s="338" t="s">
        <v>74</v>
      </c>
      <c r="E441" s="339"/>
      <c r="F441" s="339"/>
      <c r="G441" s="339"/>
      <c r="H441" s="28">
        <f>SUM(H442:H444)</f>
        <v>0</v>
      </c>
      <c r="I441" s="28">
        <f>SUM(I442:I444)</f>
        <v>0</v>
      </c>
      <c r="J441" s="28">
        <f>H441+I441</f>
        <v>0</v>
      </c>
      <c r="K441" s="21"/>
      <c r="L441" s="28">
        <f>SUM(L442:L444)</f>
        <v>1.0792079999999999</v>
      </c>
      <c r="M441" s="21"/>
      <c r="P441" s="28">
        <f>IF(Q441="PR",J441,SUM(O442:O444))</f>
        <v>0</v>
      </c>
      <c r="Q441" s="21" t="s">
        <v>75</v>
      </c>
      <c r="R441" s="28">
        <f>IF(Q441="HS",H441,0)</f>
        <v>0</v>
      </c>
      <c r="S441" s="28">
        <f>IF(Q441="HS",I441-P441,0)</f>
        <v>0</v>
      </c>
      <c r="T441" s="28">
        <f>IF(Q441="PS",H441,0)</f>
        <v>0</v>
      </c>
      <c r="U441" s="28">
        <f>IF(Q441="PS",I441-P441,0)</f>
        <v>0</v>
      </c>
      <c r="V441" s="28">
        <f>IF(Q441="MP",H441,0)</f>
        <v>0</v>
      </c>
      <c r="W441" s="28">
        <f>IF(Q441="MP",I441-P441,0)</f>
        <v>0</v>
      </c>
      <c r="X441" s="28">
        <f>IF(Q441="OM",H441,0)</f>
        <v>0</v>
      </c>
      <c r="Y441" s="21" t="s">
        <v>363</v>
      </c>
      <c r="AI441" s="28">
        <f>SUM(Z442:Z444)</f>
        <v>0</v>
      </c>
      <c r="AJ441" s="28">
        <f>SUM(AA442:AA444)</f>
        <v>0</v>
      </c>
      <c r="AK441" s="28">
        <f>SUM(AB442:AB444)</f>
        <v>0</v>
      </c>
    </row>
    <row r="442" spans="1:43" x14ac:dyDescent="0.25">
      <c r="A442" s="29" t="s">
        <v>368</v>
      </c>
      <c r="B442" s="29" t="s">
        <v>363</v>
      </c>
      <c r="C442" s="29" t="s">
        <v>77</v>
      </c>
      <c r="D442" s="29" t="s">
        <v>2278</v>
      </c>
      <c r="E442" s="29" t="s">
        <v>58</v>
      </c>
      <c r="F442" s="30">
        <v>11.7</v>
      </c>
      <c r="G442" s="317">
        <v>0</v>
      </c>
      <c r="H442" s="30">
        <f>ROUND(F442*AE442,2)</f>
        <v>0</v>
      </c>
      <c r="I442" s="30">
        <f>J442-H442</f>
        <v>0</v>
      </c>
      <c r="J442" s="30">
        <f>ROUND(F442*G442,2)</f>
        <v>0</v>
      </c>
      <c r="K442" s="30">
        <v>1.61E-2</v>
      </c>
      <c r="L442" s="30">
        <f>F442*K442</f>
        <v>0.18836999999999998</v>
      </c>
      <c r="M442" s="258" t="s">
        <v>2291</v>
      </c>
      <c r="N442" s="31" t="s">
        <v>59</v>
      </c>
      <c r="O442" s="30">
        <f>IF(N442="5",I442,0)</f>
        <v>0</v>
      </c>
      <c r="Z442" s="30">
        <f>IF(AD442=0,J442,0)</f>
        <v>0</v>
      </c>
      <c r="AA442" s="30">
        <f>IF(AD442=15,J442,0)</f>
        <v>0</v>
      </c>
      <c r="AB442" s="30">
        <f>IF(AD442=21,J442,0)</f>
        <v>0</v>
      </c>
      <c r="AD442" s="32">
        <v>21</v>
      </c>
      <c r="AE442" s="32">
        <f>G442*0.787221324717286</f>
        <v>0</v>
      </c>
      <c r="AF442" s="32">
        <f>G442*(1-0.787221324717286)</f>
        <v>0</v>
      </c>
      <c r="AM442" s="32">
        <f>F442*AE442</f>
        <v>0</v>
      </c>
      <c r="AN442" s="32">
        <f>F442*AF442</f>
        <v>0</v>
      </c>
      <c r="AO442" s="33" t="s">
        <v>78</v>
      </c>
      <c r="AP442" s="33" t="s">
        <v>79</v>
      </c>
      <c r="AQ442" s="21" t="s">
        <v>365</v>
      </c>
    </row>
    <row r="443" spans="1:43" ht="12.75" customHeight="1" x14ac:dyDescent="0.25">
      <c r="C443" s="34" t="s">
        <v>63</v>
      </c>
      <c r="D443" s="340" t="s">
        <v>2280</v>
      </c>
      <c r="E443" s="341"/>
      <c r="F443" s="341"/>
      <c r="G443" s="341"/>
      <c r="H443" s="341"/>
      <c r="I443" s="341"/>
      <c r="J443" s="341"/>
      <c r="K443" s="341"/>
      <c r="L443" s="341"/>
      <c r="M443" s="341"/>
    </row>
    <row r="444" spans="1:43" x14ac:dyDescent="0.25">
      <c r="A444" s="29" t="s">
        <v>369</v>
      </c>
      <c r="B444" s="29" t="s">
        <v>363</v>
      </c>
      <c r="C444" s="29" t="s">
        <v>122</v>
      </c>
      <c r="D444" s="29" t="s">
        <v>123</v>
      </c>
      <c r="E444" s="29" t="s">
        <v>58</v>
      </c>
      <c r="F444" s="30">
        <v>11.7</v>
      </c>
      <c r="G444" s="317">
        <v>0</v>
      </c>
      <c r="H444" s="30">
        <f>ROUND(F444*AE444,2)</f>
        <v>0</v>
      </c>
      <c r="I444" s="30">
        <f>J444-H444</f>
        <v>0</v>
      </c>
      <c r="J444" s="30">
        <f>ROUND(F444*G444,2)</f>
        <v>0</v>
      </c>
      <c r="K444" s="30">
        <v>7.6139999999999999E-2</v>
      </c>
      <c r="L444" s="30">
        <f>F444*K444</f>
        <v>0.89083799999999991</v>
      </c>
      <c r="M444" s="258" t="s">
        <v>2291</v>
      </c>
      <c r="N444" s="31" t="s">
        <v>59</v>
      </c>
      <c r="O444" s="30">
        <f>IF(N444="5",I444,0)</f>
        <v>0</v>
      </c>
      <c r="Z444" s="30">
        <f>IF(AD444=0,J444,0)</f>
        <v>0</v>
      </c>
      <c r="AA444" s="30">
        <f>IF(AD444=15,J444,0)</f>
        <v>0</v>
      </c>
      <c r="AB444" s="30">
        <f>IF(AD444=21,J444,0)</f>
        <v>0</v>
      </c>
      <c r="AD444" s="32">
        <v>21</v>
      </c>
      <c r="AE444" s="32">
        <f>G444*0.547569562266712</f>
        <v>0</v>
      </c>
      <c r="AF444" s="32">
        <f>G444*(1-0.547569562266712)</f>
        <v>0</v>
      </c>
      <c r="AM444" s="32">
        <f>F444*AE444</f>
        <v>0</v>
      </c>
      <c r="AN444" s="32">
        <f>F444*AF444</f>
        <v>0</v>
      </c>
      <c r="AO444" s="33" t="s">
        <v>78</v>
      </c>
      <c r="AP444" s="33" t="s">
        <v>79</v>
      </c>
      <c r="AQ444" s="21" t="s">
        <v>365</v>
      </c>
    </row>
    <row r="445" spans="1:43" x14ac:dyDescent="0.25">
      <c r="A445" s="26"/>
      <c r="B445" s="27" t="s">
        <v>363</v>
      </c>
      <c r="C445" s="27" t="s">
        <v>189</v>
      </c>
      <c r="D445" s="338" t="s">
        <v>190</v>
      </c>
      <c r="E445" s="339"/>
      <c r="F445" s="339"/>
      <c r="G445" s="339"/>
      <c r="H445" s="28">
        <f>SUM(H446:H446)</f>
        <v>0</v>
      </c>
      <c r="I445" s="28">
        <f>SUM(I446:I446)</f>
        <v>0</v>
      </c>
      <c r="J445" s="28">
        <f>H445+I445</f>
        <v>0</v>
      </c>
      <c r="K445" s="21"/>
      <c r="L445" s="28">
        <f>SUM(L446:L446)</f>
        <v>9.0846839999999993</v>
      </c>
      <c r="M445" s="21"/>
      <c r="P445" s="28">
        <f>IF(Q445="PR",J445,SUM(O446:O446))</f>
        <v>0</v>
      </c>
      <c r="Q445" s="21" t="s">
        <v>75</v>
      </c>
      <c r="R445" s="28">
        <f>IF(Q445="HS",H445,0)</f>
        <v>0</v>
      </c>
      <c r="S445" s="28">
        <f>IF(Q445="HS",I445-P445,0)</f>
        <v>0</v>
      </c>
      <c r="T445" s="28">
        <f>IF(Q445="PS",H445,0)</f>
        <v>0</v>
      </c>
      <c r="U445" s="28">
        <f>IF(Q445="PS",I445-P445,0)</f>
        <v>0</v>
      </c>
      <c r="V445" s="28">
        <f>IF(Q445="MP",H445,0)</f>
        <v>0</v>
      </c>
      <c r="W445" s="28">
        <f>IF(Q445="MP",I445-P445,0)</f>
        <v>0</v>
      </c>
      <c r="X445" s="28">
        <f>IF(Q445="OM",H445,0)</f>
        <v>0</v>
      </c>
      <c r="Y445" s="21" t="s">
        <v>363</v>
      </c>
      <c r="AI445" s="28">
        <f>SUM(Z446:Z446)</f>
        <v>0</v>
      </c>
      <c r="AJ445" s="28">
        <f>SUM(AA446:AA446)</f>
        <v>0</v>
      </c>
      <c r="AK445" s="28">
        <f>SUM(AB446:AB446)</f>
        <v>0</v>
      </c>
    </row>
    <row r="446" spans="1:43" x14ac:dyDescent="0.25">
      <c r="A446" s="29" t="s">
        <v>370</v>
      </c>
      <c r="B446" s="29" t="s">
        <v>363</v>
      </c>
      <c r="C446" s="29" t="s">
        <v>259</v>
      </c>
      <c r="D446" s="29" t="s">
        <v>260</v>
      </c>
      <c r="E446" s="29" t="s">
        <v>58</v>
      </c>
      <c r="F446" s="30">
        <v>55.3</v>
      </c>
      <c r="G446" s="317">
        <v>0</v>
      </c>
      <c r="H446" s="30">
        <f>ROUND(F446*AE446,2)</f>
        <v>0</v>
      </c>
      <c r="I446" s="30">
        <f>J446-H446</f>
        <v>0</v>
      </c>
      <c r="J446" s="30">
        <f>ROUND(F446*G446,2)</f>
        <v>0</v>
      </c>
      <c r="K446" s="30">
        <v>0.16428000000000001</v>
      </c>
      <c r="L446" s="30">
        <f>F446*K446</f>
        <v>9.0846839999999993</v>
      </c>
      <c r="M446" s="258" t="s">
        <v>2291</v>
      </c>
      <c r="N446" s="31" t="s">
        <v>59</v>
      </c>
      <c r="O446" s="30">
        <f>IF(N446="5",I446,0)</f>
        <v>0</v>
      </c>
      <c r="Z446" s="30">
        <f>IF(AD446=0,J446,0)</f>
        <v>0</v>
      </c>
      <c r="AA446" s="30">
        <f>IF(AD446=15,J446,0)</f>
        <v>0</v>
      </c>
      <c r="AB446" s="30">
        <f>IF(AD446=21,J446,0)</f>
        <v>0</v>
      </c>
      <c r="AD446" s="32">
        <v>21</v>
      </c>
      <c r="AE446" s="32">
        <f>G446*0.406311844340531</f>
        <v>0</v>
      </c>
      <c r="AF446" s="32">
        <f>G446*(1-0.406311844340531)</f>
        <v>0</v>
      </c>
      <c r="AM446" s="32">
        <f>F446*AE446</f>
        <v>0</v>
      </c>
      <c r="AN446" s="32">
        <f>F446*AF446</f>
        <v>0</v>
      </c>
      <c r="AO446" s="33" t="s">
        <v>194</v>
      </c>
      <c r="AP446" s="33" t="s">
        <v>92</v>
      </c>
      <c r="AQ446" s="21" t="s">
        <v>365</v>
      </c>
    </row>
    <row r="447" spans="1:43" x14ac:dyDescent="0.25">
      <c r="A447" s="26"/>
      <c r="B447" s="27" t="s">
        <v>363</v>
      </c>
      <c r="C447" s="27" t="s">
        <v>86</v>
      </c>
      <c r="D447" s="338" t="s">
        <v>87</v>
      </c>
      <c r="E447" s="339"/>
      <c r="F447" s="339"/>
      <c r="G447" s="339"/>
      <c r="H447" s="28">
        <f>SUM(H448:H448)</f>
        <v>0</v>
      </c>
      <c r="I447" s="28">
        <f>SUM(I448:I448)</f>
        <v>0</v>
      </c>
      <c r="J447" s="28">
        <f>H447+I447</f>
        <v>0</v>
      </c>
      <c r="K447" s="21"/>
      <c r="L447" s="28">
        <f>SUM(L448:L448)</f>
        <v>2.7000000000000001E-3</v>
      </c>
      <c r="M447" s="21"/>
      <c r="P447" s="28">
        <f>IF(Q447="PR",J447,SUM(O448:O448))</f>
        <v>0</v>
      </c>
      <c r="Q447" s="21" t="s">
        <v>75</v>
      </c>
      <c r="R447" s="28">
        <f>IF(Q447="HS",H447,0)</f>
        <v>0</v>
      </c>
      <c r="S447" s="28">
        <f>IF(Q447="HS",I447-P447,0)</f>
        <v>0</v>
      </c>
      <c r="T447" s="28">
        <f>IF(Q447="PS",H447,0)</f>
        <v>0</v>
      </c>
      <c r="U447" s="28">
        <f>IF(Q447="PS",I447-P447,0)</f>
        <v>0</v>
      </c>
      <c r="V447" s="28">
        <f>IF(Q447="MP",H447,0)</f>
        <v>0</v>
      </c>
      <c r="W447" s="28">
        <f>IF(Q447="MP",I447-P447,0)</f>
        <v>0</v>
      </c>
      <c r="X447" s="28">
        <f>IF(Q447="OM",H447,0)</f>
        <v>0</v>
      </c>
      <c r="Y447" s="21" t="s">
        <v>363</v>
      </c>
      <c r="AI447" s="28">
        <f>SUM(Z448:Z448)</f>
        <v>0</v>
      </c>
      <c r="AJ447" s="28">
        <f>SUM(AA448:AA448)</f>
        <v>0</v>
      </c>
      <c r="AK447" s="28">
        <f>SUM(AB448:AB448)</f>
        <v>0</v>
      </c>
    </row>
    <row r="448" spans="1:43" x14ac:dyDescent="0.25">
      <c r="A448" s="29" t="s">
        <v>371</v>
      </c>
      <c r="B448" s="29" t="s">
        <v>363</v>
      </c>
      <c r="C448" s="29" t="s">
        <v>89</v>
      </c>
      <c r="D448" s="29" t="s">
        <v>90</v>
      </c>
      <c r="E448" s="29" t="s">
        <v>58</v>
      </c>
      <c r="F448" s="30">
        <v>10</v>
      </c>
      <c r="G448" s="317">
        <v>0</v>
      </c>
      <c r="H448" s="30">
        <f>ROUND(F448*AE448,2)</f>
        <v>0</v>
      </c>
      <c r="I448" s="30">
        <f>J448-H448</f>
        <v>0</v>
      </c>
      <c r="J448" s="30">
        <f>ROUND(F448*G448,2)</f>
        <v>0</v>
      </c>
      <c r="K448" s="30">
        <v>2.7E-4</v>
      </c>
      <c r="L448" s="30">
        <f>F448*K448</f>
        <v>2.7000000000000001E-3</v>
      </c>
      <c r="M448" s="258" t="s">
        <v>2291</v>
      </c>
      <c r="N448" s="31" t="s">
        <v>59</v>
      </c>
      <c r="O448" s="30">
        <f>IF(N448="5",I448,0)</f>
        <v>0</v>
      </c>
      <c r="Z448" s="30">
        <f>IF(AD448=0,J448,0)</f>
        <v>0</v>
      </c>
      <c r="AA448" s="30">
        <f>IF(AD448=15,J448,0)</f>
        <v>0</v>
      </c>
      <c r="AB448" s="30">
        <f>IF(AD448=21,J448,0)</f>
        <v>0</v>
      </c>
      <c r="AD448" s="32">
        <v>21</v>
      </c>
      <c r="AE448" s="32">
        <f>G448*0.186098187625859</f>
        <v>0</v>
      </c>
      <c r="AF448" s="32">
        <f>G448*(1-0.186098187625859)</f>
        <v>0</v>
      </c>
      <c r="AM448" s="32">
        <f>F448*AE448</f>
        <v>0</v>
      </c>
      <c r="AN448" s="32">
        <f>F448*AF448</f>
        <v>0</v>
      </c>
      <c r="AO448" s="33" t="s">
        <v>91</v>
      </c>
      <c r="AP448" s="33" t="s">
        <v>92</v>
      </c>
      <c r="AQ448" s="21" t="s">
        <v>365</v>
      </c>
    </row>
    <row r="449" spans="1:43" x14ac:dyDescent="0.25">
      <c r="A449" s="26"/>
      <c r="B449" s="27" t="s">
        <v>363</v>
      </c>
      <c r="C449" s="27" t="s">
        <v>93</v>
      </c>
      <c r="D449" s="338" t="s">
        <v>94</v>
      </c>
      <c r="E449" s="339"/>
      <c r="F449" s="339"/>
      <c r="G449" s="339"/>
      <c r="H449" s="28">
        <f>SUM(H450:H450)</f>
        <v>0</v>
      </c>
      <c r="I449" s="28">
        <f>SUM(I450:I450)</f>
        <v>0</v>
      </c>
      <c r="J449" s="28">
        <f>H449+I449</f>
        <v>0</v>
      </c>
      <c r="K449" s="21"/>
      <c r="L449" s="28">
        <f>SUM(L450:L450)</f>
        <v>1.7628000000000001E-2</v>
      </c>
      <c r="M449" s="21"/>
      <c r="P449" s="28">
        <f>IF(Q449="PR",J449,SUM(O450:O450))</f>
        <v>0</v>
      </c>
      <c r="Q449" s="21" t="s">
        <v>75</v>
      </c>
      <c r="R449" s="28">
        <f>IF(Q449="HS",H449,0)</f>
        <v>0</v>
      </c>
      <c r="S449" s="28">
        <f>IF(Q449="HS",I449-P449,0)</f>
        <v>0</v>
      </c>
      <c r="T449" s="28">
        <f>IF(Q449="PS",H449,0)</f>
        <v>0</v>
      </c>
      <c r="U449" s="28">
        <f>IF(Q449="PS",I449-P449,0)</f>
        <v>0</v>
      </c>
      <c r="V449" s="28">
        <f>IF(Q449="MP",H449,0)</f>
        <v>0</v>
      </c>
      <c r="W449" s="28">
        <f>IF(Q449="MP",I449-P449,0)</f>
        <v>0</v>
      </c>
      <c r="X449" s="28">
        <f>IF(Q449="OM",H449,0)</f>
        <v>0</v>
      </c>
      <c r="Y449" s="21" t="s">
        <v>363</v>
      </c>
      <c r="AI449" s="28">
        <f>SUM(Z450:Z450)</f>
        <v>0</v>
      </c>
      <c r="AJ449" s="28">
        <f>SUM(AA450:AA450)</f>
        <v>0</v>
      </c>
      <c r="AK449" s="28">
        <f>SUM(AB450:AB450)</f>
        <v>0</v>
      </c>
    </row>
    <row r="450" spans="1:43" x14ac:dyDescent="0.25">
      <c r="A450" s="29" t="s">
        <v>372</v>
      </c>
      <c r="B450" s="29" t="s">
        <v>363</v>
      </c>
      <c r="C450" s="29" t="s">
        <v>96</v>
      </c>
      <c r="D450" s="29" t="s">
        <v>97</v>
      </c>
      <c r="E450" s="29" t="s">
        <v>58</v>
      </c>
      <c r="F450" s="30">
        <v>27.12</v>
      </c>
      <c r="G450" s="317">
        <v>0</v>
      </c>
      <c r="H450" s="30">
        <f>ROUND(F450*AE450,2)</f>
        <v>0</v>
      </c>
      <c r="I450" s="30">
        <f>J450-H450</f>
        <v>0</v>
      </c>
      <c r="J450" s="30">
        <f>ROUND(F450*G450,2)</f>
        <v>0</v>
      </c>
      <c r="K450" s="30">
        <v>6.4999999999999997E-4</v>
      </c>
      <c r="L450" s="30">
        <f>F450*K450</f>
        <v>1.7628000000000001E-2</v>
      </c>
      <c r="M450" s="258" t="s">
        <v>2291</v>
      </c>
      <c r="N450" s="31" t="s">
        <v>59</v>
      </c>
      <c r="O450" s="30">
        <f>IF(N450="5",I450,0)</f>
        <v>0</v>
      </c>
      <c r="Z450" s="30">
        <f>IF(AD450=0,J450,0)</f>
        <v>0</v>
      </c>
      <c r="AA450" s="30">
        <f>IF(AD450=15,J450,0)</f>
        <v>0</v>
      </c>
      <c r="AB450" s="30">
        <f>IF(AD450=21,J450,0)</f>
        <v>0</v>
      </c>
      <c r="AD450" s="32">
        <v>21</v>
      </c>
      <c r="AE450" s="32">
        <f>G450*0.333747476316198</f>
        <v>0</v>
      </c>
      <c r="AF450" s="32">
        <f>G450*(1-0.333747476316198)</f>
        <v>0</v>
      </c>
      <c r="AM450" s="32">
        <f>F450*AE450</f>
        <v>0</v>
      </c>
      <c r="AN450" s="32">
        <f>F450*AF450</f>
        <v>0</v>
      </c>
      <c r="AO450" s="33" t="s">
        <v>98</v>
      </c>
      <c r="AP450" s="33" t="s">
        <v>92</v>
      </c>
      <c r="AQ450" s="21" t="s">
        <v>365</v>
      </c>
    </row>
    <row r="451" spans="1:43" x14ac:dyDescent="0.25">
      <c r="A451" s="26"/>
      <c r="B451" s="27" t="s">
        <v>373</v>
      </c>
      <c r="C451" s="27"/>
      <c r="D451" s="338" t="s">
        <v>373</v>
      </c>
      <c r="E451" s="339"/>
      <c r="F451" s="339"/>
      <c r="G451" s="339"/>
      <c r="H451" s="28">
        <f>H452+H457+H459+H462+H464+H466+H468</f>
        <v>0</v>
      </c>
      <c r="I451" s="28">
        <f>I452+I457+I459+I462+I464+I466+I468</f>
        <v>0</v>
      </c>
      <c r="J451" s="28">
        <f>H451+I451</f>
        <v>0</v>
      </c>
      <c r="K451" s="21"/>
      <c r="L451" s="28">
        <f>L452+L457+L459+L462+L464+L466+L468</f>
        <v>1.3124492999999999</v>
      </c>
      <c r="M451" s="21"/>
    </row>
    <row r="452" spans="1:43" x14ac:dyDescent="0.25">
      <c r="A452" s="26"/>
      <c r="B452" s="27" t="s">
        <v>373</v>
      </c>
      <c r="C452" s="27" t="s">
        <v>52</v>
      </c>
      <c r="D452" s="338" t="s">
        <v>53</v>
      </c>
      <c r="E452" s="339"/>
      <c r="F452" s="339"/>
      <c r="G452" s="339"/>
      <c r="H452" s="28">
        <f>SUM(H453:H455)</f>
        <v>0</v>
      </c>
      <c r="I452" s="28">
        <f>SUM(I453:I455)</f>
        <v>0</v>
      </c>
      <c r="J452" s="28">
        <f>H452+I452</f>
        <v>0</v>
      </c>
      <c r="K452" s="21"/>
      <c r="L452" s="28">
        <f>SUM(L453:L455)</f>
        <v>0.53965079999999999</v>
      </c>
      <c r="M452" s="21"/>
      <c r="P452" s="28">
        <f>IF(Q452="PR",J452,SUM(O453:O455))</f>
        <v>0</v>
      </c>
      <c r="Q452" s="21" t="s">
        <v>54</v>
      </c>
      <c r="R452" s="28">
        <f>IF(Q452="HS",H452,0)</f>
        <v>0</v>
      </c>
      <c r="S452" s="28">
        <f>IF(Q452="HS",I452-P452,0)</f>
        <v>0</v>
      </c>
      <c r="T452" s="28">
        <f>IF(Q452="PS",H452,0)</f>
        <v>0</v>
      </c>
      <c r="U452" s="28">
        <f>IF(Q452="PS",I452-P452,0)</f>
        <v>0</v>
      </c>
      <c r="V452" s="28">
        <f>IF(Q452="MP",H452,0)</f>
        <v>0</v>
      </c>
      <c r="W452" s="28">
        <f>IF(Q452="MP",I452-P452,0)</f>
        <v>0</v>
      </c>
      <c r="X452" s="28">
        <f>IF(Q452="OM",H452,0)</f>
        <v>0</v>
      </c>
      <c r="Y452" s="21" t="s">
        <v>373</v>
      </c>
      <c r="AI452" s="28">
        <f>SUM(Z453:Z455)</f>
        <v>0</v>
      </c>
      <c r="AJ452" s="28">
        <f>SUM(AA453:AA455)</f>
        <v>0</v>
      </c>
      <c r="AK452" s="28">
        <f>SUM(AB453:AB455)</f>
        <v>0</v>
      </c>
    </row>
    <row r="453" spans="1:43" x14ac:dyDescent="0.25">
      <c r="A453" s="29" t="s">
        <v>374</v>
      </c>
      <c r="B453" s="29" t="s">
        <v>373</v>
      </c>
      <c r="C453" s="29" t="s">
        <v>66</v>
      </c>
      <c r="D453" s="29" t="s">
        <v>67</v>
      </c>
      <c r="E453" s="29" t="s">
        <v>58</v>
      </c>
      <c r="F453" s="30">
        <v>10.53</v>
      </c>
      <c r="G453" s="317">
        <v>0</v>
      </c>
      <c r="H453" s="30">
        <f>ROUND(F453*AE453,2)</f>
        <v>0</v>
      </c>
      <c r="I453" s="30">
        <f>J453-H453</f>
        <v>0</v>
      </c>
      <c r="J453" s="30">
        <f>ROUND(F453*G453,2)</f>
        <v>0</v>
      </c>
      <c r="K453" s="30">
        <v>9.8399999999999998E-3</v>
      </c>
      <c r="L453" s="30">
        <f>F453*K453</f>
        <v>0.10361519999999999</v>
      </c>
      <c r="M453" s="258" t="s">
        <v>2291</v>
      </c>
      <c r="N453" s="31" t="s">
        <v>59</v>
      </c>
      <c r="O453" s="30">
        <f>IF(N453="5",I453,0)</f>
        <v>0</v>
      </c>
      <c r="Z453" s="30">
        <f>IF(AD453=0,J453,0)</f>
        <v>0</v>
      </c>
      <c r="AA453" s="30">
        <f>IF(AD453=15,J453,0)</f>
        <v>0</v>
      </c>
      <c r="AB453" s="30">
        <f>IF(AD453=21,J453,0)</f>
        <v>0</v>
      </c>
      <c r="AD453" s="32">
        <v>21</v>
      </c>
      <c r="AE453" s="32">
        <f>G453*0.160304682766381</f>
        <v>0</v>
      </c>
      <c r="AF453" s="32">
        <f>G453*(1-0.160304682766381)</f>
        <v>0</v>
      </c>
      <c r="AM453" s="32">
        <f>F453*AE453</f>
        <v>0</v>
      </c>
      <c r="AN453" s="32">
        <f>F453*AF453</f>
        <v>0</v>
      </c>
      <c r="AO453" s="33" t="s">
        <v>60</v>
      </c>
      <c r="AP453" s="33" t="s">
        <v>61</v>
      </c>
      <c r="AQ453" s="21" t="s">
        <v>375</v>
      </c>
    </row>
    <row r="454" spans="1:43" ht="25.7" customHeight="1" x14ac:dyDescent="0.25">
      <c r="C454" s="34" t="s">
        <v>63</v>
      </c>
      <c r="D454" s="340" t="s">
        <v>64</v>
      </c>
      <c r="E454" s="341"/>
      <c r="F454" s="341"/>
      <c r="G454" s="341"/>
      <c r="H454" s="341"/>
      <c r="I454" s="341"/>
      <c r="J454" s="341"/>
      <c r="K454" s="341"/>
      <c r="L454" s="341"/>
      <c r="M454" s="341"/>
    </row>
    <row r="455" spans="1:43" x14ac:dyDescent="0.25">
      <c r="A455" s="29" t="s">
        <v>376</v>
      </c>
      <c r="B455" s="29" t="s">
        <v>373</v>
      </c>
      <c r="C455" s="29" t="s">
        <v>56</v>
      </c>
      <c r="D455" s="29" t="s">
        <v>57</v>
      </c>
      <c r="E455" s="29" t="s">
        <v>58</v>
      </c>
      <c r="F455" s="30">
        <v>43.56</v>
      </c>
      <c r="G455" s="317">
        <v>0</v>
      </c>
      <c r="H455" s="30">
        <f>ROUND(F455*AE455,2)</f>
        <v>0</v>
      </c>
      <c r="I455" s="30">
        <f>J455-H455</f>
        <v>0</v>
      </c>
      <c r="J455" s="30">
        <f>ROUND(F455*G455,2)</f>
        <v>0</v>
      </c>
      <c r="K455" s="30">
        <v>1.001E-2</v>
      </c>
      <c r="L455" s="30">
        <f>F455*K455</f>
        <v>0.43603560000000002</v>
      </c>
      <c r="M455" s="258" t="s">
        <v>2291</v>
      </c>
      <c r="N455" s="31" t="s">
        <v>59</v>
      </c>
      <c r="O455" s="30">
        <f>IF(N455="5",I455,0)</f>
        <v>0</v>
      </c>
      <c r="Z455" s="30">
        <f>IF(AD455=0,J455,0)</f>
        <v>0</v>
      </c>
      <c r="AA455" s="30">
        <f>IF(AD455=15,J455,0)</f>
        <v>0</v>
      </c>
      <c r="AB455" s="30">
        <f>IF(AD455=21,J455,0)</f>
        <v>0</v>
      </c>
      <c r="AD455" s="32">
        <v>21</v>
      </c>
      <c r="AE455" s="32">
        <f>G455*0.0756575801052128</f>
        <v>0</v>
      </c>
      <c r="AF455" s="32">
        <f>G455*(1-0.0756575801052128)</f>
        <v>0</v>
      </c>
      <c r="AM455" s="32">
        <f>F455*AE455</f>
        <v>0</v>
      </c>
      <c r="AN455" s="32">
        <f>F455*AF455</f>
        <v>0</v>
      </c>
      <c r="AO455" s="33" t="s">
        <v>60</v>
      </c>
      <c r="AP455" s="33" t="s">
        <v>61</v>
      </c>
      <c r="AQ455" s="21" t="s">
        <v>375</v>
      </c>
    </row>
    <row r="456" spans="1:43" ht="25.7" customHeight="1" x14ac:dyDescent="0.25">
      <c r="C456" s="34" t="s">
        <v>63</v>
      </c>
      <c r="D456" s="340" t="s">
        <v>64</v>
      </c>
      <c r="E456" s="341"/>
      <c r="F456" s="341"/>
      <c r="G456" s="341"/>
      <c r="H456" s="341"/>
      <c r="I456" s="341"/>
      <c r="J456" s="341"/>
      <c r="K456" s="341"/>
      <c r="L456" s="341"/>
      <c r="M456" s="341"/>
    </row>
    <row r="457" spans="1:43" x14ac:dyDescent="0.25">
      <c r="A457" s="26"/>
      <c r="B457" s="27" t="s">
        <v>373</v>
      </c>
      <c r="C457" s="27" t="s">
        <v>68</v>
      </c>
      <c r="D457" s="338" t="s">
        <v>69</v>
      </c>
      <c r="E457" s="339"/>
      <c r="F457" s="339"/>
      <c r="G457" s="339"/>
      <c r="H457" s="28">
        <f>SUM(H458:H458)</f>
        <v>0</v>
      </c>
      <c r="I457" s="28">
        <f>SUM(I458:I458)</f>
        <v>0</v>
      </c>
      <c r="J457" s="28">
        <f>H457+I457</f>
        <v>0</v>
      </c>
      <c r="K457" s="21"/>
      <c r="L457" s="28">
        <f>SUM(L458:L458)</f>
        <v>0.52481520000000004</v>
      </c>
      <c r="M457" s="21"/>
      <c r="P457" s="28">
        <f>IF(Q457="PR",J457,SUM(O458:O458))</f>
        <v>0</v>
      </c>
      <c r="Q457" s="21" t="s">
        <v>54</v>
      </c>
      <c r="R457" s="28">
        <f>IF(Q457="HS",H457,0)</f>
        <v>0</v>
      </c>
      <c r="S457" s="28">
        <f>IF(Q457="HS",I457-P457,0)</f>
        <v>0</v>
      </c>
      <c r="T457" s="28">
        <f>IF(Q457="PS",H457,0)</f>
        <v>0</v>
      </c>
      <c r="U457" s="28">
        <f>IF(Q457="PS",I457-P457,0)</f>
        <v>0</v>
      </c>
      <c r="V457" s="28">
        <f>IF(Q457="MP",H457,0)</f>
        <v>0</v>
      </c>
      <c r="W457" s="28">
        <f>IF(Q457="MP",I457-P457,0)</f>
        <v>0</v>
      </c>
      <c r="X457" s="28">
        <f>IF(Q457="OM",H457,0)</f>
        <v>0</v>
      </c>
      <c r="Y457" s="21" t="s">
        <v>373</v>
      </c>
      <c r="AI457" s="28">
        <f>SUM(Z458:Z458)</f>
        <v>0</v>
      </c>
      <c r="AJ457" s="28">
        <f>SUM(AA458:AA458)</f>
        <v>0</v>
      </c>
      <c r="AK457" s="28">
        <f>SUM(AB458:AB458)</f>
        <v>0</v>
      </c>
    </row>
    <row r="458" spans="1:43" x14ac:dyDescent="0.25">
      <c r="A458" s="29" t="s">
        <v>377</v>
      </c>
      <c r="B458" s="29" t="s">
        <v>373</v>
      </c>
      <c r="C458" s="29" t="s">
        <v>70</v>
      </c>
      <c r="D458" s="29" t="s">
        <v>71</v>
      </c>
      <c r="E458" s="29" t="s">
        <v>58</v>
      </c>
      <c r="F458" s="30">
        <v>10.53</v>
      </c>
      <c r="G458" s="317">
        <v>0</v>
      </c>
      <c r="H458" s="30">
        <f>ROUND(F458*AE458,2)</f>
        <v>0</v>
      </c>
      <c r="I458" s="30">
        <f>J458-H458</f>
        <v>0</v>
      </c>
      <c r="J458" s="30">
        <f>ROUND(F458*G458,2)</f>
        <v>0</v>
      </c>
      <c r="K458" s="30">
        <v>4.9840000000000002E-2</v>
      </c>
      <c r="L458" s="30">
        <f>F458*K458</f>
        <v>0.52481520000000004</v>
      </c>
      <c r="M458" s="258" t="s">
        <v>2291</v>
      </c>
      <c r="N458" s="31" t="s">
        <v>59</v>
      </c>
      <c r="O458" s="30">
        <f>IF(N458="5",I458,0)</f>
        <v>0</v>
      </c>
      <c r="Z458" s="30">
        <f>IF(AD458=0,J458,0)</f>
        <v>0</v>
      </c>
      <c r="AA458" s="30">
        <f>IF(AD458=15,J458,0)</f>
        <v>0</v>
      </c>
      <c r="AB458" s="30">
        <f>IF(AD458=21,J458,0)</f>
        <v>0</v>
      </c>
      <c r="AD458" s="32">
        <v>21</v>
      </c>
      <c r="AE458" s="32">
        <f>G458*0.411768721414431</f>
        <v>0</v>
      </c>
      <c r="AF458" s="32">
        <f>G458*(1-0.411768721414431)</f>
        <v>0</v>
      </c>
      <c r="AM458" s="32">
        <f>F458*AE458</f>
        <v>0</v>
      </c>
      <c r="AN458" s="32">
        <f>F458*AF458</f>
        <v>0</v>
      </c>
      <c r="AO458" s="33" t="s">
        <v>72</v>
      </c>
      <c r="AP458" s="33" t="s">
        <v>61</v>
      </c>
      <c r="AQ458" s="21" t="s">
        <v>375</v>
      </c>
    </row>
    <row r="459" spans="1:43" x14ac:dyDescent="0.25">
      <c r="A459" s="26"/>
      <c r="B459" s="27" t="s">
        <v>373</v>
      </c>
      <c r="C459" s="27" t="s">
        <v>73</v>
      </c>
      <c r="D459" s="338" t="s">
        <v>74</v>
      </c>
      <c r="E459" s="339"/>
      <c r="F459" s="339"/>
      <c r="G459" s="339"/>
      <c r="H459" s="28">
        <f>SUM(H460:H460)</f>
        <v>0</v>
      </c>
      <c r="I459" s="28">
        <f>SUM(I460:I460)</f>
        <v>0</v>
      </c>
      <c r="J459" s="28">
        <f>H459+I459</f>
        <v>0</v>
      </c>
      <c r="K459" s="21"/>
      <c r="L459" s="28">
        <f>SUM(L460:L460)</f>
        <v>0.16953299999999999</v>
      </c>
      <c r="M459" s="21"/>
      <c r="P459" s="28">
        <f>IF(Q459="PR",J459,SUM(O460:O460))</f>
        <v>0</v>
      </c>
      <c r="Q459" s="21" t="s">
        <v>75</v>
      </c>
      <c r="R459" s="28">
        <f>IF(Q459="HS",H459,0)</f>
        <v>0</v>
      </c>
      <c r="S459" s="28">
        <f>IF(Q459="HS",I459-P459,0)</f>
        <v>0</v>
      </c>
      <c r="T459" s="28">
        <f>IF(Q459="PS",H459,0)</f>
        <v>0</v>
      </c>
      <c r="U459" s="28">
        <f>IF(Q459="PS",I459-P459,0)</f>
        <v>0</v>
      </c>
      <c r="V459" s="28">
        <f>IF(Q459="MP",H459,0)</f>
        <v>0</v>
      </c>
      <c r="W459" s="28">
        <f>IF(Q459="MP",I459-P459,0)</f>
        <v>0</v>
      </c>
      <c r="X459" s="28">
        <f>IF(Q459="OM",H459,0)</f>
        <v>0</v>
      </c>
      <c r="Y459" s="21" t="s">
        <v>373</v>
      </c>
      <c r="AI459" s="28">
        <f>SUM(Z460:Z460)</f>
        <v>0</v>
      </c>
      <c r="AJ459" s="28">
        <f>SUM(AA460:AA460)</f>
        <v>0</v>
      </c>
      <c r="AK459" s="28">
        <f>SUM(AB460:AB460)</f>
        <v>0</v>
      </c>
    </row>
    <row r="460" spans="1:43" x14ac:dyDescent="0.25">
      <c r="A460" s="29" t="s">
        <v>378</v>
      </c>
      <c r="B460" s="29" t="s">
        <v>373</v>
      </c>
      <c r="C460" s="29" t="s">
        <v>77</v>
      </c>
      <c r="D460" s="29" t="s">
        <v>2277</v>
      </c>
      <c r="E460" s="29" t="s">
        <v>58</v>
      </c>
      <c r="F460" s="30">
        <v>10.53</v>
      </c>
      <c r="G460" s="317">
        <v>0</v>
      </c>
      <c r="H460" s="30">
        <f>ROUND(F460*AE460,2)</f>
        <v>0</v>
      </c>
      <c r="I460" s="30">
        <f>J460-H460</f>
        <v>0</v>
      </c>
      <c r="J460" s="30">
        <f>ROUND(F460*G460,2)</f>
        <v>0</v>
      </c>
      <c r="K460" s="30">
        <v>1.61E-2</v>
      </c>
      <c r="L460" s="30">
        <f>F460*K460</f>
        <v>0.16953299999999999</v>
      </c>
      <c r="M460" s="258" t="s">
        <v>2291</v>
      </c>
      <c r="N460" s="31" t="s">
        <v>59</v>
      </c>
      <c r="O460" s="30">
        <f>IF(N460="5",I460,0)</f>
        <v>0</v>
      </c>
      <c r="Z460" s="30">
        <f>IF(AD460=0,J460,0)</f>
        <v>0</v>
      </c>
      <c r="AA460" s="30">
        <f>IF(AD460=15,J460,0)</f>
        <v>0</v>
      </c>
      <c r="AB460" s="30">
        <f>IF(AD460=21,J460,0)</f>
        <v>0</v>
      </c>
      <c r="AD460" s="32">
        <v>21</v>
      </c>
      <c r="AE460" s="32">
        <f>G460*0.787221324717286</f>
        <v>0</v>
      </c>
      <c r="AF460" s="32">
        <f>G460*(1-0.787221324717286)</f>
        <v>0</v>
      </c>
      <c r="AM460" s="32">
        <f>F460*AE460</f>
        <v>0</v>
      </c>
      <c r="AN460" s="32">
        <f>F460*AF460</f>
        <v>0</v>
      </c>
      <c r="AO460" s="33" t="s">
        <v>78</v>
      </c>
      <c r="AP460" s="33" t="s">
        <v>79</v>
      </c>
      <c r="AQ460" s="21" t="s">
        <v>375</v>
      </c>
    </row>
    <row r="461" spans="1:43" ht="12.75" customHeight="1" x14ac:dyDescent="0.25">
      <c r="C461" s="34" t="s">
        <v>63</v>
      </c>
      <c r="D461" s="340" t="s">
        <v>2280</v>
      </c>
      <c r="E461" s="341"/>
      <c r="F461" s="341"/>
      <c r="G461" s="341"/>
      <c r="H461" s="341"/>
      <c r="I461" s="341"/>
      <c r="J461" s="341"/>
      <c r="K461" s="341"/>
      <c r="L461" s="341"/>
      <c r="M461" s="341"/>
    </row>
    <row r="462" spans="1:43" x14ac:dyDescent="0.25">
      <c r="A462" s="26"/>
      <c r="B462" s="27" t="s">
        <v>373</v>
      </c>
      <c r="C462" s="27" t="s">
        <v>80</v>
      </c>
      <c r="D462" s="338" t="s">
        <v>81</v>
      </c>
      <c r="E462" s="339"/>
      <c r="F462" s="339"/>
      <c r="G462" s="339"/>
      <c r="H462" s="28">
        <f>SUM(H463:H463)</f>
        <v>0</v>
      </c>
      <c r="I462" s="28">
        <f>SUM(I463:I463)</f>
        <v>0</v>
      </c>
      <c r="J462" s="28">
        <f>H462+I462</f>
        <v>0</v>
      </c>
      <c r="K462" s="21"/>
      <c r="L462" s="28">
        <f>SUM(L463:L463)</f>
        <v>4.27518E-2</v>
      </c>
      <c r="M462" s="21"/>
      <c r="P462" s="28">
        <f>IF(Q462="PR",J462,SUM(O463:O463))</f>
        <v>0</v>
      </c>
      <c r="Q462" s="21" t="s">
        <v>75</v>
      </c>
      <c r="R462" s="28">
        <f>IF(Q462="HS",H462,0)</f>
        <v>0</v>
      </c>
      <c r="S462" s="28">
        <f>IF(Q462="HS",I462-P462,0)</f>
        <v>0</v>
      </c>
      <c r="T462" s="28">
        <f>IF(Q462="PS",H462,0)</f>
        <v>0</v>
      </c>
      <c r="U462" s="28">
        <f>IF(Q462="PS",I462-P462,0)</f>
        <v>0</v>
      </c>
      <c r="V462" s="28">
        <f>IF(Q462="MP",H462,0)</f>
        <v>0</v>
      </c>
      <c r="W462" s="28">
        <f>IF(Q462="MP",I462-P462,0)</f>
        <v>0</v>
      </c>
      <c r="X462" s="28">
        <f>IF(Q462="OM",H462,0)</f>
        <v>0</v>
      </c>
      <c r="Y462" s="21" t="s">
        <v>373</v>
      </c>
      <c r="AI462" s="28">
        <f>SUM(Z463:Z463)</f>
        <v>0</v>
      </c>
      <c r="AJ462" s="28">
        <f>SUM(AA463:AA463)</f>
        <v>0</v>
      </c>
      <c r="AK462" s="28">
        <f>SUM(AB463:AB463)</f>
        <v>0</v>
      </c>
    </row>
    <row r="463" spans="1:43" x14ac:dyDescent="0.25">
      <c r="A463" s="29" t="s">
        <v>379</v>
      </c>
      <c r="B463" s="29" t="s">
        <v>373</v>
      </c>
      <c r="C463" s="29" t="s">
        <v>83</v>
      </c>
      <c r="D463" s="29" t="s">
        <v>84</v>
      </c>
      <c r="E463" s="29" t="s">
        <v>58</v>
      </c>
      <c r="F463" s="30">
        <v>10.53</v>
      </c>
      <c r="G463" s="317">
        <v>0</v>
      </c>
      <c r="H463" s="30">
        <f>ROUND(F463*AE463,2)</f>
        <v>0</v>
      </c>
      <c r="I463" s="30">
        <f>J463-H463</f>
        <v>0</v>
      </c>
      <c r="J463" s="30">
        <f>ROUND(F463*G463,2)</f>
        <v>0</v>
      </c>
      <c r="K463" s="30">
        <v>4.0600000000000002E-3</v>
      </c>
      <c r="L463" s="30">
        <f>F463*K463</f>
        <v>4.27518E-2</v>
      </c>
      <c r="M463" s="258" t="s">
        <v>2291</v>
      </c>
      <c r="N463" s="31" t="s">
        <v>59</v>
      </c>
      <c r="O463" s="30">
        <f>IF(N463="5",I463,0)</f>
        <v>0</v>
      </c>
      <c r="Z463" s="30">
        <f>IF(AD463=0,J463,0)</f>
        <v>0</v>
      </c>
      <c r="AA463" s="30">
        <f>IF(AD463=15,J463,0)</f>
        <v>0</v>
      </c>
      <c r="AB463" s="30">
        <f>IF(AD463=21,J463,0)</f>
        <v>0</v>
      </c>
      <c r="AD463" s="32">
        <v>21</v>
      </c>
      <c r="AE463" s="32">
        <f>G463*0.67230605738576</f>
        <v>0</v>
      </c>
      <c r="AF463" s="32">
        <f>G463*(1-0.67230605738576)</f>
        <v>0</v>
      </c>
      <c r="AM463" s="32">
        <f>F463*AE463</f>
        <v>0</v>
      </c>
      <c r="AN463" s="32">
        <f>F463*AF463</f>
        <v>0</v>
      </c>
      <c r="AO463" s="33" t="s">
        <v>85</v>
      </c>
      <c r="AP463" s="33" t="s">
        <v>79</v>
      </c>
      <c r="AQ463" s="21" t="s">
        <v>375</v>
      </c>
    </row>
    <row r="464" spans="1:43" x14ac:dyDescent="0.25">
      <c r="A464" s="26"/>
      <c r="B464" s="27" t="s">
        <v>373</v>
      </c>
      <c r="C464" s="27" t="s">
        <v>86</v>
      </c>
      <c r="D464" s="338" t="s">
        <v>87</v>
      </c>
      <c r="E464" s="339"/>
      <c r="F464" s="339"/>
      <c r="G464" s="339"/>
      <c r="H464" s="28">
        <f>SUM(H465:H465)</f>
        <v>0</v>
      </c>
      <c r="I464" s="28">
        <f>SUM(I465:I465)</f>
        <v>0</v>
      </c>
      <c r="J464" s="28">
        <f>H464+I464</f>
        <v>0</v>
      </c>
      <c r="K464" s="21"/>
      <c r="L464" s="28">
        <f>SUM(L465:L465)</f>
        <v>5.4000000000000001E-4</v>
      </c>
      <c r="M464" s="21"/>
      <c r="P464" s="28">
        <f>IF(Q464="PR",J464,SUM(O465:O465))</f>
        <v>0</v>
      </c>
      <c r="Q464" s="21" t="s">
        <v>75</v>
      </c>
      <c r="R464" s="28">
        <f>IF(Q464="HS",H464,0)</f>
        <v>0</v>
      </c>
      <c r="S464" s="28">
        <f>IF(Q464="HS",I464-P464,0)</f>
        <v>0</v>
      </c>
      <c r="T464" s="28">
        <f>IF(Q464="PS",H464,0)</f>
        <v>0</v>
      </c>
      <c r="U464" s="28">
        <f>IF(Q464="PS",I464-P464,0)</f>
        <v>0</v>
      </c>
      <c r="V464" s="28">
        <f>IF(Q464="MP",H464,0)</f>
        <v>0</v>
      </c>
      <c r="W464" s="28">
        <f>IF(Q464="MP",I464-P464,0)</f>
        <v>0</v>
      </c>
      <c r="X464" s="28">
        <f>IF(Q464="OM",H464,0)</f>
        <v>0</v>
      </c>
      <c r="Y464" s="21" t="s">
        <v>373</v>
      </c>
      <c r="AI464" s="28">
        <f>SUM(Z465:Z465)</f>
        <v>0</v>
      </c>
      <c r="AJ464" s="28">
        <f>SUM(AA465:AA465)</f>
        <v>0</v>
      </c>
      <c r="AK464" s="28">
        <f>SUM(AB465:AB465)</f>
        <v>0</v>
      </c>
    </row>
    <row r="465" spans="1:43" x14ac:dyDescent="0.25">
      <c r="A465" s="29" t="s">
        <v>380</v>
      </c>
      <c r="B465" s="29" t="s">
        <v>373</v>
      </c>
      <c r="C465" s="29" t="s">
        <v>89</v>
      </c>
      <c r="D465" s="29" t="s">
        <v>90</v>
      </c>
      <c r="E465" s="29" t="s">
        <v>58</v>
      </c>
      <c r="F465" s="30">
        <v>2</v>
      </c>
      <c r="G465" s="317">
        <v>0</v>
      </c>
      <c r="H465" s="30">
        <f>ROUND(F465*AE465,2)</f>
        <v>0</v>
      </c>
      <c r="I465" s="30">
        <f>J465-H465</f>
        <v>0</v>
      </c>
      <c r="J465" s="30">
        <f>ROUND(F465*G465,2)</f>
        <v>0</v>
      </c>
      <c r="K465" s="30">
        <v>2.7E-4</v>
      </c>
      <c r="L465" s="30">
        <f>F465*K465</f>
        <v>5.4000000000000001E-4</v>
      </c>
      <c r="M465" s="258" t="s">
        <v>2291</v>
      </c>
      <c r="N465" s="31" t="s">
        <v>59</v>
      </c>
      <c r="O465" s="30">
        <f>IF(N465="5",I465,0)</f>
        <v>0</v>
      </c>
      <c r="Z465" s="30">
        <f>IF(AD465=0,J465,0)</f>
        <v>0</v>
      </c>
      <c r="AA465" s="30">
        <f>IF(AD465=15,J465,0)</f>
        <v>0</v>
      </c>
      <c r="AB465" s="30">
        <f>IF(AD465=21,J465,0)</f>
        <v>0</v>
      </c>
      <c r="AD465" s="32">
        <v>21</v>
      </c>
      <c r="AE465" s="32">
        <f>G465*0.186098187625859</f>
        <v>0</v>
      </c>
      <c r="AF465" s="32">
        <f>G465*(1-0.186098187625859)</f>
        <v>0</v>
      </c>
      <c r="AM465" s="32">
        <f>F465*AE465</f>
        <v>0</v>
      </c>
      <c r="AN465" s="32">
        <f>F465*AF465</f>
        <v>0</v>
      </c>
      <c r="AO465" s="33" t="s">
        <v>91</v>
      </c>
      <c r="AP465" s="33" t="s">
        <v>92</v>
      </c>
      <c r="AQ465" s="21" t="s">
        <v>375</v>
      </c>
    </row>
    <row r="466" spans="1:43" x14ac:dyDescent="0.25">
      <c r="A466" s="26"/>
      <c r="B466" s="27" t="s">
        <v>373</v>
      </c>
      <c r="C466" s="27" t="s">
        <v>93</v>
      </c>
      <c r="D466" s="338" t="s">
        <v>94</v>
      </c>
      <c r="E466" s="339"/>
      <c r="F466" s="339"/>
      <c r="G466" s="339"/>
      <c r="H466" s="28">
        <f>SUM(H467:H467)</f>
        <v>0</v>
      </c>
      <c r="I466" s="28">
        <f>SUM(I467:I467)</f>
        <v>0</v>
      </c>
      <c r="J466" s="28">
        <f>H466+I466</f>
        <v>0</v>
      </c>
      <c r="K466" s="21"/>
      <c r="L466" s="28">
        <f>SUM(L467:L467)</f>
        <v>3.5158500000000002E-2</v>
      </c>
      <c r="M466" s="21"/>
      <c r="P466" s="28">
        <f>IF(Q466="PR",J466,SUM(O467:O467))</f>
        <v>0</v>
      </c>
      <c r="Q466" s="21" t="s">
        <v>75</v>
      </c>
      <c r="R466" s="28">
        <f>IF(Q466="HS",H466,0)</f>
        <v>0</v>
      </c>
      <c r="S466" s="28">
        <f>IF(Q466="HS",I466-P466,0)</f>
        <v>0</v>
      </c>
      <c r="T466" s="28">
        <f>IF(Q466="PS",H466,0)</f>
        <v>0</v>
      </c>
      <c r="U466" s="28">
        <f>IF(Q466="PS",I466-P466,0)</f>
        <v>0</v>
      </c>
      <c r="V466" s="28">
        <f>IF(Q466="MP",H466,0)</f>
        <v>0</v>
      </c>
      <c r="W466" s="28">
        <f>IF(Q466="MP",I466-P466,0)</f>
        <v>0</v>
      </c>
      <c r="X466" s="28">
        <f>IF(Q466="OM",H466,0)</f>
        <v>0</v>
      </c>
      <c r="Y466" s="21" t="s">
        <v>373</v>
      </c>
      <c r="AI466" s="28">
        <f>SUM(Z467:Z467)</f>
        <v>0</v>
      </c>
      <c r="AJ466" s="28">
        <f>SUM(AA467:AA467)</f>
        <v>0</v>
      </c>
      <c r="AK466" s="28">
        <f>SUM(AB467:AB467)</f>
        <v>0</v>
      </c>
    </row>
    <row r="467" spans="1:43" x14ac:dyDescent="0.25">
      <c r="A467" s="29" t="s">
        <v>381</v>
      </c>
      <c r="B467" s="29" t="s">
        <v>373</v>
      </c>
      <c r="C467" s="29" t="s">
        <v>96</v>
      </c>
      <c r="D467" s="29" t="s">
        <v>97</v>
      </c>
      <c r="E467" s="29" t="s">
        <v>58</v>
      </c>
      <c r="F467" s="30">
        <v>54.09</v>
      </c>
      <c r="G467" s="317">
        <v>0</v>
      </c>
      <c r="H467" s="30">
        <f>ROUND(F467*AE467,2)</f>
        <v>0</v>
      </c>
      <c r="I467" s="30">
        <f>J467-H467</f>
        <v>0</v>
      </c>
      <c r="J467" s="30">
        <f>ROUND(F467*G467,2)</f>
        <v>0</v>
      </c>
      <c r="K467" s="30">
        <v>6.4999999999999997E-4</v>
      </c>
      <c r="L467" s="30">
        <f>F467*K467</f>
        <v>3.5158500000000002E-2</v>
      </c>
      <c r="M467" s="258" t="s">
        <v>2291</v>
      </c>
      <c r="N467" s="31" t="s">
        <v>59</v>
      </c>
      <c r="O467" s="30">
        <f>IF(N467="5",I467,0)</f>
        <v>0</v>
      </c>
      <c r="Z467" s="30">
        <f>IF(AD467=0,J467,0)</f>
        <v>0</v>
      </c>
      <c r="AA467" s="30">
        <f>IF(AD467=15,J467,0)</f>
        <v>0</v>
      </c>
      <c r="AB467" s="30">
        <f>IF(AD467=21,J467,0)</f>
        <v>0</v>
      </c>
      <c r="AD467" s="32">
        <v>21</v>
      </c>
      <c r="AE467" s="32">
        <f>G467*0.333747476316198</f>
        <v>0</v>
      </c>
      <c r="AF467" s="32">
        <f>G467*(1-0.333747476316198)</f>
        <v>0</v>
      </c>
      <c r="AM467" s="32">
        <f>F467*AE467</f>
        <v>0</v>
      </c>
      <c r="AN467" s="32">
        <f>F467*AF467</f>
        <v>0</v>
      </c>
      <c r="AO467" s="33" t="s">
        <v>98</v>
      </c>
      <c r="AP467" s="33" t="s">
        <v>92</v>
      </c>
      <c r="AQ467" s="21" t="s">
        <v>375</v>
      </c>
    </row>
    <row r="468" spans="1:43" x14ac:dyDescent="0.25">
      <c r="A468" s="26"/>
      <c r="B468" s="27" t="s">
        <v>373</v>
      </c>
      <c r="C468" s="27" t="s">
        <v>99</v>
      </c>
      <c r="D468" s="338" t="s">
        <v>100</v>
      </c>
      <c r="E468" s="339"/>
      <c r="F468" s="339"/>
      <c r="G468" s="339"/>
      <c r="H468" s="28">
        <f>SUM(H469:H469)</f>
        <v>0</v>
      </c>
      <c r="I468" s="28">
        <f>SUM(I469:I469)</f>
        <v>0</v>
      </c>
      <c r="J468" s="28">
        <f>H468+I468</f>
        <v>0</v>
      </c>
      <c r="K468" s="21"/>
      <c r="L468" s="28">
        <f>SUM(L469:L469)</f>
        <v>0</v>
      </c>
      <c r="M468" s="21"/>
      <c r="P468" s="28">
        <f>IF(Q468="PR",J468,SUM(O469:O469))</f>
        <v>0</v>
      </c>
      <c r="Q468" s="21" t="s">
        <v>54</v>
      </c>
      <c r="R468" s="28">
        <f>IF(Q468="HS",H468,0)</f>
        <v>0</v>
      </c>
      <c r="S468" s="28">
        <f>IF(Q468="HS",I468-P468,0)</f>
        <v>0</v>
      </c>
      <c r="T468" s="28">
        <f>IF(Q468="PS",H468,0)</f>
        <v>0</v>
      </c>
      <c r="U468" s="28">
        <f>IF(Q468="PS",I468-P468,0)</f>
        <v>0</v>
      </c>
      <c r="V468" s="28">
        <f>IF(Q468="MP",H468,0)</f>
        <v>0</v>
      </c>
      <c r="W468" s="28">
        <f>IF(Q468="MP",I468-P468,0)</f>
        <v>0</v>
      </c>
      <c r="X468" s="28">
        <f>IF(Q468="OM",H468,0)</f>
        <v>0</v>
      </c>
      <c r="Y468" s="21" t="s">
        <v>373</v>
      </c>
      <c r="AI468" s="28">
        <f>SUM(Z469:Z469)</f>
        <v>0</v>
      </c>
      <c r="AJ468" s="28">
        <f>SUM(AA469:AA469)</f>
        <v>0</v>
      </c>
      <c r="AK468" s="28">
        <f>SUM(AB469:AB469)</f>
        <v>0</v>
      </c>
    </row>
    <row r="469" spans="1:43" x14ac:dyDescent="0.25">
      <c r="A469" s="29" t="s">
        <v>382</v>
      </c>
      <c r="B469" s="29" t="s">
        <v>373</v>
      </c>
      <c r="C469" s="29" t="s">
        <v>102</v>
      </c>
      <c r="D469" s="29" t="s">
        <v>103</v>
      </c>
      <c r="E469" s="29" t="s">
        <v>104</v>
      </c>
      <c r="F469" s="30">
        <v>2.4</v>
      </c>
      <c r="G469" s="317">
        <v>0</v>
      </c>
      <c r="H469" s="30">
        <f>ROUND(F469*AE469,2)</f>
        <v>0</v>
      </c>
      <c r="I469" s="30">
        <f>J469-H469</f>
        <v>0</v>
      </c>
      <c r="J469" s="30">
        <f>ROUND(F469*G469,2)</f>
        <v>0</v>
      </c>
      <c r="K469" s="30">
        <v>0</v>
      </c>
      <c r="L469" s="30">
        <f>F469*K469</f>
        <v>0</v>
      </c>
      <c r="M469" s="258" t="s">
        <v>2291</v>
      </c>
      <c r="N469" s="31" t="s">
        <v>55</v>
      </c>
      <c r="O469" s="30">
        <f>IF(N469="5",I469,0)</f>
        <v>0</v>
      </c>
      <c r="Z469" s="30">
        <f>IF(AD469=0,J469,0)</f>
        <v>0</v>
      </c>
      <c r="AA469" s="30">
        <f>IF(AD469=15,J469,0)</f>
        <v>0</v>
      </c>
      <c r="AB469" s="30">
        <f>IF(AD469=21,J469,0)</f>
        <v>0</v>
      </c>
      <c r="AD469" s="32">
        <v>21</v>
      </c>
      <c r="AE469" s="32">
        <f>G469*0</f>
        <v>0</v>
      </c>
      <c r="AF469" s="32">
        <f>G469*(1-0)</f>
        <v>0</v>
      </c>
      <c r="AM469" s="32">
        <f>F469*AE469</f>
        <v>0</v>
      </c>
      <c r="AN469" s="32">
        <f>F469*AF469</f>
        <v>0</v>
      </c>
      <c r="AO469" s="33" t="s">
        <v>105</v>
      </c>
      <c r="AP469" s="33" t="s">
        <v>106</v>
      </c>
      <c r="AQ469" s="21" t="s">
        <v>375</v>
      </c>
    </row>
    <row r="470" spans="1:43" x14ac:dyDescent="0.25">
      <c r="C470" s="34" t="s">
        <v>63</v>
      </c>
      <c r="D470" s="340" t="s">
        <v>107</v>
      </c>
      <c r="E470" s="341"/>
      <c r="F470" s="341"/>
      <c r="G470" s="341"/>
      <c r="H470" s="341"/>
      <c r="I470" s="341"/>
      <c r="J470" s="341"/>
      <c r="K470" s="341"/>
      <c r="L470" s="341"/>
      <c r="M470" s="341"/>
    </row>
    <row r="471" spans="1:43" x14ac:dyDescent="0.25">
      <c r="A471" s="26"/>
      <c r="B471" s="27" t="s">
        <v>383</v>
      </c>
      <c r="C471" s="27"/>
      <c r="D471" s="338" t="s">
        <v>383</v>
      </c>
      <c r="E471" s="339"/>
      <c r="F471" s="339"/>
      <c r="G471" s="339"/>
      <c r="H471" s="28">
        <f>H472+H477+H479+H482+H484+H486+H488</f>
        <v>0</v>
      </c>
      <c r="I471" s="28">
        <f>I472+I477+I479+I482+I484+I486+I488</f>
        <v>0</v>
      </c>
      <c r="J471" s="28">
        <f>H471+I471</f>
        <v>0</v>
      </c>
      <c r="K471" s="21"/>
      <c r="L471" s="28">
        <f>L472+L477+L479+L482+L484+L486+L488</f>
        <v>1.350876</v>
      </c>
      <c r="M471" s="21"/>
    </row>
    <row r="472" spans="1:43" x14ac:dyDescent="0.25">
      <c r="A472" s="26"/>
      <c r="B472" s="27" t="s">
        <v>383</v>
      </c>
      <c r="C472" s="27" t="s">
        <v>52</v>
      </c>
      <c r="D472" s="338" t="s">
        <v>53</v>
      </c>
      <c r="E472" s="339"/>
      <c r="F472" s="339"/>
      <c r="G472" s="339"/>
      <c r="H472" s="28">
        <f>SUM(H473:H475)</f>
        <v>0</v>
      </c>
      <c r="I472" s="28">
        <f>SUM(I473:I475)</f>
        <v>0</v>
      </c>
      <c r="J472" s="28">
        <f>H472+I472</f>
        <v>0</v>
      </c>
      <c r="K472" s="21"/>
      <c r="L472" s="28">
        <f>SUM(L473:L475)</f>
        <v>0.550095</v>
      </c>
      <c r="M472" s="21"/>
      <c r="P472" s="28">
        <f>IF(Q472="PR",J472,SUM(O473:O475))</f>
        <v>0</v>
      </c>
      <c r="Q472" s="21" t="s">
        <v>54</v>
      </c>
      <c r="R472" s="28">
        <f>IF(Q472="HS",H472,0)</f>
        <v>0</v>
      </c>
      <c r="S472" s="28">
        <f>IF(Q472="HS",I472-P472,0)</f>
        <v>0</v>
      </c>
      <c r="T472" s="28">
        <f>IF(Q472="PS",H472,0)</f>
        <v>0</v>
      </c>
      <c r="U472" s="28">
        <f>IF(Q472="PS",I472-P472,0)</f>
        <v>0</v>
      </c>
      <c r="V472" s="28">
        <f>IF(Q472="MP",H472,0)</f>
        <v>0</v>
      </c>
      <c r="W472" s="28">
        <f>IF(Q472="MP",I472-P472,0)</f>
        <v>0</v>
      </c>
      <c r="X472" s="28">
        <f>IF(Q472="OM",H472,0)</f>
        <v>0</v>
      </c>
      <c r="Y472" s="21" t="s">
        <v>383</v>
      </c>
      <c r="AI472" s="28">
        <f>SUM(Z473:Z475)</f>
        <v>0</v>
      </c>
      <c r="AJ472" s="28">
        <f>SUM(AA473:AA475)</f>
        <v>0</v>
      </c>
      <c r="AK472" s="28">
        <f>SUM(AB473:AB475)</f>
        <v>0</v>
      </c>
    </row>
    <row r="473" spans="1:43" x14ac:dyDescent="0.25">
      <c r="A473" s="29" t="s">
        <v>384</v>
      </c>
      <c r="B473" s="29" t="s">
        <v>383</v>
      </c>
      <c r="C473" s="29" t="s">
        <v>56</v>
      </c>
      <c r="D473" s="29" t="s">
        <v>57</v>
      </c>
      <c r="E473" s="29" t="s">
        <v>58</v>
      </c>
      <c r="F473" s="30">
        <v>44.22</v>
      </c>
      <c r="G473" s="317">
        <v>0</v>
      </c>
      <c r="H473" s="30">
        <f>ROUND(F473*AE473,2)</f>
        <v>0</v>
      </c>
      <c r="I473" s="30">
        <f>J473-H473</f>
        <v>0</v>
      </c>
      <c r="J473" s="30">
        <f>ROUND(F473*G473,2)</f>
        <v>0</v>
      </c>
      <c r="K473" s="30">
        <v>1.001E-2</v>
      </c>
      <c r="L473" s="30">
        <f>F473*K473</f>
        <v>0.44264219999999999</v>
      </c>
      <c r="M473" s="258" t="s">
        <v>2291</v>
      </c>
      <c r="N473" s="31" t="s">
        <v>59</v>
      </c>
      <c r="O473" s="30">
        <f>IF(N473="5",I473,0)</f>
        <v>0</v>
      </c>
      <c r="Z473" s="30">
        <f>IF(AD473=0,J473,0)</f>
        <v>0</v>
      </c>
      <c r="AA473" s="30">
        <f>IF(AD473=15,J473,0)</f>
        <v>0</v>
      </c>
      <c r="AB473" s="30">
        <f>IF(AD473=21,J473,0)</f>
        <v>0</v>
      </c>
      <c r="AD473" s="32">
        <v>21</v>
      </c>
      <c r="AE473" s="32">
        <f>G473*0.0756575801052128</f>
        <v>0</v>
      </c>
      <c r="AF473" s="32">
        <f>G473*(1-0.0756575801052128)</f>
        <v>0</v>
      </c>
      <c r="AM473" s="32">
        <f>F473*AE473</f>
        <v>0</v>
      </c>
      <c r="AN473" s="32">
        <f>F473*AF473</f>
        <v>0</v>
      </c>
      <c r="AO473" s="33" t="s">
        <v>60</v>
      </c>
      <c r="AP473" s="33" t="s">
        <v>61</v>
      </c>
      <c r="AQ473" s="21" t="s">
        <v>385</v>
      </c>
    </row>
    <row r="474" spans="1:43" ht="25.7" customHeight="1" x14ac:dyDescent="0.25">
      <c r="C474" s="34" t="s">
        <v>63</v>
      </c>
      <c r="D474" s="340" t="s">
        <v>64</v>
      </c>
      <c r="E474" s="341"/>
      <c r="F474" s="341"/>
      <c r="G474" s="341"/>
      <c r="H474" s="341"/>
      <c r="I474" s="341"/>
      <c r="J474" s="341"/>
      <c r="K474" s="341"/>
      <c r="L474" s="341"/>
      <c r="M474" s="341"/>
    </row>
    <row r="475" spans="1:43" x14ac:dyDescent="0.25">
      <c r="A475" s="29" t="s">
        <v>386</v>
      </c>
      <c r="B475" s="29" t="s">
        <v>383</v>
      </c>
      <c r="C475" s="29" t="s">
        <v>66</v>
      </c>
      <c r="D475" s="29" t="s">
        <v>67</v>
      </c>
      <c r="E475" s="29" t="s">
        <v>58</v>
      </c>
      <c r="F475" s="30">
        <v>10.92</v>
      </c>
      <c r="G475" s="317">
        <v>0</v>
      </c>
      <c r="H475" s="30">
        <f>ROUND(F475*AE475,2)</f>
        <v>0</v>
      </c>
      <c r="I475" s="30">
        <f>J475-H475</f>
        <v>0</v>
      </c>
      <c r="J475" s="30">
        <f>ROUND(F475*G475,2)</f>
        <v>0</v>
      </c>
      <c r="K475" s="30">
        <v>9.8399999999999998E-3</v>
      </c>
      <c r="L475" s="30">
        <f>F475*K475</f>
        <v>0.1074528</v>
      </c>
      <c r="M475" s="258" t="s">
        <v>2291</v>
      </c>
      <c r="N475" s="31" t="s">
        <v>59</v>
      </c>
      <c r="O475" s="30">
        <f>IF(N475="5",I475,0)</f>
        <v>0</v>
      </c>
      <c r="Z475" s="30">
        <f>IF(AD475=0,J475,0)</f>
        <v>0</v>
      </c>
      <c r="AA475" s="30">
        <f>IF(AD475=15,J475,0)</f>
        <v>0</v>
      </c>
      <c r="AB475" s="30">
        <f>IF(AD475=21,J475,0)</f>
        <v>0</v>
      </c>
      <c r="AD475" s="32">
        <v>21</v>
      </c>
      <c r="AE475" s="32">
        <f>G475*0.160304682766381</f>
        <v>0</v>
      </c>
      <c r="AF475" s="32">
        <f>G475*(1-0.160304682766381)</f>
        <v>0</v>
      </c>
      <c r="AM475" s="32">
        <f>F475*AE475</f>
        <v>0</v>
      </c>
      <c r="AN475" s="32">
        <f>F475*AF475</f>
        <v>0</v>
      </c>
      <c r="AO475" s="33" t="s">
        <v>60</v>
      </c>
      <c r="AP475" s="33" t="s">
        <v>61</v>
      </c>
      <c r="AQ475" s="21" t="s">
        <v>385</v>
      </c>
    </row>
    <row r="476" spans="1:43" ht="25.7" customHeight="1" x14ac:dyDescent="0.25">
      <c r="C476" s="34" t="s">
        <v>63</v>
      </c>
      <c r="D476" s="340" t="s">
        <v>64</v>
      </c>
      <c r="E476" s="341"/>
      <c r="F476" s="341"/>
      <c r="G476" s="341"/>
      <c r="H476" s="341"/>
      <c r="I476" s="341"/>
      <c r="J476" s="341"/>
      <c r="K476" s="341"/>
      <c r="L476" s="341"/>
      <c r="M476" s="341"/>
    </row>
    <row r="477" spans="1:43" x14ac:dyDescent="0.25">
      <c r="A477" s="26"/>
      <c r="B477" s="27" t="s">
        <v>383</v>
      </c>
      <c r="C477" s="27" t="s">
        <v>68</v>
      </c>
      <c r="D477" s="338" t="s">
        <v>69</v>
      </c>
      <c r="E477" s="339"/>
      <c r="F477" s="339"/>
      <c r="G477" s="339"/>
      <c r="H477" s="28">
        <f>SUM(H478:H478)</f>
        <v>0</v>
      </c>
      <c r="I477" s="28">
        <f>SUM(I478:I478)</f>
        <v>0</v>
      </c>
      <c r="J477" s="28">
        <f>H477+I477</f>
        <v>0</v>
      </c>
      <c r="K477" s="21"/>
      <c r="L477" s="28">
        <f>SUM(L478:L478)</f>
        <v>0.54425279999999998</v>
      </c>
      <c r="M477" s="21"/>
      <c r="P477" s="28">
        <f>IF(Q477="PR",J477,SUM(O478:O478))</f>
        <v>0</v>
      </c>
      <c r="Q477" s="21" t="s">
        <v>54</v>
      </c>
      <c r="R477" s="28">
        <f>IF(Q477="HS",H477,0)</f>
        <v>0</v>
      </c>
      <c r="S477" s="28">
        <f>IF(Q477="HS",I477-P477,0)</f>
        <v>0</v>
      </c>
      <c r="T477" s="28">
        <f>IF(Q477="PS",H477,0)</f>
        <v>0</v>
      </c>
      <c r="U477" s="28">
        <f>IF(Q477="PS",I477-P477,0)</f>
        <v>0</v>
      </c>
      <c r="V477" s="28">
        <f>IF(Q477="MP",H477,0)</f>
        <v>0</v>
      </c>
      <c r="W477" s="28">
        <f>IF(Q477="MP",I477-P477,0)</f>
        <v>0</v>
      </c>
      <c r="X477" s="28">
        <f>IF(Q477="OM",H477,0)</f>
        <v>0</v>
      </c>
      <c r="Y477" s="21" t="s">
        <v>383</v>
      </c>
      <c r="AI477" s="28">
        <f>SUM(Z478:Z478)</f>
        <v>0</v>
      </c>
      <c r="AJ477" s="28">
        <f>SUM(AA478:AA478)</f>
        <v>0</v>
      </c>
      <c r="AK477" s="28">
        <f>SUM(AB478:AB478)</f>
        <v>0</v>
      </c>
    </row>
    <row r="478" spans="1:43" x14ac:dyDescent="0.25">
      <c r="A478" s="29" t="s">
        <v>387</v>
      </c>
      <c r="B478" s="29" t="s">
        <v>383</v>
      </c>
      <c r="C478" s="29" t="s">
        <v>70</v>
      </c>
      <c r="D478" s="29" t="s">
        <v>71</v>
      </c>
      <c r="E478" s="29" t="s">
        <v>58</v>
      </c>
      <c r="F478" s="30">
        <v>10.92</v>
      </c>
      <c r="G478" s="317">
        <v>0</v>
      </c>
      <c r="H478" s="30">
        <f>ROUND(F478*AE478,2)</f>
        <v>0</v>
      </c>
      <c r="I478" s="30">
        <f>J478-H478</f>
        <v>0</v>
      </c>
      <c r="J478" s="30">
        <f>ROUND(F478*G478,2)</f>
        <v>0</v>
      </c>
      <c r="K478" s="30">
        <v>4.9840000000000002E-2</v>
      </c>
      <c r="L478" s="30">
        <f>F478*K478</f>
        <v>0.54425279999999998</v>
      </c>
      <c r="M478" s="258" t="s">
        <v>2291</v>
      </c>
      <c r="N478" s="31" t="s">
        <v>59</v>
      </c>
      <c r="O478" s="30">
        <f>IF(N478="5",I478,0)</f>
        <v>0</v>
      </c>
      <c r="Z478" s="30">
        <f>IF(AD478=0,J478,0)</f>
        <v>0</v>
      </c>
      <c r="AA478" s="30">
        <f>IF(AD478=15,J478,0)</f>
        <v>0</v>
      </c>
      <c r="AB478" s="30">
        <f>IF(AD478=21,J478,0)</f>
        <v>0</v>
      </c>
      <c r="AD478" s="32">
        <v>21</v>
      </c>
      <c r="AE478" s="32">
        <f>G478*0.411768721414431</f>
        <v>0</v>
      </c>
      <c r="AF478" s="32">
        <f>G478*(1-0.411768721414431)</f>
        <v>0</v>
      </c>
      <c r="AM478" s="32">
        <f>F478*AE478</f>
        <v>0</v>
      </c>
      <c r="AN478" s="32">
        <f>F478*AF478</f>
        <v>0</v>
      </c>
      <c r="AO478" s="33" t="s">
        <v>72</v>
      </c>
      <c r="AP478" s="33" t="s">
        <v>61</v>
      </c>
      <c r="AQ478" s="21" t="s">
        <v>385</v>
      </c>
    </row>
    <row r="479" spans="1:43" x14ac:dyDescent="0.25">
      <c r="A479" s="26"/>
      <c r="B479" s="27" t="s">
        <v>383</v>
      </c>
      <c r="C479" s="27" t="s">
        <v>73</v>
      </c>
      <c r="D479" s="338" t="s">
        <v>74</v>
      </c>
      <c r="E479" s="339"/>
      <c r="F479" s="339"/>
      <c r="G479" s="339"/>
      <c r="H479" s="28">
        <f>SUM(H480:H480)</f>
        <v>0</v>
      </c>
      <c r="I479" s="28">
        <f>SUM(I480:I480)</f>
        <v>0</v>
      </c>
      <c r="J479" s="28">
        <f>H479+I479</f>
        <v>0</v>
      </c>
      <c r="K479" s="21"/>
      <c r="L479" s="28">
        <f>SUM(L480:L480)</f>
        <v>0.175812</v>
      </c>
      <c r="M479" s="21"/>
      <c r="P479" s="28">
        <f>IF(Q479="PR",J479,SUM(O480:O480))</f>
        <v>0</v>
      </c>
      <c r="Q479" s="21" t="s">
        <v>75</v>
      </c>
      <c r="R479" s="28">
        <f>IF(Q479="HS",H479,0)</f>
        <v>0</v>
      </c>
      <c r="S479" s="28">
        <f>IF(Q479="HS",I479-P479,0)</f>
        <v>0</v>
      </c>
      <c r="T479" s="28">
        <f>IF(Q479="PS",H479,0)</f>
        <v>0</v>
      </c>
      <c r="U479" s="28">
        <f>IF(Q479="PS",I479-P479,0)</f>
        <v>0</v>
      </c>
      <c r="V479" s="28">
        <f>IF(Q479="MP",H479,0)</f>
        <v>0</v>
      </c>
      <c r="W479" s="28">
        <f>IF(Q479="MP",I479-P479,0)</f>
        <v>0</v>
      </c>
      <c r="X479" s="28">
        <f>IF(Q479="OM",H479,0)</f>
        <v>0</v>
      </c>
      <c r="Y479" s="21" t="s">
        <v>383</v>
      </c>
      <c r="AI479" s="28">
        <f>SUM(Z480:Z480)</f>
        <v>0</v>
      </c>
      <c r="AJ479" s="28">
        <f>SUM(AA480:AA480)</f>
        <v>0</v>
      </c>
      <c r="AK479" s="28">
        <f>SUM(AB480:AB480)</f>
        <v>0</v>
      </c>
    </row>
    <row r="480" spans="1:43" x14ac:dyDescent="0.25">
      <c r="A480" s="29" t="s">
        <v>388</v>
      </c>
      <c r="B480" s="29" t="s">
        <v>383</v>
      </c>
      <c r="C480" s="29" t="s">
        <v>77</v>
      </c>
      <c r="D480" s="29" t="s">
        <v>2278</v>
      </c>
      <c r="E480" s="29" t="s">
        <v>58</v>
      </c>
      <c r="F480" s="30">
        <v>10.92</v>
      </c>
      <c r="G480" s="317">
        <v>0</v>
      </c>
      <c r="H480" s="30">
        <f>ROUND(F480*AE480,2)</f>
        <v>0</v>
      </c>
      <c r="I480" s="30">
        <f>J480-H480</f>
        <v>0</v>
      </c>
      <c r="J480" s="30">
        <f>ROUND(F480*G480,2)</f>
        <v>0</v>
      </c>
      <c r="K480" s="30">
        <v>1.61E-2</v>
      </c>
      <c r="L480" s="30">
        <f>F480*K480</f>
        <v>0.175812</v>
      </c>
      <c r="M480" s="258" t="s">
        <v>2291</v>
      </c>
      <c r="N480" s="31" t="s">
        <v>59</v>
      </c>
      <c r="O480" s="30">
        <f>IF(N480="5",I480,0)</f>
        <v>0</v>
      </c>
      <c r="Z480" s="30">
        <f>IF(AD480=0,J480,0)</f>
        <v>0</v>
      </c>
      <c r="AA480" s="30">
        <f>IF(AD480=15,J480,0)</f>
        <v>0</v>
      </c>
      <c r="AB480" s="30">
        <f>IF(AD480=21,J480,0)</f>
        <v>0</v>
      </c>
      <c r="AD480" s="32">
        <v>21</v>
      </c>
      <c r="AE480" s="32">
        <f>G480*0.787221324717286</f>
        <v>0</v>
      </c>
      <c r="AF480" s="32">
        <f>G480*(1-0.787221324717286)</f>
        <v>0</v>
      </c>
      <c r="AM480" s="32">
        <f>F480*AE480</f>
        <v>0</v>
      </c>
      <c r="AN480" s="32">
        <f>F480*AF480</f>
        <v>0</v>
      </c>
      <c r="AO480" s="33" t="s">
        <v>78</v>
      </c>
      <c r="AP480" s="33" t="s">
        <v>79</v>
      </c>
      <c r="AQ480" s="21" t="s">
        <v>385</v>
      </c>
    </row>
    <row r="481" spans="1:43" ht="12.75" customHeight="1" x14ac:dyDescent="0.25">
      <c r="C481" s="34" t="s">
        <v>63</v>
      </c>
      <c r="D481" s="241" t="s">
        <v>2280</v>
      </c>
      <c r="E481" s="242"/>
      <c r="F481" s="242"/>
      <c r="G481" s="320"/>
      <c r="H481" s="242"/>
      <c r="I481" s="242"/>
      <c r="J481" s="242"/>
      <c r="K481" s="242"/>
      <c r="L481" s="242"/>
      <c r="M481" s="242"/>
    </row>
    <row r="482" spans="1:43" x14ac:dyDescent="0.25">
      <c r="A482" s="26"/>
      <c r="B482" s="27" t="s">
        <v>383</v>
      </c>
      <c r="C482" s="27" t="s">
        <v>80</v>
      </c>
      <c r="D482" s="338" t="s">
        <v>81</v>
      </c>
      <c r="E482" s="339"/>
      <c r="F482" s="339"/>
      <c r="G482" s="339"/>
      <c r="H482" s="28">
        <f>SUM(H483:H483)</f>
        <v>0</v>
      </c>
      <c r="I482" s="28">
        <f>SUM(I483:I483)</f>
        <v>0</v>
      </c>
      <c r="J482" s="28">
        <f>H482+I482</f>
        <v>0</v>
      </c>
      <c r="K482" s="21"/>
      <c r="L482" s="28">
        <f>SUM(L483:L483)</f>
        <v>4.4335200000000005E-2</v>
      </c>
      <c r="M482" s="21"/>
      <c r="P482" s="28">
        <f>IF(Q482="PR",J482,SUM(O483:O483))</f>
        <v>0</v>
      </c>
      <c r="Q482" s="21" t="s">
        <v>75</v>
      </c>
      <c r="R482" s="28">
        <f>IF(Q482="HS",H482,0)</f>
        <v>0</v>
      </c>
      <c r="S482" s="28">
        <f>IF(Q482="HS",I482-P482,0)</f>
        <v>0</v>
      </c>
      <c r="T482" s="28">
        <f>IF(Q482="PS",H482,0)</f>
        <v>0</v>
      </c>
      <c r="U482" s="28">
        <f>IF(Q482="PS",I482-P482,0)</f>
        <v>0</v>
      </c>
      <c r="V482" s="28">
        <f>IF(Q482="MP",H482,0)</f>
        <v>0</v>
      </c>
      <c r="W482" s="28">
        <f>IF(Q482="MP",I482-P482,0)</f>
        <v>0</v>
      </c>
      <c r="X482" s="28">
        <f>IF(Q482="OM",H482,0)</f>
        <v>0</v>
      </c>
      <c r="Y482" s="21" t="s">
        <v>383</v>
      </c>
      <c r="AI482" s="28">
        <f>SUM(Z483:Z483)</f>
        <v>0</v>
      </c>
      <c r="AJ482" s="28">
        <f>SUM(AA483:AA483)</f>
        <v>0</v>
      </c>
      <c r="AK482" s="28">
        <f>SUM(AB483:AB483)</f>
        <v>0</v>
      </c>
    </row>
    <row r="483" spans="1:43" x14ac:dyDescent="0.25">
      <c r="A483" s="29" t="s">
        <v>389</v>
      </c>
      <c r="B483" s="29" t="s">
        <v>383</v>
      </c>
      <c r="C483" s="29" t="s">
        <v>83</v>
      </c>
      <c r="D483" s="29" t="s">
        <v>84</v>
      </c>
      <c r="E483" s="29" t="s">
        <v>58</v>
      </c>
      <c r="F483" s="30">
        <v>10.92</v>
      </c>
      <c r="G483" s="317">
        <v>0</v>
      </c>
      <c r="H483" s="30">
        <f>ROUND(F483*AE483,2)</f>
        <v>0</v>
      </c>
      <c r="I483" s="30">
        <f>J483-H483</f>
        <v>0</v>
      </c>
      <c r="J483" s="30">
        <f>ROUND(F483*G483,2)</f>
        <v>0</v>
      </c>
      <c r="K483" s="30">
        <v>4.0600000000000002E-3</v>
      </c>
      <c r="L483" s="30">
        <f>F483*K483</f>
        <v>4.4335200000000005E-2</v>
      </c>
      <c r="M483" s="258" t="s">
        <v>2291</v>
      </c>
      <c r="N483" s="31" t="s">
        <v>59</v>
      </c>
      <c r="O483" s="30">
        <f>IF(N483="5",I483,0)</f>
        <v>0</v>
      </c>
      <c r="Z483" s="30">
        <f>IF(AD483=0,J483,0)</f>
        <v>0</v>
      </c>
      <c r="AA483" s="30">
        <f>IF(AD483=15,J483,0)</f>
        <v>0</v>
      </c>
      <c r="AB483" s="30">
        <f>IF(AD483=21,J483,0)</f>
        <v>0</v>
      </c>
      <c r="AD483" s="32">
        <v>21</v>
      </c>
      <c r="AE483" s="32">
        <f>G483*0.67230605738576</f>
        <v>0</v>
      </c>
      <c r="AF483" s="32">
        <f>G483*(1-0.67230605738576)</f>
        <v>0</v>
      </c>
      <c r="AM483" s="32">
        <f>F483*AE483</f>
        <v>0</v>
      </c>
      <c r="AN483" s="32">
        <f>F483*AF483</f>
        <v>0</v>
      </c>
      <c r="AO483" s="33" t="s">
        <v>85</v>
      </c>
      <c r="AP483" s="33" t="s">
        <v>79</v>
      </c>
      <c r="AQ483" s="21" t="s">
        <v>385</v>
      </c>
    </row>
    <row r="484" spans="1:43" x14ac:dyDescent="0.25">
      <c r="A484" s="26"/>
      <c r="B484" s="27" t="s">
        <v>383</v>
      </c>
      <c r="C484" s="27" t="s">
        <v>86</v>
      </c>
      <c r="D484" s="338" t="s">
        <v>87</v>
      </c>
      <c r="E484" s="339"/>
      <c r="F484" s="339"/>
      <c r="G484" s="339"/>
      <c r="H484" s="28">
        <f>SUM(H485:H485)</f>
        <v>0</v>
      </c>
      <c r="I484" s="28">
        <f>SUM(I485:I485)</f>
        <v>0</v>
      </c>
      <c r="J484" s="28">
        <f>H484+I484</f>
        <v>0</v>
      </c>
      <c r="K484" s="21"/>
      <c r="L484" s="28">
        <f>SUM(L485:L485)</f>
        <v>5.4000000000000001E-4</v>
      </c>
      <c r="M484" s="21"/>
      <c r="P484" s="28">
        <f>IF(Q484="PR",J484,SUM(O485:O485))</f>
        <v>0</v>
      </c>
      <c r="Q484" s="21" t="s">
        <v>75</v>
      </c>
      <c r="R484" s="28">
        <f>IF(Q484="HS",H484,0)</f>
        <v>0</v>
      </c>
      <c r="S484" s="28">
        <f>IF(Q484="HS",I484-P484,0)</f>
        <v>0</v>
      </c>
      <c r="T484" s="28">
        <f>IF(Q484="PS",H484,0)</f>
        <v>0</v>
      </c>
      <c r="U484" s="28">
        <f>IF(Q484="PS",I484-P484,0)</f>
        <v>0</v>
      </c>
      <c r="V484" s="28">
        <f>IF(Q484="MP",H484,0)</f>
        <v>0</v>
      </c>
      <c r="W484" s="28">
        <f>IF(Q484="MP",I484-P484,0)</f>
        <v>0</v>
      </c>
      <c r="X484" s="28">
        <f>IF(Q484="OM",H484,0)</f>
        <v>0</v>
      </c>
      <c r="Y484" s="21" t="s">
        <v>383</v>
      </c>
      <c r="AI484" s="28">
        <f>SUM(Z485:Z485)</f>
        <v>0</v>
      </c>
      <c r="AJ484" s="28">
        <f>SUM(AA485:AA485)</f>
        <v>0</v>
      </c>
      <c r="AK484" s="28">
        <f>SUM(AB485:AB485)</f>
        <v>0</v>
      </c>
    </row>
    <row r="485" spans="1:43" x14ac:dyDescent="0.25">
      <c r="A485" s="29" t="s">
        <v>390</v>
      </c>
      <c r="B485" s="29" t="s">
        <v>383</v>
      </c>
      <c r="C485" s="29" t="s">
        <v>89</v>
      </c>
      <c r="D485" s="29" t="s">
        <v>90</v>
      </c>
      <c r="E485" s="29" t="s">
        <v>58</v>
      </c>
      <c r="F485" s="30">
        <v>2</v>
      </c>
      <c r="G485" s="317">
        <v>0</v>
      </c>
      <c r="H485" s="30">
        <f>ROUND(F485*AE485,2)</f>
        <v>0</v>
      </c>
      <c r="I485" s="30">
        <f>J485-H485</f>
        <v>0</v>
      </c>
      <c r="J485" s="30">
        <f>ROUND(F485*G485,2)</f>
        <v>0</v>
      </c>
      <c r="K485" s="30">
        <v>2.7E-4</v>
      </c>
      <c r="L485" s="30">
        <f>F485*K485</f>
        <v>5.4000000000000001E-4</v>
      </c>
      <c r="M485" s="258" t="s">
        <v>2291</v>
      </c>
      <c r="N485" s="31" t="s">
        <v>59</v>
      </c>
      <c r="O485" s="30">
        <f>IF(N485="5",I485,0)</f>
        <v>0</v>
      </c>
      <c r="Z485" s="30">
        <f>IF(AD485=0,J485,0)</f>
        <v>0</v>
      </c>
      <c r="AA485" s="30">
        <f>IF(AD485=15,J485,0)</f>
        <v>0</v>
      </c>
      <c r="AB485" s="30">
        <f>IF(AD485=21,J485,0)</f>
        <v>0</v>
      </c>
      <c r="AD485" s="32">
        <v>21</v>
      </c>
      <c r="AE485" s="32">
        <f>G485*0.186098187625859</f>
        <v>0</v>
      </c>
      <c r="AF485" s="32">
        <f>G485*(1-0.186098187625859)</f>
        <v>0</v>
      </c>
      <c r="AM485" s="32">
        <f>F485*AE485</f>
        <v>0</v>
      </c>
      <c r="AN485" s="32">
        <f>F485*AF485</f>
        <v>0</v>
      </c>
      <c r="AO485" s="33" t="s">
        <v>91</v>
      </c>
      <c r="AP485" s="33" t="s">
        <v>92</v>
      </c>
      <c r="AQ485" s="21" t="s">
        <v>385</v>
      </c>
    </row>
    <row r="486" spans="1:43" x14ac:dyDescent="0.25">
      <c r="A486" s="26"/>
      <c r="B486" s="27" t="s">
        <v>383</v>
      </c>
      <c r="C486" s="27" t="s">
        <v>93</v>
      </c>
      <c r="D486" s="338" t="s">
        <v>94</v>
      </c>
      <c r="E486" s="339"/>
      <c r="F486" s="339"/>
      <c r="G486" s="339"/>
      <c r="H486" s="28">
        <f>SUM(H487:H487)</f>
        <v>0</v>
      </c>
      <c r="I486" s="28">
        <f>SUM(I487:I487)</f>
        <v>0</v>
      </c>
      <c r="J486" s="28">
        <f>H486+I486</f>
        <v>0</v>
      </c>
      <c r="K486" s="21"/>
      <c r="L486" s="28">
        <f>SUM(L487:L487)</f>
        <v>3.5840999999999998E-2</v>
      </c>
      <c r="M486" s="21"/>
      <c r="P486" s="28">
        <f>IF(Q486="PR",J486,SUM(O487:O487))</f>
        <v>0</v>
      </c>
      <c r="Q486" s="21" t="s">
        <v>75</v>
      </c>
      <c r="R486" s="28">
        <f>IF(Q486="HS",H486,0)</f>
        <v>0</v>
      </c>
      <c r="S486" s="28">
        <f>IF(Q486="HS",I486-P486,0)</f>
        <v>0</v>
      </c>
      <c r="T486" s="28">
        <f>IF(Q486="PS",H486,0)</f>
        <v>0</v>
      </c>
      <c r="U486" s="28">
        <f>IF(Q486="PS",I486-P486,0)</f>
        <v>0</v>
      </c>
      <c r="V486" s="28">
        <f>IF(Q486="MP",H486,0)</f>
        <v>0</v>
      </c>
      <c r="W486" s="28">
        <f>IF(Q486="MP",I486-P486,0)</f>
        <v>0</v>
      </c>
      <c r="X486" s="28">
        <f>IF(Q486="OM",H486,0)</f>
        <v>0</v>
      </c>
      <c r="Y486" s="21" t="s">
        <v>383</v>
      </c>
      <c r="AI486" s="28">
        <f>SUM(Z487:Z487)</f>
        <v>0</v>
      </c>
      <c r="AJ486" s="28">
        <f>SUM(AA487:AA487)</f>
        <v>0</v>
      </c>
      <c r="AK486" s="28">
        <f>SUM(AB487:AB487)</f>
        <v>0</v>
      </c>
    </row>
    <row r="487" spans="1:43" x14ac:dyDescent="0.25">
      <c r="A487" s="29" t="s">
        <v>391</v>
      </c>
      <c r="B487" s="29" t="s">
        <v>383</v>
      </c>
      <c r="C487" s="29" t="s">
        <v>96</v>
      </c>
      <c r="D487" s="29" t="s">
        <v>97</v>
      </c>
      <c r="E487" s="29" t="s">
        <v>58</v>
      </c>
      <c r="F487" s="30">
        <v>55.14</v>
      </c>
      <c r="G487" s="317">
        <v>0</v>
      </c>
      <c r="H487" s="30">
        <f>ROUND(F487*AE487,2)</f>
        <v>0</v>
      </c>
      <c r="I487" s="30">
        <f>J487-H487</f>
        <v>0</v>
      </c>
      <c r="J487" s="30">
        <f>ROUND(F487*G487,2)</f>
        <v>0</v>
      </c>
      <c r="K487" s="30">
        <v>6.4999999999999997E-4</v>
      </c>
      <c r="L487" s="30">
        <f>F487*K487</f>
        <v>3.5840999999999998E-2</v>
      </c>
      <c r="M487" s="258" t="s">
        <v>2291</v>
      </c>
      <c r="N487" s="31" t="s">
        <v>59</v>
      </c>
      <c r="O487" s="30">
        <f>IF(N487="5",I487,0)</f>
        <v>0</v>
      </c>
      <c r="Z487" s="30">
        <f>IF(AD487=0,J487,0)</f>
        <v>0</v>
      </c>
      <c r="AA487" s="30">
        <f>IF(AD487=15,J487,0)</f>
        <v>0</v>
      </c>
      <c r="AB487" s="30">
        <f>IF(AD487=21,J487,0)</f>
        <v>0</v>
      </c>
      <c r="AD487" s="32">
        <v>21</v>
      </c>
      <c r="AE487" s="32">
        <f>G487*0.333747476316198</f>
        <v>0</v>
      </c>
      <c r="AF487" s="32">
        <f>G487*(1-0.333747476316198)</f>
        <v>0</v>
      </c>
      <c r="AM487" s="32">
        <f>F487*AE487</f>
        <v>0</v>
      </c>
      <c r="AN487" s="32">
        <f>F487*AF487</f>
        <v>0</v>
      </c>
      <c r="AO487" s="33" t="s">
        <v>98</v>
      </c>
      <c r="AP487" s="33" t="s">
        <v>92</v>
      </c>
      <c r="AQ487" s="21" t="s">
        <v>385</v>
      </c>
    </row>
    <row r="488" spans="1:43" x14ac:dyDescent="0.25">
      <c r="A488" s="26"/>
      <c r="B488" s="27" t="s">
        <v>383</v>
      </c>
      <c r="C488" s="27" t="s">
        <v>99</v>
      </c>
      <c r="D488" s="338" t="s">
        <v>100</v>
      </c>
      <c r="E488" s="339"/>
      <c r="F488" s="339"/>
      <c r="G488" s="339"/>
      <c r="H488" s="28">
        <f>SUM(H489:H489)</f>
        <v>0</v>
      </c>
      <c r="I488" s="28">
        <f>SUM(I489:I489)</f>
        <v>0</v>
      </c>
      <c r="J488" s="28">
        <f>H488+I488</f>
        <v>0</v>
      </c>
      <c r="K488" s="21"/>
      <c r="L488" s="28">
        <f>SUM(L489:L489)</f>
        <v>0</v>
      </c>
      <c r="M488" s="21"/>
      <c r="P488" s="28">
        <f>IF(Q488="PR",J488,SUM(O489:O489))</f>
        <v>0</v>
      </c>
      <c r="Q488" s="21" t="s">
        <v>54</v>
      </c>
      <c r="R488" s="28">
        <f>IF(Q488="HS",H488,0)</f>
        <v>0</v>
      </c>
      <c r="S488" s="28">
        <f>IF(Q488="HS",I488-P488,0)</f>
        <v>0</v>
      </c>
      <c r="T488" s="28">
        <f>IF(Q488="PS",H488,0)</f>
        <v>0</v>
      </c>
      <c r="U488" s="28">
        <f>IF(Q488="PS",I488-P488,0)</f>
        <v>0</v>
      </c>
      <c r="V488" s="28">
        <f>IF(Q488="MP",H488,0)</f>
        <v>0</v>
      </c>
      <c r="W488" s="28">
        <f>IF(Q488="MP",I488-P488,0)</f>
        <v>0</v>
      </c>
      <c r="X488" s="28">
        <f>IF(Q488="OM",H488,0)</f>
        <v>0</v>
      </c>
      <c r="Y488" s="21" t="s">
        <v>383</v>
      </c>
      <c r="AI488" s="28">
        <f>SUM(Z489:Z489)</f>
        <v>0</v>
      </c>
      <c r="AJ488" s="28">
        <f>SUM(AA489:AA489)</f>
        <v>0</v>
      </c>
      <c r="AK488" s="28">
        <f>SUM(AB489:AB489)</f>
        <v>0</v>
      </c>
    </row>
    <row r="489" spans="1:43" x14ac:dyDescent="0.25">
      <c r="A489" s="29" t="s">
        <v>392</v>
      </c>
      <c r="B489" s="29" t="s">
        <v>383</v>
      </c>
      <c r="C489" s="29" t="s">
        <v>102</v>
      </c>
      <c r="D489" s="29" t="s">
        <v>103</v>
      </c>
      <c r="E489" s="29" t="s">
        <v>104</v>
      </c>
      <c r="F489" s="30">
        <v>2.4</v>
      </c>
      <c r="G489" s="317">
        <v>0</v>
      </c>
      <c r="H489" s="30">
        <f>ROUND(F489*AE489,2)</f>
        <v>0</v>
      </c>
      <c r="I489" s="30">
        <f>J489-H489</f>
        <v>0</v>
      </c>
      <c r="J489" s="30">
        <f>ROUND(F489*G489,2)</f>
        <v>0</v>
      </c>
      <c r="K489" s="30">
        <v>0</v>
      </c>
      <c r="L489" s="30">
        <f>F489*K489</f>
        <v>0</v>
      </c>
      <c r="M489" s="258" t="s">
        <v>2291</v>
      </c>
      <c r="N489" s="31" t="s">
        <v>55</v>
      </c>
      <c r="O489" s="30">
        <f>IF(N489="5",I489,0)</f>
        <v>0</v>
      </c>
      <c r="Z489" s="30">
        <f>IF(AD489=0,J489,0)</f>
        <v>0</v>
      </c>
      <c r="AA489" s="30">
        <f>IF(AD489=15,J489,0)</f>
        <v>0</v>
      </c>
      <c r="AB489" s="30">
        <f>IF(AD489=21,J489,0)</f>
        <v>0</v>
      </c>
      <c r="AD489" s="32">
        <v>21</v>
      </c>
      <c r="AE489" s="32">
        <f>G489*0</f>
        <v>0</v>
      </c>
      <c r="AF489" s="32">
        <f>G489*(1-0)</f>
        <v>0</v>
      </c>
      <c r="AM489" s="32">
        <f>F489*AE489</f>
        <v>0</v>
      </c>
      <c r="AN489" s="32">
        <f>F489*AF489</f>
        <v>0</v>
      </c>
      <c r="AO489" s="33" t="s">
        <v>105</v>
      </c>
      <c r="AP489" s="33" t="s">
        <v>106</v>
      </c>
      <c r="AQ489" s="21" t="s">
        <v>385</v>
      </c>
    </row>
    <row r="490" spans="1:43" x14ac:dyDescent="0.25">
      <c r="C490" s="34" t="s">
        <v>63</v>
      </c>
      <c r="D490" s="340" t="s">
        <v>107</v>
      </c>
      <c r="E490" s="341"/>
      <c r="F490" s="341"/>
      <c r="G490" s="341"/>
      <c r="H490" s="341"/>
      <c r="I490" s="341"/>
      <c r="J490" s="341"/>
      <c r="K490" s="341"/>
      <c r="L490" s="341"/>
      <c r="M490" s="341"/>
    </row>
    <row r="491" spans="1:43" x14ac:dyDescent="0.25">
      <c r="A491" s="26"/>
      <c r="B491" s="27" t="s">
        <v>393</v>
      </c>
      <c r="C491" s="27"/>
      <c r="D491" s="338" t="s">
        <v>393</v>
      </c>
      <c r="E491" s="339"/>
      <c r="F491" s="339"/>
      <c r="G491" s="339"/>
      <c r="H491" s="28">
        <f>H492+H497+H499+H502+H504+H506+H508</f>
        <v>0</v>
      </c>
      <c r="I491" s="28">
        <f>I492+I497+I499+I502+I504+I506+I508</f>
        <v>0</v>
      </c>
      <c r="J491" s="28">
        <f>H491+I491</f>
        <v>0</v>
      </c>
      <c r="K491" s="21"/>
      <c r="L491" s="28">
        <f>L492+L497+L499+L502+L504+L506+L508</f>
        <v>2.5421037000000006</v>
      </c>
      <c r="M491" s="21"/>
    </row>
    <row r="492" spans="1:43" x14ac:dyDescent="0.25">
      <c r="A492" s="26"/>
      <c r="B492" s="27" t="s">
        <v>393</v>
      </c>
      <c r="C492" s="27" t="s">
        <v>52</v>
      </c>
      <c r="D492" s="338" t="s">
        <v>53</v>
      </c>
      <c r="E492" s="339"/>
      <c r="F492" s="339"/>
      <c r="G492" s="339"/>
      <c r="H492" s="28">
        <f>SUM(H493:H495)</f>
        <v>0</v>
      </c>
      <c r="I492" s="28">
        <f>SUM(I493:I495)</f>
        <v>0</v>
      </c>
      <c r="J492" s="28">
        <f>H492+I492</f>
        <v>0</v>
      </c>
      <c r="K492" s="21"/>
      <c r="L492" s="28">
        <f>SUM(L493:L495)</f>
        <v>0.87386520000000012</v>
      </c>
      <c r="M492" s="258" t="s">
        <v>2291</v>
      </c>
      <c r="P492" s="28">
        <f>IF(Q492="PR",J492,SUM(O493:O495))</f>
        <v>0</v>
      </c>
      <c r="Q492" s="21" t="s">
        <v>54</v>
      </c>
      <c r="R492" s="28">
        <f>IF(Q492="HS",H492,0)</f>
        <v>0</v>
      </c>
      <c r="S492" s="28">
        <f>IF(Q492="HS",I492-P492,0)</f>
        <v>0</v>
      </c>
      <c r="T492" s="28">
        <f>IF(Q492="PS",H492,0)</f>
        <v>0</v>
      </c>
      <c r="U492" s="28">
        <f>IF(Q492="PS",I492-P492,0)</f>
        <v>0</v>
      </c>
      <c r="V492" s="28">
        <f>IF(Q492="MP",H492,0)</f>
        <v>0</v>
      </c>
      <c r="W492" s="28">
        <f>IF(Q492="MP",I492-P492,0)</f>
        <v>0</v>
      </c>
      <c r="X492" s="28">
        <f>IF(Q492="OM",H492,0)</f>
        <v>0</v>
      </c>
      <c r="Y492" s="21" t="s">
        <v>393</v>
      </c>
      <c r="AI492" s="28">
        <f>SUM(Z493:Z495)</f>
        <v>0</v>
      </c>
      <c r="AJ492" s="28">
        <f>SUM(AA493:AA495)</f>
        <v>0</v>
      </c>
      <c r="AK492" s="28">
        <f>SUM(AB493:AB495)</f>
        <v>0</v>
      </c>
    </row>
    <row r="493" spans="1:43" x14ac:dyDescent="0.25">
      <c r="A493" s="29" t="s">
        <v>394</v>
      </c>
      <c r="B493" s="29" t="s">
        <v>393</v>
      </c>
      <c r="C493" s="29" t="s">
        <v>56</v>
      </c>
      <c r="D493" s="29" t="s">
        <v>57</v>
      </c>
      <c r="E493" s="29" t="s">
        <v>58</v>
      </c>
      <c r="F493" s="30">
        <v>64.680000000000007</v>
      </c>
      <c r="G493" s="317">
        <v>0</v>
      </c>
      <c r="H493" s="30">
        <f>ROUND(F493*AE493,2)</f>
        <v>0</v>
      </c>
      <c r="I493" s="30">
        <f>J493-H493</f>
        <v>0</v>
      </c>
      <c r="J493" s="30">
        <f>ROUND(F493*G493,2)</f>
        <v>0</v>
      </c>
      <c r="K493" s="30">
        <v>1.001E-2</v>
      </c>
      <c r="L493" s="30">
        <f>F493*K493</f>
        <v>0.6474468000000001</v>
      </c>
      <c r="M493" s="258" t="s">
        <v>2291</v>
      </c>
      <c r="N493" s="31" t="s">
        <v>59</v>
      </c>
      <c r="O493" s="30">
        <f>IF(N493="5",I493,0)</f>
        <v>0</v>
      </c>
      <c r="Z493" s="30">
        <f>IF(AD493=0,J493,0)</f>
        <v>0</v>
      </c>
      <c r="AA493" s="30">
        <f>IF(AD493=15,J493,0)</f>
        <v>0</v>
      </c>
      <c r="AB493" s="30">
        <f>IF(AD493=21,J493,0)</f>
        <v>0</v>
      </c>
      <c r="AD493" s="32">
        <v>21</v>
      </c>
      <c r="AE493" s="32">
        <f>G493*0.0756575801052128</f>
        <v>0</v>
      </c>
      <c r="AF493" s="32">
        <f>G493*(1-0.0756575801052128)</f>
        <v>0</v>
      </c>
      <c r="AM493" s="32">
        <f>F493*AE493</f>
        <v>0</v>
      </c>
      <c r="AN493" s="32">
        <f>F493*AF493</f>
        <v>0</v>
      </c>
      <c r="AO493" s="33" t="s">
        <v>60</v>
      </c>
      <c r="AP493" s="33" t="s">
        <v>61</v>
      </c>
      <c r="AQ493" s="21" t="s">
        <v>395</v>
      </c>
    </row>
    <row r="494" spans="1:43" ht="25.7" customHeight="1" x14ac:dyDescent="0.25">
      <c r="C494" s="34" t="s">
        <v>63</v>
      </c>
      <c r="D494" s="340" t="s">
        <v>64</v>
      </c>
      <c r="E494" s="341"/>
      <c r="F494" s="341"/>
      <c r="G494" s="341"/>
      <c r="H494" s="341"/>
      <c r="I494" s="341"/>
      <c r="J494" s="341"/>
      <c r="K494" s="341"/>
      <c r="L494" s="341"/>
      <c r="M494" s="341"/>
    </row>
    <row r="495" spans="1:43" x14ac:dyDescent="0.25">
      <c r="A495" s="29" t="s">
        <v>396</v>
      </c>
      <c r="B495" s="29" t="s">
        <v>393</v>
      </c>
      <c r="C495" s="29" t="s">
        <v>66</v>
      </c>
      <c r="D495" s="29" t="s">
        <v>67</v>
      </c>
      <c r="E495" s="29" t="s">
        <v>58</v>
      </c>
      <c r="F495" s="30">
        <v>23.01</v>
      </c>
      <c r="G495" s="317">
        <v>0</v>
      </c>
      <c r="H495" s="30">
        <f>ROUND(F495*AE495,2)</f>
        <v>0</v>
      </c>
      <c r="I495" s="30">
        <f>J495-H495</f>
        <v>0</v>
      </c>
      <c r="J495" s="30">
        <f>ROUND(F495*G495,2)</f>
        <v>0</v>
      </c>
      <c r="K495" s="30">
        <v>9.8399999999999998E-3</v>
      </c>
      <c r="L495" s="30">
        <f>F495*K495</f>
        <v>0.22641840000000002</v>
      </c>
      <c r="M495" s="258" t="s">
        <v>2291</v>
      </c>
      <c r="N495" s="31" t="s">
        <v>59</v>
      </c>
      <c r="O495" s="30">
        <f>IF(N495="5",I495,0)</f>
        <v>0</v>
      </c>
      <c r="Z495" s="30">
        <f>IF(AD495=0,J495,0)</f>
        <v>0</v>
      </c>
      <c r="AA495" s="30">
        <f>IF(AD495=15,J495,0)</f>
        <v>0</v>
      </c>
      <c r="AB495" s="30">
        <f>IF(AD495=21,J495,0)</f>
        <v>0</v>
      </c>
      <c r="AD495" s="32">
        <v>21</v>
      </c>
      <c r="AE495" s="32">
        <f>G495*0.160304682766381</f>
        <v>0</v>
      </c>
      <c r="AF495" s="32">
        <f>G495*(1-0.160304682766381)</f>
        <v>0</v>
      </c>
      <c r="AM495" s="32">
        <f>F495*AE495</f>
        <v>0</v>
      </c>
      <c r="AN495" s="32">
        <f>F495*AF495</f>
        <v>0</v>
      </c>
      <c r="AO495" s="33" t="s">
        <v>60</v>
      </c>
      <c r="AP495" s="33" t="s">
        <v>61</v>
      </c>
      <c r="AQ495" s="21" t="s">
        <v>395</v>
      </c>
    </row>
    <row r="496" spans="1:43" ht="25.7" customHeight="1" x14ac:dyDescent="0.25">
      <c r="C496" s="34" t="s">
        <v>63</v>
      </c>
      <c r="D496" s="340" t="s">
        <v>64</v>
      </c>
      <c r="E496" s="341"/>
      <c r="F496" s="341"/>
      <c r="G496" s="341"/>
      <c r="H496" s="341"/>
      <c r="I496" s="341"/>
      <c r="J496" s="341"/>
      <c r="K496" s="341"/>
      <c r="L496" s="341"/>
      <c r="M496" s="341"/>
    </row>
    <row r="497" spans="1:43" x14ac:dyDescent="0.25">
      <c r="A497" s="26"/>
      <c r="B497" s="27" t="s">
        <v>393</v>
      </c>
      <c r="C497" s="27" t="s">
        <v>68</v>
      </c>
      <c r="D497" s="338" t="s">
        <v>69</v>
      </c>
      <c r="E497" s="339"/>
      <c r="F497" s="339"/>
      <c r="G497" s="339"/>
      <c r="H497" s="28">
        <f>SUM(H498:H498)</f>
        <v>0</v>
      </c>
      <c r="I497" s="28">
        <f>SUM(I498:I498)</f>
        <v>0</v>
      </c>
      <c r="J497" s="28">
        <f>H497+I497</f>
        <v>0</v>
      </c>
      <c r="K497" s="21"/>
      <c r="L497" s="28">
        <f>SUM(L498:L498)</f>
        <v>1.1468184000000001</v>
      </c>
      <c r="M497" s="21"/>
      <c r="P497" s="28">
        <f>IF(Q497="PR",J497,SUM(O498:O498))</f>
        <v>0</v>
      </c>
      <c r="Q497" s="21" t="s">
        <v>54</v>
      </c>
      <c r="R497" s="28">
        <f>IF(Q497="HS",H497,0)</f>
        <v>0</v>
      </c>
      <c r="S497" s="28">
        <f>IF(Q497="HS",I497-P497,0)</f>
        <v>0</v>
      </c>
      <c r="T497" s="28">
        <f>IF(Q497="PS",H497,0)</f>
        <v>0</v>
      </c>
      <c r="U497" s="28">
        <f>IF(Q497="PS",I497-P497,0)</f>
        <v>0</v>
      </c>
      <c r="V497" s="28">
        <f>IF(Q497="MP",H497,0)</f>
        <v>0</v>
      </c>
      <c r="W497" s="28">
        <f>IF(Q497="MP",I497-P497,0)</f>
        <v>0</v>
      </c>
      <c r="X497" s="28">
        <f>IF(Q497="OM",H497,0)</f>
        <v>0</v>
      </c>
      <c r="Y497" s="21" t="s">
        <v>393</v>
      </c>
      <c r="AI497" s="28">
        <f>SUM(Z498:Z498)</f>
        <v>0</v>
      </c>
      <c r="AJ497" s="28">
        <f>SUM(AA498:AA498)</f>
        <v>0</v>
      </c>
      <c r="AK497" s="28">
        <f>SUM(AB498:AB498)</f>
        <v>0</v>
      </c>
    </row>
    <row r="498" spans="1:43" x14ac:dyDescent="0.25">
      <c r="A498" s="29" t="s">
        <v>397</v>
      </c>
      <c r="B498" s="29" t="s">
        <v>393</v>
      </c>
      <c r="C498" s="29" t="s">
        <v>70</v>
      </c>
      <c r="D498" s="29" t="s">
        <v>71</v>
      </c>
      <c r="E498" s="29" t="s">
        <v>58</v>
      </c>
      <c r="F498" s="30">
        <v>23.01</v>
      </c>
      <c r="G498" s="317">
        <v>0</v>
      </c>
      <c r="H498" s="30">
        <f>ROUND(F498*AE498,2)</f>
        <v>0</v>
      </c>
      <c r="I498" s="30">
        <f>J498-H498</f>
        <v>0</v>
      </c>
      <c r="J498" s="30">
        <f>ROUND(F498*G498,2)</f>
        <v>0</v>
      </c>
      <c r="K498" s="30">
        <v>4.9840000000000002E-2</v>
      </c>
      <c r="L498" s="30">
        <f>F498*K498</f>
        <v>1.1468184000000001</v>
      </c>
      <c r="M498" s="258" t="s">
        <v>2291</v>
      </c>
      <c r="N498" s="31" t="s">
        <v>59</v>
      </c>
      <c r="O498" s="30">
        <f>IF(N498="5",I498,0)</f>
        <v>0</v>
      </c>
      <c r="Z498" s="30">
        <f>IF(AD498=0,J498,0)</f>
        <v>0</v>
      </c>
      <c r="AA498" s="30">
        <f>IF(AD498=15,J498,0)</f>
        <v>0</v>
      </c>
      <c r="AB498" s="30">
        <f>IF(AD498=21,J498,0)</f>
        <v>0</v>
      </c>
      <c r="AD498" s="32">
        <v>21</v>
      </c>
      <c r="AE498" s="32">
        <f>G498*0.411768721414431</f>
        <v>0</v>
      </c>
      <c r="AF498" s="32">
        <f>G498*(1-0.411768721414431)</f>
        <v>0</v>
      </c>
      <c r="AM498" s="32">
        <f>F498*AE498</f>
        <v>0</v>
      </c>
      <c r="AN498" s="32">
        <f>F498*AF498</f>
        <v>0</v>
      </c>
      <c r="AO498" s="33" t="s">
        <v>72</v>
      </c>
      <c r="AP498" s="33" t="s">
        <v>61</v>
      </c>
      <c r="AQ498" s="21" t="s">
        <v>395</v>
      </c>
    </row>
    <row r="499" spans="1:43" x14ac:dyDescent="0.25">
      <c r="A499" s="26"/>
      <c r="B499" s="27" t="s">
        <v>393</v>
      </c>
      <c r="C499" s="27" t="s">
        <v>73</v>
      </c>
      <c r="D499" s="338" t="s">
        <v>74</v>
      </c>
      <c r="E499" s="339"/>
      <c r="F499" s="339"/>
      <c r="G499" s="339"/>
      <c r="H499" s="28">
        <f>SUM(H500:H500)</f>
        <v>0</v>
      </c>
      <c r="I499" s="28">
        <f>SUM(I500:I500)</f>
        <v>0</v>
      </c>
      <c r="J499" s="28">
        <f>H499+I499</f>
        <v>0</v>
      </c>
      <c r="K499" s="21"/>
      <c r="L499" s="28">
        <f>SUM(L500:L500)</f>
        <v>0.37046100000000004</v>
      </c>
      <c r="M499" s="21"/>
      <c r="P499" s="28">
        <f>IF(Q499="PR",J499,SUM(O500:O500))</f>
        <v>0</v>
      </c>
      <c r="Q499" s="21" t="s">
        <v>75</v>
      </c>
      <c r="R499" s="28">
        <f>IF(Q499="HS",H499,0)</f>
        <v>0</v>
      </c>
      <c r="S499" s="28">
        <f>IF(Q499="HS",I499-P499,0)</f>
        <v>0</v>
      </c>
      <c r="T499" s="28">
        <f>IF(Q499="PS",H499,0)</f>
        <v>0</v>
      </c>
      <c r="U499" s="28">
        <f>IF(Q499="PS",I499-P499,0)</f>
        <v>0</v>
      </c>
      <c r="V499" s="28">
        <f>IF(Q499="MP",H499,0)</f>
        <v>0</v>
      </c>
      <c r="W499" s="28">
        <f>IF(Q499="MP",I499-P499,0)</f>
        <v>0</v>
      </c>
      <c r="X499" s="28">
        <f>IF(Q499="OM",H499,0)</f>
        <v>0</v>
      </c>
      <c r="Y499" s="21" t="s">
        <v>393</v>
      </c>
      <c r="AI499" s="28">
        <f>SUM(Z500:Z500)</f>
        <v>0</v>
      </c>
      <c r="AJ499" s="28">
        <f>SUM(AA500:AA500)</f>
        <v>0</v>
      </c>
      <c r="AK499" s="28">
        <f>SUM(AB500:AB500)</f>
        <v>0</v>
      </c>
    </row>
    <row r="500" spans="1:43" x14ac:dyDescent="0.25">
      <c r="A500" s="29" t="s">
        <v>398</v>
      </c>
      <c r="B500" s="29" t="s">
        <v>393</v>
      </c>
      <c r="C500" s="29" t="s">
        <v>77</v>
      </c>
      <c r="D500" s="29" t="s">
        <v>2278</v>
      </c>
      <c r="E500" s="29" t="s">
        <v>58</v>
      </c>
      <c r="F500" s="30">
        <v>23.01</v>
      </c>
      <c r="G500" s="317">
        <v>0</v>
      </c>
      <c r="H500" s="30">
        <f>ROUND(F500*AE500,2)</f>
        <v>0</v>
      </c>
      <c r="I500" s="30">
        <f>J500-H500</f>
        <v>0</v>
      </c>
      <c r="J500" s="30">
        <f>ROUND(F500*G500,2)</f>
        <v>0</v>
      </c>
      <c r="K500" s="30">
        <v>1.61E-2</v>
      </c>
      <c r="L500" s="30">
        <f>F500*K500</f>
        <v>0.37046100000000004</v>
      </c>
      <c r="M500" s="258" t="s">
        <v>2291</v>
      </c>
      <c r="N500" s="31" t="s">
        <v>59</v>
      </c>
      <c r="O500" s="30">
        <f>IF(N500="5",I500,0)</f>
        <v>0</v>
      </c>
      <c r="Z500" s="30">
        <f>IF(AD500=0,J500,0)</f>
        <v>0</v>
      </c>
      <c r="AA500" s="30">
        <f>IF(AD500=15,J500,0)</f>
        <v>0</v>
      </c>
      <c r="AB500" s="30">
        <f>IF(AD500=21,J500,0)</f>
        <v>0</v>
      </c>
      <c r="AD500" s="32">
        <v>21</v>
      </c>
      <c r="AE500" s="32">
        <f>G500*0.787221324717286</f>
        <v>0</v>
      </c>
      <c r="AF500" s="32">
        <f>G500*(1-0.787221324717286)</f>
        <v>0</v>
      </c>
      <c r="AM500" s="32">
        <f>F500*AE500</f>
        <v>0</v>
      </c>
      <c r="AN500" s="32">
        <f>F500*AF500</f>
        <v>0</v>
      </c>
      <c r="AO500" s="33" t="s">
        <v>78</v>
      </c>
      <c r="AP500" s="33" t="s">
        <v>79</v>
      </c>
      <c r="AQ500" s="21" t="s">
        <v>395</v>
      </c>
    </row>
    <row r="501" spans="1:43" x14ac:dyDescent="0.25">
      <c r="C501" s="34" t="s">
        <v>63</v>
      </c>
      <c r="D501" s="340" t="s">
        <v>2280</v>
      </c>
      <c r="E501" s="341"/>
      <c r="F501" s="341"/>
      <c r="G501" s="341"/>
      <c r="H501" s="341"/>
      <c r="I501" s="341"/>
      <c r="J501" s="341"/>
      <c r="K501" s="341"/>
      <c r="L501" s="341"/>
      <c r="M501" s="341"/>
    </row>
    <row r="502" spans="1:43" x14ac:dyDescent="0.25">
      <c r="A502" s="26"/>
      <c r="B502" s="27" t="s">
        <v>393</v>
      </c>
      <c r="C502" s="27" t="s">
        <v>80</v>
      </c>
      <c r="D502" s="338" t="s">
        <v>81</v>
      </c>
      <c r="E502" s="339"/>
      <c r="F502" s="339"/>
      <c r="G502" s="339"/>
      <c r="H502" s="28">
        <f>SUM(H503:H503)</f>
        <v>0</v>
      </c>
      <c r="I502" s="28">
        <f>SUM(I503:I503)</f>
        <v>0</v>
      </c>
      <c r="J502" s="28">
        <f>H502+I502</f>
        <v>0</v>
      </c>
      <c r="K502" s="21"/>
      <c r="L502" s="28">
        <f>SUM(L503:L503)</f>
        <v>9.3420600000000006E-2</v>
      </c>
      <c r="M502" s="21"/>
      <c r="P502" s="28">
        <f>IF(Q502="PR",J502,SUM(O503:O503))</f>
        <v>0</v>
      </c>
      <c r="Q502" s="21" t="s">
        <v>75</v>
      </c>
      <c r="R502" s="28">
        <f>IF(Q502="HS",H502,0)</f>
        <v>0</v>
      </c>
      <c r="S502" s="28">
        <f>IF(Q502="HS",I502-P502,0)</f>
        <v>0</v>
      </c>
      <c r="T502" s="28">
        <f>IF(Q502="PS",H502,0)</f>
        <v>0</v>
      </c>
      <c r="U502" s="28">
        <f>IF(Q502="PS",I502-P502,0)</f>
        <v>0</v>
      </c>
      <c r="V502" s="28">
        <f>IF(Q502="MP",H502,0)</f>
        <v>0</v>
      </c>
      <c r="W502" s="28">
        <f>IF(Q502="MP",I502-P502,0)</f>
        <v>0</v>
      </c>
      <c r="X502" s="28">
        <f>IF(Q502="OM",H502,0)</f>
        <v>0</v>
      </c>
      <c r="Y502" s="21" t="s">
        <v>393</v>
      </c>
      <c r="AI502" s="28">
        <f>SUM(Z503:Z503)</f>
        <v>0</v>
      </c>
      <c r="AJ502" s="28">
        <f>SUM(AA503:AA503)</f>
        <v>0</v>
      </c>
      <c r="AK502" s="28">
        <f>SUM(AB503:AB503)</f>
        <v>0</v>
      </c>
    </row>
    <row r="503" spans="1:43" x14ac:dyDescent="0.25">
      <c r="A503" s="29" t="s">
        <v>399</v>
      </c>
      <c r="B503" s="29" t="s">
        <v>393</v>
      </c>
      <c r="C503" s="29" t="s">
        <v>83</v>
      </c>
      <c r="D503" s="29" t="s">
        <v>84</v>
      </c>
      <c r="E503" s="29" t="s">
        <v>58</v>
      </c>
      <c r="F503" s="30">
        <v>23.01</v>
      </c>
      <c r="G503" s="317">
        <v>0</v>
      </c>
      <c r="H503" s="30">
        <f>ROUND(F503*AE503,2)</f>
        <v>0</v>
      </c>
      <c r="I503" s="30">
        <f>J503-H503</f>
        <v>0</v>
      </c>
      <c r="J503" s="30">
        <f>ROUND(F503*G503,2)</f>
        <v>0</v>
      </c>
      <c r="K503" s="30">
        <v>4.0600000000000002E-3</v>
      </c>
      <c r="L503" s="30">
        <f>F503*K503</f>
        <v>9.3420600000000006E-2</v>
      </c>
      <c r="M503" s="258" t="s">
        <v>2291</v>
      </c>
      <c r="N503" s="31" t="s">
        <v>59</v>
      </c>
      <c r="O503" s="30">
        <f>IF(N503="5",I503,0)</f>
        <v>0</v>
      </c>
      <c r="Z503" s="30">
        <f>IF(AD503=0,J503,0)</f>
        <v>0</v>
      </c>
      <c r="AA503" s="30">
        <f>IF(AD503=15,J503,0)</f>
        <v>0</v>
      </c>
      <c r="AB503" s="30">
        <f>IF(AD503=21,J503,0)</f>
        <v>0</v>
      </c>
      <c r="AD503" s="32">
        <v>21</v>
      </c>
      <c r="AE503" s="32">
        <f>G503*0.67230605738576</f>
        <v>0</v>
      </c>
      <c r="AF503" s="32">
        <f>G503*(1-0.67230605738576)</f>
        <v>0</v>
      </c>
      <c r="AM503" s="32">
        <f>F503*AE503</f>
        <v>0</v>
      </c>
      <c r="AN503" s="32">
        <f>F503*AF503</f>
        <v>0</v>
      </c>
      <c r="AO503" s="33" t="s">
        <v>85</v>
      </c>
      <c r="AP503" s="33" t="s">
        <v>79</v>
      </c>
      <c r="AQ503" s="21" t="s">
        <v>395</v>
      </c>
    </row>
    <row r="504" spans="1:43" x14ac:dyDescent="0.25">
      <c r="A504" s="26"/>
      <c r="B504" s="27" t="s">
        <v>393</v>
      </c>
      <c r="C504" s="27" t="s">
        <v>86</v>
      </c>
      <c r="D504" s="338" t="s">
        <v>87</v>
      </c>
      <c r="E504" s="339"/>
      <c r="F504" s="339"/>
      <c r="G504" s="339"/>
      <c r="H504" s="28">
        <f>SUM(H505:H505)</f>
        <v>0</v>
      </c>
      <c r="I504" s="28">
        <f>SUM(I505:I505)</f>
        <v>0</v>
      </c>
      <c r="J504" s="28">
        <f>H504+I504</f>
        <v>0</v>
      </c>
      <c r="K504" s="21"/>
      <c r="L504" s="28">
        <f>SUM(L505:L505)</f>
        <v>5.4000000000000001E-4</v>
      </c>
      <c r="M504" s="21"/>
      <c r="P504" s="28">
        <f>IF(Q504="PR",J504,SUM(O505:O505))</f>
        <v>0</v>
      </c>
      <c r="Q504" s="21" t="s">
        <v>75</v>
      </c>
      <c r="R504" s="28">
        <f>IF(Q504="HS",H504,0)</f>
        <v>0</v>
      </c>
      <c r="S504" s="28">
        <f>IF(Q504="HS",I504-P504,0)</f>
        <v>0</v>
      </c>
      <c r="T504" s="28">
        <f>IF(Q504="PS",H504,0)</f>
        <v>0</v>
      </c>
      <c r="U504" s="28">
        <f>IF(Q504="PS",I504-P504,0)</f>
        <v>0</v>
      </c>
      <c r="V504" s="28">
        <f>IF(Q504="MP",H504,0)</f>
        <v>0</v>
      </c>
      <c r="W504" s="28">
        <f>IF(Q504="MP",I504-P504,0)</f>
        <v>0</v>
      </c>
      <c r="X504" s="28">
        <f>IF(Q504="OM",H504,0)</f>
        <v>0</v>
      </c>
      <c r="Y504" s="21" t="s">
        <v>393</v>
      </c>
      <c r="AI504" s="28">
        <f>SUM(Z505:Z505)</f>
        <v>0</v>
      </c>
      <c r="AJ504" s="28">
        <f>SUM(AA505:AA505)</f>
        <v>0</v>
      </c>
      <c r="AK504" s="28">
        <f>SUM(AB505:AB505)</f>
        <v>0</v>
      </c>
    </row>
    <row r="505" spans="1:43" x14ac:dyDescent="0.25">
      <c r="A505" s="29" t="s">
        <v>400</v>
      </c>
      <c r="B505" s="29" t="s">
        <v>393</v>
      </c>
      <c r="C505" s="29" t="s">
        <v>89</v>
      </c>
      <c r="D505" s="29" t="s">
        <v>90</v>
      </c>
      <c r="E505" s="29" t="s">
        <v>58</v>
      </c>
      <c r="F505" s="30">
        <v>2</v>
      </c>
      <c r="G505" s="317">
        <v>0</v>
      </c>
      <c r="H505" s="30">
        <f>ROUND(F505*AE505,2)</f>
        <v>0</v>
      </c>
      <c r="I505" s="30">
        <f>J505-H505</f>
        <v>0</v>
      </c>
      <c r="J505" s="30">
        <f>ROUND(F505*G505,2)</f>
        <v>0</v>
      </c>
      <c r="K505" s="30">
        <v>2.7E-4</v>
      </c>
      <c r="L505" s="30">
        <f>F505*K505</f>
        <v>5.4000000000000001E-4</v>
      </c>
      <c r="M505" s="258" t="s">
        <v>2291</v>
      </c>
      <c r="N505" s="31" t="s">
        <v>59</v>
      </c>
      <c r="O505" s="30">
        <f>IF(N505="5",I505,0)</f>
        <v>0</v>
      </c>
      <c r="Z505" s="30">
        <f>IF(AD505=0,J505,0)</f>
        <v>0</v>
      </c>
      <c r="AA505" s="30">
        <f>IF(AD505=15,J505,0)</f>
        <v>0</v>
      </c>
      <c r="AB505" s="30">
        <f>IF(AD505=21,J505,0)</f>
        <v>0</v>
      </c>
      <c r="AD505" s="32">
        <v>21</v>
      </c>
      <c r="AE505" s="32">
        <f>G505*0.186098187625859</f>
        <v>0</v>
      </c>
      <c r="AF505" s="32">
        <f>G505*(1-0.186098187625859)</f>
        <v>0</v>
      </c>
      <c r="AM505" s="32">
        <f>F505*AE505</f>
        <v>0</v>
      </c>
      <c r="AN505" s="32">
        <f>F505*AF505</f>
        <v>0</v>
      </c>
      <c r="AO505" s="33" t="s">
        <v>91</v>
      </c>
      <c r="AP505" s="33" t="s">
        <v>92</v>
      </c>
      <c r="AQ505" s="21" t="s">
        <v>395</v>
      </c>
    </row>
    <row r="506" spans="1:43" x14ac:dyDescent="0.25">
      <c r="A506" s="26"/>
      <c r="B506" s="27" t="s">
        <v>393</v>
      </c>
      <c r="C506" s="27" t="s">
        <v>93</v>
      </c>
      <c r="D506" s="338" t="s">
        <v>94</v>
      </c>
      <c r="E506" s="339"/>
      <c r="F506" s="339"/>
      <c r="G506" s="339"/>
      <c r="H506" s="28">
        <f>SUM(H507:H507)</f>
        <v>0</v>
      </c>
      <c r="I506" s="28">
        <f>SUM(I507:I507)</f>
        <v>0</v>
      </c>
      <c r="J506" s="28">
        <f>H506+I506</f>
        <v>0</v>
      </c>
      <c r="K506" s="21"/>
      <c r="L506" s="28">
        <f>SUM(L507:L507)</f>
        <v>5.6998499999999994E-2</v>
      </c>
      <c r="M506" s="21"/>
      <c r="P506" s="28">
        <f>IF(Q506="PR",J506,SUM(O507:O507))</f>
        <v>0</v>
      </c>
      <c r="Q506" s="21" t="s">
        <v>75</v>
      </c>
      <c r="R506" s="28">
        <f>IF(Q506="HS",H506,0)</f>
        <v>0</v>
      </c>
      <c r="S506" s="28">
        <f>IF(Q506="HS",I506-P506,0)</f>
        <v>0</v>
      </c>
      <c r="T506" s="28">
        <f>IF(Q506="PS",H506,0)</f>
        <v>0</v>
      </c>
      <c r="U506" s="28">
        <f>IF(Q506="PS",I506-P506,0)</f>
        <v>0</v>
      </c>
      <c r="V506" s="28">
        <f>IF(Q506="MP",H506,0)</f>
        <v>0</v>
      </c>
      <c r="W506" s="28">
        <f>IF(Q506="MP",I506-P506,0)</f>
        <v>0</v>
      </c>
      <c r="X506" s="28">
        <f>IF(Q506="OM",H506,0)</f>
        <v>0</v>
      </c>
      <c r="Y506" s="21" t="s">
        <v>393</v>
      </c>
      <c r="AI506" s="28">
        <f>SUM(Z507:Z507)</f>
        <v>0</v>
      </c>
      <c r="AJ506" s="28">
        <f>SUM(AA507:AA507)</f>
        <v>0</v>
      </c>
      <c r="AK506" s="28">
        <f>SUM(AB507:AB507)</f>
        <v>0</v>
      </c>
    </row>
    <row r="507" spans="1:43" x14ac:dyDescent="0.25">
      <c r="A507" s="29" t="s">
        <v>401</v>
      </c>
      <c r="B507" s="29" t="s">
        <v>393</v>
      </c>
      <c r="C507" s="29" t="s">
        <v>96</v>
      </c>
      <c r="D507" s="29" t="s">
        <v>97</v>
      </c>
      <c r="E507" s="29" t="s">
        <v>58</v>
      </c>
      <c r="F507" s="30">
        <v>87.69</v>
      </c>
      <c r="G507" s="317">
        <v>0</v>
      </c>
      <c r="H507" s="30">
        <f>ROUND(F507*AE507,2)</f>
        <v>0</v>
      </c>
      <c r="I507" s="30">
        <f>J507-H507</f>
        <v>0</v>
      </c>
      <c r="J507" s="30">
        <f>ROUND(F507*G507,2)</f>
        <v>0</v>
      </c>
      <c r="K507" s="30">
        <v>6.4999999999999997E-4</v>
      </c>
      <c r="L507" s="30">
        <f>F507*K507</f>
        <v>5.6998499999999994E-2</v>
      </c>
      <c r="M507" s="258" t="s">
        <v>2291</v>
      </c>
      <c r="N507" s="31" t="s">
        <v>59</v>
      </c>
      <c r="O507" s="30">
        <f>IF(N507="5",I507,0)</f>
        <v>0</v>
      </c>
      <c r="Z507" s="30">
        <f>IF(AD507=0,J507,0)</f>
        <v>0</v>
      </c>
      <c r="AA507" s="30">
        <f>IF(AD507=15,J507,0)</f>
        <v>0</v>
      </c>
      <c r="AB507" s="30">
        <f>IF(AD507=21,J507,0)</f>
        <v>0</v>
      </c>
      <c r="AD507" s="32">
        <v>21</v>
      </c>
      <c r="AE507" s="32">
        <f>G507*0.333747476316198</f>
        <v>0</v>
      </c>
      <c r="AF507" s="32">
        <f>G507*(1-0.333747476316198)</f>
        <v>0</v>
      </c>
      <c r="AM507" s="32">
        <f>F507*AE507</f>
        <v>0</v>
      </c>
      <c r="AN507" s="32">
        <f>F507*AF507</f>
        <v>0</v>
      </c>
      <c r="AO507" s="33" t="s">
        <v>98</v>
      </c>
      <c r="AP507" s="33" t="s">
        <v>92</v>
      </c>
      <c r="AQ507" s="21" t="s">
        <v>395</v>
      </c>
    </row>
    <row r="508" spans="1:43" x14ac:dyDescent="0.25">
      <c r="A508" s="26"/>
      <c r="B508" s="27" t="s">
        <v>393</v>
      </c>
      <c r="C508" s="27" t="s">
        <v>99</v>
      </c>
      <c r="D508" s="338" t="s">
        <v>100</v>
      </c>
      <c r="E508" s="339"/>
      <c r="F508" s="339"/>
      <c r="G508" s="339"/>
      <c r="H508" s="28">
        <f>SUM(H509:H509)</f>
        <v>0</v>
      </c>
      <c r="I508" s="28">
        <f>SUM(I509:I509)</f>
        <v>0</v>
      </c>
      <c r="J508" s="28">
        <f>H508+I508</f>
        <v>0</v>
      </c>
      <c r="K508" s="21"/>
      <c r="L508" s="28">
        <f>SUM(L509:L509)</f>
        <v>0</v>
      </c>
      <c r="M508" s="21"/>
      <c r="P508" s="28">
        <f>IF(Q508="PR",J508,SUM(O509:O509))</f>
        <v>0</v>
      </c>
      <c r="Q508" s="21" t="s">
        <v>54</v>
      </c>
      <c r="R508" s="28">
        <f>IF(Q508="HS",H508,0)</f>
        <v>0</v>
      </c>
      <c r="S508" s="28">
        <f>IF(Q508="HS",I508-P508,0)</f>
        <v>0</v>
      </c>
      <c r="T508" s="28">
        <f>IF(Q508="PS",H508,0)</f>
        <v>0</v>
      </c>
      <c r="U508" s="28">
        <f>IF(Q508="PS",I508-P508,0)</f>
        <v>0</v>
      </c>
      <c r="V508" s="28">
        <f>IF(Q508="MP",H508,0)</f>
        <v>0</v>
      </c>
      <c r="W508" s="28">
        <f>IF(Q508="MP",I508-P508,0)</f>
        <v>0</v>
      </c>
      <c r="X508" s="28">
        <f>IF(Q508="OM",H508,0)</f>
        <v>0</v>
      </c>
      <c r="Y508" s="21" t="s">
        <v>393</v>
      </c>
      <c r="AI508" s="28">
        <f>SUM(Z509:Z509)</f>
        <v>0</v>
      </c>
      <c r="AJ508" s="28">
        <f>SUM(AA509:AA509)</f>
        <v>0</v>
      </c>
      <c r="AK508" s="28">
        <f>SUM(AB509:AB509)</f>
        <v>0</v>
      </c>
    </row>
    <row r="509" spans="1:43" x14ac:dyDescent="0.25">
      <c r="A509" s="29" t="s">
        <v>402</v>
      </c>
      <c r="B509" s="29" t="s">
        <v>393</v>
      </c>
      <c r="C509" s="29" t="s">
        <v>102</v>
      </c>
      <c r="D509" s="29" t="s">
        <v>103</v>
      </c>
      <c r="E509" s="29" t="s">
        <v>104</v>
      </c>
      <c r="F509" s="30">
        <v>4.8</v>
      </c>
      <c r="G509" s="317">
        <v>0</v>
      </c>
      <c r="H509" s="30">
        <f>ROUND(F509*AE509,2)</f>
        <v>0</v>
      </c>
      <c r="I509" s="30">
        <f>J509-H509</f>
        <v>0</v>
      </c>
      <c r="J509" s="30">
        <f>ROUND(F509*G509,2)</f>
        <v>0</v>
      </c>
      <c r="K509" s="30">
        <v>0</v>
      </c>
      <c r="L509" s="30">
        <f>F509*K509</f>
        <v>0</v>
      </c>
      <c r="M509" s="258" t="s">
        <v>2291</v>
      </c>
      <c r="N509" s="31" t="s">
        <v>55</v>
      </c>
      <c r="O509" s="30">
        <f>IF(N509="5",I509,0)</f>
        <v>0</v>
      </c>
      <c r="Z509" s="30">
        <f>IF(AD509=0,J509,0)</f>
        <v>0</v>
      </c>
      <c r="AA509" s="30">
        <f>IF(AD509=15,J509,0)</f>
        <v>0</v>
      </c>
      <c r="AB509" s="30">
        <f>IF(AD509=21,J509,0)</f>
        <v>0</v>
      </c>
      <c r="AD509" s="32">
        <v>21</v>
      </c>
      <c r="AE509" s="32">
        <f>G509*0</f>
        <v>0</v>
      </c>
      <c r="AF509" s="32">
        <f>G509*(1-0)</f>
        <v>0</v>
      </c>
      <c r="AM509" s="32">
        <f>F509*AE509</f>
        <v>0</v>
      </c>
      <c r="AN509" s="32">
        <f>F509*AF509</f>
        <v>0</v>
      </c>
      <c r="AO509" s="33" t="s">
        <v>105</v>
      </c>
      <c r="AP509" s="33" t="s">
        <v>106</v>
      </c>
      <c r="AQ509" s="21" t="s">
        <v>395</v>
      </c>
    </row>
    <row r="510" spans="1:43" x14ac:dyDescent="0.25">
      <c r="C510" s="34" t="s">
        <v>63</v>
      </c>
      <c r="D510" s="340" t="s">
        <v>107</v>
      </c>
      <c r="E510" s="341"/>
      <c r="F510" s="341"/>
      <c r="G510" s="341"/>
      <c r="H510" s="341"/>
      <c r="I510" s="341"/>
      <c r="J510" s="341"/>
      <c r="K510" s="341"/>
      <c r="L510" s="341"/>
      <c r="M510" s="341"/>
    </row>
    <row r="511" spans="1:43" x14ac:dyDescent="0.25">
      <c r="A511" s="26"/>
      <c r="B511" s="27" t="s">
        <v>403</v>
      </c>
      <c r="C511" s="27"/>
      <c r="D511" s="338" t="s">
        <v>403</v>
      </c>
      <c r="E511" s="339"/>
      <c r="F511" s="339"/>
      <c r="G511" s="339"/>
      <c r="H511" s="28">
        <f>H512+H519+H521+H524+H526+H528+H530</f>
        <v>0</v>
      </c>
      <c r="I511" s="28">
        <f>I512+I519+I521+I524+I526+I528+I530</f>
        <v>0</v>
      </c>
      <c r="J511" s="28">
        <f>H511+I511</f>
        <v>0</v>
      </c>
      <c r="K511" s="21"/>
      <c r="L511" s="28">
        <f>L512+L519+L521+L524+L526+L528+L530</f>
        <v>4.3635288000000001</v>
      </c>
      <c r="M511" s="21"/>
    </row>
    <row r="512" spans="1:43" x14ac:dyDescent="0.25">
      <c r="A512" s="26"/>
      <c r="B512" s="27" t="s">
        <v>403</v>
      </c>
      <c r="C512" s="27" t="s">
        <v>52</v>
      </c>
      <c r="D512" s="338" t="s">
        <v>53</v>
      </c>
      <c r="E512" s="339"/>
      <c r="F512" s="339"/>
      <c r="G512" s="339"/>
      <c r="H512" s="28">
        <f>SUM(H513:H517)</f>
        <v>0</v>
      </c>
      <c r="I512" s="28">
        <f>SUM(I513:I517)</f>
        <v>0</v>
      </c>
      <c r="J512" s="28">
        <f>H512+I512</f>
        <v>0</v>
      </c>
      <c r="K512" s="21"/>
      <c r="L512" s="28">
        <f>SUM(L513:L517)</f>
        <v>1.8939618</v>
      </c>
      <c r="M512" s="21"/>
      <c r="P512" s="28">
        <f>IF(Q512="PR",J512,SUM(O513:O517))</f>
        <v>0</v>
      </c>
      <c r="Q512" s="21" t="s">
        <v>54</v>
      </c>
      <c r="R512" s="28">
        <f>IF(Q512="HS",H512,0)</f>
        <v>0</v>
      </c>
      <c r="S512" s="28">
        <f>IF(Q512="HS",I512-P512,0)</f>
        <v>0</v>
      </c>
      <c r="T512" s="28">
        <f>IF(Q512="PS",H512,0)</f>
        <v>0</v>
      </c>
      <c r="U512" s="28">
        <f>IF(Q512="PS",I512-P512,0)</f>
        <v>0</v>
      </c>
      <c r="V512" s="28">
        <f>IF(Q512="MP",H512,0)</f>
        <v>0</v>
      </c>
      <c r="W512" s="28">
        <f>IF(Q512="MP",I512-P512,0)</f>
        <v>0</v>
      </c>
      <c r="X512" s="28">
        <f>IF(Q512="OM",H512,0)</f>
        <v>0</v>
      </c>
      <c r="Y512" s="21" t="s">
        <v>403</v>
      </c>
      <c r="AI512" s="28">
        <f>SUM(Z513:Z517)</f>
        <v>0</v>
      </c>
      <c r="AJ512" s="28">
        <f>SUM(AA513:AA517)</f>
        <v>0</v>
      </c>
      <c r="AK512" s="28">
        <f>SUM(AB513:AB517)</f>
        <v>0</v>
      </c>
    </row>
    <row r="513" spans="1:43" x14ac:dyDescent="0.25">
      <c r="A513" s="29" t="s">
        <v>404</v>
      </c>
      <c r="B513" s="29" t="s">
        <v>403</v>
      </c>
      <c r="C513" s="29" t="s">
        <v>56</v>
      </c>
      <c r="D513" s="29" t="s">
        <v>57</v>
      </c>
      <c r="E513" s="29" t="s">
        <v>58</v>
      </c>
      <c r="F513" s="30">
        <v>76.56</v>
      </c>
      <c r="G513" s="317">
        <v>0</v>
      </c>
      <c r="H513" s="30">
        <f>ROUND(F513*AE513,2)</f>
        <v>0</v>
      </c>
      <c r="I513" s="30">
        <f>J513-H513</f>
        <v>0</v>
      </c>
      <c r="J513" s="30">
        <f>ROUND(F513*G513,2)</f>
        <v>0</v>
      </c>
      <c r="K513" s="30">
        <v>1.001E-2</v>
      </c>
      <c r="L513" s="30">
        <f>F513*K513</f>
        <v>0.76636559999999998</v>
      </c>
      <c r="M513" s="258" t="s">
        <v>2291</v>
      </c>
      <c r="N513" s="31" t="s">
        <v>59</v>
      </c>
      <c r="O513" s="30">
        <f>IF(N513="5",I513,0)</f>
        <v>0</v>
      </c>
      <c r="Z513" s="30">
        <f>IF(AD513=0,J513,0)</f>
        <v>0</v>
      </c>
      <c r="AA513" s="30">
        <f>IF(AD513=15,J513,0)</f>
        <v>0</v>
      </c>
      <c r="AB513" s="30">
        <f>IF(AD513=21,J513,0)</f>
        <v>0</v>
      </c>
      <c r="AD513" s="32">
        <v>21</v>
      </c>
      <c r="AE513" s="32">
        <f>G513*0.0756575801052128</f>
        <v>0</v>
      </c>
      <c r="AF513" s="32">
        <f>G513*(1-0.0756575801052128)</f>
        <v>0</v>
      </c>
      <c r="AM513" s="32">
        <f>F513*AE513</f>
        <v>0</v>
      </c>
      <c r="AN513" s="32">
        <f>F513*AF513</f>
        <v>0</v>
      </c>
      <c r="AO513" s="33" t="s">
        <v>60</v>
      </c>
      <c r="AP513" s="33" t="s">
        <v>61</v>
      </c>
      <c r="AQ513" s="21" t="s">
        <v>405</v>
      </c>
    </row>
    <row r="514" spans="1:43" ht="25.7" customHeight="1" x14ac:dyDescent="0.25">
      <c r="C514" s="34" t="s">
        <v>63</v>
      </c>
      <c r="D514" s="340" t="s">
        <v>64</v>
      </c>
      <c r="E514" s="341"/>
      <c r="F514" s="341"/>
      <c r="G514" s="341"/>
      <c r="H514" s="341"/>
      <c r="I514" s="341"/>
      <c r="J514" s="341"/>
      <c r="K514" s="341"/>
      <c r="L514" s="341"/>
      <c r="M514" s="341"/>
    </row>
    <row r="515" spans="1:43" x14ac:dyDescent="0.25">
      <c r="A515" s="29" t="s">
        <v>406</v>
      </c>
      <c r="B515" s="29" t="s">
        <v>403</v>
      </c>
      <c r="C515" s="29" t="s">
        <v>66</v>
      </c>
      <c r="D515" s="29" t="s">
        <v>67</v>
      </c>
      <c r="E515" s="29" t="s">
        <v>58</v>
      </c>
      <c r="F515" s="30">
        <v>34.22</v>
      </c>
      <c r="G515" s="317">
        <v>0</v>
      </c>
      <c r="H515" s="30">
        <f>ROUND(F515*AE515,2)</f>
        <v>0</v>
      </c>
      <c r="I515" s="30">
        <f>J515-H515</f>
        <v>0</v>
      </c>
      <c r="J515" s="30">
        <f>ROUND(F515*G515,2)</f>
        <v>0</v>
      </c>
      <c r="K515" s="30">
        <v>9.8399999999999998E-3</v>
      </c>
      <c r="L515" s="30">
        <f>F515*K515</f>
        <v>0.33672479999999999</v>
      </c>
      <c r="M515" s="258" t="s">
        <v>2291</v>
      </c>
      <c r="N515" s="31" t="s">
        <v>59</v>
      </c>
      <c r="O515" s="30">
        <f>IF(N515="5",I515,0)</f>
        <v>0</v>
      </c>
      <c r="Z515" s="30">
        <f>IF(AD515=0,J515,0)</f>
        <v>0</v>
      </c>
      <c r="AA515" s="30">
        <f>IF(AD515=15,J515,0)</f>
        <v>0</v>
      </c>
      <c r="AB515" s="30">
        <f>IF(AD515=21,J515,0)</f>
        <v>0</v>
      </c>
      <c r="AD515" s="32">
        <v>21</v>
      </c>
      <c r="AE515" s="32">
        <f>G515*0.160304682766381</f>
        <v>0</v>
      </c>
      <c r="AF515" s="32">
        <f>G515*(1-0.160304682766381)</f>
        <v>0</v>
      </c>
      <c r="AM515" s="32">
        <f>F515*AE515</f>
        <v>0</v>
      </c>
      <c r="AN515" s="32">
        <f>F515*AF515</f>
        <v>0</v>
      </c>
      <c r="AO515" s="33" t="s">
        <v>60</v>
      </c>
      <c r="AP515" s="33" t="s">
        <v>61</v>
      </c>
      <c r="AQ515" s="21" t="s">
        <v>405</v>
      </c>
    </row>
    <row r="516" spans="1:43" ht="25.7" customHeight="1" x14ac:dyDescent="0.25">
      <c r="C516" s="34" t="s">
        <v>63</v>
      </c>
      <c r="D516" s="340" t="s">
        <v>64</v>
      </c>
      <c r="E516" s="341"/>
      <c r="F516" s="341"/>
      <c r="G516" s="341"/>
      <c r="H516" s="341"/>
      <c r="I516" s="341"/>
      <c r="J516" s="341"/>
      <c r="K516" s="341"/>
      <c r="L516" s="341"/>
      <c r="M516" s="341"/>
    </row>
    <row r="517" spans="1:43" x14ac:dyDescent="0.25">
      <c r="A517" s="29" t="s">
        <v>407</v>
      </c>
      <c r="B517" s="29" t="s">
        <v>403</v>
      </c>
      <c r="C517" s="29" t="s">
        <v>156</v>
      </c>
      <c r="D517" s="29" t="s">
        <v>2281</v>
      </c>
      <c r="E517" s="29" t="s">
        <v>58</v>
      </c>
      <c r="F517" s="30">
        <v>38.94</v>
      </c>
      <c r="G517" s="317">
        <v>0</v>
      </c>
      <c r="H517" s="30">
        <f>ROUND(F517*AE517,2)</f>
        <v>0</v>
      </c>
      <c r="I517" s="30">
        <f>J517-H517</f>
        <v>0</v>
      </c>
      <c r="J517" s="30">
        <f>ROUND(F517*G517,2)</f>
        <v>0</v>
      </c>
      <c r="K517" s="30">
        <v>2.0310000000000002E-2</v>
      </c>
      <c r="L517" s="30">
        <f>F517*K517</f>
        <v>0.7908714</v>
      </c>
      <c r="M517" s="258" t="s">
        <v>2291</v>
      </c>
      <c r="N517" s="31" t="s">
        <v>55</v>
      </c>
      <c r="O517" s="30">
        <f>IF(N517="5",I517,0)</f>
        <v>0</v>
      </c>
      <c r="Z517" s="30">
        <f>IF(AD517=0,J517,0)</f>
        <v>0</v>
      </c>
      <c r="AA517" s="30">
        <f>IF(AD517=15,J517,0)</f>
        <v>0</v>
      </c>
      <c r="AB517" s="30">
        <f>IF(AD517=21,J517,0)</f>
        <v>0</v>
      </c>
      <c r="AD517" s="32">
        <v>21</v>
      </c>
      <c r="AE517" s="32">
        <f>G517*0.423217647685695</f>
        <v>0</v>
      </c>
      <c r="AF517" s="32">
        <f>G517*(1-0.423217647685695)</f>
        <v>0</v>
      </c>
      <c r="AM517" s="32">
        <f>F517*AE517</f>
        <v>0</v>
      </c>
      <c r="AN517" s="32">
        <f>F517*AF517</f>
        <v>0</v>
      </c>
      <c r="AO517" s="33" t="s">
        <v>60</v>
      </c>
      <c r="AP517" s="33" t="s">
        <v>61</v>
      </c>
      <c r="AQ517" s="21" t="s">
        <v>405</v>
      </c>
    </row>
    <row r="518" spans="1:43" ht="25.7" customHeight="1" x14ac:dyDescent="0.25">
      <c r="C518" s="34" t="s">
        <v>63</v>
      </c>
      <c r="D518" s="340" t="s">
        <v>157</v>
      </c>
      <c r="E518" s="341"/>
      <c r="F518" s="341"/>
      <c r="G518" s="341"/>
      <c r="H518" s="341"/>
      <c r="I518" s="341"/>
      <c r="J518" s="341"/>
      <c r="K518" s="341"/>
      <c r="L518" s="341"/>
      <c r="M518" s="341"/>
    </row>
    <row r="519" spans="1:43" x14ac:dyDescent="0.25">
      <c r="A519" s="26"/>
      <c r="B519" s="27" t="s">
        <v>403</v>
      </c>
      <c r="C519" s="27" t="s">
        <v>68</v>
      </c>
      <c r="D519" s="338" t="s">
        <v>69</v>
      </c>
      <c r="E519" s="339"/>
      <c r="F519" s="339"/>
      <c r="G519" s="339"/>
      <c r="H519" s="28">
        <f>SUM(H520:H520)</f>
        <v>0</v>
      </c>
      <c r="I519" s="28">
        <f>SUM(I520:I520)</f>
        <v>0</v>
      </c>
      <c r="J519" s="28">
        <f>H519+I519</f>
        <v>0</v>
      </c>
      <c r="K519" s="21"/>
      <c r="L519" s="28">
        <f>SUM(L520:L520)</f>
        <v>1.7055248000000001</v>
      </c>
      <c r="M519" s="21"/>
      <c r="P519" s="28">
        <f>IF(Q519="PR",J519,SUM(O520:O520))</f>
        <v>0</v>
      </c>
      <c r="Q519" s="21" t="s">
        <v>54</v>
      </c>
      <c r="R519" s="28">
        <f>IF(Q519="HS",H519,0)</f>
        <v>0</v>
      </c>
      <c r="S519" s="28">
        <f>IF(Q519="HS",I519-P519,0)</f>
        <v>0</v>
      </c>
      <c r="T519" s="28">
        <f>IF(Q519="PS",H519,0)</f>
        <v>0</v>
      </c>
      <c r="U519" s="28">
        <f>IF(Q519="PS",I519-P519,0)</f>
        <v>0</v>
      </c>
      <c r="V519" s="28">
        <f>IF(Q519="MP",H519,0)</f>
        <v>0</v>
      </c>
      <c r="W519" s="28">
        <f>IF(Q519="MP",I519-P519,0)</f>
        <v>0</v>
      </c>
      <c r="X519" s="28">
        <f>IF(Q519="OM",H519,0)</f>
        <v>0</v>
      </c>
      <c r="Y519" s="21" t="s">
        <v>403</v>
      </c>
      <c r="AI519" s="28">
        <f>SUM(Z520:Z520)</f>
        <v>0</v>
      </c>
      <c r="AJ519" s="28">
        <f>SUM(AA520:AA520)</f>
        <v>0</v>
      </c>
      <c r="AK519" s="28">
        <f>SUM(AB520:AB520)</f>
        <v>0</v>
      </c>
    </row>
    <row r="520" spans="1:43" x14ac:dyDescent="0.25">
      <c r="A520" s="29" t="s">
        <v>408</v>
      </c>
      <c r="B520" s="29" t="s">
        <v>403</v>
      </c>
      <c r="C520" s="29" t="s">
        <v>70</v>
      </c>
      <c r="D520" s="29" t="s">
        <v>71</v>
      </c>
      <c r="E520" s="29" t="s">
        <v>58</v>
      </c>
      <c r="F520" s="30">
        <v>34.22</v>
      </c>
      <c r="G520" s="317">
        <v>0</v>
      </c>
      <c r="H520" s="30">
        <f>ROUND(F520*AE520,2)</f>
        <v>0</v>
      </c>
      <c r="I520" s="30">
        <f>J520-H520</f>
        <v>0</v>
      </c>
      <c r="J520" s="30">
        <f>ROUND(F520*G520,2)</f>
        <v>0</v>
      </c>
      <c r="K520" s="30">
        <v>4.9840000000000002E-2</v>
      </c>
      <c r="L520" s="30">
        <f>F520*K520</f>
        <v>1.7055248000000001</v>
      </c>
      <c r="M520" s="258" t="s">
        <v>2291</v>
      </c>
      <c r="N520" s="31" t="s">
        <v>59</v>
      </c>
      <c r="O520" s="30">
        <f>IF(N520="5",I520,0)</f>
        <v>0</v>
      </c>
      <c r="Z520" s="30">
        <f>IF(AD520=0,J520,0)</f>
        <v>0</v>
      </c>
      <c r="AA520" s="30">
        <f>IF(AD520=15,J520,0)</f>
        <v>0</v>
      </c>
      <c r="AB520" s="30">
        <f>IF(AD520=21,J520,0)</f>
        <v>0</v>
      </c>
      <c r="AD520" s="32">
        <v>21</v>
      </c>
      <c r="AE520" s="32">
        <f>G520*0.411768721414431</f>
        <v>0</v>
      </c>
      <c r="AF520" s="32">
        <f>G520*(1-0.411768721414431)</f>
        <v>0</v>
      </c>
      <c r="AM520" s="32">
        <f>F520*AE520</f>
        <v>0</v>
      </c>
      <c r="AN520" s="32">
        <f>F520*AF520</f>
        <v>0</v>
      </c>
      <c r="AO520" s="33" t="s">
        <v>72</v>
      </c>
      <c r="AP520" s="33" t="s">
        <v>61</v>
      </c>
      <c r="AQ520" s="21" t="s">
        <v>405</v>
      </c>
    </row>
    <row r="521" spans="1:43" x14ac:dyDescent="0.25">
      <c r="A521" s="26"/>
      <c r="B521" s="27" t="s">
        <v>403</v>
      </c>
      <c r="C521" s="27" t="s">
        <v>73</v>
      </c>
      <c r="D521" s="338" t="s">
        <v>74</v>
      </c>
      <c r="E521" s="339"/>
      <c r="F521" s="339"/>
      <c r="G521" s="339"/>
      <c r="H521" s="28">
        <f>SUM(H522:H522)</f>
        <v>0</v>
      </c>
      <c r="I521" s="28">
        <f>SUM(I522:I522)</f>
        <v>0</v>
      </c>
      <c r="J521" s="28">
        <f>H521+I521</f>
        <v>0</v>
      </c>
      <c r="K521" s="21"/>
      <c r="L521" s="28">
        <f>SUM(L522:L522)</f>
        <v>0.55094199999999993</v>
      </c>
      <c r="M521" s="21"/>
      <c r="P521" s="28">
        <f>IF(Q521="PR",J521,SUM(O522:O522))</f>
        <v>0</v>
      </c>
      <c r="Q521" s="21" t="s">
        <v>75</v>
      </c>
      <c r="R521" s="28">
        <f>IF(Q521="HS",H521,0)</f>
        <v>0</v>
      </c>
      <c r="S521" s="28">
        <f>IF(Q521="HS",I521-P521,0)</f>
        <v>0</v>
      </c>
      <c r="T521" s="28">
        <f>IF(Q521="PS",H521,0)</f>
        <v>0</v>
      </c>
      <c r="U521" s="28">
        <f>IF(Q521="PS",I521-P521,0)</f>
        <v>0</v>
      </c>
      <c r="V521" s="28">
        <f>IF(Q521="MP",H521,0)</f>
        <v>0</v>
      </c>
      <c r="W521" s="28">
        <f>IF(Q521="MP",I521-P521,0)</f>
        <v>0</v>
      </c>
      <c r="X521" s="28">
        <f>IF(Q521="OM",H521,0)</f>
        <v>0</v>
      </c>
      <c r="Y521" s="21" t="s">
        <v>403</v>
      </c>
      <c r="AI521" s="28">
        <f>SUM(Z522:Z522)</f>
        <v>0</v>
      </c>
      <c r="AJ521" s="28">
        <f>SUM(AA522:AA522)</f>
        <v>0</v>
      </c>
      <c r="AK521" s="28">
        <f>SUM(AB522:AB522)</f>
        <v>0</v>
      </c>
    </row>
    <row r="522" spans="1:43" x14ac:dyDescent="0.25">
      <c r="A522" s="29" t="s">
        <v>409</v>
      </c>
      <c r="B522" s="29" t="s">
        <v>403</v>
      </c>
      <c r="C522" s="29" t="s">
        <v>77</v>
      </c>
      <c r="D522" s="29" t="s">
        <v>2278</v>
      </c>
      <c r="E522" s="29" t="s">
        <v>58</v>
      </c>
      <c r="F522" s="30">
        <v>34.22</v>
      </c>
      <c r="G522" s="317">
        <v>0</v>
      </c>
      <c r="H522" s="30">
        <f>ROUND(F522*AE522,2)</f>
        <v>0</v>
      </c>
      <c r="I522" s="30">
        <f>J522-H522</f>
        <v>0</v>
      </c>
      <c r="J522" s="30">
        <f>ROUND(F522*G522,2)</f>
        <v>0</v>
      </c>
      <c r="K522" s="30">
        <v>1.61E-2</v>
      </c>
      <c r="L522" s="30">
        <f>F522*K522</f>
        <v>0.55094199999999993</v>
      </c>
      <c r="M522" s="258" t="s">
        <v>2291</v>
      </c>
      <c r="N522" s="31" t="s">
        <v>59</v>
      </c>
      <c r="O522" s="30">
        <f>IF(N522="5",I522,0)</f>
        <v>0</v>
      </c>
      <c r="Z522" s="30">
        <f>IF(AD522=0,J522,0)</f>
        <v>0</v>
      </c>
      <c r="AA522" s="30">
        <f>IF(AD522=15,J522,0)</f>
        <v>0</v>
      </c>
      <c r="AB522" s="30">
        <f>IF(AD522=21,J522,0)</f>
        <v>0</v>
      </c>
      <c r="AD522" s="32">
        <v>21</v>
      </c>
      <c r="AE522" s="32">
        <f>G522*0.787221324717286</f>
        <v>0</v>
      </c>
      <c r="AF522" s="32">
        <f>G522*(1-0.787221324717286)</f>
        <v>0</v>
      </c>
      <c r="AM522" s="32">
        <f>F522*AE522</f>
        <v>0</v>
      </c>
      <c r="AN522" s="32">
        <f>F522*AF522</f>
        <v>0</v>
      </c>
      <c r="AO522" s="33" t="s">
        <v>78</v>
      </c>
      <c r="AP522" s="33" t="s">
        <v>79</v>
      </c>
      <c r="AQ522" s="21" t="s">
        <v>405</v>
      </c>
    </row>
    <row r="523" spans="1:43" x14ac:dyDescent="0.25">
      <c r="C523" s="34" t="s">
        <v>63</v>
      </c>
      <c r="D523" s="340" t="s">
        <v>2280</v>
      </c>
      <c r="E523" s="341"/>
      <c r="F523" s="341"/>
      <c r="G523" s="341"/>
      <c r="H523" s="341"/>
      <c r="I523" s="341"/>
      <c r="J523" s="341"/>
      <c r="K523" s="341"/>
      <c r="L523" s="341"/>
      <c r="M523" s="341"/>
    </row>
    <row r="524" spans="1:43" x14ac:dyDescent="0.25">
      <c r="A524" s="26"/>
      <c r="B524" s="27" t="s">
        <v>403</v>
      </c>
      <c r="C524" s="27" t="s">
        <v>80</v>
      </c>
      <c r="D524" s="338" t="s">
        <v>81</v>
      </c>
      <c r="E524" s="339"/>
      <c r="F524" s="339"/>
      <c r="G524" s="339"/>
      <c r="H524" s="28">
        <f>SUM(H525:H525)</f>
        <v>0</v>
      </c>
      <c r="I524" s="28">
        <f>SUM(I525:I525)</f>
        <v>0</v>
      </c>
      <c r="J524" s="28">
        <f>H524+I524</f>
        <v>0</v>
      </c>
      <c r="K524" s="21"/>
      <c r="L524" s="28">
        <f>SUM(L525:L525)</f>
        <v>0.13893320000000001</v>
      </c>
      <c r="M524" s="21"/>
      <c r="P524" s="28">
        <f>IF(Q524="PR",J524,SUM(O525:O525))</f>
        <v>0</v>
      </c>
      <c r="Q524" s="21" t="s">
        <v>75</v>
      </c>
      <c r="R524" s="28">
        <f>IF(Q524="HS",H524,0)</f>
        <v>0</v>
      </c>
      <c r="S524" s="28">
        <f>IF(Q524="HS",I524-P524,0)</f>
        <v>0</v>
      </c>
      <c r="T524" s="28">
        <f>IF(Q524="PS",H524,0)</f>
        <v>0</v>
      </c>
      <c r="U524" s="28">
        <f>IF(Q524="PS",I524-P524,0)</f>
        <v>0</v>
      </c>
      <c r="V524" s="28">
        <f>IF(Q524="MP",H524,0)</f>
        <v>0</v>
      </c>
      <c r="W524" s="28">
        <f>IF(Q524="MP",I524-P524,0)</f>
        <v>0</v>
      </c>
      <c r="X524" s="28">
        <f>IF(Q524="OM",H524,0)</f>
        <v>0</v>
      </c>
      <c r="Y524" s="21" t="s">
        <v>403</v>
      </c>
      <c r="AI524" s="28">
        <f>SUM(Z525:Z525)</f>
        <v>0</v>
      </c>
      <c r="AJ524" s="28">
        <f>SUM(AA525:AA525)</f>
        <v>0</v>
      </c>
      <c r="AK524" s="28">
        <f>SUM(AB525:AB525)</f>
        <v>0</v>
      </c>
    </row>
    <row r="525" spans="1:43" x14ac:dyDescent="0.25">
      <c r="A525" s="29" t="s">
        <v>410</v>
      </c>
      <c r="B525" s="29" t="s">
        <v>403</v>
      </c>
      <c r="C525" s="29" t="s">
        <v>83</v>
      </c>
      <c r="D525" s="29" t="s">
        <v>84</v>
      </c>
      <c r="E525" s="29" t="s">
        <v>58</v>
      </c>
      <c r="F525" s="30">
        <v>34.22</v>
      </c>
      <c r="G525" s="317">
        <v>0</v>
      </c>
      <c r="H525" s="30">
        <f>ROUND(F525*AE525,2)</f>
        <v>0</v>
      </c>
      <c r="I525" s="30">
        <f>J525-H525</f>
        <v>0</v>
      </c>
      <c r="J525" s="30">
        <f>ROUND(F525*G525,2)</f>
        <v>0</v>
      </c>
      <c r="K525" s="30">
        <v>4.0600000000000002E-3</v>
      </c>
      <c r="L525" s="30">
        <f>F525*K525</f>
        <v>0.13893320000000001</v>
      </c>
      <c r="M525" s="258" t="s">
        <v>2291</v>
      </c>
      <c r="N525" s="31" t="s">
        <v>59</v>
      </c>
      <c r="O525" s="30">
        <f>IF(N525="5",I525,0)</f>
        <v>0</v>
      </c>
      <c r="Z525" s="30">
        <f>IF(AD525=0,J525,0)</f>
        <v>0</v>
      </c>
      <c r="AA525" s="30">
        <f>IF(AD525=15,J525,0)</f>
        <v>0</v>
      </c>
      <c r="AB525" s="30">
        <f>IF(AD525=21,J525,0)</f>
        <v>0</v>
      </c>
      <c r="AD525" s="32">
        <v>21</v>
      </c>
      <c r="AE525" s="32">
        <f>G525*0.67230605738576</f>
        <v>0</v>
      </c>
      <c r="AF525" s="32">
        <f>G525*(1-0.67230605738576)</f>
        <v>0</v>
      </c>
      <c r="AM525" s="32">
        <f>F525*AE525</f>
        <v>0</v>
      </c>
      <c r="AN525" s="32">
        <f>F525*AF525</f>
        <v>0</v>
      </c>
      <c r="AO525" s="33" t="s">
        <v>85</v>
      </c>
      <c r="AP525" s="33" t="s">
        <v>79</v>
      </c>
      <c r="AQ525" s="21" t="s">
        <v>405</v>
      </c>
    </row>
    <row r="526" spans="1:43" x14ac:dyDescent="0.25">
      <c r="A526" s="26"/>
      <c r="B526" s="27" t="s">
        <v>403</v>
      </c>
      <c r="C526" s="27" t="s">
        <v>86</v>
      </c>
      <c r="D526" s="338" t="s">
        <v>87</v>
      </c>
      <c r="E526" s="339"/>
      <c r="F526" s="339"/>
      <c r="G526" s="339"/>
      <c r="H526" s="28">
        <f>SUM(H527:H527)</f>
        <v>0</v>
      </c>
      <c r="I526" s="28">
        <f>SUM(I527:I527)</f>
        <v>0</v>
      </c>
      <c r="J526" s="28">
        <f>H526+I526</f>
        <v>0</v>
      </c>
      <c r="K526" s="21"/>
      <c r="L526" s="28">
        <f>SUM(L527:L527)</f>
        <v>2.16E-3</v>
      </c>
      <c r="M526" s="21"/>
      <c r="P526" s="28">
        <f>IF(Q526="PR",J526,SUM(O527:O527))</f>
        <v>0</v>
      </c>
      <c r="Q526" s="21" t="s">
        <v>75</v>
      </c>
      <c r="R526" s="28">
        <f>IF(Q526="HS",H526,0)</f>
        <v>0</v>
      </c>
      <c r="S526" s="28">
        <f>IF(Q526="HS",I526-P526,0)</f>
        <v>0</v>
      </c>
      <c r="T526" s="28">
        <f>IF(Q526="PS",H526,0)</f>
        <v>0</v>
      </c>
      <c r="U526" s="28">
        <f>IF(Q526="PS",I526-P526,0)</f>
        <v>0</v>
      </c>
      <c r="V526" s="28">
        <f>IF(Q526="MP",H526,0)</f>
        <v>0</v>
      </c>
      <c r="W526" s="28">
        <f>IF(Q526="MP",I526-P526,0)</f>
        <v>0</v>
      </c>
      <c r="X526" s="28">
        <f>IF(Q526="OM",H526,0)</f>
        <v>0</v>
      </c>
      <c r="Y526" s="21" t="s">
        <v>403</v>
      </c>
      <c r="AI526" s="28">
        <f>SUM(Z527:Z527)</f>
        <v>0</v>
      </c>
      <c r="AJ526" s="28">
        <f>SUM(AA527:AA527)</f>
        <v>0</v>
      </c>
      <c r="AK526" s="28">
        <f>SUM(AB527:AB527)</f>
        <v>0</v>
      </c>
    </row>
    <row r="527" spans="1:43" x14ac:dyDescent="0.25">
      <c r="A527" s="29" t="s">
        <v>411</v>
      </c>
      <c r="B527" s="29" t="s">
        <v>403</v>
      </c>
      <c r="C527" s="29" t="s">
        <v>89</v>
      </c>
      <c r="D527" s="29" t="s">
        <v>90</v>
      </c>
      <c r="E527" s="29" t="s">
        <v>58</v>
      </c>
      <c r="F527" s="30">
        <v>8</v>
      </c>
      <c r="G527" s="317">
        <v>0</v>
      </c>
      <c r="H527" s="30">
        <f>ROUND(F527*AE527,2)</f>
        <v>0</v>
      </c>
      <c r="I527" s="30">
        <f>J527-H527</f>
        <v>0</v>
      </c>
      <c r="J527" s="30">
        <f>ROUND(F527*G527,2)</f>
        <v>0</v>
      </c>
      <c r="K527" s="30">
        <v>2.7E-4</v>
      </c>
      <c r="L527" s="30">
        <f>F527*K527</f>
        <v>2.16E-3</v>
      </c>
      <c r="M527" s="258" t="s">
        <v>2291</v>
      </c>
      <c r="N527" s="31" t="s">
        <v>59</v>
      </c>
      <c r="O527" s="30">
        <f>IF(N527="5",I527,0)</f>
        <v>0</v>
      </c>
      <c r="Z527" s="30">
        <f>IF(AD527=0,J527,0)</f>
        <v>0</v>
      </c>
      <c r="AA527" s="30">
        <f>IF(AD527=15,J527,0)</f>
        <v>0</v>
      </c>
      <c r="AB527" s="30">
        <f>IF(AD527=21,J527,0)</f>
        <v>0</v>
      </c>
      <c r="AD527" s="32">
        <v>21</v>
      </c>
      <c r="AE527" s="32">
        <f>G527*0.186098187625859</f>
        <v>0</v>
      </c>
      <c r="AF527" s="32">
        <f>G527*(1-0.186098187625859)</f>
        <v>0</v>
      </c>
      <c r="AM527" s="32">
        <f>F527*AE527</f>
        <v>0</v>
      </c>
      <c r="AN527" s="32">
        <f>F527*AF527</f>
        <v>0</v>
      </c>
      <c r="AO527" s="33" t="s">
        <v>91</v>
      </c>
      <c r="AP527" s="33" t="s">
        <v>92</v>
      </c>
      <c r="AQ527" s="21" t="s">
        <v>405</v>
      </c>
    </row>
    <row r="528" spans="1:43" x14ac:dyDescent="0.25">
      <c r="A528" s="26"/>
      <c r="B528" s="27" t="s">
        <v>403</v>
      </c>
      <c r="C528" s="27" t="s">
        <v>93</v>
      </c>
      <c r="D528" s="338" t="s">
        <v>94</v>
      </c>
      <c r="E528" s="339"/>
      <c r="F528" s="339"/>
      <c r="G528" s="339"/>
      <c r="H528" s="28">
        <f>SUM(H529:H529)</f>
        <v>0</v>
      </c>
      <c r="I528" s="28">
        <f>SUM(I529:I529)</f>
        <v>0</v>
      </c>
      <c r="J528" s="28">
        <f>H528+I528</f>
        <v>0</v>
      </c>
      <c r="K528" s="21"/>
      <c r="L528" s="28">
        <f>SUM(L529:L529)</f>
        <v>7.2007000000000002E-2</v>
      </c>
      <c r="M528" s="21"/>
      <c r="P528" s="28">
        <f>IF(Q528="PR",J528,SUM(O529:O529))</f>
        <v>0</v>
      </c>
      <c r="Q528" s="21" t="s">
        <v>75</v>
      </c>
      <c r="R528" s="28">
        <f>IF(Q528="HS",H528,0)</f>
        <v>0</v>
      </c>
      <c r="S528" s="28">
        <f>IF(Q528="HS",I528-P528,0)</f>
        <v>0</v>
      </c>
      <c r="T528" s="28">
        <f>IF(Q528="PS",H528,0)</f>
        <v>0</v>
      </c>
      <c r="U528" s="28">
        <f>IF(Q528="PS",I528-P528,0)</f>
        <v>0</v>
      </c>
      <c r="V528" s="28">
        <f>IF(Q528="MP",H528,0)</f>
        <v>0</v>
      </c>
      <c r="W528" s="28">
        <f>IF(Q528="MP",I528-P528,0)</f>
        <v>0</v>
      </c>
      <c r="X528" s="28">
        <f>IF(Q528="OM",H528,0)</f>
        <v>0</v>
      </c>
      <c r="Y528" s="21" t="s">
        <v>403</v>
      </c>
      <c r="AI528" s="28">
        <f>SUM(Z529:Z529)</f>
        <v>0</v>
      </c>
      <c r="AJ528" s="28">
        <f>SUM(AA529:AA529)</f>
        <v>0</v>
      </c>
      <c r="AK528" s="28">
        <f>SUM(AB529:AB529)</f>
        <v>0</v>
      </c>
    </row>
    <row r="529" spans="1:43" x14ac:dyDescent="0.25">
      <c r="A529" s="29" t="s">
        <v>412</v>
      </c>
      <c r="B529" s="29" t="s">
        <v>403</v>
      </c>
      <c r="C529" s="29" t="s">
        <v>96</v>
      </c>
      <c r="D529" s="29" t="s">
        <v>97</v>
      </c>
      <c r="E529" s="29" t="s">
        <v>58</v>
      </c>
      <c r="F529" s="30">
        <v>110.78</v>
      </c>
      <c r="G529" s="317">
        <v>0</v>
      </c>
      <c r="H529" s="30">
        <f>ROUND(F529*AE529,2)</f>
        <v>0</v>
      </c>
      <c r="I529" s="30">
        <f>J529-H529</f>
        <v>0</v>
      </c>
      <c r="J529" s="30">
        <f>ROUND(F529*G529,2)</f>
        <v>0</v>
      </c>
      <c r="K529" s="30">
        <v>6.4999999999999997E-4</v>
      </c>
      <c r="L529" s="30">
        <f>F529*K529</f>
        <v>7.2007000000000002E-2</v>
      </c>
      <c r="M529" s="258" t="s">
        <v>2291</v>
      </c>
      <c r="N529" s="31" t="s">
        <v>59</v>
      </c>
      <c r="O529" s="30">
        <f>IF(N529="5",I529,0)</f>
        <v>0</v>
      </c>
      <c r="Z529" s="30">
        <f>IF(AD529=0,J529,0)</f>
        <v>0</v>
      </c>
      <c r="AA529" s="30">
        <f>IF(AD529=15,J529,0)</f>
        <v>0</v>
      </c>
      <c r="AB529" s="30">
        <f>IF(AD529=21,J529,0)</f>
        <v>0</v>
      </c>
      <c r="AD529" s="32">
        <v>21</v>
      </c>
      <c r="AE529" s="32">
        <f>G529*0.333747476316198</f>
        <v>0</v>
      </c>
      <c r="AF529" s="32">
        <f>G529*(1-0.333747476316198)</f>
        <v>0</v>
      </c>
      <c r="AM529" s="32">
        <f>F529*AE529</f>
        <v>0</v>
      </c>
      <c r="AN529" s="32">
        <f>F529*AF529</f>
        <v>0</v>
      </c>
      <c r="AO529" s="33" t="s">
        <v>98</v>
      </c>
      <c r="AP529" s="33" t="s">
        <v>92</v>
      </c>
      <c r="AQ529" s="21" t="s">
        <v>405</v>
      </c>
    </row>
    <row r="530" spans="1:43" x14ac:dyDescent="0.25">
      <c r="A530" s="26"/>
      <c r="B530" s="27" t="s">
        <v>403</v>
      </c>
      <c r="C530" s="27" t="s">
        <v>99</v>
      </c>
      <c r="D530" s="338" t="s">
        <v>100</v>
      </c>
      <c r="E530" s="339"/>
      <c r="F530" s="339"/>
      <c r="G530" s="339"/>
      <c r="H530" s="28">
        <f>SUM(H531:H531)</f>
        <v>0</v>
      </c>
      <c r="I530" s="28">
        <f>SUM(I531:I531)</f>
        <v>0</v>
      </c>
      <c r="J530" s="28">
        <f>H530+I530</f>
        <v>0</v>
      </c>
      <c r="K530" s="21"/>
      <c r="L530" s="28">
        <f>SUM(L531:L531)</f>
        <v>0</v>
      </c>
      <c r="M530" s="21"/>
      <c r="P530" s="28">
        <f>IF(Q530="PR",J530,SUM(O531:O531))</f>
        <v>0</v>
      </c>
      <c r="Q530" s="21" t="s">
        <v>54</v>
      </c>
      <c r="R530" s="28">
        <f>IF(Q530="HS",H530,0)</f>
        <v>0</v>
      </c>
      <c r="S530" s="28">
        <f>IF(Q530="HS",I530-P530,0)</f>
        <v>0</v>
      </c>
      <c r="T530" s="28">
        <f>IF(Q530="PS",H530,0)</f>
        <v>0</v>
      </c>
      <c r="U530" s="28">
        <f>IF(Q530="PS",I530-P530,0)</f>
        <v>0</v>
      </c>
      <c r="V530" s="28">
        <f>IF(Q530="MP",H530,0)</f>
        <v>0</v>
      </c>
      <c r="W530" s="28">
        <f>IF(Q530="MP",I530-P530,0)</f>
        <v>0</v>
      </c>
      <c r="X530" s="28">
        <f>IF(Q530="OM",H530,0)</f>
        <v>0</v>
      </c>
      <c r="Y530" s="21" t="s">
        <v>403</v>
      </c>
      <c r="AI530" s="28">
        <f>SUM(Z531:Z531)</f>
        <v>0</v>
      </c>
      <c r="AJ530" s="28">
        <f>SUM(AA531:AA531)</f>
        <v>0</v>
      </c>
      <c r="AK530" s="28">
        <f>SUM(AB531:AB531)</f>
        <v>0</v>
      </c>
    </row>
    <row r="531" spans="1:43" x14ac:dyDescent="0.25">
      <c r="A531" s="29" t="s">
        <v>413</v>
      </c>
      <c r="B531" s="29" t="s">
        <v>403</v>
      </c>
      <c r="C531" s="29" t="s">
        <v>102</v>
      </c>
      <c r="D531" s="29" t="s">
        <v>103</v>
      </c>
      <c r="E531" s="29" t="s">
        <v>104</v>
      </c>
      <c r="F531" s="30">
        <v>4.8</v>
      </c>
      <c r="G531" s="317">
        <v>0</v>
      </c>
      <c r="H531" s="30">
        <f>ROUND(F531*AE531,2)</f>
        <v>0</v>
      </c>
      <c r="I531" s="30">
        <f>J531-H531</f>
        <v>0</v>
      </c>
      <c r="J531" s="30">
        <f>ROUND(F531*G531,2)</f>
        <v>0</v>
      </c>
      <c r="K531" s="30">
        <v>0</v>
      </c>
      <c r="L531" s="30">
        <f>F531*K531</f>
        <v>0</v>
      </c>
      <c r="M531" s="258" t="s">
        <v>2291</v>
      </c>
      <c r="N531" s="31" t="s">
        <v>55</v>
      </c>
      <c r="O531" s="30">
        <f>IF(N531="5",I531,0)</f>
        <v>0</v>
      </c>
      <c r="Z531" s="30">
        <f>IF(AD531=0,J531,0)</f>
        <v>0</v>
      </c>
      <c r="AA531" s="30">
        <f>IF(AD531=15,J531,0)</f>
        <v>0</v>
      </c>
      <c r="AB531" s="30">
        <f>IF(AD531=21,J531,0)</f>
        <v>0</v>
      </c>
      <c r="AD531" s="32">
        <v>21</v>
      </c>
      <c r="AE531" s="32">
        <f>G531*0</f>
        <v>0</v>
      </c>
      <c r="AF531" s="32">
        <f>G531*(1-0)</f>
        <v>0</v>
      </c>
      <c r="AM531" s="32">
        <f>F531*AE531</f>
        <v>0</v>
      </c>
      <c r="AN531" s="32">
        <f>F531*AF531</f>
        <v>0</v>
      </c>
      <c r="AO531" s="33" t="s">
        <v>105</v>
      </c>
      <c r="AP531" s="33" t="s">
        <v>106</v>
      </c>
      <c r="AQ531" s="21" t="s">
        <v>405</v>
      </c>
    </row>
    <row r="532" spans="1:43" x14ac:dyDescent="0.25">
      <c r="C532" s="34" t="s">
        <v>63</v>
      </c>
      <c r="D532" s="340" t="s">
        <v>107</v>
      </c>
      <c r="E532" s="341"/>
      <c r="F532" s="341"/>
      <c r="G532" s="341"/>
      <c r="H532" s="341"/>
      <c r="I532" s="341"/>
      <c r="J532" s="341"/>
      <c r="K532" s="341"/>
      <c r="L532" s="341"/>
      <c r="M532" s="341"/>
    </row>
    <row r="533" spans="1:43" x14ac:dyDescent="0.25">
      <c r="A533" s="26"/>
      <c r="B533" s="27" t="s">
        <v>414</v>
      </c>
      <c r="C533" s="27"/>
      <c r="D533" s="338" t="s">
        <v>414</v>
      </c>
      <c r="E533" s="339"/>
      <c r="F533" s="339"/>
      <c r="G533" s="339"/>
      <c r="H533" s="28">
        <f>H534+H541+H543+H546+H548+H550+H552</f>
        <v>0</v>
      </c>
      <c r="I533" s="28">
        <f>I534+I541+I543+I546+I548+I550+I552</f>
        <v>0</v>
      </c>
      <c r="J533" s="28">
        <f>H533+I533</f>
        <v>0</v>
      </c>
      <c r="K533" s="21"/>
      <c r="L533" s="28">
        <f>L534+L541+L543+L546+L548+L550+L552</f>
        <v>2.3307321000000001</v>
      </c>
      <c r="M533" s="21"/>
    </row>
    <row r="534" spans="1:43" x14ac:dyDescent="0.25">
      <c r="A534" s="26"/>
      <c r="B534" s="27" t="s">
        <v>414</v>
      </c>
      <c r="C534" s="27" t="s">
        <v>52</v>
      </c>
      <c r="D534" s="338" t="s">
        <v>53</v>
      </c>
      <c r="E534" s="339"/>
      <c r="F534" s="339"/>
      <c r="G534" s="339"/>
      <c r="H534" s="28">
        <f>SUM(H535:H539)</f>
        <v>0</v>
      </c>
      <c r="I534" s="28">
        <f>SUM(I535:I539)</f>
        <v>0</v>
      </c>
      <c r="J534" s="28">
        <f>H534+I534</f>
        <v>0</v>
      </c>
      <c r="K534" s="21"/>
      <c r="L534" s="28">
        <f>SUM(L535:L539)</f>
        <v>1.1261600999999999</v>
      </c>
      <c r="M534" s="21"/>
      <c r="P534" s="28">
        <f>IF(Q534="PR",J534,SUM(O535:O539))</f>
        <v>0</v>
      </c>
      <c r="Q534" s="21" t="s">
        <v>54</v>
      </c>
      <c r="R534" s="28">
        <f>IF(Q534="HS",H534,0)</f>
        <v>0</v>
      </c>
      <c r="S534" s="28">
        <f>IF(Q534="HS",I534-P534,0)</f>
        <v>0</v>
      </c>
      <c r="T534" s="28">
        <f>IF(Q534="PS",H534,0)</f>
        <v>0</v>
      </c>
      <c r="U534" s="28">
        <f>IF(Q534="PS",I534-P534,0)</f>
        <v>0</v>
      </c>
      <c r="V534" s="28">
        <f>IF(Q534="MP",H534,0)</f>
        <v>0</v>
      </c>
      <c r="W534" s="28">
        <f>IF(Q534="MP",I534-P534,0)</f>
        <v>0</v>
      </c>
      <c r="X534" s="28">
        <f>IF(Q534="OM",H534,0)</f>
        <v>0</v>
      </c>
      <c r="Y534" s="21" t="s">
        <v>414</v>
      </c>
      <c r="AI534" s="28">
        <f>SUM(Z535:Z539)</f>
        <v>0</v>
      </c>
      <c r="AJ534" s="28">
        <f>SUM(AA535:AA539)</f>
        <v>0</v>
      </c>
      <c r="AK534" s="28">
        <f>SUM(AB535:AB539)</f>
        <v>0</v>
      </c>
    </row>
    <row r="535" spans="1:43" x14ac:dyDescent="0.25">
      <c r="A535" s="29" t="s">
        <v>415</v>
      </c>
      <c r="B535" s="29" t="s">
        <v>414</v>
      </c>
      <c r="C535" s="29" t="s">
        <v>56</v>
      </c>
      <c r="D535" s="29" t="s">
        <v>57</v>
      </c>
      <c r="E535" s="29" t="s">
        <v>58</v>
      </c>
      <c r="F535" s="30">
        <v>56.76</v>
      </c>
      <c r="G535" s="317">
        <v>0</v>
      </c>
      <c r="H535" s="30">
        <f>ROUND(F535*AE535,2)</f>
        <v>0</v>
      </c>
      <c r="I535" s="30">
        <f>J535-H535</f>
        <v>0</v>
      </c>
      <c r="J535" s="30">
        <f>ROUND(F535*G535,2)</f>
        <v>0</v>
      </c>
      <c r="K535" s="30">
        <v>1.001E-2</v>
      </c>
      <c r="L535" s="30">
        <f>F535*K535</f>
        <v>0.56816759999999999</v>
      </c>
      <c r="M535" s="258" t="s">
        <v>2291</v>
      </c>
      <c r="N535" s="31" t="s">
        <v>59</v>
      </c>
      <c r="O535" s="30">
        <f>IF(N535="5",I535,0)</f>
        <v>0</v>
      </c>
      <c r="Z535" s="30">
        <f>IF(AD535=0,J535,0)</f>
        <v>0</v>
      </c>
      <c r="AA535" s="30">
        <f>IF(AD535=15,J535,0)</f>
        <v>0</v>
      </c>
      <c r="AB535" s="30">
        <f>IF(AD535=21,J535,0)</f>
        <v>0</v>
      </c>
      <c r="AD535" s="32">
        <v>21</v>
      </c>
      <c r="AE535" s="32">
        <f>G535*0.0756575801052128</f>
        <v>0</v>
      </c>
      <c r="AF535" s="32">
        <f>G535*(1-0.0756575801052128)</f>
        <v>0</v>
      </c>
      <c r="AM535" s="32">
        <f>F535*AE535</f>
        <v>0</v>
      </c>
      <c r="AN535" s="32">
        <f>F535*AF535</f>
        <v>0</v>
      </c>
      <c r="AO535" s="33" t="s">
        <v>60</v>
      </c>
      <c r="AP535" s="33" t="s">
        <v>61</v>
      </c>
      <c r="AQ535" s="21" t="s">
        <v>416</v>
      </c>
    </row>
    <row r="536" spans="1:43" ht="25.7" customHeight="1" x14ac:dyDescent="0.25">
      <c r="C536" s="34" t="s">
        <v>63</v>
      </c>
      <c r="D536" s="340" t="s">
        <v>64</v>
      </c>
      <c r="E536" s="341"/>
      <c r="F536" s="341"/>
      <c r="G536" s="341"/>
      <c r="H536" s="341"/>
      <c r="I536" s="341"/>
      <c r="J536" s="341"/>
      <c r="K536" s="341"/>
      <c r="L536" s="341"/>
      <c r="M536" s="341"/>
    </row>
    <row r="537" spans="1:43" x14ac:dyDescent="0.25">
      <c r="A537" s="29" t="s">
        <v>417</v>
      </c>
      <c r="B537" s="29" t="s">
        <v>414</v>
      </c>
      <c r="C537" s="29" t="s">
        <v>66</v>
      </c>
      <c r="D537" s="29" t="s">
        <v>67</v>
      </c>
      <c r="E537" s="29" t="s">
        <v>58</v>
      </c>
      <c r="F537" s="30">
        <v>16.52</v>
      </c>
      <c r="G537" s="317">
        <v>0</v>
      </c>
      <c r="H537" s="30">
        <f>ROUND(F537*AE537,2)</f>
        <v>0</v>
      </c>
      <c r="I537" s="30">
        <f>J537-H537</f>
        <v>0</v>
      </c>
      <c r="J537" s="30">
        <f>ROUND(F537*G537,2)</f>
        <v>0</v>
      </c>
      <c r="K537" s="30">
        <v>9.8399999999999998E-3</v>
      </c>
      <c r="L537" s="30">
        <f>F537*K537</f>
        <v>0.1625568</v>
      </c>
      <c r="M537" s="258" t="s">
        <v>2291</v>
      </c>
      <c r="N537" s="31" t="s">
        <v>59</v>
      </c>
      <c r="O537" s="30">
        <f>IF(N537="5",I537,0)</f>
        <v>0</v>
      </c>
      <c r="Z537" s="30">
        <f>IF(AD537=0,J537,0)</f>
        <v>0</v>
      </c>
      <c r="AA537" s="30">
        <f>IF(AD537=15,J537,0)</f>
        <v>0</v>
      </c>
      <c r="AB537" s="30">
        <f>IF(AD537=21,J537,0)</f>
        <v>0</v>
      </c>
      <c r="AD537" s="32">
        <v>21</v>
      </c>
      <c r="AE537" s="32">
        <f>G537*0.160304682766381</f>
        <v>0</v>
      </c>
      <c r="AF537" s="32">
        <f>G537*(1-0.160304682766381)</f>
        <v>0</v>
      </c>
      <c r="AM537" s="32">
        <f>F537*AE537</f>
        <v>0</v>
      </c>
      <c r="AN537" s="32">
        <f>F537*AF537</f>
        <v>0</v>
      </c>
      <c r="AO537" s="33" t="s">
        <v>60</v>
      </c>
      <c r="AP537" s="33" t="s">
        <v>61</v>
      </c>
      <c r="AQ537" s="21" t="s">
        <v>416</v>
      </c>
    </row>
    <row r="538" spans="1:43" ht="25.7" customHeight="1" x14ac:dyDescent="0.25">
      <c r="C538" s="34" t="s">
        <v>63</v>
      </c>
      <c r="D538" s="340" t="s">
        <v>64</v>
      </c>
      <c r="E538" s="341"/>
      <c r="F538" s="341"/>
      <c r="G538" s="341"/>
      <c r="H538" s="341"/>
      <c r="I538" s="341"/>
      <c r="J538" s="341"/>
      <c r="K538" s="341"/>
      <c r="L538" s="341"/>
      <c r="M538" s="341"/>
    </row>
    <row r="539" spans="1:43" x14ac:dyDescent="0.25">
      <c r="A539" s="29" t="s">
        <v>418</v>
      </c>
      <c r="B539" s="29" t="s">
        <v>414</v>
      </c>
      <c r="C539" s="29" t="s">
        <v>156</v>
      </c>
      <c r="D539" s="29" t="s">
        <v>2281</v>
      </c>
      <c r="E539" s="29" t="s">
        <v>58</v>
      </c>
      <c r="F539" s="30">
        <v>19.47</v>
      </c>
      <c r="G539" s="317">
        <v>0</v>
      </c>
      <c r="H539" s="30">
        <f>ROUND(F539*AE539,2)</f>
        <v>0</v>
      </c>
      <c r="I539" s="30">
        <f>J539-H539</f>
        <v>0</v>
      </c>
      <c r="J539" s="30">
        <f>ROUND(F539*G539,2)</f>
        <v>0</v>
      </c>
      <c r="K539" s="30">
        <v>2.0310000000000002E-2</v>
      </c>
      <c r="L539" s="30">
        <f>F539*K539</f>
        <v>0.3954357</v>
      </c>
      <c r="M539" s="258" t="s">
        <v>2291</v>
      </c>
      <c r="N539" s="31" t="s">
        <v>55</v>
      </c>
      <c r="O539" s="30">
        <f>IF(N539="5",I539,0)</f>
        <v>0</v>
      </c>
      <c r="Z539" s="30">
        <f>IF(AD539=0,J539,0)</f>
        <v>0</v>
      </c>
      <c r="AA539" s="30">
        <f>IF(AD539=15,J539,0)</f>
        <v>0</v>
      </c>
      <c r="AB539" s="30">
        <f>IF(AD539=21,J539,0)</f>
        <v>0</v>
      </c>
      <c r="AD539" s="32">
        <v>21</v>
      </c>
      <c r="AE539" s="32">
        <f>G539*0.423217647685695</f>
        <v>0</v>
      </c>
      <c r="AF539" s="32">
        <f>G539*(1-0.423217647685695)</f>
        <v>0</v>
      </c>
      <c r="AM539" s="32">
        <f>F539*AE539</f>
        <v>0</v>
      </c>
      <c r="AN539" s="32">
        <f>F539*AF539</f>
        <v>0</v>
      </c>
      <c r="AO539" s="33" t="s">
        <v>60</v>
      </c>
      <c r="AP539" s="33" t="s">
        <v>61</v>
      </c>
      <c r="AQ539" s="21" t="s">
        <v>416</v>
      </c>
    </row>
    <row r="540" spans="1:43" ht="25.7" customHeight="1" x14ac:dyDescent="0.25">
      <c r="C540" s="34" t="s">
        <v>63</v>
      </c>
      <c r="D540" s="340" t="s">
        <v>157</v>
      </c>
      <c r="E540" s="341"/>
      <c r="F540" s="341"/>
      <c r="G540" s="341"/>
      <c r="H540" s="341"/>
      <c r="I540" s="341"/>
      <c r="J540" s="341"/>
      <c r="K540" s="341"/>
      <c r="L540" s="341"/>
      <c r="M540" s="341"/>
    </row>
    <row r="541" spans="1:43" x14ac:dyDescent="0.25">
      <c r="A541" s="26"/>
      <c r="B541" s="27" t="s">
        <v>414</v>
      </c>
      <c r="C541" s="27" t="s">
        <v>68</v>
      </c>
      <c r="D541" s="338" t="s">
        <v>69</v>
      </c>
      <c r="E541" s="339"/>
      <c r="F541" s="339"/>
      <c r="G541" s="339"/>
      <c r="H541" s="28">
        <f>SUM(H542:H542)</f>
        <v>0</v>
      </c>
      <c r="I541" s="28">
        <f>SUM(I542:I542)</f>
        <v>0</v>
      </c>
      <c r="J541" s="28">
        <f>H541+I541</f>
        <v>0</v>
      </c>
      <c r="K541" s="21"/>
      <c r="L541" s="28">
        <f>SUM(L542:L542)</f>
        <v>0.8233568</v>
      </c>
      <c r="M541" s="21"/>
      <c r="P541" s="28">
        <f>IF(Q541="PR",J541,SUM(O542:O542))</f>
        <v>0</v>
      </c>
      <c r="Q541" s="21" t="s">
        <v>54</v>
      </c>
      <c r="R541" s="28">
        <f>IF(Q541="HS",H541,0)</f>
        <v>0</v>
      </c>
      <c r="S541" s="28">
        <f>IF(Q541="HS",I541-P541,0)</f>
        <v>0</v>
      </c>
      <c r="T541" s="28">
        <f>IF(Q541="PS",H541,0)</f>
        <v>0</v>
      </c>
      <c r="U541" s="28">
        <f>IF(Q541="PS",I541-P541,0)</f>
        <v>0</v>
      </c>
      <c r="V541" s="28">
        <f>IF(Q541="MP",H541,0)</f>
        <v>0</v>
      </c>
      <c r="W541" s="28">
        <f>IF(Q541="MP",I541-P541,0)</f>
        <v>0</v>
      </c>
      <c r="X541" s="28">
        <f>IF(Q541="OM",H541,0)</f>
        <v>0</v>
      </c>
      <c r="Y541" s="21" t="s">
        <v>414</v>
      </c>
      <c r="AI541" s="28">
        <f>SUM(Z542:Z542)</f>
        <v>0</v>
      </c>
      <c r="AJ541" s="28">
        <f>SUM(AA542:AA542)</f>
        <v>0</v>
      </c>
      <c r="AK541" s="28">
        <f>SUM(AB542:AB542)</f>
        <v>0</v>
      </c>
    </row>
    <row r="542" spans="1:43" x14ac:dyDescent="0.25">
      <c r="A542" s="29" t="s">
        <v>419</v>
      </c>
      <c r="B542" s="29" t="s">
        <v>414</v>
      </c>
      <c r="C542" s="29" t="s">
        <v>70</v>
      </c>
      <c r="D542" s="29" t="s">
        <v>71</v>
      </c>
      <c r="E542" s="29" t="s">
        <v>58</v>
      </c>
      <c r="F542" s="30">
        <v>16.52</v>
      </c>
      <c r="G542" s="317">
        <v>0</v>
      </c>
      <c r="H542" s="30">
        <f>ROUND(F542*AE542,2)</f>
        <v>0</v>
      </c>
      <c r="I542" s="30">
        <f>J542-H542</f>
        <v>0</v>
      </c>
      <c r="J542" s="30">
        <f>ROUND(F542*G542,2)</f>
        <v>0</v>
      </c>
      <c r="K542" s="30">
        <v>4.9840000000000002E-2</v>
      </c>
      <c r="L542" s="30">
        <f>F542*K542</f>
        <v>0.8233568</v>
      </c>
      <c r="M542" s="258" t="s">
        <v>2291</v>
      </c>
      <c r="N542" s="31" t="s">
        <v>59</v>
      </c>
      <c r="O542" s="30">
        <f>IF(N542="5",I542,0)</f>
        <v>0</v>
      </c>
      <c r="Z542" s="30">
        <f>IF(AD542=0,J542,0)</f>
        <v>0</v>
      </c>
      <c r="AA542" s="30">
        <f>IF(AD542=15,J542,0)</f>
        <v>0</v>
      </c>
      <c r="AB542" s="30">
        <f>IF(AD542=21,J542,0)</f>
        <v>0</v>
      </c>
      <c r="AD542" s="32">
        <v>21</v>
      </c>
      <c r="AE542" s="32">
        <f>G542*0.411768721414431</f>
        <v>0</v>
      </c>
      <c r="AF542" s="32">
        <f>G542*(1-0.411768721414431)</f>
        <v>0</v>
      </c>
      <c r="AM542" s="32">
        <f>F542*AE542</f>
        <v>0</v>
      </c>
      <c r="AN542" s="32">
        <f>F542*AF542</f>
        <v>0</v>
      </c>
      <c r="AO542" s="33" t="s">
        <v>72</v>
      </c>
      <c r="AP542" s="33" t="s">
        <v>61</v>
      </c>
      <c r="AQ542" s="21" t="s">
        <v>416</v>
      </c>
    </row>
    <row r="543" spans="1:43" x14ac:dyDescent="0.25">
      <c r="A543" s="26"/>
      <c r="B543" s="27" t="s">
        <v>414</v>
      </c>
      <c r="C543" s="27" t="s">
        <v>73</v>
      </c>
      <c r="D543" s="338" t="s">
        <v>74</v>
      </c>
      <c r="E543" s="339"/>
      <c r="F543" s="339"/>
      <c r="G543" s="339"/>
      <c r="H543" s="28">
        <f>SUM(H544:H544)</f>
        <v>0</v>
      </c>
      <c r="I543" s="28">
        <f>SUM(I544:I544)</f>
        <v>0</v>
      </c>
      <c r="J543" s="28">
        <f>H543+I543</f>
        <v>0</v>
      </c>
      <c r="K543" s="21"/>
      <c r="L543" s="28">
        <f>SUM(L544:L544)</f>
        <v>0.26597199999999999</v>
      </c>
      <c r="M543" s="21"/>
      <c r="P543" s="28">
        <f>IF(Q543="PR",J543,SUM(O544:O544))</f>
        <v>0</v>
      </c>
      <c r="Q543" s="21" t="s">
        <v>75</v>
      </c>
      <c r="R543" s="28">
        <f>IF(Q543="HS",H543,0)</f>
        <v>0</v>
      </c>
      <c r="S543" s="28">
        <f>IF(Q543="HS",I543-P543,0)</f>
        <v>0</v>
      </c>
      <c r="T543" s="28">
        <f>IF(Q543="PS",H543,0)</f>
        <v>0</v>
      </c>
      <c r="U543" s="28">
        <f>IF(Q543="PS",I543-P543,0)</f>
        <v>0</v>
      </c>
      <c r="V543" s="28">
        <f>IF(Q543="MP",H543,0)</f>
        <v>0</v>
      </c>
      <c r="W543" s="28">
        <f>IF(Q543="MP",I543-P543,0)</f>
        <v>0</v>
      </c>
      <c r="X543" s="28">
        <f>IF(Q543="OM",H543,0)</f>
        <v>0</v>
      </c>
      <c r="Y543" s="21" t="s">
        <v>414</v>
      </c>
      <c r="AI543" s="28">
        <f>SUM(Z544:Z544)</f>
        <v>0</v>
      </c>
      <c r="AJ543" s="28">
        <f>SUM(AA544:AA544)</f>
        <v>0</v>
      </c>
      <c r="AK543" s="28">
        <f>SUM(AB544:AB544)</f>
        <v>0</v>
      </c>
    </row>
    <row r="544" spans="1:43" x14ac:dyDescent="0.25">
      <c r="A544" s="29" t="s">
        <v>420</v>
      </c>
      <c r="B544" s="29" t="s">
        <v>414</v>
      </c>
      <c r="C544" s="29" t="s">
        <v>77</v>
      </c>
      <c r="D544" s="29" t="s">
        <v>2278</v>
      </c>
      <c r="E544" s="29" t="s">
        <v>58</v>
      </c>
      <c r="F544" s="30">
        <v>16.52</v>
      </c>
      <c r="G544" s="317">
        <v>0</v>
      </c>
      <c r="H544" s="30">
        <f>ROUND(F544*AE544,2)</f>
        <v>0</v>
      </c>
      <c r="I544" s="30">
        <f>J544-H544</f>
        <v>0</v>
      </c>
      <c r="J544" s="30">
        <f>ROUND(F544*G544,2)</f>
        <v>0</v>
      </c>
      <c r="K544" s="30">
        <v>1.61E-2</v>
      </c>
      <c r="L544" s="30">
        <f>F544*K544</f>
        <v>0.26597199999999999</v>
      </c>
      <c r="M544" s="258" t="s">
        <v>2291</v>
      </c>
      <c r="N544" s="31" t="s">
        <v>59</v>
      </c>
      <c r="O544" s="30">
        <f>IF(N544="5",I544,0)</f>
        <v>0</v>
      </c>
      <c r="Z544" s="30">
        <f>IF(AD544=0,J544,0)</f>
        <v>0</v>
      </c>
      <c r="AA544" s="30">
        <f>IF(AD544=15,J544,0)</f>
        <v>0</v>
      </c>
      <c r="AB544" s="30">
        <f>IF(AD544=21,J544,0)</f>
        <v>0</v>
      </c>
      <c r="AD544" s="32">
        <v>21</v>
      </c>
      <c r="AE544" s="32">
        <f>G544*0.787221324717286</f>
        <v>0</v>
      </c>
      <c r="AF544" s="32">
        <f>G544*(1-0.787221324717286)</f>
        <v>0</v>
      </c>
      <c r="AM544" s="32">
        <f>F544*AE544</f>
        <v>0</v>
      </c>
      <c r="AN544" s="32">
        <f>F544*AF544</f>
        <v>0</v>
      </c>
      <c r="AO544" s="33" t="s">
        <v>78</v>
      </c>
      <c r="AP544" s="33" t="s">
        <v>79</v>
      </c>
      <c r="AQ544" s="21" t="s">
        <v>416</v>
      </c>
    </row>
    <row r="545" spans="1:43" x14ac:dyDescent="0.25">
      <c r="C545" s="34" t="s">
        <v>63</v>
      </c>
      <c r="D545" s="340" t="s">
        <v>2280</v>
      </c>
      <c r="E545" s="341"/>
      <c r="F545" s="341"/>
      <c r="G545" s="341"/>
      <c r="H545" s="341"/>
      <c r="I545" s="341"/>
      <c r="J545" s="341"/>
      <c r="K545" s="341"/>
      <c r="L545" s="341"/>
      <c r="M545" s="341"/>
    </row>
    <row r="546" spans="1:43" x14ac:dyDescent="0.25">
      <c r="A546" s="26"/>
      <c r="B546" s="27" t="s">
        <v>414</v>
      </c>
      <c r="C546" s="27" t="s">
        <v>80</v>
      </c>
      <c r="D546" s="338" t="s">
        <v>81</v>
      </c>
      <c r="E546" s="339"/>
      <c r="F546" s="339"/>
      <c r="G546" s="339"/>
      <c r="H546" s="28">
        <f>SUM(H547:H547)</f>
        <v>0</v>
      </c>
      <c r="I546" s="28">
        <f>SUM(I547:I547)</f>
        <v>0</v>
      </c>
      <c r="J546" s="28">
        <f>H546+I546</f>
        <v>0</v>
      </c>
      <c r="K546" s="21"/>
      <c r="L546" s="28">
        <f>SUM(L547:L547)</f>
        <v>6.7071199999999997E-2</v>
      </c>
      <c r="M546" s="21"/>
      <c r="P546" s="28">
        <f>IF(Q546="PR",J546,SUM(O547:O547))</f>
        <v>0</v>
      </c>
      <c r="Q546" s="21" t="s">
        <v>75</v>
      </c>
      <c r="R546" s="28">
        <f>IF(Q546="HS",H546,0)</f>
        <v>0</v>
      </c>
      <c r="S546" s="28">
        <f>IF(Q546="HS",I546-P546,0)</f>
        <v>0</v>
      </c>
      <c r="T546" s="28">
        <f>IF(Q546="PS",H546,0)</f>
        <v>0</v>
      </c>
      <c r="U546" s="28">
        <f>IF(Q546="PS",I546-P546,0)</f>
        <v>0</v>
      </c>
      <c r="V546" s="28">
        <f>IF(Q546="MP",H546,0)</f>
        <v>0</v>
      </c>
      <c r="W546" s="28">
        <f>IF(Q546="MP",I546-P546,0)</f>
        <v>0</v>
      </c>
      <c r="X546" s="28">
        <f>IF(Q546="OM",H546,0)</f>
        <v>0</v>
      </c>
      <c r="Y546" s="21" t="s">
        <v>414</v>
      </c>
      <c r="AI546" s="28">
        <f>SUM(Z547:Z547)</f>
        <v>0</v>
      </c>
      <c r="AJ546" s="28">
        <f>SUM(AA547:AA547)</f>
        <v>0</v>
      </c>
      <c r="AK546" s="28">
        <f>SUM(AB547:AB547)</f>
        <v>0</v>
      </c>
    </row>
    <row r="547" spans="1:43" x14ac:dyDescent="0.25">
      <c r="A547" s="29" t="s">
        <v>421</v>
      </c>
      <c r="B547" s="29" t="s">
        <v>414</v>
      </c>
      <c r="C547" s="29" t="s">
        <v>83</v>
      </c>
      <c r="D547" s="29" t="s">
        <v>84</v>
      </c>
      <c r="E547" s="29" t="s">
        <v>58</v>
      </c>
      <c r="F547" s="30">
        <v>16.52</v>
      </c>
      <c r="G547" s="317">
        <v>0</v>
      </c>
      <c r="H547" s="30">
        <f>ROUND(F547*AE547,2)</f>
        <v>0</v>
      </c>
      <c r="I547" s="30">
        <f>J547-H547</f>
        <v>0</v>
      </c>
      <c r="J547" s="30">
        <f>ROUND(F547*G547,2)</f>
        <v>0</v>
      </c>
      <c r="K547" s="30">
        <v>4.0600000000000002E-3</v>
      </c>
      <c r="L547" s="30">
        <f>F547*K547</f>
        <v>6.7071199999999997E-2</v>
      </c>
      <c r="M547" s="258" t="s">
        <v>2291</v>
      </c>
      <c r="N547" s="31" t="s">
        <v>59</v>
      </c>
      <c r="O547" s="30">
        <f>IF(N547="5",I547,0)</f>
        <v>0</v>
      </c>
      <c r="Z547" s="30">
        <f>IF(AD547=0,J547,0)</f>
        <v>0</v>
      </c>
      <c r="AA547" s="30">
        <f>IF(AD547=15,J547,0)</f>
        <v>0</v>
      </c>
      <c r="AB547" s="30">
        <f>IF(AD547=21,J547,0)</f>
        <v>0</v>
      </c>
      <c r="AD547" s="32">
        <v>21</v>
      </c>
      <c r="AE547" s="32">
        <f>G547*0.67230605738576</f>
        <v>0</v>
      </c>
      <c r="AF547" s="32">
        <f>G547*(1-0.67230605738576)</f>
        <v>0</v>
      </c>
      <c r="AM547" s="32">
        <f>F547*AE547</f>
        <v>0</v>
      </c>
      <c r="AN547" s="32">
        <f>F547*AF547</f>
        <v>0</v>
      </c>
      <c r="AO547" s="33" t="s">
        <v>85</v>
      </c>
      <c r="AP547" s="33" t="s">
        <v>79</v>
      </c>
      <c r="AQ547" s="21" t="s">
        <v>416</v>
      </c>
    </row>
    <row r="548" spans="1:43" x14ac:dyDescent="0.25">
      <c r="A548" s="26"/>
      <c r="B548" s="27" t="s">
        <v>414</v>
      </c>
      <c r="C548" s="27" t="s">
        <v>86</v>
      </c>
      <c r="D548" s="338" t="s">
        <v>87</v>
      </c>
      <c r="E548" s="339"/>
      <c r="F548" s="339"/>
      <c r="G548" s="339"/>
      <c r="H548" s="28">
        <f>SUM(H549:H549)</f>
        <v>0</v>
      </c>
      <c r="I548" s="28">
        <f>SUM(I549:I549)</f>
        <v>0</v>
      </c>
      <c r="J548" s="28">
        <f>H548+I548</f>
        <v>0</v>
      </c>
      <c r="K548" s="21"/>
      <c r="L548" s="28">
        <f>SUM(L549:L549)</f>
        <v>5.4000000000000001E-4</v>
      </c>
      <c r="M548" s="21"/>
      <c r="P548" s="28">
        <f>IF(Q548="PR",J548,SUM(O549:O549))</f>
        <v>0</v>
      </c>
      <c r="Q548" s="21" t="s">
        <v>75</v>
      </c>
      <c r="R548" s="28">
        <f>IF(Q548="HS",H548,0)</f>
        <v>0</v>
      </c>
      <c r="S548" s="28">
        <f>IF(Q548="HS",I548-P548,0)</f>
        <v>0</v>
      </c>
      <c r="T548" s="28">
        <f>IF(Q548="PS",H548,0)</f>
        <v>0</v>
      </c>
      <c r="U548" s="28">
        <f>IF(Q548="PS",I548-P548,0)</f>
        <v>0</v>
      </c>
      <c r="V548" s="28">
        <f>IF(Q548="MP",H548,0)</f>
        <v>0</v>
      </c>
      <c r="W548" s="28">
        <f>IF(Q548="MP",I548-P548,0)</f>
        <v>0</v>
      </c>
      <c r="X548" s="28">
        <f>IF(Q548="OM",H548,0)</f>
        <v>0</v>
      </c>
      <c r="Y548" s="21" t="s">
        <v>414</v>
      </c>
      <c r="AI548" s="28">
        <f>SUM(Z549:Z549)</f>
        <v>0</v>
      </c>
      <c r="AJ548" s="28">
        <f>SUM(AA549:AA549)</f>
        <v>0</v>
      </c>
      <c r="AK548" s="28">
        <f>SUM(AB549:AB549)</f>
        <v>0</v>
      </c>
    </row>
    <row r="549" spans="1:43" x14ac:dyDescent="0.25">
      <c r="A549" s="29" t="s">
        <v>422</v>
      </c>
      <c r="B549" s="29" t="s">
        <v>414</v>
      </c>
      <c r="C549" s="29" t="s">
        <v>89</v>
      </c>
      <c r="D549" s="29" t="s">
        <v>90</v>
      </c>
      <c r="E549" s="29" t="s">
        <v>58</v>
      </c>
      <c r="F549" s="30">
        <v>2</v>
      </c>
      <c r="G549" s="317">
        <v>0</v>
      </c>
      <c r="H549" s="30">
        <f>ROUND(F549*AE549,2)</f>
        <v>0</v>
      </c>
      <c r="I549" s="30">
        <f>J549-H549</f>
        <v>0</v>
      </c>
      <c r="J549" s="30">
        <f>ROUND(F549*G549,2)</f>
        <v>0</v>
      </c>
      <c r="K549" s="30">
        <v>2.7E-4</v>
      </c>
      <c r="L549" s="30">
        <f>F549*K549</f>
        <v>5.4000000000000001E-4</v>
      </c>
      <c r="M549" s="258" t="s">
        <v>2291</v>
      </c>
      <c r="N549" s="31" t="s">
        <v>59</v>
      </c>
      <c r="O549" s="30">
        <f>IF(N549="5",I549,0)</f>
        <v>0</v>
      </c>
      <c r="Z549" s="30">
        <f>IF(AD549=0,J549,0)</f>
        <v>0</v>
      </c>
      <c r="AA549" s="30">
        <f>IF(AD549=15,J549,0)</f>
        <v>0</v>
      </c>
      <c r="AB549" s="30">
        <f>IF(AD549=21,J549,0)</f>
        <v>0</v>
      </c>
      <c r="AD549" s="32">
        <v>21</v>
      </c>
      <c r="AE549" s="32">
        <f>G549*0.186098187625859</f>
        <v>0</v>
      </c>
      <c r="AF549" s="32">
        <f>G549*(1-0.186098187625859)</f>
        <v>0</v>
      </c>
      <c r="AM549" s="32">
        <f>F549*AE549</f>
        <v>0</v>
      </c>
      <c r="AN549" s="32">
        <f>F549*AF549</f>
        <v>0</v>
      </c>
      <c r="AO549" s="33" t="s">
        <v>91</v>
      </c>
      <c r="AP549" s="33" t="s">
        <v>92</v>
      </c>
      <c r="AQ549" s="21" t="s">
        <v>416</v>
      </c>
    </row>
    <row r="550" spans="1:43" x14ac:dyDescent="0.25">
      <c r="A550" s="26"/>
      <c r="B550" s="27" t="s">
        <v>414</v>
      </c>
      <c r="C550" s="27" t="s">
        <v>93</v>
      </c>
      <c r="D550" s="338" t="s">
        <v>94</v>
      </c>
      <c r="E550" s="339"/>
      <c r="F550" s="339"/>
      <c r="G550" s="339"/>
      <c r="H550" s="28">
        <f>SUM(H551:H551)</f>
        <v>0</v>
      </c>
      <c r="I550" s="28">
        <f>SUM(I551:I551)</f>
        <v>0</v>
      </c>
      <c r="J550" s="28">
        <f>H550+I550</f>
        <v>0</v>
      </c>
      <c r="K550" s="21"/>
      <c r="L550" s="28">
        <f>SUM(L551:L551)</f>
        <v>4.7632000000000001E-2</v>
      </c>
      <c r="M550" s="21"/>
      <c r="P550" s="28">
        <f>IF(Q550="PR",J550,SUM(O551:O551))</f>
        <v>0</v>
      </c>
      <c r="Q550" s="21" t="s">
        <v>75</v>
      </c>
      <c r="R550" s="28">
        <f>IF(Q550="HS",H550,0)</f>
        <v>0</v>
      </c>
      <c r="S550" s="28">
        <f>IF(Q550="HS",I550-P550,0)</f>
        <v>0</v>
      </c>
      <c r="T550" s="28">
        <f>IF(Q550="PS",H550,0)</f>
        <v>0</v>
      </c>
      <c r="U550" s="28">
        <f>IF(Q550="PS",I550-P550,0)</f>
        <v>0</v>
      </c>
      <c r="V550" s="28">
        <f>IF(Q550="MP",H550,0)</f>
        <v>0</v>
      </c>
      <c r="W550" s="28">
        <f>IF(Q550="MP",I550-P550,0)</f>
        <v>0</v>
      </c>
      <c r="X550" s="28">
        <f>IF(Q550="OM",H550,0)</f>
        <v>0</v>
      </c>
      <c r="Y550" s="21" t="s">
        <v>414</v>
      </c>
      <c r="AI550" s="28">
        <f>SUM(Z551:Z551)</f>
        <v>0</v>
      </c>
      <c r="AJ550" s="28">
        <f>SUM(AA551:AA551)</f>
        <v>0</v>
      </c>
      <c r="AK550" s="28">
        <f>SUM(AB551:AB551)</f>
        <v>0</v>
      </c>
    </row>
    <row r="551" spans="1:43" x14ac:dyDescent="0.25">
      <c r="A551" s="29" t="s">
        <v>423</v>
      </c>
      <c r="B551" s="29" t="s">
        <v>414</v>
      </c>
      <c r="C551" s="29" t="s">
        <v>96</v>
      </c>
      <c r="D551" s="29" t="s">
        <v>97</v>
      </c>
      <c r="E551" s="29" t="s">
        <v>58</v>
      </c>
      <c r="F551" s="30">
        <v>73.28</v>
      </c>
      <c r="G551" s="317">
        <v>0</v>
      </c>
      <c r="H551" s="30">
        <f>ROUND(F551*AE551,2)</f>
        <v>0</v>
      </c>
      <c r="I551" s="30">
        <f>J551-H551</f>
        <v>0</v>
      </c>
      <c r="J551" s="30">
        <f>ROUND(F551*G551,2)</f>
        <v>0</v>
      </c>
      <c r="K551" s="30">
        <v>6.4999999999999997E-4</v>
      </c>
      <c r="L551" s="30">
        <f>F551*K551</f>
        <v>4.7632000000000001E-2</v>
      </c>
      <c r="M551" s="258" t="s">
        <v>2291</v>
      </c>
      <c r="N551" s="31" t="s">
        <v>59</v>
      </c>
      <c r="O551" s="30">
        <f>IF(N551="5",I551,0)</f>
        <v>0</v>
      </c>
      <c r="Z551" s="30">
        <f>IF(AD551=0,J551,0)</f>
        <v>0</v>
      </c>
      <c r="AA551" s="30">
        <f>IF(AD551=15,J551,0)</f>
        <v>0</v>
      </c>
      <c r="AB551" s="30">
        <f>IF(AD551=21,J551,0)</f>
        <v>0</v>
      </c>
      <c r="AD551" s="32">
        <v>21</v>
      </c>
      <c r="AE551" s="32">
        <f>G551*0.333747476316198</f>
        <v>0</v>
      </c>
      <c r="AF551" s="32">
        <f>G551*(1-0.333747476316198)</f>
        <v>0</v>
      </c>
      <c r="AM551" s="32">
        <f>F551*AE551</f>
        <v>0</v>
      </c>
      <c r="AN551" s="32">
        <f>F551*AF551</f>
        <v>0</v>
      </c>
      <c r="AO551" s="33" t="s">
        <v>98</v>
      </c>
      <c r="AP551" s="33" t="s">
        <v>92</v>
      </c>
      <c r="AQ551" s="21" t="s">
        <v>416</v>
      </c>
    </row>
    <row r="552" spans="1:43" x14ac:dyDescent="0.25">
      <c r="A552" s="26"/>
      <c r="B552" s="27" t="s">
        <v>414</v>
      </c>
      <c r="C552" s="27" t="s">
        <v>99</v>
      </c>
      <c r="D552" s="338" t="s">
        <v>100</v>
      </c>
      <c r="E552" s="339"/>
      <c r="F552" s="339"/>
      <c r="G552" s="339"/>
      <c r="H552" s="28">
        <f>SUM(H553:H553)</f>
        <v>0</v>
      </c>
      <c r="I552" s="28">
        <f>SUM(I553:I553)</f>
        <v>0</v>
      </c>
      <c r="J552" s="28">
        <f>H552+I552</f>
        <v>0</v>
      </c>
      <c r="K552" s="21"/>
      <c r="L552" s="28">
        <f>SUM(L553:L553)</f>
        <v>0</v>
      </c>
      <c r="M552" s="21"/>
      <c r="P552" s="28">
        <f>IF(Q552="PR",J552,SUM(O553:O553))</f>
        <v>0</v>
      </c>
      <c r="Q552" s="21" t="s">
        <v>54</v>
      </c>
      <c r="R552" s="28">
        <f>IF(Q552="HS",H552,0)</f>
        <v>0</v>
      </c>
      <c r="S552" s="28">
        <f>IF(Q552="HS",I552-P552,0)</f>
        <v>0</v>
      </c>
      <c r="T552" s="28">
        <f>IF(Q552="PS",H552,0)</f>
        <v>0</v>
      </c>
      <c r="U552" s="28">
        <f>IF(Q552="PS",I552-P552,0)</f>
        <v>0</v>
      </c>
      <c r="V552" s="28">
        <f>IF(Q552="MP",H552,0)</f>
        <v>0</v>
      </c>
      <c r="W552" s="28">
        <f>IF(Q552="MP",I552-P552,0)</f>
        <v>0</v>
      </c>
      <c r="X552" s="28">
        <f>IF(Q552="OM",H552,0)</f>
        <v>0</v>
      </c>
      <c r="Y552" s="21" t="s">
        <v>414</v>
      </c>
      <c r="AI552" s="28">
        <f>SUM(Z553:Z553)</f>
        <v>0</v>
      </c>
      <c r="AJ552" s="28">
        <f>SUM(AA553:AA553)</f>
        <v>0</v>
      </c>
      <c r="AK552" s="28">
        <f>SUM(AB553:AB553)</f>
        <v>0</v>
      </c>
    </row>
    <row r="553" spans="1:43" x14ac:dyDescent="0.25">
      <c r="A553" s="29" t="s">
        <v>424</v>
      </c>
      <c r="B553" s="29" t="s">
        <v>414</v>
      </c>
      <c r="C553" s="29" t="s">
        <v>102</v>
      </c>
      <c r="D553" s="29" t="s">
        <v>103</v>
      </c>
      <c r="E553" s="29" t="s">
        <v>104</v>
      </c>
      <c r="F553" s="30">
        <v>2.4</v>
      </c>
      <c r="G553" s="317">
        <v>0</v>
      </c>
      <c r="H553" s="30">
        <f>ROUND(F553*AE553,2)</f>
        <v>0</v>
      </c>
      <c r="I553" s="30">
        <f>J553-H553</f>
        <v>0</v>
      </c>
      <c r="J553" s="30">
        <f>ROUND(F553*G553,2)</f>
        <v>0</v>
      </c>
      <c r="K553" s="30">
        <v>0</v>
      </c>
      <c r="L553" s="30">
        <f>F553*K553</f>
        <v>0</v>
      </c>
      <c r="M553" s="258" t="s">
        <v>2291</v>
      </c>
      <c r="N553" s="31" t="s">
        <v>55</v>
      </c>
      <c r="O553" s="30">
        <f>IF(N553="5",I553,0)</f>
        <v>0</v>
      </c>
      <c r="Z553" s="30">
        <f>IF(AD553=0,J553,0)</f>
        <v>0</v>
      </c>
      <c r="AA553" s="30">
        <f>IF(AD553=15,J553,0)</f>
        <v>0</v>
      </c>
      <c r="AB553" s="30">
        <f>IF(AD553=21,J553,0)</f>
        <v>0</v>
      </c>
      <c r="AD553" s="32">
        <v>21</v>
      </c>
      <c r="AE553" s="32">
        <f>G553*0</f>
        <v>0</v>
      </c>
      <c r="AF553" s="32">
        <f>G553*(1-0)</f>
        <v>0</v>
      </c>
      <c r="AM553" s="32">
        <f>F553*AE553</f>
        <v>0</v>
      </c>
      <c r="AN553" s="32">
        <f>F553*AF553</f>
        <v>0</v>
      </c>
      <c r="AO553" s="33" t="s">
        <v>105</v>
      </c>
      <c r="AP553" s="33" t="s">
        <v>106</v>
      </c>
      <c r="AQ553" s="21" t="s">
        <v>416</v>
      </c>
    </row>
    <row r="554" spans="1:43" x14ac:dyDescent="0.25">
      <c r="C554" s="34" t="s">
        <v>63</v>
      </c>
      <c r="D554" s="340" t="s">
        <v>107</v>
      </c>
      <c r="E554" s="341"/>
      <c r="F554" s="341"/>
      <c r="G554" s="341"/>
      <c r="H554" s="341"/>
      <c r="I554" s="341"/>
      <c r="J554" s="341"/>
      <c r="K554" s="341"/>
      <c r="L554" s="341"/>
      <c r="M554" s="341"/>
    </row>
    <row r="555" spans="1:43" x14ac:dyDescent="0.25">
      <c r="A555" s="26"/>
      <c r="B555" s="27" t="s">
        <v>425</v>
      </c>
      <c r="C555" s="27"/>
      <c r="D555" s="338" t="s">
        <v>425</v>
      </c>
      <c r="E555" s="339"/>
      <c r="F555" s="339"/>
      <c r="G555" s="339"/>
      <c r="H555" s="28">
        <f>H556+H563+H565+H568+H570+H572+H574</f>
        <v>0</v>
      </c>
      <c r="I555" s="28">
        <f>I556+I563+I565+I568+I570+I572+I574</f>
        <v>0</v>
      </c>
      <c r="J555" s="28">
        <f>H555+I555</f>
        <v>0</v>
      </c>
      <c r="K555" s="21"/>
      <c r="L555" s="28">
        <f>L556+L563+L565+L568+L570+L572+L574</f>
        <v>2.3852568000000001</v>
      </c>
      <c r="M555" s="21"/>
    </row>
    <row r="556" spans="1:43" x14ac:dyDescent="0.25">
      <c r="A556" s="26"/>
      <c r="B556" s="27" t="s">
        <v>425</v>
      </c>
      <c r="C556" s="27" t="s">
        <v>52</v>
      </c>
      <c r="D556" s="338" t="s">
        <v>53</v>
      </c>
      <c r="E556" s="339"/>
      <c r="F556" s="339"/>
      <c r="G556" s="339"/>
      <c r="H556" s="28">
        <f>SUM(H557:H561)</f>
        <v>0</v>
      </c>
      <c r="I556" s="28">
        <f>SUM(I557:I561)</f>
        <v>0</v>
      </c>
      <c r="J556" s="28">
        <f>H556+I556</f>
        <v>0</v>
      </c>
      <c r="K556" s="21"/>
      <c r="L556" s="28">
        <f>SUM(L557:L561)</f>
        <v>1.1385723000000001</v>
      </c>
      <c r="M556" s="21"/>
      <c r="P556" s="28">
        <f>IF(Q556="PR",J556,SUM(O557:O561))</f>
        <v>0</v>
      </c>
      <c r="Q556" s="21" t="s">
        <v>54</v>
      </c>
      <c r="R556" s="28">
        <f>IF(Q556="HS",H556,0)</f>
        <v>0</v>
      </c>
      <c r="S556" s="28">
        <f>IF(Q556="HS",I556-P556,0)</f>
        <v>0</v>
      </c>
      <c r="T556" s="28">
        <f>IF(Q556="PS",H556,0)</f>
        <v>0</v>
      </c>
      <c r="U556" s="28">
        <f>IF(Q556="PS",I556-P556,0)</f>
        <v>0</v>
      </c>
      <c r="V556" s="28">
        <f>IF(Q556="MP",H556,0)</f>
        <v>0</v>
      </c>
      <c r="W556" s="28">
        <f>IF(Q556="MP",I556-P556,0)</f>
        <v>0</v>
      </c>
      <c r="X556" s="28">
        <f>IF(Q556="OM",H556,0)</f>
        <v>0</v>
      </c>
      <c r="Y556" s="21" t="s">
        <v>425</v>
      </c>
      <c r="AI556" s="28">
        <f>SUM(Z557:Z561)</f>
        <v>0</v>
      </c>
      <c r="AJ556" s="28">
        <f>SUM(AA557:AA561)</f>
        <v>0</v>
      </c>
      <c r="AK556" s="28">
        <f>SUM(AB557:AB561)</f>
        <v>0</v>
      </c>
    </row>
    <row r="557" spans="1:43" x14ac:dyDescent="0.25">
      <c r="A557" s="29" t="s">
        <v>426</v>
      </c>
      <c r="B557" s="29" t="s">
        <v>425</v>
      </c>
      <c r="C557" s="29" t="s">
        <v>56</v>
      </c>
      <c r="D557" s="29" t="s">
        <v>57</v>
      </c>
      <c r="E557" s="29" t="s">
        <v>58</v>
      </c>
      <c r="F557" s="30">
        <v>57.42</v>
      </c>
      <c r="G557" s="317">
        <v>0</v>
      </c>
      <c r="H557" s="30">
        <f>ROUND(F557*AE557,2)</f>
        <v>0</v>
      </c>
      <c r="I557" s="30">
        <f>J557-H557</f>
        <v>0</v>
      </c>
      <c r="J557" s="30">
        <f>ROUND(F557*G557,2)</f>
        <v>0</v>
      </c>
      <c r="K557" s="30">
        <v>1.001E-2</v>
      </c>
      <c r="L557" s="30">
        <f>F557*K557</f>
        <v>0.57477420000000001</v>
      </c>
      <c r="M557" s="258" t="s">
        <v>2291</v>
      </c>
      <c r="N557" s="31" t="s">
        <v>59</v>
      </c>
      <c r="O557" s="30">
        <f>IF(N557="5",I557,0)</f>
        <v>0</v>
      </c>
      <c r="Z557" s="30">
        <f>IF(AD557=0,J557,0)</f>
        <v>0</v>
      </c>
      <c r="AA557" s="30">
        <f>IF(AD557=15,J557,0)</f>
        <v>0</v>
      </c>
      <c r="AB557" s="30">
        <f>IF(AD557=21,J557,0)</f>
        <v>0</v>
      </c>
      <c r="AD557" s="32">
        <v>21</v>
      </c>
      <c r="AE557" s="32">
        <f>G557*0.0756575801052128</f>
        <v>0</v>
      </c>
      <c r="AF557" s="32">
        <f>G557*(1-0.0756575801052128)</f>
        <v>0</v>
      </c>
      <c r="AM557" s="32">
        <f>F557*AE557</f>
        <v>0</v>
      </c>
      <c r="AN557" s="32">
        <f>F557*AF557</f>
        <v>0</v>
      </c>
      <c r="AO557" s="33" t="s">
        <v>60</v>
      </c>
      <c r="AP557" s="33" t="s">
        <v>61</v>
      </c>
      <c r="AQ557" s="21" t="s">
        <v>427</v>
      </c>
    </row>
    <row r="558" spans="1:43" ht="25.7" customHeight="1" x14ac:dyDescent="0.25">
      <c r="C558" s="34" t="s">
        <v>63</v>
      </c>
      <c r="D558" s="340" t="s">
        <v>64</v>
      </c>
      <c r="E558" s="341"/>
      <c r="F558" s="341"/>
      <c r="G558" s="341"/>
      <c r="H558" s="341"/>
      <c r="I558" s="341"/>
      <c r="J558" s="341"/>
      <c r="K558" s="341"/>
      <c r="L558" s="341"/>
      <c r="M558" s="341"/>
    </row>
    <row r="559" spans="1:43" x14ac:dyDescent="0.25">
      <c r="A559" s="29" t="s">
        <v>428</v>
      </c>
      <c r="B559" s="29" t="s">
        <v>425</v>
      </c>
      <c r="C559" s="29" t="s">
        <v>66</v>
      </c>
      <c r="D559" s="29" t="s">
        <v>67</v>
      </c>
      <c r="E559" s="29" t="s">
        <v>58</v>
      </c>
      <c r="F559" s="30">
        <v>17.11</v>
      </c>
      <c r="G559" s="317">
        <v>0</v>
      </c>
      <c r="H559" s="30">
        <f>ROUND(F559*AE559,2)</f>
        <v>0</v>
      </c>
      <c r="I559" s="30">
        <f>J559-H559</f>
        <v>0</v>
      </c>
      <c r="J559" s="30">
        <f>ROUND(F559*G559,2)</f>
        <v>0</v>
      </c>
      <c r="K559" s="30">
        <v>9.8399999999999998E-3</v>
      </c>
      <c r="L559" s="30">
        <f>F559*K559</f>
        <v>0.1683624</v>
      </c>
      <c r="M559" s="258" t="s">
        <v>2291</v>
      </c>
      <c r="N559" s="31" t="s">
        <v>59</v>
      </c>
      <c r="O559" s="30">
        <f>IF(N559="5",I559,0)</f>
        <v>0</v>
      </c>
      <c r="Z559" s="30">
        <f>IF(AD559=0,J559,0)</f>
        <v>0</v>
      </c>
      <c r="AA559" s="30">
        <f>IF(AD559=15,J559,0)</f>
        <v>0</v>
      </c>
      <c r="AB559" s="30">
        <f>IF(AD559=21,J559,0)</f>
        <v>0</v>
      </c>
      <c r="AD559" s="32">
        <v>21</v>
      </c>
      <c r="AE559" s="32">
        <f>G559*0.160304682766381</f>
        <v>0</v>
      </c>
      <c r="AF559" s="32">
        <f>G559*(1-0.160304682766381)</f>
        <v>0</v>
      </c>
      <c r="AM559" s="32">
        <f>F559*AE559</f>
        <v>0</v>
      </c>
      <c r="AN559" s="32">
        <f>F559*AF559</f>
        <v>0</v>
      </c>
      <c r="AO559" s="33" t="s">
        <v>60</v>
      </c>
      <c r="AP559" s="33" t="s">
        <v>61</v>
      </c>
      <c r="AQ559" s="21" t="s">
        <v>427</v>
      </c>
    </row>
    <row r="560" spans="1:43" ht="25.7" customHeight="1" x14ac:dyDescent="0.25">
      <c r="C560" s="34" t="s">
        <v>63</v>
      </c>
      <c r="D560" s="340" t="s">
        <v>64</v>
      </c>
      <c r="E560" s="341"/>
      <c r="F560" s="341"/>
      <c r="G560" s="341"/>
      <c r="H560" s="341"/>
      <c r="I560" s="341"/>
      <c r="J560" s="341"/>
      <c r="K560" s="341"/>
      <c r="L560" s="341"/>
      <c r="M560" s="341"/>
    </row>
    <row r="561" spans="1:43" x14ac:dyDescent="0.25">
      <c r="A561" s="29" t="s">
        <v>429</v>
      </c>
      <c r="B561" s="29" t="s">
        <v>425</v>
      </c>
      <c r="C561" s="29" t="s">
        <v>156</v>
      </c>
      <c r="D561" s="29" t="s">
        <v>2279</v>
      </c>
      <c r="E561" s="29" t="s">
        <v>58</v>
      </c>
      <c r="F561" s="30">
        <v>19.47</v>
      </c>
      <c r="G561" s="317">
        <v>0</v>
      </c>
      <c r="H561" s="30">
        <f>ROUND(F561*AE561,2)</f>
        <v>0</v>
      </c>
      <c r="I561" s="30">
        <f>J561-H561</f>
        <v>0</v>
      </c>
      <c r="J561" s="30">
        <f>ROUND(F561*G561,2)</f>
        <v>0</v>
      </c>
      <c r="K561" s="30">
        <v>2.0310000000000002E-2</v>
      </c>
      <c r="L561" s="30">
        <f>F561*K561</f>
        <v>0.3954357</v>
      </c>
      <c r="M561" s="258" t="s">
        <v>2291</v>
      </c>
      <c r="N561" s="31" t="s">
        <v>55</v>
      </c>
      <c r="O561" s="30">
        <f>IF(N561="5",I561,0)</f>
        <v>0</v>
      </c>
      <c r="Z561" s="30">
        <f>IF(AD561=0,J561,0)</f>
        <v>0</v>
      </c>
      <c r="AA561" s="30">
        <f>IF(AD561=15,J561,0)</f>
        <v>0</v>
      </c>
      <c r="AB561" s="30">
        <f>IF(AD561=21,J561,0)</f>
        <v>0</v>
      </c>
      <c r="AD561" s="32">
        <v>21</v>
      </c>
      <c r="AE561" s="32">
        <f>G561*0.423217647685695</f>
        <v>0</v>
      </c>
      <c r="AF561" s="32">
        <f>G561*(1-0.423217647685695)</f>
        <v>0</v>
      </c>
      <c r="AM561" s="32">
        <f>F561*AE561</f>
        <v>0</v>
      </c>
      <c r="AN561" s="32">
        <f>F561*AF561</f>
        <v>0</v>
      </c>
      <c r="AO561" s="33" t="s">
        <v>60</v>
      </c>
      <c r="AP561" s="33" t="s">
        <v>61</v>
      </c>
      <c r="AQ561" s="21" t="s">
        <v>427</v>
      </c>
    </row>
    <row r="562" spans="1:43" ht="25.7" customHeight="1" x14ac:dyDescent="0.25">
      <c r="C562" s="34" t="s">
        <v>63</v>
      </c>
      <c r="D562" s="340" t="s">
        <v>157</v>
      </c>
      <c r="E562" s="341"/>
      <c r="F562" s="341"/>
      <c r="G562" s="341"/>
      <c r="H562" s="341"/>
      <c r="I562" s="341"/>
      <c r="J562" s="341"/>
      <c r="K562" s="341"/>
      <c r="L562" s="341"/>
      <c r="M562" s="341"/>
    </row>
    <row r="563" spans="1:43" x14ac:dyDescent="0.25">
      <c r="A563" s="26"/>
      <c r="B563" s="27" t="s">
        <v>425</v>
      </c>
      <c r="C563" s="27" t="s">
        <v>68</v>
      </c>
      <c r="D563" s="338" t="s">
        <v>69</v>
      </c>
      <c r="E563" s="339"/>
      <c r="F563" s="339"/>
      <c r="G563" s="339"/>
      <c r="H563" s="28">
        <f>SUM(H564:H564)</f>
        <v>0</v>
      </c>
      <c r="I563" s="28">
        <f>SUM(I564:I564)</f>
        <v>0</v>
      </c>
      <c r="J563" s="28">
        <f>H563+I563</f>
        <v>0</v>
      </c>
      <c r="K563" s="21"/>
      <c r="L563" s="28">
        <f>SUM(L564:L564)</f>
        <v>0.85276240000000003</v>
      </c>
      <c r="M563" s="21"/>
      <c r="P563" s="28">
        <f>IF(Q563="PR",J563,SUM(O564:O564))</f>
        <v>0</v>
      </c>
      <c r="Q563" s="21" t="s">
        <v>54</v>
      </c>
      <c r="R563" s="28">
        <f>IF(Q563="HS",H563,0)</f>
        <v>0</v>
      </c>
      <c r="S563" s="28">
        <f>IF(Q563="HS",I563-P563,0)</f>
        <v>0</v>
      </c>
      <c r="T563" s="28">
        <f>IF(Q563="PS",H563,0)</f>
        <v>0</v>
      </c>
      <c r="U563" s="28">
        <f>IF(Q563="PS",I563-P563,0)</f>
        <v>0</v>
      </c>
      <c r="V563" s="28">
        <f>IF(Q563="MP",H563,0)</f>
        <v>0</v>
      </c>
      <c r="W563" s="28">
        <f>IF(Q563="MP",I563-P563,0)</f>
        <v>0</v>
      </c>
      <c r="X563" s="28">
        <f>IF(Q563="OM",H563,0)</f>
        <v>0</v>
      </c>
      <c r="Y563" s="21" t="s">
        <v>425</v>
      </c>
      <c r="AI563" s="28">
        <f>SUM(Z564:Z564)</f>
        <v>0</v>
      </c>
      <c r="AJ563" s="28">
        <f>SUM(AA564:AA564)</f>
        <v>0</v>
      </c>
      <c r="AK563" s="28">
        <f>SUM(AB564:AB564)</f>
        <v>0</v>
      </c>
    </row>
    <row r="564" spans="1:43" x14ac:dyDescent="0.25">
      <c r="A564" s="29" t="s">
        <v>430</v>
      </c>
      <c r="B564" s="29" t="s">
        <v>425</v>
      </c>
      <c r="C564" s="29" t="s">
        <v>70</v>
      </c>
      <c r="D564" s="29" t="s">
        <v>71</v>
      </c>
      <c r="E564" s="29" t="s">
        <v>58</v>
      </c>
      <c r="F564" s="30">
        <v>17.11</v>
      </c>
      <c r="G564" s="317">
        <v>0</v>
      </c>
      <c r="H564" s="30">
        <f>ROUND(F564*AE564,2)</f>
        <v>0</v>
      </c>
      <c r="I564" s="30">
        <f>J564-H564</f>
        <v>0</v>
      </c>
      <c r="J564" s="30">
        <f>ROUND(F564*G564,2)</f>
        <v>0</v>
      </c>
      <c r="K564" s="30">
        <v>4.9840000000000002E-2</v>
      </c>
      <c r="L564" s="30">
        <f>F564*K564</f>
        <v>0.85276240000000003</v>
      </c>
      <c r="M564" s="258" t="s">
        <v>2291</v>
      </c>
      <c r="N564" s="31" t="s">
        <v>59</v>
      </c>
      <c r="O564" s="30">
        <f>IF(N564="5",I564,0)</f>
        <v>0</v>
      </c>
      <c r="Z564" s="30">
        <f>IF(AD564=0,J564,0)</f>
        <v>0</v>
      </c>
      <c r="AA564" s="30">
        <f>IF(AD564=15,J564,0)</f>
        <v>0</v>
      </c>
      <c r="AB564" s="30">
        <f>IF(AD564=21,J564,0)</f>
        <v>0</v>
      </c>
      <c r="AD564" s="32">
        <v>21</v>
      </c>
      <c r="AE564" s="32">
        <f>G564*0.411768721414431</f>
        <v>0</v>
      </c>
      <c r="AF564" s="32">
        <f>G564*(1-0.411768721414431)</f>
        <v>0</v>
      </c>
      <c r="AM564" s="32">
        <f>F564*AE564</f>
        <v>0</v>
      </c>
      <c r="AN564" s="32">
        <f>F564*AF564</f>
        <v>0</v>
      </c>
      <c r="AO564" s="33" t="s">
        <v>72</v>
      </c>
      <c r="AP564" s="33" t="s">
        <v>61</v>
      </c>
      <c r="AQ564" s="21" t="s">
        <v>427</v>
      </c>
    </row>
    <row r="565" spans="1:43" x14ac:dyDescent="0.25">
      <c r="A565" s="26"/>
      <c r="B565" s="27" t="s">
        <v>425</v>
      </c>
      <c r="C565" s="27" t="s">
        <v>73</v>
      </c>
      <c r="D565" s="338" t="s">
        <v>74</v>
      </c>
      <c r="E565" s="339"/>
      <c r="F565" s="339"/>
      <c r="G565" s="339"/>
      <c r="H565" s="28">
        <f>SUM(H566:H566)</f>
        <v>0</v>
      </c>
      <c r="I565" s="28">
        <f>SUM(I566:I566)</f>
        <v>0</v>
      </c>
      <c r="J565" s="28">
        <f>H565+I565</f>
        <v>0</v>
      </c>
      <c r="K565" s="21"/>
      <c r="L565" s="28">
        <f>SUM(L566:L566)</f>
        <v>0.27547099999999997</v>
      </c>
      <c r="M565" s="21"/>
      <c r="P565" s="28">
        <f>IF(Q565="PR",J565,SUM(O566:O566))</f>
        <v>0</v>
      </c>
      <c r="Q565" s="21" t="s">
        <v>75</v>
      </c>
      <c r="R565" s="28">
        <f>IF(Q565="HS",H565,0)</f>
        <v>0</v>
      </c>
      <c r="S565" s="28">
        <f>IF(Q565="HS",I565-P565,0)</f>
        <v>0</v>
      </c>
      <c r="T565" s="28">
        <f>IF(Q565="PS",H565,0)</f>
        <v>0</v>
      </c>
      <c r="U565" s="28">
        <f>IF(Q565="PS",I565-P565,0)</f>
        <v>0</v>
      </c>
      <c r="V565" s="28">
        <f>IF(Q565="MP",H565,0)</f>
        <v>0</v>
      </c>
      <c r="W565" s="28">
        <f>IF(Q565="MP",I565-P565,0)</f>
        <v>0</v>
      </c>
      <c r="X565" s="28">
        <f>IF(Q565="OM",H565,0)</f>
        <v>0</v>
      </c>
      <c r="Y565" s="21" t="s">
        <v>425</v>
      </c>
      <c r="AI565" s="28">
        <f>SUM(Z566:Z566)</f>
        <v>0</v>
      </c>
      <c r="AJ565" s="28">
        <f>SUM(AA566:AA566)</f>
        <v>0</v>
      </c>
      <c r="AK565" s="28">
        <f>SUM(AB566:AB566)</f>
        <v>0</v>
      </c>
    </row>
    <row r="566" spans="1:43" x14ac:dyDescent="0.25">
      <c r="A566" s="29" t="s">
        <v>431</v>
      </c>
      <c r="B566" s="29" t="s">
        <v>425</v>
      </c>
      <c r="C566" s="29" t="s">
        <v>77</v>
      </c>
      <c r="D566" s="29" t="s">
        <v>2278</v>
      </c>
      <c r="E566" s="29" t="s">
        <v>58</v>
      </c>
      <c r="F566" s="30">
        <v>17.11</v>
      </c>
      <c r="G566" s="317">
        <v>0</v>
      </c>
      <c r="H566" s="30">
        <f>ROUND(F566*AE566,2)</f>
        <v>0</v>
      </c>
      <c r="I566" s="30">
        <f>J566-H566</f>
        <v>0</v>
      </c>
      <c r="J566" s="30">
        <f>ROUND(F566*G566,2)</f>
        <v>0</v>
      </c>
      <c r="K566" s="30">
        <v>1.61E-2</v>
      </c>
      <c r="L566" s="30">
        <f>F566*K566</f>
        <v>0.27547099999999997</v>
      </c>
      <c r="M566" s="258" t="s">
        <v>2291</v>
      </c>
      <c r="N566" s="31" t="s">
        <v>59</v>
      </c>
      <c r="O566" s="30">
        <f>IF(N566="5",I566,0)</f>
        <v>0</v>
      </c>
      <c r="Z566" s="30">
        <f>IF(AD566=0,J566,0)</f>
        <v>0</v>
      </c>
      <c r="AA566" s="30">
        <f>IF(AD566=15,J566,0)</f>
        <v>0</v>
      </c>
      <c r="AB566" s="30">
        <f>IF(AD566=21,J566,0)</f>
        <v>0</v>
      </c>
      <c r="AD566" s="32">
        <v>21</v>
      </c>
      <c r="AE566" s="32">
        <f>G566*0.787221324717286</f>
        <v>0</v>
      </c>
      <c r="AF566" s="32">
        <f>G566*(1-0.787221324717286)</f>
        <v>0</v>
      </c>
      <c r="AM566" s="32">
        <f>F566*AE566</f>
        <v>0</v>
      </c>
      <c r="AN566" s="32">
        <f>F566*AF566</f>
        <v>0</v>
      </c>
      <c r="AO566" s="33" t="s">
        <v>78</v>
      </c>
      <c r="AP566" s="33" t="s">
        <v>79</v>
      </c>
      <c r="AQ566" s="21" t="s">
        <v>427</v>
      </c>
    </row>
    <row r="567" spans="1:43" x14ac:dyDescent="0.25">
      <c r="C567" s="34" t="s">
        <v>63</v>
      </c>
      <c r="D567" s="340" t="s">
        <v>2280</v>
      </c>
      <c r="E567" s="341"/>
      <c r="F567" s="341"/>
      <c r="G567" s="341"/>
      <c r="H567" s="341"/>
      <c r="I567" s="341"/>
      <c r="J567" s="341"/>
      <c r="K567" s="341"/>
      <c r="L567" s="341"/>
      <c r="M567" s="341"/>
    </row>
    <row r="568" spans="1:43" x14ac:dyDescent="0.25">
      <c r="A568" s="26"/>
      <c r="B568" s="27" t="s">
        <v>425</v>
      </c>
      <c r="C568" s="27" t="s">
        <v>80</v>
      </c>
      <c r="D568" s="338" t="s">
        <v>81</v>
      </c>
      <c r="E568" s="339"/>
      <c r="F568" s="339"/>
      <c r="G568" s="339"/>
      <c r="H568" s="28">
        <f>SUM(H569:H569)</f>
        <v>0</v>
      </c>
      <c r="I568" s="28">
        <f>SUM(I569:I569)</f>
        <v>0</v>
      </c>
      <c r="J568" s="28">
        <f>H568+I568</f>
        <v>0</v>
      </c>
      <c r="K568" s="21"/>
      <c r="L568" s="28">
        <f>SUM(L569:L569)</f>
        <v>6.9466600000000003E-2</v>
      </c>
      <c r="M568" s="21"/>
      <c r="P568" s="28">
        <f>IF(Q568="PR",J568,SUM(O569:O569))</f>
        <v>0</v>
      </c>
      <c r="Q568" s="21" t="s">
        <v>75</v>
      </c>
      <c r="R568" s="28">
        <f>IF(Q568="HS",H568,0)</f>
        <v>0</v>
      </c>
      <c r="S568" s="28">
        <f>IF(Q568="HS",I568-P568,0)</f>
        <v>0</v>
      </c>
      <c r="T568" s="28">
        <f>IF(Q568="PS",H568,0)</f>
        <v>0</v>
      </c>
      <c r="U568" s="28">
        <f>IF(Q568="PS",I568-P568,0)</f>
        <v>0</v>
      </c>
      <c r="V568" s="28">
        <f>IF(Q568="MP",H568,0)</f>
        <v>0</v>
      </c>
      <c r="W568" s="28">
        <f>IF(Q568="MP",I568-P568,0)</f>
        <v>0</v>
      </c>
      <c r="X568" s="28">
        <f>IF(Q568="OM",H568,0)</f>
        <v>0</v>
      </c>
      <c r="Y568" s="21" t="s">
        <v>425</v>
      </c>
      <c r="AI568" s="28">
        <f>SUM(Z569:Z569)</f>
        <v>0</v>
      </c>
      <c r="AJ568" s="28">
        <f>SUM(AA569:AA569)</f>
        <v>0</v>
      </c>
      <c r="AK568" s="28">
        <f>SUM(AB569:AB569)</f>
        <v>0</v>
      </c>
    </row>
    <row r="569" spans="1:43" x14ac:dyDescent="0.25">
      <c r="A569" s="29" t="s">
        <v>432</v>
      </c>
      <c r="B569" s="29" t="s">
        <v>425</v>
      </c>
      <c r="C569" s="29" t="s">
        <v>83</v>
      </c>
      <c r="D569" s="29" t="s">
        <v>84</v>
      </c>
      <c r="E569" s="29" t="s">
        <v>58</v>
      </c>
      <c r="F569" s="30">
        <v>17.11</v>
      </c>
      <c r="G569" s="317">
        <v>0</v>
      </c>
      <c r="H569" s="30">
        <f>ROUND(F569*AE569,2)</f>
        <v>0</v>
      </c>
      <c r="I569" s="30">
        <f>J569-H569</f>
        <v>0</v>
      </c>
      <c r="J569" s="30">
        <f>ROUND(F569*G569,2)</f>
        <v>0</v>
      </c>
      <c r="K569" s="30">
        <v>4.0600000000000002E-3</v>
      </c>
      <c r="L569" s="30">
        <f>F569*K569</f>
        <v>6.9466600000000003E-2</v>
      </c>
      <c r="M569" s="258" t="s">
        <v>2291</v>
      </c>
      <c r="N569" s="31" t="s">
        <v>59</v>
      </c>
      <c r="O569" s="30">
        <f>IF(N569="5",I569,0)</f>
        <v>0</v>
      </c>
      <c r="Z569" s="30">
        <f>IF(AD569=0,J569,0)</f>
        <v>0</v>
      </c>
      <c r="AA569" s="30">
        <f>IF(AD569=15,J569,0)</f>
        <v>0</v>
      </c>
      <c r="AB569" s="30">
        <f>IF(AD569=21,J569,0)</f>
        <v>0</v>
      </c>
      <c r="AD569" s="32">
        <v>21</v>
      </c>
      <c r="AE569" s="32">
        <f>G569*0.67230605738576</f>
        <v>0</v>
      </c>
      <c r="AF569" s="32">
        <f>G569*(1-0.67230605738576)</f>
        <v>0</v>
      </c>
      <c r="AM569" s="32">
        <f>F569*AE569</f>
        <v>0</v>
      </c>
      <c r="AN569" s="32">
        <f>F569*AF569</f>
        <v>0</v>
      </c>
      <c r="AO569" s="33" t="s">
        <v>85</v>
      </c>
      <c r="AP569" s="33" t="s">
        <v>79</v>
      </c>
      <c r="AQ569" s="21" t="s">
        <v>427</v>
      </c>
    </row>
    <row r="570" spans="1:43" x14ac:dyDescent="0.25">
      <c r="A570" s="26"/>
      <c r="B570" s="27" t="s">
        <v>425</v>
      </c>
      <c r="C570" s="27" t="s">
        <v>86</v>
      </c>
      <c r="D570" s="338" t="s">
        <v>87</v>
      </c>
      <c r="E570" s="339"/>
      <c r="F570" s="339"/>
      <c r="G570" s="339"/>
      <c r="H570" s="28">
        <f>SUM(H571:H571)</f>
        <v>0</v>
      </c>
      <c r="I570" s="28">
        <f>SUM(I571:I571)</f>
        <v>0</v>
      </c>
      <c r="J570" s="28">
        <f>H570+I570</f>
        <v>0</v>
      </c>
      <c r="K570" s="21"/>
      <c r="L570" s="28">
        <f>SUM(L571:L571)</f>
        <v>5.4000000000000001E-4</v>
      </c>
      <c r="M570" s="21"/>
      <c r="P570" s="28">
        <f>IF(Q570="PR",J570,SUM(O571:O571))</f>
        <v>0</v>
      </c>
      <c r="Q570" s="21" t="s">
        <v>75</v>
      </c>
      <c r="R570" s="28">
        <f>IF(Q570="HS",H570,0)</f>
        <v>0</v>
      </c>
      <c r="S570" s="28">
        <f>IF(Q570="HS",I570-P570,0)</f>
        <v>0</v>
      </c>
      <c r="T570" s="28">
        <f>IF(Q570="PS",H570,0)</f>
        <v>0</v>
      </c>
      <c r="U570" s="28">
        <f>IF(Q570="PS",I570-P570,0)</f>
        <v>0</v>
      </c>
      <c r="V570" s="28">
        <f>IF(Q570="MP",H570,0)</f>
        <v>0</v>
      </c>
      <c r="W570" s="28">
        <f>IF(Q570="MP",I570-P570,0)</f>
        <v>0</v>
      </c>
      <c r="X570" s="28">
        <f>IF(Q570="OM",H570,0)</f>
        <v>0</v>
      </c>
      <c r="Y570" s="21" t="s">
        <v>425</v>
      </c>
      <c r="AI570" s="28">
        <f>SUM(Z571:Z571)</f>
        <v>0</v>
      </c>
      <c r="AJ570" s="28">
        <f>SUM(AA571:AA571)</f>
        <v>0</v>
      </c>
      <c r="AK570" s="28">
        <f>SUM(AB571:AB571)</f>
        <v>0</v>
      </c>
    </row>
    <row r="571" spans="1:43" x14ac:dyDescent="0.25">
      <c r="A571" s="29" t="s">
        <v>433</v>
      </c>
      <c r="B571" s="29" t="s">
        <v>425</v>
      </c>
      <c r="C571" s="29" t="s">
        <v>89</v>
      </c>
      <c r="D571" s="29" t="s">
        <v>90</v>
      </c>
      <c r="E571" s="29" t="s">
        <v>58</v>
      </c>
      <c r="F571" s="30">
        <v>2</v>
      </c>
      <c r="G571" s="317">
        <v>0</v>
      </c>
      <c r="H571" s="30">
        <f>ROUND(F571*AE571,2)</f>
        <v>0</v>
      </c>
      <c r="I571" s="30">
        <f>J571-H571</f>
        <v>0</v>
      </c>
      <c r="J571" s="30">
        <f>ROUND(F571*G571,2)</f>
        <v>0</v>
      </c>
      <c r="K571" s="30">
        <v>2.7E-4</v>
      </c>
      <c r="L571" s="30">
        <f>F571*K571</f>
        <v>5.4000000000000001E-4</v>
      </c>
      <c r="M571" s="258" t="s">
        <v>2291</v>
      </c>
      <c r="N571" s="31" t="s">
        <v>59</v>
      </c>
      <c r="O571" s="30">
        <f>IF(N571="5",I571,0)</f>
        <v>0</v>
      </c>
      <c r="Z571" s="30">
        <f>IF(AD571=0,J571,0)</f>
        <v>0</v>
      </c>
      <c r="AA571" s="30">
        <f>IF(AD571=15,J571,0)</f>
        <v>0</v>
      </c>
      <c r="AB571" s="30">
        <f>IF(AD571=21,J571,0)</f>
        <v>0</v>
      </c>
      <c r="AD571" s="32">
        <v>21</v>
      </c>
      <c r="AE571" s="32">
        <f>G571*0.186098187625859</f>
        <v>0</v>
      </c>
      <c r="AF571" s="32">
        <f>G571*(1-0.186098187625859)</f>
        <v>0</v>
      </c>
      <c r="AM571" s="32">
        <f>F571*AE571</f>
        <v>0</v>
      </c>
      <c r="AN571" s="32">
        <f>F571*AF571</f>
        <v>0</v>
      </c>
      <c r="AO571" s="33" t="s">
        <v>91</v>
      </c>
      <c r="AP571" s="33" t="s">
        <v>92</v>
      </c>
      <c r="AQ571" s="21" t="s">
        <v>427</v>
      </c>
    </row>
    <row r="572" spans="1:43" x14ac:dyDescent="0.25">
      <c r="A572" s="26"/>
      <c r="B572" s="27" t="s">
        <v>425</v>
      </c>
      <c r="C572" s="27" t="s">
        <v>93</v>
      </c>
      <c r="D572" s="338" t="s">
        <v>94</v>
      </c>
      <c r="E572" s="339"/>
      <c r="F572" s="339"/>
      <c r="G572" s="339"/>
      <c r="H572" s="28">
        <f>SUM(H573:H573)</f>
        <v>0</v>
      </c>
      <c r="I572" s="28">
        <f>SUM(I573:I573)</f>
        <v>0</v>
      </c>
      <c r="J572" s="28">
        <f>H572+I572</f>
        <v>0</v>
      </c>
      <c r="K572" s="21"/>
      <c r="L572" s="28">
        <f>SUM(L573:L573)</f>
        <v>4.8444500000000001E-2</v>
      </c>
      <c r="M572" s="21"/>
      <c r="P572" s="28">
        <f>IF(Q572="PR",J572,SUM(O573:O573))</f>
        <v>0</v>
      </c>
      <c r="Q572" s="21" t="s">
        <v>75</v>
      </c>
      <c r="R572" s="28">
        <f>IF(Q572="HS",H572,0)</f>
        <v>0</v>
      </c>
      <c r="S572" s="28">
        <f>IF(Q572="HS",I572-P572,0)</f>
        <v>0</v>
      </c>
      <c r="T572" s="28">
        <f>IF(Q572="PS",H572,0)</f>
        <v>0</v>
      </c>
      <c r="U572" s="28">
        <f>IF(Q572="PS",I572-P572,0)</f>
        <v>0</v>
      </c>
      <c r="V572" s="28">
        <f>IF(Q572="MP",H572,0)</f>
        <v>0</v>
      </c>
      <c r="W572" s="28">
        <f>IF(Q572="MP",I572-P572,0)</f>
        <v>0</v>
      </c>
      <c r="X572" s="28">
        <f>IF(Q572="OM",H572,0)</f>
        <v>0</v>
      </c>
      <c r="Y572" s="21" t="s">
        <v>425</v>
      </c>
      <c r="AI572" s="28">
        <f>SUM(Z573:Z573)</f>
        <v>0</v>
      </c>
      <c r="AJ572" s="28">
        <f>SUM(AA573:AA573)</f>
        <v>0</v>
      </c>
      <c r="AK572" s="28">
        <f>SUM(AB573:AB573)</f>
        <v>0</v>
      </c>
    </row>
    <row r="573" spans="1:43" x14ac:dyDescent="0.25">
      <c r="A573" s="29" t="s">
        <v>434</v>
      </c>
      <c r="B573" s="29" t="s">
        <v>425</v>
      </c>
      <c r="C573" s="29" t="s">
        <v>96</v>
      </c>
      <c r="D573" s="29" t="s">
        <v>97</v>
      </c>
      <c r="E573" s="29" t="s">
        <v>58</v>
      </c>
      <c r="F573" s="30">
        <v>74.53</v>
      </c>
      <c r="G573" s="317">
        <v>0</v>
      </c>
      <c r="H573" s="30">
        <f>ROUND(F573*AE573,2)</f>
        <v>0</v>
      </c>
      <c r="I573" s="30">
        <f>J573-H573</f>
        <v>0</v>
      </c>
      <c r="J573" s="30">
        <f>ROUND(F573*G573,2)</f>
        <v>0</v>
      </c>
      <c r="K573" s="30">
        <v>6.4999999999999997E-4</v>
      </c>
      <c r="L573" s="30">
        <f>F573*K573</f>
        <v>4.8444500000000001E-2</v>
      </c>
      <c r="M573" s="258" t="s">
        <v>2291</v>
      </c>
      <c r="N573" s="31" t="s">
        <v>59</v>
      </c>
      <c r="O573" s="30">
        <f>IF(N573="5",I573,0)</f>
        <v>0</v>
      </c>
      <c r="Z573" s="30">
        <f>IF(AD573=0,J573,0)</f>
        <v>0</v>
      </c>
      <c r="AA573" s="30">
        <f>IF(AD573=15,J573,0)</f>
        <v>0</v>
      </c>
      <c r="AB573" s="30">
        <f>IF(AD573=21,J573,0)</f>
        <v>0</v>
      </c>
      <c r="AD573" s="32">
        <v>21</v>
      </c>
      <c r="AE573" s="32">
        <f>G573*0.333747476316198</f>
        <v>0</v>
      </c>
      <c r="AF573" s="32">
        <f>G573*(1-0.333747476316198)</f>
        <v>0</v>
      </c>
      <c r="AM573" s="32">
        <f>F573*AE573</f>
        <v>0</v>
      </c>
      <c r="AN573" s="32">
        <f>F573*AF573</f>
        <v>0</v>
      </c>
      <c r="AO573" s="33" t="s">
        <v>98</v>
      </c>
      <c r="AP573" s="33" t="s">
        <v>92</v>
      </c>
      <c r="AQ573" s="21" t="s">
        <v>427</v>
      </c>
    </row>
    <row r="574" spans="1:43" x14ac:dyDescent="0.25">
      <c r="A574" s="26"/>
      <c r="B574" s="27" t="s">
        <v>425</v>
      </c>
      <c r="C574" s="27" t="s">
        <v>99</v>
      </c>
      <c r="D574" s="338" t="s">
        <v>100</v>
      </c>
      <c r="E574" s="339"/>
      <c r="F574" s="339"/>
      <c r="G574" s="339"/>
      <c r="H574" s="28">
        <f>SUM(H575:H575)</f>
        <v>0</v>
      </c>
      <c r="I574" s="28">
        <f>SUM(I575:I575)</f>
        <v>0</v>
      </c>
      <c r="J574" s="28">
        <f>H574+I574</f>
        <v>0</v>
      </c>
      <c r="K574" s="21"/>
      <c r="L574" s="28">
        <f>SUM(L575:L575)</f>
        <v>0</v>
      </c>
      <c r="M574" s="21"/>
      <c r="P574" s="28">
        <f>IF(Q574="PR",J574,SUM(O575:O575))</f>
        <v>0</v>
      </c>
      <c r="Q574" s="21" t="s">
        <v>54</v>
      </c>
      <c r="R574" s="28">
        <f>IF(Q574="HS",H574,0)</f>
        <v>0</v>
      </c>
      <c r="S574" s="28">
        <f>IF(Q574="HS",I574-P574,0)</f>
        <v>0</v>
      </c>
      <c r="T574" s="28">
        <f>IF(Q574="PS",H574,0)</f>
        <v>0</v>
      </c>
      <c r="U574" s="28">
        <f>IF(Q574="PS",I574-P574,0)</f>
        <v>0</v>
      </c>
      <c r="V574" s="28">
        <f>IF(Q574="MP",H574,0)</f>
        <v>0</v>
      </c>
      <c r="W574" s="28">
        <f>IF(Q574="MP",I574-P574,0)</f>
        <v>0</v>
      </c>
      <c r="X574" s="28">
        <f>IF(Q574="OM",H574,0)</f>
        <v>0</v>
      </c>
      <c r="Y574" s="21" t="s">
        <v>425</v>
      </c>
      <c r="AI574" s="28">
        <f>SUM(Z575:Z575)</f>
        <v>0</v>
      </c>
      <c r="AJ574" s="28">
        <f>SUM(AA575:AA575)</f>
        <v>0</v>
      </c>
      <c r="AK574" s="28">
        <f>SUM(AB575:AB575)</f>
        <v>0</v>
      </c>
    </row>
    <row r="575" spans="1:43" x14ac:dyDescent="0.25">
      <c r="A575" s="29" t="s">
        <v>435</v>
      </c>
      <c r="B575" s="29" t="s">
        <v>425</v>
      </c>
      <c r="C575" s="29" t="s">
        <v>102</v>
      </c>
      <c r="D575" s="29" t="s">
        <v>103</v>
      </c>
      <c r="E575" s="29" t="s">
        <v>104</v>
      </c>
      <c r="F575" s="30">
        <v>2.4</v>
      </c>
      <c r="G575" s="317">
        <v>0</v>
      </c>
      <c r="H575" s="30">
        <f>ROUND(F575*AE575,2)</f>
        <v>0</v>
      </c>
      <c r="I575" s="30">
        <f>J575-H575</f>
        <v>0</v>
      </c>
      <c r="J575" s="30">
        <f>ROUND(F575*G575,2)</f>
        <v>0</v>
      </c>
      <c r="K575" s="30">
        <v>0</v>
      </c>
      <c r="L575" s="30">
        <f>F575*K575</f>
        <v>0</v>
      </c>
      <c r="M575" s="258" t="s">
        <v>2291</v>
      </c>
      <c r="N575" s="31" t="s">
        <v>55</v>
      </c>
      <c r="O575" s="30">
        <f>IF(N575="5",I575,0)</f>
        <v>0</v>
      </c>
      <c r="Z575" s="30">
        <f>IF(AD575=0,J575,0)</f>
        <v>0</v>
      </c>
      <c r="AA575" s="30">
        <f>IF(AD575=15,J575,0)</f>
        <v>0</v>
      </c>
      <c r="AB575" s="30">
        <f>IF(AD575=21,J575,0)</f>
        <v>0</v>
      </c>
      <c r="AD575" s="32">
        <v>21</v>
      </c>
      <c r="AE575" s="32">
        <f>G575*0</f>
        <v>0</v>
      </c>
      <c r="AF575" s="32">
        <f>G575*(1-0)</f>
        <v>0</v>
      </c>
      <c r="AM575" s="32">
        <f>F575*AE575</f>
        <v>0</v>
      </c>
      <c r="AN575" s="32">
        <f>F575*AF575</f>
        <v>0</v>
      </c>
      <c r="AO575" s="33" t="s">
        <v>105</v>
      </c>
      <c r="AP575" s="33" t="s">
        <v>106</v>
      </c>
      <c r="AQ575" s="21" t="s">
        <v>427</v>
      </c>
    </row>
    <row r="576" spans="1:43" x14ac:dyDescent="0.25">
      <c r="C576" s="34" t="s">
        <v>63</v>
      </c>
      <c r="D576" s="340" t="s">
        <v>107</v>
      </c>
      <c r="E576" s="341"/>
      <c r="F576" s="341"/>
      <c r="G576" s="341"/>
      <c r="H576" s="341"/>
      <c r="I576" s="341"/>
      <c r="J576" s="341"/>
      <c r="K576" s="341"/>
      <c r="L576" s="341"/>
      <c r="M576" s="341"/>
    </row>
    <row r="577" spans="1:43" x14ac:dyDescent="0.25">
      <c r="A577" s="26"/>
      <c r="B577" s="27" t="s">
        <v>436</v>
      </c>
      <c r="C577" s="27"/>
      <c r="D577" s="338" t="s">
        <v>436</v>
      </c>
      <c r="E577" s="339"/>
      <c r="F577" s="339"/>
      <c r="G577" s="339"/>
      <c r="H577" s="28">
        <f>H578+H580+H583+H585+H588+H594+H596</f>
        <v>0</v>
      </c>
      <c r="I577" s="28">
        <f>I578+I580+I583+I585+I588+I594+I596</f>
        <v>0</v>
      </c>
      <c r="J577" s="28">
        <f>H577+I577</f>
        <v>0</v>
      </c>
      <c r="K577" s="21"/>
      <c r="L577" s="28">
        <f>L578+L580+L583+L585+L588+L594+L596</f>
        <v>15.9443284</v>
      </c>
      <c r="M577" s="21"/>
    </row>
    <row r="578" spans="1:43" x14ac:dyDescent="0.25">
      <c r="A578" s="26"/>
      <c r="B578" s="27" t="s">
        <v>436</v>
      </c>
      <c r="C578" s="27" t="s">
        <v>166</v>
      </c>
      <c r="D578" s="338" t="s">
        <v>167</v>
      </c>
      <c r="E578" s="339"/>
      <c r="F578" s="339"/>
      <c r="G578" s="339"/>
      <c r="H578" s="28">
        <f>SUM(H579:H579)</f>
        <v>0</v>
      </c>
      <c r="I578" s="28">
        <f>SUM(I579:I579)</f>
        <v>0</v>
      </c>
      <c r="J578" s="28">
        <f>H578+I578</f>
        <v>0</v>
      </c>
      <c r="K578" s="21"/>
      <c r="L578" s="28">
        <f>SUM(L579:L579)</f>
        <v>0.21240000000000001</v>
      </c>
      <c r="M578" s="21"/>
      <c r="P578" s="28">
        <f>IF(Q578="PR",J578,SUM(O579:O579))</f>
        <v>0</v>
      </c>
      <c r="Q578" s="21" t="s">
        <v>54</v>
      </c>
      <c r="R578" s="28">
        <f>IF(Q578="HS",H578,0)</f>
        <v>0</v>
      </c>
      <c r="S578" s="28">
        <f>IF(Q578="HS",I578-P578,0)</f>
        <v>0</v>
      </c>
      <c r="T578" s="28">
        <f>IF(Q578="PS",H578,0)</f>
        <v>0</v>
      </c>
      <c r="U578" s="28">
        <f>IF(Q578="PS",I578-P578,0)</f>
        <v>0</v>
      </c>
      <c r="V578" s="28">
        <f>IF(Q578="MP",H578,0)</f>
        <v>0</v>
      </c>
      <c r="W578" s="28">
        <f>IF(Q578="MP",I578-P578,0)</f>
        <v>0</v>
      </c>
      <c r="X578" s="28">
        <f>IF(Q578="OM",H578,0)</f>
        <v>0</v>
      </c>
      <c r="Y578" s="21" t="s">
        <v>436</v>
      </c>
      <c r="AI578" s="28">
        <f>SUM(Z579:Z579)</f>
        <v>0</v>
      </c>
      <c r="AJ578" s="28">
        <f>SUM(AA579:AA579)</f>
        <v>0</v>
      </c>
      <c r="AK578" s="28">
        <f>SUM(AB579:AB579)</f>
        <v>0</v>
      </c>
    </row>
    <row r="579" spans="1:43" x14ac:dyDescent="0.25">
      <c r="A579" s="29" t="s">
        <v>437</v>
      </c>
      <c r="B579" s="29" t="s">
        <v>436</v>
      </c>
      <c r="C579" s="29" t="s">
        <v>169</v>
      </c>
      <c r="D579" s="29" t="s">
        <v>170</v>
      </c>
      <c r="E579" s="29" t="s">
        <v>58</v>
      </c>
      <c r="F579" s="30">
        <v>17.7</v>
      </c>
      <c r="G579" s="317">
        <v>0</v>
      </c>
      <c r="H579" s="30">
        <f>ROUND(F579*AE579,2)</f>
        <v>0</v>
      </c>
      <c r="I579" s="30">
        <f>J579-H579</f>
        <v>0</v>
      </c>
      <c r="J579" s="30">
        <f>ROUND(F579*G579,2)</f>
        <v>0</v>
      </c>
      <c r="K579" s="30">
        <v>1.2E-2</v>
      </c>
      <c r="L579" s="30">
        <f>F579*K579</f>
        <v>0.21240000000000001</v>
      </c>
      <c r="M579" s="31"/>
      <c r="N579" s="31" t="s">
        <v>55</v>
      </c>
      <c r="O579" s="30">
        <f>IF(N579="5",I579,0)</f>
        <v>0</v>
      </c>
      <c r="Z579" s="30">
        <f>IF(AD579=0,J579,0)</f>
        <v>0</v>
      </c>
      <c r="AA579" s="30">
        <f>IF(AD579=15,J579,0)</f>
        <v>0</v>
      </c>
      <c r="AB579" s="30">
        <f>IF(AD579=21,J579,0)</f>
        <v>0</v>
      </c>
      <c r="AD579" s="32">
        <v>21</v>
      </c>
      <c r="AE579" s="32">
        <f>G579*0.381443298969072</f>
        <v>0</v>
      </c>
      <c r="AF579" s="32">
        <f>G579*(1-0.381443298969072)</f>
        <v>0</v>
      </c>
      <c r="AM579" s="32">
        <f>F579*AE579</f>
        <v>0</v>
      </c>
      <c r="AN579" s="32">
        <f>F579*AF579</f>
        <v>0</v>
      </c>
      <c r="AO579" s="33" t="s">
        <v>171</v>
      </c>
      <c r="AP579" s="33" t="s">
        <v>171</v>
      </c>
      <c r="AQ579" s="21" t="s">
        <v>438</v>
      </c>
    </row>
    <row r="580" spans="1:43" x14ac:dyDescent="0.25">
      <c r="A580" s="26"/>
      <c r="B580" s="27" t="s">
        <v>436</v>
      </c>
      <c r="C580" s="27" t="s">
        <v>52</v>
      </c>
      <c r="D580" s="338" t="s">
        <v>53</v>
      </c>
      <c r="E580" s="339"/>
      <c r="F580" s="339"/>
      <c r="G580" s="339"/>
      <c r="H580" s="28">
        <f>SUM(H581:H581)</f>
        <v>0</v>
      </c>
      <c r="I580" s="28">
        <f>SUM(I581:I581)</f>
        <v>0</v>
      </c>
      <c r="J580" s="28">
        <f>H580+I580</f>
        <v>0</v>
      </c>
      <c r="K580" s="21"/>
      <c r="L580" s="28">
        <f>SUM(L581:L581)</f>
        <v>0.1795794</v>
      </c>
      <c r="M580" s="21"/>
      <c r="P580" s="28">
        <f>IF(Q580="PR",J580,SUM(O581:O581))</f>
        <v>0</v>
      </c>
      <c r="Q580" s="21" t="s">
        <v>54</v>
      </c>
      <c r="R580" s="28">
        <f>IF(Q580="HS",H580,0)</f>
        <v>0</v>
      </c>
      <c r="S580" s="28">
        <f>IF(Q580="HS",I580-P580,0)</f>
        <v>0</v>
      </c>
      <c r="T580" s="28">
        <f>IF(Q580="PS",H580,0)</f>
        <v>0</v>
      </c>
      <c r="U580" s="28">
        <f>IF(Q580="PS",I580-P580,0)</f>
        <v>0</v>
      </c>
      <c r="V580" s="28">
        <f>IF(Q580="MP",H580,0)</f>
        <v>0</v>
      </c>
      <c r="W580" s="28">
        <f>IF(Q580="MP",I580-P580,0)</f>
        <v>0</v>
      </c>
      <c r="X580" s="28">
        <f>IF(Q580="OM",H580,0)</f>
        <v>0</v>
      </c>
      <c r="Y580" s="21" t="s">
        <v>436</v>
      </c>
      <c r="AI580" s="28">
        <f>SUM(Z581:Z581)</f>
        <v>0</v>
      </c>
      <c r="AJ580" s="28">
        <f>SUM(AA581:AA581)</f>
        <v>0</v>
      </c>
      <c r="AK580" s="28">
        <f>SUM(AB581:AB581)</f>
        <v>0</v>
      </c>
    </row>
    <row r="581" spans="1:43" x14ac:dyDescent="0.25">
      <c r="A581" s="29" t="s">
        <v>439</v>
      </c>
      <c r="B581" s="29" t="s">
        <v>436</v>
      </c>
      <c r="C581" s="29" t="s">
        <v>56</v>
      </c>
      <c r="D581" s="29" t="s">
        <v>57</v>
      </c>
      <c r="E581" s="29" t="s">
        <v>58</v>
      </c>
      <c r="F581" s="30">
        <v>17.940000000000001</v>
      </c>
      <c r="G581" s="317">
        <v>0</v>
      </c>
      <c r="H581" s="30">
        <f>ROUND(F581*AE581,2)</f>
        <v>0</v>
      </c>
      <c r="I581" s="30">
        <f>J581-H581</f>
        <v>0</v>
      </c>
      <c r="J581" s="30">
        <f>ROUND(F581*G581,2)</f>
        <v>0</v>
      </c>
      <c r="K581" s="30">
        <v>1.001E-2</v>
      </c>
      <c r="L581" s="30">
        <f>F581*K581</f>
        <v>0.1795794</v>
      </c>
      <c r="M581" s="258" t="s">
        <v>2291</v>
      </c>
      <c r="N581" s="31" t="s">
        <v>59</v>
      </c>
      <c r="O581" s="30">
        <f>IF(N581="5",I581,0)</f>
        <v>0</v>
      </c>
      <c r="Z581" s="30">
        <f>IF(AD581=0,J581,0)</f>
        <v>0</v>
      </c>
      <c r="AA581" s="30">
        <f>IF(AD581=15,J581,0)</f>
        <v>0</v>
      </c>
      <c r="AB581" s="30">
        <f>IF(AD581=21,J581,0)</f>
        <v>0</v>
      </c>
      <c r="AD581" s="32">
        <v>21</v>
      </c>
      <c r="AE581" s="32">
        <f>G581*0.0756575801052128</f>
        <v>0</v>
      </c>
      <c r="AF581" s="32">
        <f>G581*(1-0.0756575801052128)</f>
        <v>0</v>
      </c>
      <c r="AM581" s="32">
        <f>F581*AE581</f>
        <v>0</v>
      </c>
      <c r="AN581" s="32">
        <f>F581*AF581</f>
        <v>0</v>
      </c>
      <c r="AO581" s="33" t="s">
        <v>60</v>
      </c>
      <c r="AP581" s="33" t="s">
        <v>61</v>
      </c>
      <c r="AQ581" s="21" t="s">
        <v>438</v>
      </c>
    </row>
    <row r="582" spans="1:43" ht="25.7" customHeight="1" x14ac:dyDescent="0.25">
      <c r="C582" s="34" t="s">
        <v>63</v>
      </c>
      <c r="D582" s="340" t="s">
        <v>64</v>
      </c>
      <c r="E582" s="341"/>
      <c r="F582" s="341"/>
      <c r="G582" s="341"/>
      <c r="H582" s="341"/>
      <c r="I582" s="341"/>
      <c r="J582" s="341"/>
      <c r="K582" s="341"/>
      <c r="L582" s="341"/>
      <c r="M582" s="341"/>
    </row>
    <row r="583" spans="1:43" x14ac:dyDescent="0.25">
      <c r="A583" s="26"/>
      <c r="B583" s="27" t="s">
        <v>436</v>
      </c>
      <c r="C583" s="27" t="s">
        <v>68</v>
      </c>
      <c r="D583" s="338" t="s">
        <v>69</v>
      </c>
      <c r="E583" s="339"/>
      <c r="F583" s="339"/>
      <c r="G583" s="339"/>
      <c r="H583" s="28">
        <f>SUM(H584:H584)</f>
        <v>0</v>
      </c>
      <c r="I583" s="28">
        <f>SUM(I584:I584)</f>
        <v>0</v>
      </c>
      <c r="J583" s="28">
        <f>H583+I583</f>
        <v>0</v>
      </c>
      <c r="K583" s="21"/>
      <c r="L583" s="28">
        <f>SUM(L584:L584)</f>
        <v>0.88216799999999995</v>
      </c>
      <c r="M583" s="21"/>
      <c r="P583" s="28">
        <f>IF(Q583="PR",J583,SUM(O584:O584))</f>
        <v>0</v>
      </c>
      <c r="Q583" s="21" t="s">
        <v>54</v>
      </c>
      <c r="R583" s="28">
        <f>IF(Q583="HS",H583,0)</f>
        <v>0</v>
      </c>
      <c r="S583" s="28">
        <f>IF(Q583="HS",I583-P583,0)</f>
        <v>0</v>
      </c>
      <c r="T583" s="28">
        <f>IF(Q583="PS",H583,0)</f>
        <v>0</v>
      </c>
      <c r="U583" s="28">
        <f>IF(Q583="PS",I583-P583,0)</f>
        <v>0</v>
      </c>
      <c r="V583" s="28">
        <f>IF(Q583="MP",H583,0)</f>
        <v>0</v>
      </c>
      <c r="W583" s="28">
        <f>IF(Q583="MP",I583-P583,0)</f>
        <v>0</v>
      </c>
      <c r="X583" s="28">
        <f>IF(Q583="OM",H583,0)</f>
        <v>0</v>
      </c>
      <c r="Y583" s="21" t="s">
        <v>436</v>
      </c>
      <c r="AI583" s="28">
        <f>SUM(Z584:Z584)</f>
        <v>0</v>
      </c>
      <c r="AJ583" s="28">
        <f>SUM(AA584:AA584)</f>
        <v>0</v>
      </c>
      <c r="AK583" s="28">
        <f>SUM(AB584:AB584)</f>
        <v>0</v>
      </c>
    </row>
    <row r="584" spans="1:43" x14ac:dyDescent="0.25">
      <c r="A584" s="29" t="s">
        <v>440</v>
      </c>
      <c r="B584" s="29" t="s">
        <v>436</v>
      </c>
      <c r="C584" s="29" t="s">
        <v>70</v>
      </c>
      <c r="D584" s="29" t="s">
        <v>71</v>
      </c>
      <c r="E584" s="29" t="s">
        <v>58</v>
      </c>
      <c r="F584" s="30">
        <v>17.7</v>
      </c>
      <c r="G584" s="317">
        <v>0</v>
      </c>
      <c r="H584" s="30">
        <f>ROUND(F584*AE584,2)</f>
        <v>0</v>
      </c>
      <c r="I584" s="30">
        <f>J584-H584</f>
        <v>0</v>
      </c>
      <c r="J584" s="30">
        <f>ROUND(F584*G584,2)</f>
        <v>0</v>
      </c>
      <c r="K584" s="30">
        <v>4.9840000000000002E-2</v>
      </c>
      <c r="L584" s="30">
        <f>F584*K584</f>
        <v>0.88216799999999995</v>
      </c>
      <c r="M584" s="258" t="s">
        <v>2291</v>
      </c>
      <c r="N584" s="31" t="s">
        <v>59</v>
      </c>
      <c r="O584" s="30">
        <f>IF(N584="5",I584,0)</f>
        <v>0</v>
      </c>
      <c r="Z584" s="30">
        <f>IF(AD584=0,J584,0)</f>
        <v>0</v>
      </c>
      <c r="AA584" s="30">
        <f>IF(AD584=15,J584,0)</f>
        <v>0</v>
      </c>
      <c r="AB584" s="30">
        <f>IF(AD584=21,J584,0)</f>
        <v>0</v>
      </c>
      <c r="AD584" s="32">
        <v>21</v>
      </c>
      <c r="AE584" s="32">
        <f>G584*0.411768721414431</f>
        <v>0</v>
      </c>
      <c r="AF584" s="32">
        <f>G584*(1-0.411768721414431)</f>
        <v>0</v>
      </c>
      <c r="AM584" s="32">
        <f>F584*AE584</f>
        <v>0</v>
      </c>
      <c r="AN584" s="32">
        <f>F584*AF584</f>
        <v>0</v>
      </c>
      <c r="AO584" s="33" t="s">
        <v>72</v>
      </c>
      <c r="AP584" s="33" t="s">
        <v>61</v>
      </c>
      <c r="AQ584" s="21" t="s">
        <v>438</v>
      </c>
    </row>
    <row r="585" spans="1:43" x14ac:dyDescent="0.25">
      <c r="A585" s="26"/>
      <c r="B585" s="27" t="s">
        <v>436</v>
      </c>
      <c r="C585" s="27" t="s">
        <v>73</v>
      </c>
      <c r="D585" s="338" t="s">
        <v>74</v>
      </c>
      <c r="E585" s="339"/>
      <c r="F585" s="339"/>
      <c r="G585" s="339"/>
      <c r="H585" s="28">
        <f>SUM(H586:H586)</f>
        <v>0</v>
      </c>
      <c r="I585" s="28">
        <f>SUM(I586:I586)</f>
        <v>0</v>
      </c>
      <c r="J585" s="28">
        <f>H585+I585</f>
        <v>0</v>
      </c>
      <c r="K585" s="21"/>
      <c r="L585" s="28">
        <f>SUM(L586:L586)</f>
        <v>0.28497</v>
      </c>
      <c r="M585" s="21"/>
      <c r="P585" s="28">
        <f>IF(Q585="PR",J585,SUM(O586:O586))</f>
        <v>0</v>
      </c>
      <c r="Q585" s="21" t="s">
        <v>75</v>
      </c>
      <c r="R585" s="28">
        <f>IF(Q585="HS",H585,0)</f>
        <v>0</v>
      </c>
      <c r="S585" s="28">
        <f>IF(Q585="HS",I585-P585,0)</f>
        <v>0</v>
      </c>
      <c r="T585" s="28">
        <f>IF(Q585="PS",H585,0)</f>
        <v>0</v>
      </c>
      <c r="U585" s="28">
        <f>IF(Q585="PS",I585-P585,0)</f>
        <v>0</v>
      </c>
      <c r="V585" s="28">
        <f>IF(Q585="MP",H585,0)</f>
        <v>0</v>
      </c>
      <c r="W585" s="28">
        <f>IF(Q585="MP",I585-P585,0)</f>
        <v>0</v>
      </c>
      <c r="X585" s="28">
        <f>IF(Q585="OM",H585,0)</f>
        <v>0</v>
      </c>
      <c r="Y585" s="21" t="s">
        <v>436</v>
      </c>
      <c r="AI585" s="28">
        <f>SUM(Z586:Z586)</f>
        <v>0</v>
      </c>
      <c r="AJ585" s="28">
        <f>SUM(AA586:AA586)</f>
        <v>0</v>
      </c>
      <c r="AK585" s="28">
        <f>SUM(AB586:AB586)</f>
        <v>0</v>
      </c>
    </row>
    <row r="586" spans="1:43" x14ac:dyDescent="0.25">
      <c r="A586" s="29" t="s">
        <v>441</v>
      </c>
      <c r="B586" s="29" t="s">
        <v>436</v>
      </c>
      <c r="C586" s="29" t="s">
        <v>77</v>
      </c>
      <c r="D586" s="29" t="s">
        <v>2278</v>
      </c>
      <c r="E586" s="29" t="s">
        <v>58</v>
      </c>
      <c r="F586" s="30">
        <v>17.7</v>
      </c>
      <c r="G586" s="317">
        <v>0</v>
      </c>
      <c r="H586" s="30">
        <f>ROUND(F586*AE586,2)</f>
        <v>0</v>
      </c>
      <c r="I586" s="30">
        <f>J586-H586</f>
        <v>0</v>
      </c>
      <c r="J586" s="30">
        <f>ROUND(F586*G586,2)</f>
        <v>0</v>
      </c>
      <c r="K586" s="30">
        <v>1.61E-2</v>
      </c>
      <c r="L586" s="30">
        <f>F586*K586</f>
        <v>0.28497</v>
      </c>
      <c r="M586" s="258" t="s">
        <v>2291</v>
      </c>
      <c r="N586" s="31" t="s">
        <v>59</v>
      </c>
      <c r="O586" s="30">
        <f>IF(N586="5",I586,0)</f>
        <v>0</v>
      </c>
      <c r="Z586" s="30">
        <f>IF(AD586=0,J586,0)</f>
        <v>0</v>
      </c>
      <c r="AA586" s="30">
        <f>IF(AD586=15,J586,0)</f>
        <v>0</v>
      </c>
      <c r="AB586" s="30">
        <f>IF(AD586=21,J586,0)</f>
        <v>0</v>
      </c>
      <c r="AD586" s="32">
        <v>21</v>
      </c>
      <c r="AE586" s="32">
        <f>G586*0.787221324717286</f>
        <v>0</v>
      </c>
      <c r="AF586" s="32">
        <f>G586*(1-0.787221324717286)</f>
        <v>0</v>
      </c>
      <c r="AM586" s="32">
        <f>F586*AE586</f>
        <v>0</v>
      </c>
      <c r="AN586" s="32">
        <f>F586*AF586</f>
        <v>0</v>
      </c>
      <c r="AO586" s="33" t="s">
        <v>78</v>
      </c>
      <c r="AP586" s="33" t="s">
        <v>79</v>
      </c>
      <c r="AQ586" s="21" t="s">
        <v>438</v>
      </c>
    </row>
    <row r="587" spans="1:43" x14ac:dyDescent="0.25">
      <c r="C587" s="34" t="s">
        <v>63</v>
      </c>
      <c r="D587" s="340" t="s">
        <v>2280</v>
      </c>
      <c r="E587" s="341"/>
      <c r="F587" s="341"/>
      <c r="G587" s="341"/>
      <c r="H587" s="341"/>
      <c r="I587" s="341"/>
      <c r="J587" s="341"/>
      <c r="K587" s="341"/>
      <c r="L587" s="341"/>
      <c r="M587" s="341"/>
    </row>
    <row r="588" spans="1:43" x14ac:dyDescent="0.25">
      <c r="A588" s="26"/>
      <c r="B588" s="27" t="s">
        <v>436</v>
      </c>
      <c r="C588" s="27" t="s">
        <v>189</v>
      </c>
      <c r="D588" s="338" t="s">
        <v>190</v>
      </c>
      <c r="E588" s="339"/>
      <c r="F588" s="339"/>
      <c r="G588" s="339"/>
      <c r="H588" s="28">
        <f>SUM(H589:H592)</f>
        <v>0</v>
      </c>
      <c r="I588" s="28">
        <f>SUM(I589:I592)</f>
        <v>0</v>
      </c>
      <c r="J588" s="28">
        <f>H588+I588</f>
        <v>0</v>
      </c>
      <c r="K588" s="21"/>
      <c r="L588" s="28">
        <f>SUM(L589:L592)</f>
        <v>14.358805</v>
      </c>
      <c r="M588" s="21"/>
      <c r="P588" s="28">
        <f>IF(Q588="PR",J588,SUM(O589:O592))</f>
        <v>0</v>
      </c>
      <c r="Q588" s="21" t="s">
        <v>75</v>
      </c>
      <c r="R588" s="28">
        <f>IF(Q588="HS",H588,0)</f>
        <v>0</v>
      </c>
      <c r="S588" s="28">
        <f>IF(Q588="HS",I588-P588,0)</f>
        <v>0</v>
      </c>
      <c r="T588" s="28">
        <f>IF(Q588="PS",H588,0)</f>
        <v>0</v>
      </c>
      <c r="U588" s="28">
        <f>IF(Q588="PS",I588-P588,0)</f>
        <v>0</v>
      </c>
      <c r="V588" s="28">
        <f>IF(Q588="MP",H588,0)</f>
        <v>0</v>
      </c>
      <c r="W588" s="28">
        <f>IF(Q588="MP",I588-P588,0)</f>
        <v>0</v>
      </c>
      <c r="X588" s="28">
        <f>IF(Q588="OM",H588,0)</f>
        <v>0</v>
      </c>
      <c r="Y588" s="21" t="s">
        <v>436</v>
      </c>
      <c r="AI588" s="28">
        <f>SUM(Z589:Z592)</f>
        <v>0</v>
      </c>
      <c r="AJ588" s="28">
        <f>SUM(AA589:AA592)</f>
        <v>0</v>
      </c>
      <c r="AK588" s="28">
        <f>SUM(AB589:AB592)</f>
        <v>0</v>
      </c>
    </row>
    <row r="589" spans="1:43" x14ac:dyDescent="0.25">
      <c r="A589" s="29" t="s">
        <v>442</v>
      </c>
      <c r="B589" s="29" t="s">
        <v>436</v>
      </c>
      <c r="C589" s="29" t="s">
        <v>259</v>
      </c>
      <c r="D589" s="29" t="s">
        <v>260</v>
      </c>
      <c r="E589" s="29" t="s">
        <v>58</v>
      </c>
      <c r="F589" s="30">
        <v>74.599999999999994</v>
      </c>
      <c r="G589" s="317">
        <v>0</v>
      </c>
      <c r="H589" s="30">
        <f>ROUND(F589*AE589,2)</f>
        <v>0</v>
      </c>
      <c r="I589" s="30">
        <f>J589-H589</f>
        <v>0</v>
      </c>
      <c r="J589" s="30">
        <f>ROUND(F589*G589,2)</f>
        <v>0</v>
      </c>
      <c r="K589" s="30">
        <v>0.16428000000000001</v>
      </c>
      <c r="L589" s="30">
        <f>F589*K589</f>
        <v>12.255288</v>
      </c>
      <c r="M589" s="258" t="s">
        <v>2291</v>
      </c>
      <c r="N589" s="31" t="s">
        <v>59</v>
      </c>
      <c r="O589" s="30">
        <f>IF(N589="5",I589,0)</f>
        <v>0</v>
      </c>
      <c r="Z589" s="30">
        <f>IF(AD589=0,J589,0)</f>
        <v>0</v>
      </c>
      <c r="AA589" s="30">
        <f>IF(AD589=15,J589,0)</f>
        <v>0</v>
      </c>
      <c r="AB589" s="30">
        <f>IF(AD589=21,J589,0)</f>
        <v>0</v>
      </c>
      <c r="AD589" s="32">
        <v>21</v>
      </c>
      <c r="AE589" s="32">
        <f>G589*0.406311844340531</f>
        <v>0</v>
      </c>
      <c r="AF589" s="32">
        <f>G589*(1-0.406311844340531)</f>
        <v>0</v>
      </c>
      <c r="AM589" s="32">
        <f>F589*AE589</f>
        <v>0</v>
      </c>
      <c r="AN589" s="32">
        <f>F589*AF589</f>
        <v>0</v>
      </c>
      <c r="AO589" s="33" t="s">
        <v>194</v>
      </c>
      <c r="AP589" s="33" t="s">
        <v>92</v>
      </c>
      <c r="AQ589" s="21" t="s">
        <v>438</v>
      </c>
    </row>
    <row r="590" spans="1:43" x14ac:dyDescent="0.25">
      <c r="A590" s="29" t="s">
        <v>443</v>
      </c>
      <c r="B590" s="29" t="s">
        <v>436</v>
      </c>
      <c r="C590" s="29" t="s">
        <v>444</v>
      </c>
      <c r="D590" s="29" t="s">
        <v>2287</v>
      </c>
      <c r="E590" s="29" t="s">
        <v>58</v>
      </c>
      <c r="F590" s="30">
        <v>74.599999999999994</v>
      </c>
      <c r="G590" s="317">
        <v>0</v>
      </c>
      <c r="H590" s="30">
        <f>ROUND(F590*AE590,2)</f>
        <v>0</v>
      </c>
      <c r="I590" s="30">
        <f>J590-H590</f>
        <v>0</v>
      </c>
      <c r="J590" s="30">
        <f>ROUND(F590*G590,2)</f>
        <v>0</v>
      </c>
      <c r="K590" s="30">
        <v>2.2790000000000001E-2</v>
      </c>
      <c r="L590" s="30">
        <f>F590*K590</f>
        <v>1.700134</v>
      </c>
      <c r="M590" s="258" t="s">
        <v>2291</v>
      </c>
      <c r="N590" s="31" t="s">
        <v>59</v>
      </c>
      <c r="O590" s="30">
        <f>IF(N590="5",I590,0)</f>
        <v>0</v>
      </c>
      <c r="Z590" s="30">
        <f>IF(AD590=0,J590,0)</f>
        <v>0</v>
      </c>
      <c r="AA590" s="30">
        <f>IF(AD590=15,J590,0)</f>
        <v>0</v>
      </c>
      <c r="AB590" s="30">
        <f>IF(AD590=21,J590,0)</f>
        <v>0</v>
      </c>
      <c r="AD590" s="32">
        <v>21</v>
      </c>
      <c r="AE590" s="32">
        <f>G590*0.579484228260688</f>
        <v>0</v>
      </c>
      <c r="AF590" s="32">
        <f>G590*(1-0.579484228260688)</f>
        <v>0</v>
      </c>
      <c r="AM590" s="32">
        <f>F590*AE590</f>
        <v>0</v>
      </c>
      <c r="AN590" s="32">
        <f>F590*AF590</f>
        <v>0</v>
      </c>
      <c r="AO590" s="33" t="s">
        <v>194</v>
      </c>
      <c r="AP590" s="33" t="s">
        <v>92</v>
      </c>
      <c r="AQ590" s="21" t="s">
        <v>438</v>
      </c>
    </row>
    <row r="591" spans="1:43" ht="25.7" customHeight="1" x14ac:dyDescent="0.25">
      <c r="C591" s="34" t="s">
        <v>63</v>
      </c>
      <c r="D591" s="340" t="s">
        <v>2283</v>
      </c>
      <c r="E591" s="341"/>
      <c r="F591" s="341"/>
      <c r="G591" s="341"/>
      <c r="H591" s="341"/>
      <c r="I591" s="341"/>
      <c r="J591" s="341"/>
      <c r="K591" s="341"/>
      <c r="L591" s="341"/>
      <c r="M591" s="341"/>
    </row>
    <row r="592" spans="1:43" x14ac:dyDescent="0.25">
      <c r="A592" s="29" t="s">
        <v>445</v>
      </c>
      <c r="B592" s="29" t="s">
        <v>436</v>
      </c>
      <c r="C592" s="29" t="s">
        <v>444</v>
      </c>
      <c r="D592" s="29" t="s">
        <v>2288</v>
      </c>
      <c r="E592" s="29" t="s">
        <v>58</v>
      </c>
      <c r="F592" s="30">
        <v>17.7</v>
      </c>
      <c r="G592" s="317">
        <v>0</v>
      </c>
      <c r="H592" s="30">
        <f>ROUND(F592*AE592,2)</f>
        <v>0</v>
      </c>
      <c r="I592" s="30">
        <f>J592-H592</f>
        <v>0</v>
      </c>
      <c r="J592" s="30">
        <f>ROUND(F592*G592,2)</f>
        <v>0</v>
      </c>
      <c r="K592" s="30">
        <v>2.2790000000000001E-2</v>
      </c>
      <c r="L592" s="30">
        <f>F592*K592</f>
        <v>0.40338299999999999</v>
      </c>
      <c r="M592" s="258" t="s">
        <v>2291</v>
      </c>
      <c r="N592" s="31" t="s">
        <v>59</v>
      </c>
      <c r="O592" s="30">
        <f>IF(N592="5",I592,0)</f>
        <v>0</v>
      </c>
      <c r="Z592" s="30">
        <f>IF(AD592=0,J592,0)</f>
        <v>0</v>
      </c>
      <c r="AA592" s="30">
        <f>IF(AD592=15,J592,0)</f>
        <v>0</v>
      </c>
      <c r="AB592" s="30">
        <f>IF(AD592=21,J592,0)</f>
        <v>0</v>
      </c>
      <c r="AD592" s="32">
        <v>21</v>
      </c>
      <c r="AE592" s="32">
        <f>G592*0.579484228260688</f>
        <v>0</v>
      </c>
      <c r="AF592" s="32">
        <f>G592*(1-0.579484228260688)</f>
        <v>0</v>
      </c>
      <c r="AM592" s="32">
        <f>F592*AE592</f>
        <v>0</v>
      </c>
      <c r="AN592" s="32">
        <f>F592*AF592</f>
        <v>0</v>
      </c>
      <c r="AO592" s="33" t="s">
        <v>194</v>
      </c>
      <c r="AP592" s="33" t="s">
        <v>92</v>
      </c>
      <c r="AQ592" s="21" t="s">
        <v>438</v>
      </c>
    </row>
    <row r="593" spans="1:43" ht="25.7" customHeight="1" x14ac:dyDescent="0.25">
      <c r="C593" s="34" t="s">
        <v>63</v>
      </c>
      <c r="D593" s="340" t="s">
        <v>2283</v>
      </c>
      <c r="E593" s="341"/>
      <c r="F593" s="341"/>
      <c r="G593" s="341"/>
      <c r="H593" s="341"/>
      <c r="I593" s="341"/>
      <c r="J593" s="341"/>
      <c r="K593" s="341"/>
      <c r="L593" s="341"/>
      <c r="M593" s="341"/>
    </row>
    <row r="594" spans="1:43" x14ac:dyDescent="0.25">
      <c r="A594" s="26"/>
      <c r="B594" s="27" t="s">
        <v>436</v>
      </c>
      <c r="C594" s="27" t="s">
        <v>86</v>
      </c>
      <c r="D594" s="338" t="s">
        <v>87</v>
      </c>
      <c r="E594" s="339"/>
      <c r="F594" s="339"/>
      <c r="G594" s="339"/>
      <c r="H594" s="28">
        <f>SUM(H595:H595)</f>
        <v>0</v>
      </c>
      <c r="I594" s="28">
        <f>SUM(I595:I595)</f>
        <v>0</v>
      </c>
      <c r="J594" s="28">
        <f>H594+I594</f>
        <v>0</v>
      </c>
      <c r="K594" s="21"/>
      <c r="L594" s="28">
        <f>SUM(L595:L595)</f>
        <v>3.2399999999999998E-3</v>
      </c>
      <c r="M594" s="21"/>
      <c r="P594" s="28">
        <f>IF(Q594="PR",J594,SUM(O595:O595))</f>
        <v>0</v>
      </c>
      <c r="Q594" s="21" t="s">
        <v>75</v>
      </c>
      <c r="R594" s="28">
        <f>IF(Q594="HS",H594,0)</f>
        <v>0</v>
      </c>
      <c r="S594" s="28">
        <f>IF(Q594="HS",I594-P594,0)</f>
        <v>0</v>
      </c>
      <c r="T594" s="28">
        <f>IF(Q594="PS",H594,0)</f>
        <v>0</v>
      </c>
      <c r="U594" s="28">
        <f>IF(Q594="PS",I594-P594,0)</f>
        <v>0</v>
      </c>
      <c r="V594" s="28">
        <f>IF(Q594="MP",H594,0)</f>
        <v>0</v>
      </c>
      <c r="W594" s="28">
        <f>IF(Q594="MP",I594-P594,0)</f>
        <v>0</v>
      </c>
      <c r="X594" s="28">
        <f>IF(Q594="OM",H594,0)</f>
        <v>0</v>
      </c>
      <c r="Y594" s="21" t="s">
        <v>436</v>
      </c>
      <c r="AI594" s="28">
        <f>SUM(Z595:Z595)</f>
        <v>0</v>
      </c>
      <c r="AJ594" s="28">
        <f>SUM(AA595:AA595)</f>
        <v>0</v>
      </c>
      <c r="AK594" s="28">
        <f>SUM(AB595:AB595)</f>
        <v>0</v>
      </c>
    </row>
    <row r="595" spans="1:43" x14ac:dyDescent="0.25">
      <c r="A595" s="29" t="s">
        <v>446</v>
      </c>
      <c r="B595" s="29" t="s">
        <v>436</v>
      </c>
      <c r="C595" s="29" t="s">
        <v>89</v>
      </c>
      <c r="D595" s="29" t="s">
        <v>90</v>
      </c>
      <c r="E595" s="29" t="s">
        <v>58</v>
      </c>
      <c r="F595" s="30">
        <v>12</v>
      </c>
      <c r="G595" s="317">
        <v>0</v>
      </c>
      <c r="H595" s="30">
        <f>ROUND(F595*AE595,2)</f>
        <v>0</v>
      </c>
      <c r="I595" s="30">
        <f>J595-H595</f>
        <v>0</v>
      </c>
      <c r="J595" s="30">
        <f>ROUND(F595*G595,2)</f>
        <v>0</v>
      </c>
      <c r="K595" s="30">
        <v>2.7E-4</v>
      </c>
      <c r="L595" s="30">
        <f>F595*K595</f>
        <v>3.2399999999999998E-3</v>
      </c>
      <c r="M595" s="258" t="s">
        <v>2291</v>
      </c>
      <c r="N595" s="31" t="s">
        <v>59</v>
      </c>
      <c r="O595" s="30">
        <f>IF(N595="5",I595,0)</f>
        <v>0</v>
      </c>
      <c r="Z595" s="30">
        <f>IF(AD595=0,J595,0)</f>
        <v>0</v>
      </c>
      <c r="AA595" s="30">
        <f>IF(AD595=15,J595,0)</f>
        <v>0</v>
      </c>
      <c r="AB595" s="30">
        <f>IF(AD595=21,J595,0)</f>
        <v>0</v>
      </c>
      <c r="AD595" s="32">
        <v>21</v>
      </c>
      <c r="AE595" s="32">
        <f>G595*0.186098187625859</f>
        <v>0</v>
      </c>
      <c r="AF595" s="32">
        <f>G595*(1-0.186098187625859)</f>
        <v>0</v>
      </c>
      <c r="AM595" s="32">
        <f>F595*AE595</f>
        <v>0</v>
      </c>
      <c r="AN595" s="32">
        <f>F595*AF595</f>
        <v>0</v>
      </c>
      <c r="AO595" s="33" t="s">
        <v>91</v>
      </c>
      <c r="AP595" s="33" t="s">
        <v>92</v>
      </c>
      <c r="AQ595" s="21" t="s">
        <v>438</v>
      </c>
    </row>
    <row r="596" spans="1:43" x14ac:dyDescent="0.25">
      <c r="A596" s="26"/>
      <c r="B596" s="27" t="s">
        <v>436</v>
      </c>
      <c r="C596" s="27" t="s">
        <v>93</v>
      </c>
      <c r="D596" s="338" t="s">
        <v>94</v>
      </c>
      <c r="E596" s="339"/>
      <c r="F596" s="339"/>
      <c r="G596" s="339"/>
      <c r="H596" s="28">
        <f>SUM(H597:H597)</f>
        <v>0</v>
      </c>
      <c r="I596" s="28">
        <f>SUM(I597:I597)</f>
        <v>0</v>
      </c>
      <c r="J596" s="28">
        <f>H596+I596</f>
        <v>0</v>
      </c>
      <c r="K596" s="21"/>
      <c r="L596" s="28">
        <f>SUM(L597:L597)</f>
        <v>2.3165999999999999E-2</v>
      </c>
      <c r="M596" s="21"/>
      <c r="P596" s="28">
        <f>IF(Q596="PR",J596,SUM(O597:O597))</f>
        <v>0</v>
      </c>
      <c r="Q596" s="21" t="s">
        <v>75</v>
      </c>
      <c r="R596" s="28">
        <f>IF(Q596="HS",H596,0)</f>
        <v>0</v>
      </c>
      <c r="S596" s="28">
        <f>IF(Q596="HS",I596-P596,0)</f>
        <v>0</v>
      </c>
      <c r="T596" s="28">
        <f>IF(Q596="PS",H596,0)</f>
        <v>0</v>
      </c>
      <c r="U596" s="28">
        <f>IF(Q596="PS",I596-P596,0)</f>
        <v>0</v>
      </c>
      <c r="V596" s="28">
        <f>IF(Q596="MP",H596,0)</f>
        <v>0</v>
      </c>
      <c r="W596" s="28">
        <f>IF(Q596="MP",I596-P596,0)</f>
        <v>0</v>
      </c>
      <c r="X596" s="28">
        <f>IF(Q596="OM",H596,0)</f>
        <v>0</v>
      </c>
      <c r="Y596" s="21" t="s">
        <v>436</v>
      </c>
      <c r="AI596" s="28">
        <f>SUM(Z597:Z597)</f>
        <v>0</v>
      </c>
      <c r="AJ596" s="28">
        <f>SUM(AA597:AA597)</f>
        <v>0</v>
      </c>
      <c r="AK596" s="28">
        <f>SUM(AB597:AB597)</f>
        <v>0</v>
      </c>
    </row>
    <row r="597" spans="1:43" x14ac:dyDescent="0.25">
      <c r="A597" s="29" t="s">
        <v>447</v>
      </c>
      <c r="B597" s="29" t="s">
        <v>436</v>
      </c>
      <c r="C597" s="29" t="s">
        <v>96</v>
      </c>
      <c r="D597" s="29" t="s">
        <v>97</v>
      </c>
      <c r="E597" s="29" t="s">
        <v>58</v>
      </c>
      <c r="F597" s="30">
        <v>35.64</v>
      </c>
      <c r="G597" s="317">
        <v>0</v>
      </c>
      <c r="H597" s="30">
        <f>ROUND(F597*AE597,2)</f>
        <v>0</v>
      </c>
      <c r="I597" s="30">
        <f>J597-H597</f>
        <v>0</v>
      </c>
      <c r="J597" s="30">
        <f>ROUND(F597*G597,2)</f>
        <v>0</v>
      </c>
      <c r="K597" s="30">
        <v>6.4999999999999997E-4</v>
      </c>
      <c r="L597" s="30">
        <f>F597*K597</f>
        <v>2.3165999999999999E-2</v>
      </c>
      <c r="M597" s="258" t="s">
        <v>2291</v>
      </c>
      <c r="N597" s="31" t="s">
        <v>59</v>
      </c>
      <c r="O597" s="30">
        <f>IF(N597="5",I597,0)</f>
        <v>0</v>
      </c>
      <c r="Z597" s="30">
        <f>IF(AD597=0,J597,0)</f>
        <v>0</v>
      </c>
      <c r="AA597" s="30">
        <f>IF(AD597=15,J597,0)</f>
        <v>0</v>
      </c>
      <c r="AB597" s="30">
        <f>IF(AD597=21,J597,0)</f>
        <v>0</v>
      </c>
      <c r="AD597" s="32">
        <v>21</v>
      </c>
      <c r="AE597" s="32">
        <f>G597*0.333747476316198</f>
        <v>0</v>
      </c>
      <c r="AF597" s="32">
        <f>G597*(1-0.333747476316198)</f>
        <v>0</v>
      </c>
      <c r="AM597" s="32">
        <f>F597*AE597</f>
        <v>0</v>
      </c>
      <c r="AN597" s="32">
        <f>F597*AF597</f>
        <v>0</v>
      </c>
      <c r="AO597" s="33" t="s">
        <v>98</v>
      </c>
      <c r="AP597" s="33" t="s">
        <v>92</v>
      </c>
      <c r="AQ597" s="21" t="s">
        <v>438</v>
      </c>
    </row>
    <row r="598" spans="1:43" x14ac:dyDescent="0.25">
      <c r="A598" s="26"/>
      <c r="B598" s="27" t="s">
        <v>448</v>
      </c>
      <c r="C598" s="27"/>
      <c r="D598" s="338" t="s">
        <v>448</v>
      </c>
      <c r="E598" s="339"/>
      <c r="F598" s="339"/>
      <c r="G598" s="339"/>
      <c r="H598" s="28">
        <f>H599+H606+H608+H611+H613+H615+H617</f>
        <v>0</v>
      </c>
      <c r="I598" s="28">
        <f>I599+I606+I608+I611+I613+I615+I617</f>
        <v>0</v>
      </c>
      <c r="J598" s="28">
        <f>H598+I598</f>
        <v>0</v>
      </c>
      <c r="K598" s="21"/>
      <c r="L598" s="28">
        <f>L599+L606+L608+L611+L613+L615+L617</f>
        <v>4.3635288000000001</v>
      </c>
      <c r="M598" s="21"/>
    </row>
    <row r="599" spans="1:43" x14ac:dyDescent="0.25">
      <c r="A599" s="26"/>
      <c r="B599" s="27" t="s">
        <v>448</v>
      </c>
      <c r="C599" s="27" t="s">
        <v>52</v>
      </c>
      <c r="D599" s="338" t="s">
        <v>53</v>
      </c>
      <c r="E599" s="339"/>
      <c r="F599" s="339"/>
      <c r="G599" s="339"/>
      <c r="H599" s="28">
        <f>SUM(H600:H604)</f>
        <v>0</v>
      </c>
      <c r="I599" s="28">
        <f>SUM(I600:I604)</f>
        <v>0</v>
      </c>
      <c r="J599" s="28">
        <f>H599+I599</f>
        <v>0</v>
      </c>
      <c r="K599" s="21"/>
      <c r="L599" s="28">
        <f>SUM(L600:L604)</f>
        <v>1.8939618</v>
      </c>
      <c r="M599" s="21"/>
      <c r="P599" s="28">
        <f>IF(Q599="PR",J599,SUM(O600:O604))</f>
        <v>0</v>
      </c>
      <c r="Q599" s="21" t="s">
        <v>54</v>
      </c>
      <c r="R599" s="28">
        <f>IF(Q599="HS",H599,0)</f>
        <v>0</v>
      </c>
      <c r="S599" s="28">
        <f>IF(Q599="HS",I599-P599,0)</f>
        <v>0</v>
      </c>
      <c r="T599" s="28">
        <f>IF(Q599="PS",H599,0)</f>
        <v>0</v>
      </c>
      <c r="U599" s="28">
        <f>IF(Q599="PS",I599-P599,0)</f>
        <v>0</v>
      </c>
      <c r="V599" s="28">
        <f>IF(Q599="MP",H599,0)</f>
        <v>0</v>
      </c>
      <c r="W599" s="28">
        <f>IF(Q599="MP",I599-P599,0)</f>
        <v>0</v>
      </c>
      <c r="X599" s="28">
        <f>IF(Q599="OM",H599,0)</f>
        <v>0</v>
      </c>
      <c r="Y599" s="21" t="s">
        <v>448</v>
      </c>
      <c r="AI599" s="28">
        <f>SUM(Z600:Z604)</f>
        <v>0</v>
      </c>
      <c r="AJ599" s="28">
        <f>SUM(AA600:AA604)</f>
        <v>0</v>
      </c>
      <c r="AK599" s="28">
        <f>SUM(AB600:AB604)</f>
        <v>0</v>
      </c>
    </row>
    <row r="600" spans="1:43" x14ac:dyDescent="0.25">
      <c r="A600" s="29" t="s">
        <v>449</v>
      </c>
      <c r="B600" s="29" t="s">
        <v>448</v>
      </c>
      <c r="C600" s="29" t="s">
        <v>56</v>
      </c>
      <c r="D600" s="29" t="s">
        <v>57</v>
      </c>
      <c r="E600" s="29" t="s">
        <v>58</v>
      </c>
      <c r="F600" s="30">
        <v>76.56</v>
      </c>
      <c r="G600" s="317">
        <v>0</v>
      </c>
      <c r="H600" s="30">
        <f>ROUND(F600*AE600,2)</f>
        <v>0</v>
      </c>
      <c r="I600" s="30">
        <f>J600-H600</f>
        <v>0</v>
      </c>
      <c r="J600" s="30">
        <f>ROUND(F600*G600,2)</f>
        <v>0</v>
      </c>
      <c r="K600" s="30">
        <v>1.001E-2</v>
      </c>
      <c r="L600" s="30">
        <f>F600*K600</f>
        <v>0.76636559999999998</v>
      </c>
      <c r="M600" s="258" t="s">
        <v>2291</v>
      </c>
      <c r="N600" s="31" t="s">
        <v>59</v>
      </c>
      <c r="O600" s="30">
        <f>IF(N600="5",I600,0)</f>
        <v>0</v>
      </c>
      <c r="Z600" s="30">
        <f>IF(AD600=0,J600,0)</f>
        <v>0</v>
      </c>
      <c r="AA600" s="30">
        <f>IF(AD600=15,J600,0)</f>
        <v>0</v>
      </c>
      <c r="AB600" s="30">
        <f>IF(AD600=21,J600,0)</f>
        <v>0</v>
      </c>
      <c r="AD600" s="32">
        <v>21</v>
      </c>
      <c r="AE600" s="32">
        <f>G600*0.0756575801052128</f>
        <v>0</v>
      </c>
      <c r="AF600" s="32">
        <f>G600*(1-0.0756575801052128)</f>
        <v>0</v>
      </c>
      <c r="AM600" s="32">
        <f>F600*AE600</f>
        <v>0</v>
      </c>
      <c r="AN600" s="32">
        <f>F600*AF600</f>
        <v>0</v>
      </c>
      <c r="AO600" s="33" t="s">
        <v>60</v>
      </c>
      <c r="AP600" s="33" t="s">
        <v>61</v>
      </c>
      <c r="AQ600" s="21" t="s">
        <v>450</v>
      </c>
    </row>
    <row r="601" spans="1:43" ht="25.7" customHeight="1" x14ac:dyDescent="0.25">
      <c r="C601" s="34" t="s">
        <v>63</v>
      </c>
      <c r="D601" s="340" t="s">
        <v>64</v>
      </c>
      <c r="E601" s="341"/>
      <c r="F601" s="341"/>
      <c r="G601" s="341"/>
      <c r="H601" s="341"/>
      <c r="I601" s="341"/>
      <c r="J601" s="341"/>
      <c r="K601" s="341"/>
      <c r="L601" s="341"/>
      <c r="M601" s="341"/>
    </row>
    <row r="602" spans="1:43" x14ac:dyDescent="0.25">
      <c r="A602" s="29" t="s">
        <v>451</v>
      </c>
      <c r="B602" s="29" t="s">
        <v>448</v>
      </c>
      <c r="C602" s="29" t="s">
        <v>66</v>
      </c>
      <c r="D602" s="29" t="s">
        <v>67</v>
      </c>
      <c r="E602" s="29" t="s">
        <v>58</v>
      </c>
      <c r="F602" s="30">
        <v>34.22</v>
      </c>
      <c r="G602" s="317">
        <v>0</v>
      </c>
      <c r="H602" s="30">
        <f>ROUND(F602*AE602,2)</f>
        <v>0</v>
      </c>
      <c r="I602" s="30">
        <f>J602-H602</f>
        <v>0</v>
      </c>
      <c r="J602" s="30">
        <f>ROUND(F602*G602,2)</f>
        <v>0</v>
      </c>
      <c r="K602" s="30">
        <v>9.8399999999999998E-3</v>
      </c>
      <c r="L602" s="30">
        <f>F602*K602</f>
        <v>0.33672479999999999</v>
      </c>
      <c r="M602" s="258" t="s">
        <v>2291</v>
      </c>
      <c r="N602" s="31" t="s">
        <v>59</v>
      </c>
      <c r="O602" s="30">
        <f>IF(N602="5",I602,0)</f>
        <v>0</v>
      </c>
      <c r="Z602" s="30">
        <f>IF(AD602=0,J602,0)</f>
        <v>0</v>
      </c>
      <c r="AA602" s="30">
        <f>IF(AD602=15,J602,0)</f>
        <v>0</v>
      </c>
      <c r="AB602" s="30">
        <f>IF(AD602=21,J602,0)</f>
        <v>0</v>
      </c>
      <c r="AD602" s="32">
        <v>21</v>
      </c>
      <c r="AE602" s="32">
        <f>G602*0.160304682766381</f>
        <v>0</v>
      </c>
      <c r="AF602" s="32">
        <f>G602*(1-0.160304682766381)</f>
        <v>0</v>
      </c>
      <c r="AM602" s="32">
        <f>F602*AE602</f>
        <v>0</v>
      </c>
      <c r="AN602" s="32">
        <f>F602*AF602</f>
        <v>0</v>
      </c>
      <c r="AO602" s="33" t="s">
        <v>60</v>
      </c>
      <c r="AP602" s="33" t="s">
        <v>61</v>
      </c>
      <c r="AQ602" s="21" t="s">
        <v>450</v>
      </c>
    </row>
    <row r="603" spans="1:43" ht="25.7" customHeight="1" x14ac:dyDescent="0.25">
      <c r="C603" s="34" t="s">
        <v>63</v>
      </c>
      <c r="D603" s="340" t="s">
        <v>64</v>
      </c>
      <c r="E603" s="341"/>
      <c r="F603" s="341"/>
      <c r="G603" s="341"/>
      <c r="H603" s="341"/>
      <c r="I603" s="341"/>
      <c r="J603" s="341"/>
      <c r="K603" s="341"/>
      <c r="L603" s="341"/>
      <c r="M603" s="341"/>
    </row>
    <row r="604" spans="1:43" x14ac:dyDescent="0.25">
      <c r="A604" s="29" t="s">
        <v>452</v>
      </c>
      <c r="B604" s="29" t="s">
        <v>448</v>
      </c>
      <c r="C604" s="29" t="s">
        <v>156</v>
      </c>
      <c r="D604" s="29" t="s">
        <v>2281</v>
      </c>
      <c r="E604" s="29" t="s">
        <v>58</v>
      </c>
      <c r="F604" s="30">
        <v>38.94</v>
      </c>
      <c r="G604" s="317">
        <v>0</v>
      </c>
      <c r="H604" s="30">
        <f>ROUND(F604*AE604,2)</f>
        <v>0</v>
      </c>
      <c r="I604" s="30">
        <f>J604-H604</f>
        <v>0</v>
      </c>
      <c r="J604" s="30">
        <f>ROUND(F604*G604,2)</f>
        <v>0</v>
      </c>
      <c r="K604" s="30">
        <v>2.0310000000000002E-2</v>
      </c>
      <c r="L604" s="30">
        <f>F604*K604</f>
        <v>0.7908714</v>
      </c>
      <c r="M604" s="258" t="s">
        <v>2291</v>
      </c>
      <c r="N604" s="31" t="s">
        <v>55</v>
      </c>
      <c r="O604" s="30">
        <f>IF(N604="5",I604,0)</f>
        <v>0</v>
      </c>
      <c r="Z604" s="30">
        <f>IF(AD604=0,J604,0)</f>
        <v>0</v>
      </c>
      <c r="AA604" s="30">
        <f>IF(AD604=15,J604,0)</f>
        <v>0</v>
      </c>
      <c r="AB604" s="30">
        <f>IF(AD604=21,J604,0)</f>
        <v>0</v>
      </c>
      <c r="AD604" s="32">
        <v>21</v>
      </c>
      <c r="AE604" s="32">
        <f>G604*0.423217647685695</f>
        <v>0</v>
      </c>
      <c r="AF604" s="32">
        <f>G604*(1-0.423217647685695)</f>
        <v>0</v>
      </c>
      <c r="AM604" s="32">
        <f>F604*AE604</f>
        <v>0</v>
      </c>
      <c r="AN604" s="32">
        <f>F604*AF604</f>
        <v>0</v>
      </c>
      <c r="AO604" s="33" t="s">
        <v>60</v>
      </c>
      <c r="AP604" s="33" t="s">
        <v>61</v>
      </c>
      <c r="AQ604" s="21" t="s">
        <v>450</v>
      </c>
    </row>
    <row r="605" spans="1:43" ht="25.7" customHeight="1" x14ac:dyDescent="0.25">
      <c r="C605" s="34" t="s">
        <v>63</v>
      </c>
      <c r="D605" s="340" t="s">
        <v>157</v>
      </c>
      <c r="E605" s="341"/>
      <c r="F605" s="341"/>
      <c r="G605" s="341"/>
      <c r="H605" s="341"/>
      <c r="I605" s="341"/>
      <c r="J605" s="341"/>
      <c r="K605" s="341"/>
      <c r="L605" s="341"/>
      <c r="M605" s="341"/>
    </row>
    <row r="606" spans="1:43" x14ac:dyDescent="0.25">
      <c r="A606" s="26"/>
      <c r="B606" s="27" t="s">
        <v>448</v>
      </c>
      <c r="C606" s="27" t="s">
        <v>68</v>
      </c>
      <c r="D606" s="338" t="s">
        <v>69</v>
      </c>
      <c r="E606" s="339"/>
      <c r="F606" s="339"/>
      <c r="G606" s="339"/>
      <c r="H606" s="28">
        <f>SUM(H607:H607)</f>
        <v>0</v>
      </c>
      <c r="I606" s="28">
        <f>SUM(I607:I607)</f>
        <v>0</v>
      </c>
      <c r="J606" s="28">
        <f>H606+I606</f>
        <v>0</v>
      </c>
      <c r="K606" s="21"/>
      <c r="L606" s="28">
        <f>SUM(L607:L607)</f>
        <v>1.7055248000000001</v>
      </c>
      <c r="M606" s="21"/>
      <c r="P606" s="28">
        <f>IF(Q606="PR",J606,SUM(O607:O607))</f>
        <v>0</v>
      </c>
      <c r="Q606" s="21" t="s">
        <v>54</v>
      </c>
      <c r="R606" s="28">
        <f>IF(Q606="HS",H606,0)</f>
        <v>0</v>
      </c>
      <c r="S606" s="28">
        <f>IF(Q606="HS",I606-P606,0)</f>
        <v>0</v>
      </c>
      <c r="T606" s="28">
        <f>IF(Q606="PS",H606,0)</f>
        <v>0</v>
      </c>
      <c r="U606" s="28">
        <f>IF(Q606="PS",I606-P606,0)</f>
        <v>0</v>
      </c>
      <c r="V606" s="28">
        <f>IF(Q606="MP",H606,0)</f>
        <v>0</v>
      </c>
      <c r="W606" s="28">
        <f>IF(Q606="MP",I606-P606,0)</f>
        <v>0</v>
      </c>
      <c r="X606" s="28">
        <f>IF(Q606="OM",H606,0)</f>
        <v>0</v>
      </c>
      <c r="Y606" s="21" t="s">
        <v>448</v>
      </c>
      <c r="AI606" s="28">
        <f>SUM(Z607:Z607)</f>
        <v>0</v>
      </c>
      <c r="AJ606" s="28">
        <f>SUM(AA607:AA607)</f>
        <v>0</v>
      </c>
      <c r="AK606" s="28">
        <f>SUM(AB607:AB607)</f>
        <v>0</v>
      </c>
    </row>
    <row r="607" spans="1:43" x14ac:dyDescent="0.25">
      <c r="A607" s="29" t="s">
        <v>453</v>
      </c>
      <c r="B607" s="29" t="s">
        <v>448</v>
      </c>
      <c r="C607" s="29" t="s">
        <v>70</v>
      </c>
      <c r="D607" s="29" t="s">
        <v>71</v>
      </c>
      <c r="E607" s="29" t="s">
        <v>58</v>
      </c>
      <c r="F607" s="30">
        <v>34.22</v>
      </c>
      <c r="G607" s="317">
        <v>0</v>
      </c>
      <c r="H607" s="30">
        <f>ROUND(F607*AE607,2)</f>
        <v>0</v>
      </c>
      <c r="I607" s="30">
        <f>J607-H607</f>
        <v>0</v>
      </c>
      <c r="J607" s="30">
        <f>ROUND(F607*G607,2)</f>
        <v>0</v>
      </c>
      <c r="K607" s="30">
        <v>4.9840000000000002E-2</v>
      </c>
      <c r="L607" s="30">
        <f>F607*K607</f>
        <v>1.7055248000000001</v>
      </c>
      <c r="M607" s="258" t="s">
        <v>2291</v>
      </c>
      <c r="N607" s="31" t="s">
        <v>59</v>
      </c>
      <c r="O607" s="30">
        <f>IF(N607="5",I607,0)</f>
        <v>0</v>
      </c>
      <c r="Z607" s="30">
        <f>IF(AD607=0,J607,0)</f>
        <v>0</v>
      </c>
      <c r="AA607" s="30">
        <f>IF(AD607=15,J607,0)</f>
        <v>0</v>
      </c>
      <c r="AB607" s="30">
        <f>IF(AD607=21,J607,0)</f>
        <v>0</v>
      </c>
      <c r="AD607" s="32">
        <v>21</v>
      </c>
      <c r="AE607" s="32">
        <f>G607*0.411768721414431</f>
        <v>0</v>
      </c>
      <c r="AF607" s="32">
        <f>G607*(1-0.411768721414431)</f>
        <v>0</v>
      </c>
      <c r="AM607" s="32">
        <f>F607*AE607</f>
        <v>0</v>
      </c>
      <c r="AN607" s="32">
        <f>F607*AF607</f>
        <v>0</v>
      </c>
      <c r="AO607" s="33" t="s">
        <v>72</v>
      </c>
      <c r="AP607" s="33" t="s">
        <v>61</v>
      </c>
      <c r="AQ607" s="21" t="s">
        <v>450</v>
      </c>
    </row>
    <row r="608" spans="1:43" x14ac:dyDescent="0.25">
      <c r="A608" s="26"/>
      <c r="B608" s="27" t="s">
        <v>448</v>
      </c>
      <c r="C608" s="27" t="s">
        <v>73</v>
      </c>
      <c r="D608" s="338" t="s">
        <v>74</v>
      </c>
      <c r="E608" s="339"/>
      <c r="F608" s="339"/>
      <c r="G608" s="339"/>
      <c r="H608" s="28">
        <f>SUM(H609:H609)</f>
        <v>0</v>
      </c>
      <c r="I608" s="28">
        <f>SUM(I609:I609)</f>
        <v>0</v>
      </c>
      <c r="J608" s="28">
        <f>H608+I608</f>
        <v>0</v>
      </c>
      <c r="K608" s="21"/>
      <c r="L608" s="28">
        <f>SUM(L609:L609)</f>
        <v>0.55094199999999993</v>
      </c>
      <c r="M608" s="21"/>
      <c r="P608" s="28">
        <f>IF(Q608="PR",J608,SUM(O609:O609))</f>
        <v>0</v>
      </c>
      <c r="Q608" s="21" t="s">
        <v>75</v>
      </c>
      <c r="R608" s="28">
        <f>IF(Q608="HS",H608,0)</f>
        <v>0</v>
      </c>
      <c r="S608" s="28">
        <f>IF(Q608="HS",I608-P608,0)</f>
        <v>0</v>
      </c>
      <c r="T608" s="28">
        <f>IF(Q608="PS",H608,0)</f>
        <v>0</v>
      </c>
      <c r="U608" s="28">
        <f>IF(Q608="PS",I608-P608,0)</f>
        <v>0</v>
      </c>
      <c r="V608" s="28">
        <f>IF(Q608="MP",H608,0)</f>
        <v>0</v>
      </c>
      <c r="W608" s="28">
        <f>IF(Q608="MP",I608-P608,0)</f>
        <v>0</v>
      </c>
      <c r="X608" s="28">
        <f>IF(Q608="OM",H608,0)</f>
        <v>0</v>
      </c>
      <c r="Y608" s="21" t="s">
        <v>448</v>
      </c>
      <c r="AI608" s="28">
        <f>SUM(Z609:Z609)</f>
        <v>0</v>
      </c>
      <c r="AJ608" s="28">
        <f>SUM(AA609:AA609)</f>
        <v>0</v>
      </c>
      <c r="AK608" s="28">
        <f>SUM(AB609:AB609)</f>
        <v>0</v>
      </c>
    </row>
    <row r="609" spans="1:43" x14ac:dyDescent="0.25">
      <c r="A609" s="29" t="s">
        <v>454</v>
      </c>
      <c r="B609" s="29" t="s">
        <v>448</v>
      </c>
      <c r="C609" s="29" t="s">
        <v>77</v>
      </c>
      <c r="D609" s="29" t="s">
        <v>2278</v>
      </c>
      <c r="E609" s="29" t="s">
        <v>58</v>
      </c>
      <c r="F609" s="30">
        <v>34.22</v>
      </c>
      <c r="G609" s="317">
        <v>0</v>
      </c>
      <c r="H609" s="30">
        <f>ROUND(F609*AE609,2)</f>
        <v>0</v>
      </c>
      <c r="I609" s="30">
        <f>J609-H609</f>
        <v>0</v>
      </c>
      <c r="J609" s="30">
        <f>ROUND(F609*G609,2)</f>
        <v>0</v>
      </c>
      <c r="K609" s="30">
        <v>1.61E-2</v>
      </c>
      <c r="L609" s="30">
        <f>F609*K609</f>
        <v>0.55094199999999993</v>
      </c>
      <c r="M609" s="258" t="s">
        <v>2291</v>
      </c>
      <c r="N609" s="31" t="s">
        <v>59</v>
      </c>
      <c r="O609" s="30">
        <f>IF(N609="5",I609,0)</f>
        <v>0</v>
      </c>
      <c r="Z609" s="30">
        <f>IF(AD609=0,J609,0)</f>
        <v>0</v>
      </c>
      <c r="AA609" s="30">
        <f>IF(AD609=15,J609,0)</f>
        <v>0</v>
      </c>
      <c r="AB609" s="30">
        <f>IF(AD609=21,J609,0)</f>
        <v>0</v>
      </c>
      <c r="AD609" s="32">
        <v>21</v>
      </c>
      <c r="AE609" s="32">
        <f>G609*0.787221324717286</f>
        <v>0</v>
      </c>
      <c r="AF609" s="32">
        <f>G609*(1-0.787221324717286)</f>
        <v>0</v>
      </c>
      <c r="AM609" s="32">
        <f>F609*AE609</f>
        <v>0</v>
      </c>
      <c r="AN609" s="32">
        <f>F609*AF609</f>
        <v>0</v>
      </c>
      <c r="AO609" s="33" t="s">
        <v>78</v>
      </c>
      <c r="AP609" s="33" t="s">
        <v>79</v>
      </c>
      <c r="AQ609" s="21" t="s">
        <v>450</v>
      </c>
    </row>
    <row r="610" spans="1:43" x14ac:dyDescent="0.25">
      <c r="C610" s="34" t="s">
        <v>63</v>
      </c>
      <c r="D610" s="340" t="s">
        <v>2280</v>
      </c>
      <c r="E610" s="341"/>
      <c r="F610" s="341"/>
      <c r="G610" s="341"/>
      <c r="H610" s="341"/>
      <c r="I610" s="341"/>
      <c r="J610" s="341"/>
      <c r="K610" s="341"/>
      <c r="L610" s="341"/>
      <c r="M610" s="341"/>
    </row>
    <row r="611" spans="1:43" x14ac:dyDescent="0.25">
      <c r="A611" s="26"/>
      <c r="B611" s="27" t="s">
        <v>448</v>
      </c>
      <c r="C611" s="27" t="s">
        <v>80</v>
      </c>
      <c r="D611" s="338" t="s">
        <v>81</v>
      </c>
      <c r="E611" s="339"/>
      <c r="F611" s="339"/>
      <c r="G611" s="339"/>
      <c r="H611" s="28">
        <f>SUM(H612:H612)</f>
        <v>0</v>
      </c>
      <c r="I611" s="28">
        <f>SUM(I612:I612)</f>
        <v>0</v>
      </c>
      <c r="J611" s="28">
        <f>H611+I611</f>
        <v>0</v>
      </c>
      <c r="K611" s="21"/>
      <c r="L611" s="28">
        <f>SUM(L612:L612)</f>
        <v>0.13893320000000001</v>
      </c>
      <c r="M611" s="21"/>
      <c r="P611" s="28">
        <f>IF(Q611="PR",J611,SUM(O612:O612))</f>
        <v>0</v>
      </c>
      <c r="Q611" s="21" t="s">
        <v>75</v>
      </c>
      <c r="R611" s="28">
        <f>IF(Q611="HS",H611,0)</f>
        <v>0</v>
      </c>
      <c r="S611" s="28">
        <f>IF(Q611="HS",I611-P611,0)</f>
        <v>0</v>
      </c>
      <c r="T611" s="28">
        <f>IF(Q611="PS",H611,0)</f>
        <v>0</v>
      </c>
      <c r="U611" s="28">
        <f>IF(Q611="PS",I611-P611,0)</f>
        <v>0</v>
      </c>
      <c r="V611" s="28">
        <f>IF(Q611="MP",H611,0)</f>
        <v>0</v>
      </c>
      <c r="W611" s="28">
        <f>IF(Q611="MP",I611-P611,0)</f>
        <v>0</v>
      </c>
      <c r="X611" s="28">
        <f>IF(Q611="OM",H611,0)</f>
        <v>0</v>
      </c>
      <c r="Y611" s="21" t="s">
        <v>448</v>
      </c>
      <c r="AI611" s="28">
        <f>SUM(Z612:Z612)</f>
        <v>0</v>
      </c>
      <c r="AJ611" s="28">
        <f>SUM(AA612:AA612)</f>
        <v>0</v>
      </c>
      <c r="AK611" s="28">
        <f>SUM(AB612:AB612)</f>
        <v>0</v>
      </c>
    </row>
    <row r="612" spans="1:43" x14ac:dyDescent="0.25">
      <c r="A612" s="29" t="s">
        <v>455</v>
      </c>
      <c r="B612" s="29" t="s">
        <v>448</v>
      </c>
      <c r="C612" s="29" t="s">
        <v>83</v>
      </c>
      <c r="D612" s="29" t="s">
        <v>84</v>
      </c>
      <c r="E612" s="29" t="s">
        <v>58</v>
      </c>
      <c r="F612" s="30">
        <v>34.22</v>
      </c>
      <c r="G612" s="317">
        <v>0</v>
      </c>
      <c r="H612" s="30">
        <f>ROUND(F612*AE612,2)</f>
        <v>0</v>
      </c>
      <c r="I612" s="30">
        <f>J612-H612</f>
        <v>0</v>
      </c>
      <c r="J612" s="30">
        <f>ROUND(F612*G612,2)</f>
        <v>0</v>
      </c>
      <c r="K612" s="30">
        <v>4.0600000000000002E-3</v>
      </c>
      <c r="L612" s="30">
        <f>F612*K612</f>
        <v>0.13893320000000001</v>
      </c>
      <c r="M612" s="258" t="s">
        <v>2291</v>
      </c>
      <c r="N612" s="31" t="s">
        <v>59</v>
      </c>
      <c r="O612" s="30">
        <f>IF(N612="5",I612,0)</f>
        <v>0</v>
      </c>
      <c r="Z612" s="30">
        <f>IF(AD612=0,J612,0)</f>
        <v>0</v>
      </c>
      <c r="AA612" s="30">
        <f>IF(AD612=15,J612,0)</f>
        <v>0</v>
      </c>
      <c r="AB612" s="30">
        <f>IF(AD612=21,J612,0)</f>
        <v>0</v>
      </c>
      <c r="AD612" s="32">
        <v>21</v>
      </c>
      <c r="AE612" s="32">
        <f>G612*0.67230605738576</f>
        <v>0</v>
      </c>
      <c r="AF612" s="32">
        <f>G612*(1-0.67230605738576)</f>
        <v>0</v>
      </c>
      <c r="AM612" s="32">
        <f>F612*AE612</f>
        <v>0</v>
      </c>
      <c r="AN612" s="32">
        <f>F612*AF612</f>
        <v>0</v>
      </c>
      <c r="AO612" s="33" t="s">
        <v>85</v>
      </c>
      <c r="AP612" s="33" t="s">
        <v>79</v>
      </c>
      <c r="AQ612" s="21" t="s">
        <v>450</v>
      </c>
    </row>
    <row r="613" spans="1:43" x14ac:dyDescent="0.25">
      <c r="A613" s="26"/>
      <c r="B613" s="27" t="s">
        <v>448</v>
      </c>
      <c r="C613" s="27" t="s">
        <v>86</v>
      </c>
      <c r="D613" s="338" t="s">
        <v>87</v>
      </c>
      <c r="E613" s="339"/>
      <c r="F613" s="339"/>
      <c r="G613" s="339"/>
      <c r="H613" s="28">
        <f>SUM(H614:H614)</f>
        <v>0</v>
      </c>
      <c r="I613" s="28">
        <f>SUM(I614:I614)</f>
        <v>0</v>
      </c>
      <c r="J613" s="28">
        <f>H613+I613</f>
        <v>0</v>
      </c>
      <c r="K613" s="21"/>
      <c r="L613" s="28">
        <f>SUM(L614:L614)</f>
        <v>2.16E-3</v>
      </c>
      <c r="M613" s="21"/>
      <c r="P613" s="28">
        <f>IF(Q613="PR",J613,SUM(O614:O614))</f>
        <v>0</v>
      </c>
      <c r="Q613" s="21" t="s">
        <v>75</v>
      </c>
      <c r="R613" s="28">
        <f>IF(Q613="HS",H613,0)</f>
        <v>0</v>
      </c>
      <c r="S613" s="28">
        <f>IF(Q613="HS",I613-P613,0)</f>
        <v>0</v>
      </c>
      <c r="T613" s="28">
        <f>IF(Q613="PS",H613,0)</f>
        <v>0</v>
      </c>
      <c r="U613" s="28">
        <f>IF(Q613="PS",I613-P613,0)</f>
        <v>0</v>
      </c>
      <c r="V613" s="28">
        <f>IF(Q613="MP",H613,0)</f>
        <v>0</v>
      </c>
      <c r="W613" s="28">
        <f>IF(Q613="MP",I613-P613,0)</f>
        <v>0</v>
      </c>
      <c r="X613" s="28">
        <f>IF(Q613="OM",H613,0)</f>
        <v>0</v>
      </c>
      <c r="Y613" s="21" t="s">
        <v>448</v>
      </c>
      <c r="AI613" s="28">
        <f>SUM(Z614:Z614)</f>
        <v>0</v>
      </c>
      <c r="AJ613" s="28">
        <f>SUM(AA614:AA614)</f>
        <v>0</v>
      </c>
      <c r="AK613" s="28">
        <f>SUM(AB614:AB614)</f>
        <v>0</v>
      </c>
    </row>
    <row r="614" spans="1:43" x14ac:dyDescent="0.25">
      <c r="A614" s="29" t="s">
        <v>456</v>
      </c>
      <c r="B614" s="29" t="s">
        <v>448</v>
      </c>
      <c r="C614" s="29" t="s">
        <v>89</v>
      </c>
      <c r="D614" s="29" t="s">
        <v>90</v>
      </c>
      <c r="E614" s="29" t="s">
        <v>58</v>
      </c>
      <c r="F614" s="30">
        <v>8</v>
      </c>
      <c r="G614" s="317">
        <v>0</v>
      </c>
      <c r="H614" s="30">
        <f>ROUND(F614*AE614,2)</f>
        <v>0</v>
      </c>
      <c r="I614" s="30">
        <f>J614-H614</f>
        <v>0</v>
      </c>
      <c r="J614" s="30">
        <f>ROUND(F614*G614,2)</f>
        <v>0</v>
      </c>
      <c r="K614" s="30">
        <v>2.7E-4</v>
      </c>
      <c r="L614" s="30">
        <f>F614*K614</f>
        <v>2.16E-3</v>
      </c>
      <c r="M614" s="258" t="s">
        <v>2291</v>
      </c>
      <c r="N614" s="31" t="s">
        <v>59</v>
      </c>
      <c r="O614" s="30">
        <f>IF(N614="5",I614,0)</f>
        <v>0</v>
      </c>
      <c r="Z614" s="30">
        <f>IF(AD614=0,J614,0)</f>
        <v>0</v>
      </c>
      <c r="AA614" s="30">
        <f>IF(AD614=15,J614,0)</f>
        <v>0</v>
      </c>
      <c r="AB614" s="30">
        <f>IF(AD614=21,J614,0)</f>
        <v>0</v>
      </c>
      <c r="AD614" s="32">
        <v>21</v>
      </c>
      <c r="AE614" s="32">
        <f>G614*0.186098187625859</f>
        <v>0</v>
      </c>
      <c r="AF614" s="32">
        <f>G614*(1-0.186098187625859)</f>
        <v>0</v>
      </c>
      <c r="AM614" s="32">
        <f>F614*AE614</f>
        <v>0</v>
      </c>
      <c r="AN614" s="32">
        <f>F614*AF614</f>
        <v>0</v>
      </c>
      <c r="AO614" s="33" t="s">
        <v>91</v>
      </c>
      <c r="AP614" s="33" t="s">
        <v>92</v>
      </c>
      <c r="AQ614" s="21" t="s">
        <v>450</v>
      </c>
    </row>
    <row r="615" spans="1:43" x14ac:dyDescent="0.25">
      <c r="A615" s="26"/>
      <c r="B615" s="27" t="s">
        <v>448</v>
      </c>
      <c r="C615" s="27" t="s">
        <v>93</v>
      </c>
      <c r="D615" s="338" t="s">
        <v>94</v>
      </c>
      <c r="E615" s="339"/>
      <c r="F615" s="339"/>
      <c r="G615" s="339"/>
      <c r="H615" s="28">
        <f>SUM(H616:H616)</f>
        <v>0</v>
      </c>
      <c r="I615" s="28">
        <f>SUM(I616:I616)</f>
        <v>0</v>
      </c>
      <c r="J615" s="28">
        <f>H615+I615</f>
        <v>0</v>
      </c>
      <c r="K615" s="21"/>
      <c r="L615" s="28">
        <f>SUM(L616:L616)</f>
        <v>7.2007000000000002E-2</v>
      </c>
      <c r="M615" s="21"/>
      <c r="P615" s="28">
        <f>IF(Q615="PR",J615,SUM(O616:O616))</f>
        <v>0</v>
      </c>
      <c r="Q615" s="21" t="s">
        <v>75</v>
      </c>
      <c r="R615" s="28">
        <f>IF(Q615="HS",H615,0)</f>
        <v>0</v>
      </c>
      <c r="S615" s="28">
        <f>IF(Q615="HS",I615-P615,0)</f>
        <v>0</v>
      </c>
      <c r="T615" s="28">
        <f>IF(Q615="PS",H615,0)</f>
        <v>0</v>
      </c>
      <c r="U615" s="28">
        <f>IF(Q615="PS",I615-P615,0)</f>
        <v>0</v>
      </c>
      <c r="V615" s="28">
        <f>IF(Q615="MP",H615,0)</f>
        <v>0</v>
      </c>
      <c r="W615" s="28">
        <f>IF(Q615="MP",I615-P615,0)</f>
        <v>0</v>
      </c>
      <c r="X615" s="28">
        <f>IF(Q615="OM",H615,0)</f>
        <v>0</v>
      </c>
      <c r="Y615" s="21" t="s">
        <v>448</v>
      </c>
      <c r="AI615" s="28">
        <f>SUM(Z616:Z616)</f>
        <v>0</v>
      </c>
      <c r="AJ615" s="28">
        <f>SUM(AA616:AA616)</f>
        <v>0</v>
      </c>
      <c r="AK615" s="28">
        <f>SUM(AB616:AB616)</f>
        <v>0</v>
      </c>
    </row>
    <row r="616" spans="1:43" x14ac:dyDescent="0.25">
      <c r="A616" s="29" t="s">
        <v>457</v>
      </c>
      <c r="B616" s="29" t="s">
        <v>448</v>
      </c>
      <c r="C616" s="29" t="s">
        <v>96</v>
      </c>
      <c r="D616" s="29" t="s">
        <v>97</v>
      </c>
      <c r="E616" s="29" t="s">
        <v>58</v>
      </c>
      <c r="F616" s="30">
        <v>110.78</v>
      </c>
      <c r="G616" s="317">
        <v>0</v>
      </c>
      <c r="H616" s="30">
        <f>ROUND(F616*AE616,2)</f>
        <v>0</v>
      </c>
      <c r="I616" s="30">
        <f>J616-H616</f>
        <v>0</v>
      </c>
      <c r="J616" s="30">
        <f>ROUND(F616*G616,2)</f>
        <v>0</v>
      </c>
      <c r="K616" s="30">
        <v>6.4999999999999997E-4</v>
      </c>
      <c r="L616" s="30">
        <f>F616*K616</f>
        <v>7.2007000000000002E-2</v>
      </c>
      <c r="M616" s="258" t="s">
        <v>2291</v>
      </c>
      <c r="N616" s="31" t="s">
        <v>59</v>
      </c>
      <c r="O616" s="30">
        <f>IF(N616="5",I616,0)</f>
        <v>0</v>
      </c>
      <c r="Z616" s="30">
        <f>IF(AD616=0,J616,0)</f>
        <v>0</v>
      </c>
      <c r="AA616" s="30">
        <f>IF(AD616=15,J616,0)</f>
        <v>0</v>
      </c>
      <c r="AB616" s="30">
        <f>IF(AD616=21,J616,0)</f>
        <v>0</v>
      </c>
      <c r="AD616" s="32">
        <v>21</v>
      </c>
      <c r="AE616" s="32">
        <f>G616*0.333747476316198</f>
        <v>0</v>
      </c>
      <c r="AF616" s="32">
        <f>G616*(1-0.333747476316198)</f>
        <v>0</v>
      </c>
      <c r="AM616" s="32">
        <f>F616*AE616</f>
        <v>0</v>
      </c>
      <c r="AN616" s="32">
        <f>F616*AF616</f>
        <v>0</v>
      </c>
      <c r="AO616" s="33" t="s">
        <v>98</v>
      </c>
      <c r="AP616" s="33" t="s">
        <v>92</v>
      </c>
      <c r="AQ616" s="21" t="s">
        <v>450</v>
      </c>
    </row>
    <row r="617" spans="1:43" x14ac:dyDescent="0.25">
      <c r="A617" s="26"/>
      <c r="B617" s="27" t="s">
        <v>448</v>
      </c>
      <c r="C617" s="27" t="s">
        <v>99</v>
      </c>
      <c r="D617" s="338" t="s">
        <v>100</v>
      </c>
      <c r="E617" s="339"/>
      <c r="F617" s="339"/>
      <c r="G617" s="339"/>
      <c r="H617" s="28">
        <f>SUM(H618:H618)</f>
        <v>0</v>
      </c>
      <c r="I617" s="28">
        <f>SUM(I618:I618)</f>
        <v>0</v>
      </c>
      <c r="J617" s="28">
        <f>H617+I617</f>
        <v>0</v>
      </c>
      <c r="K617" s="21"/>
      <c r="L617" s="28">
        <f>SUM(L618:L618)</f>
        <v>0</v>
      </c>
      <c r="M617" s="21"/>
      <c r="P617" s="28">
        <f>IF(Q617="PR",J617,SUM(O618:O618))</f>
        <v>0</v>
      </c>
      <c r="Q617" s="21" t="s">
        <v>54</v>
      </c>
      <c r="R617" s="28">
        <f>IF(Q617="HS",H617,0)</f>
        <v>0</v>
      </c>
      <c r="S617" s="28">
        <f>IF(Q617="HS",I617-P617,0)</f>
        <v>0</v>
      </c>
      <c r="T617" s="28">
        <f>IF(Q617="PS",H617,0)</f>
        <v>0</v>
      </c>
      <c r="U617" s="28">
        <f>IF(Q617="PS",I617-P617,0)</f>
        <v>0</v>
      </c>
      <c r="V617" s="28">
        <f>IF(Q617="MP",H617,0)</f>
        <v>0</v>
      </c>
      <c r="W617" s="28">
        <f>IF(Q617="MP",I617-P617,0)</f>
        <v>0</v>
      </c>
      <c r="X617" s="28">
        <f>IF(Q617="OM",H617,0)</f>
        <v>0</v>
      </c>
      <c r="Y617" s="21" t="s">
        <v>448</v>
      </c>
      <c r="AI617" s="28">
        <f>SUM(Z618:Z618)</f>
        <v>0</v>
      </c>
      <c r="AJ617" s="28">
        <f>SUM(AA618:AA618)</f>
        <v>0</v>
      </c>
      <c r="AK617" s="28">
        <f>SUM(AB618:AB618)</f>
        <v>0</v>
      </c>
    </row>
    <row r="618" spans="1:43" x14ac:dyDescent="0.25">
      <c r="A618" s="29" t="s">
        <v>458</v>
      </c>
      <c r="B618" s="29" t="s">
        <v>448</v>
      </c>
      <c r="C618" s="29" t="s">
        <v>102</v>
      </c>
      <c r="D618" s="29" t="s">
        <v>103</v>
      </c>
      <c r="E618" s="29" t="s">
        <v>104</v>
      </c>
      <c r="F618" s="30">
        <v>4.8</v>
      </c>
      <c r="G618" s="317">
        <v>0</v>
      </c>
      <c r="H618" s="30">
        <f>ROUND(F618*AE618,2)</f>
        <v>0</v>
      </c>
      <c r="I618" s="30">
        <f>J618-H618</f>
        <v>0</v>
      </c>
      <c r="J618" s="30">
        <f>ROUND(F618*G618,2)</f>
        <v>0</v>
      </c>
      <c r="K618" s="30">
        <v>0</v>
      </c>
      <c r="L618" s="30">
        <f>F618*K618</f>
        <v>0</v>
      </c>
      <c r="M618" s="258" t="s">
        <v>2291</v>
      </c>
      <c r="N618" s="31" t="s">
        <v>55</v>
      </c>
      <c r="O618" s="30">
        <f>IF(N618="5",I618,0)</f>
        <v>0</v>
      </c>
      <c r="Z618" s="30">
        <f>IF(AD618=0,J618,0)</f>
        <v>0</v>
      </c>
      <c r="AA618" s="30">
        <f>IF(AD618=15,J618,0)</f>
        <v>0</v>
      </c>
      <c r="AB618" s="30">
        <f>IF(AD618=21,J618,0)</f>
        <v>0</v>
      </c>
      <c r="AD618" s="32">
        <v>21</v>
      </c>
      <c r="AE618" s="32">
        <f>G618*0</f>
        <v>0</v>
      </c>
      <c r="AF618" s="32">
        <f>G618*(1-0)</f>
        <v>0</v>
      </c>
      <c r="AM618" s="32">
        <f>F618*AE618</f>
        <v>0</v>
      </c>
      <c r="AN618" s="32">
        <f>F618*AF618</f>
        <v>0</v>
      </c>
      <c r="AO618" s="33" t="s">
        <v>105</v>
      </c>
      <c r="AP618" s="33" t="s">
        <v>106</v>
      </c>
      <c r="AQ618" s="21" t="s">
        <v>450</v>
      </c>
    </row>
    <row r="619" spans="1:43" x14ac:dyDescent="0.25">
      <c r="C619" s="34" t="s">
        <v>63</v>
      </c>
      <c r="D619" s="340" t="s">
        <v>107</v>
      </c>
      <c r="E619" s="341"/>
      <c r="F619" s="341"/>
      <c r="G619" s="341"/>
      <c r="H619" s="341"/>
      <c r="I619" s="341"/>
      <c r="J619" s="341"/>
      <c r="K619" s="341"/>
      <c r="L619" s="341"/>
      <c r="M619" s="341"/>
    </row>
    <row r="620" spans="1:43" x14ac:dyDescent="0.25">
      <c r="A620" s="26"/>
      <c r="B620" s="27" t="s">
        <v>459</v>
      </c>
      <c r="C620" s="27"/>
      <c r="D620" s="338" t="s">
        <v>459</v>
      </c>
      <c r="E620" s="339"/>
      <c r="F620" s="339"/>
      <c r="G620" s="339"/>
      <c r="H620" s="28">
        <f>H621+H626+H628+H631+H633+H635+H637</f>
        <v>0</v>
      </c>
      <c r="I620" s="28">
        <f>I621+I626+I628+I631+I633+I635+I637</f>
        <v>0</v>
      </c>
      <c r="J620" s="28">
        <f>H620+I620</f>
        <v>0</v>
      </c>
      <c r="K620" s="21"/>
      <c r="L620" s="28">
        <f>L621+L626+L628+L631+L633+L635+L637</f>
        <v>1.9352963999999997</v>
      </c>
      <c r="M620" s="21"/>
    </row>
    <row r="621" spans="1:43" x14ac:dyDescent="0.25">
      <c r="A621" s="26"/>
      <c r="B621" s="27" t="s">
        <v>459</v>
      </c>
      <c r="C621" s="27" t="s">
        <v>52</v>
      </c>
      <c r="D621" s="338" t="s">
        <v>53</v>
      </c>
      <c r="E621" s="339"/>
      <c r="F621" s="339"/>
      <c r="G621" s="339"/>
      <c r="H621" s="28">
        <f>SUM(H622:H624)</f>
        <v>0</v>
      </c>
      <c r="I621" s="28">
        <f>SUM(I622:I624)</f>
        <v>0</v>
      </c>
      <c r="J621" s="28">
        <f>H621+I621</f>
        <v>0</v>
      </c>
      <c r="K621" s="21"/>
      <c r="L621" s="28">
        <f>SUM(L622:L624)</f>
        <v>0.73072439999999994</v>
      </c>
      <c r="M621" s="21"/>
      <c r="P621" s="28">
        <f>IF(Q621="PR",J621,SUM(O622:O624))</f>
        <v>0</v>
      </c>
      <c r="Q621" s="21" t="s">
        <v>54</v>
      </c>
      <c r="R621" s="28">
        <f>IF(Q621="HS",H621,0)</f>
        <v>0</v>
      </c>
      <c r="S621" s="28">
        <f>IF(Q621="HS",I621-P621,0)</f>
        <v>0</v>
      </c>
      <c r="T621" s="28">
        <f>IF(Q621="PS",H621,0)</f>
        <v>0</v>
      </c>
      <c r="U621" s="28">
        <f>IF(Q621="PS",I621-P621,0)</f>
        <v>0</v>
      </c>
      <c r="V621" s="28">
        <f>IF(Q621="MP",H621,0)</f>
        <v>0</v>
      </c>
      <c r="W621" s="28">
        <f>IF(Q621="MP",I621-P621,0)</f>
        <v>0</v>
      </c>
      <c r="X621" s="28">
        <f>IF(Q621="OM",H621,0)</f>
        <v>0</v>
      </c>
      <c r="Y621" s="21" t="s">
        <v>459</v>
      </c>
      <c r="AI621" s="28">
        <f>SUM(Z622:Z624)</f>
        <v>0</v>
      </c>
      <c r="AJ621" s="28">
        <f>SUM(AA622:AA624)</f>
        <v>0</v>
      </c>
      <c r="AK621" s="28">
        <f>SUM(AB622:AB624)</f>
        <v>0</v>
      </c>
    </row>
    <row r="622" spans="1:43" x14ac:dyDescent="0.25">
      <c r="A622" s="29" t="s">
        <v>460</v>
      </c>
      <c r="B622" s="29" t="s">
        <v>459</v>
      </c>
      <c r="C622" s="29" t="s">
        <v>56</v>
      </c>
      <c r="D622" s="29" t="s">
        <v>57</v>
      </c>
      <c r="E622" s="29" t="s">
        <v>58</v>
      </c>
      <c r="F622" s="30">
        <v>56.76</v>
      </c>
      <c r="G622" s="317">
        <v>0</v>
      </c>
      <c r="H622" s="30">
        <f>ROUND(F622*AE622,2)</f>
        <v>0</v>
      </c>
      <c r="I622" s="30">
        <f>J622-H622</f>
        <v>0</v>
      </c>
      <c r="J622" s="30">
        <f>ROUND(F622*G622,2)</f>
        <v>0</v>
      </c>
      <c r="K622" s="30">
        <v>1.001E-2</v>
      </c>
      <c r="L622" s="30">
        <f>F622*K622</f>
        <v>0.56816759999999999</v>
      </c>
      <c r="M622" s="258" t="s">
        <v>2291</v>
      </c>
      <c r="N622" s="31" t="s">
        <v>59</v>
      </c>
      <c r="O622" s="30">
        <f>IF(N622="5",I622,0)</f>
        <v>0</v>
      </c>
      <c r="Z622" s="30">
        <f>IF(AD622=0,J622,0)</f>
        <v>0</v>
      </c>
      <c r="AA622" s="30">
        <f>IF(AD622=15,J622,0)</f>
        <v>0</v>
      </c>
      <c r="AB622" s="30">
        <f>IF(AD622=21,J622,0)</f>
        <v>0</v>
      </c>
      <c r="AD622" s="32">
        <v>21</v>
      </c>
      <c r="AE622" s="32">
        <f>G622*0.0756575801052128</f>
        <v>0</v>
      </c>
      <c r="AF622" s="32">
        <f>G622*(1-0.0756575801052128)</f>
        <v>0</v>
      </c>
      <c r="AM622" s="32">
        <f>F622*AE622</f>
        <v>0</v>
      </c>
      <c r="AN622" s="32">
        <f>F622*AF622</f>
        <v>0</v>
      </c>
      <c r="AO622" s="33" t="s">
        <v>60</v>
      </c>
      <c r="AP622" s="33" t="s">
        <v>61</v>
      </c>
      <c r="AQ622" s="21" t="s">
        <v>461</v>
      </c>
    </row>
    <row r="623" spans="1:43" ht="25.7" customHeight="1" x14ac:dyDescent="0.25">
      <c r="C623" s="34" t="s">
        <v>63</v>
      </c>
      <c r="D623" s="340" t="s">
        <v>64</v>
      </c>
      <c r="E623" s="341"/>
      <c r="F623" s="341"/>
      <c r="G623" s="341"/>
      <c r="H623" s="341"/>
      <c r="I623" s="341"/>
      <c r="J623" s="341"/>
      <c r="K623" s="341"/>
      <c r="L623" s="341"/>
      <c r="M623" s="341"/>
    </row>
    <row r="624" spans="1:43" x14ac:dyDescent="0.25">
      <c r="A624" s="29" t="s">
        <v>462</v>
      </c>
      <c r="B624" s="29" t="s">
        <v>459</v>
      </c>
      <c r="C624" s="29" t="s">
        <v>66</v>
      </c>
      <c r="D624" s="29" t="s">
        <v>67</v>
      </c>
      <c r="E624" s="29" t="s">
        <v>58</v>
      </c>
      <c r="F624" s="30">
        <v>16.52</v>
      </c>
      <c r="G624" s="317">
        <v>0</v>
      </c>
      <c r="H624" s="30">
        <f>ROUND(F624*AE624,2)</f>
        <v>0</v>
      </c>
      <c r="I624" s="30">
        <f>J624-H624</f>
        <v>0</v>
      </c>
      <c r="J624" s="30">
        <f>ROUND(F624*G624,2)</f>
        <v>0</v>
      </c>
      <c r="K624" s="30">
        <v>9.8399999999999998E-3</v>
      </c>
      <c r="L624" s="30">
        <f>F624*K624</f>
        <v>0.1625568</v>
      </c>
      <c r="M624" s="258" t="s">
        <v>2291</v>
      </c>
      <c r="N624" s="31" t="s">
        <v>59</v>
      </c>
      <c r="O624" s="30">
        <f>IF(N624="5",I624,0)</f>
        <v>0</v>
      </c>
      <c r="Z624" s="30">
        <f>IF(AD624=0,J624,0)</f>
        <v>0</v>
      </c>
      <c r="AA624" s="30">
        <f>IF(AD624=15,J624,0)</f>
        <v>0</v>
      </c>
      <c r="AB624" s="30">
        <f>IF(AD624=21,J624,0)</f>
        <v>0</v>
      </c>
      <c r="AD624" s="32">
        <v>21</v>
      </c>
      <c r="AE624" s="32">
        <f>G624*0.160304682766381</f>
        <v>0</v>
      </c>
      <c r="AF624" s="32">
        <f>G624*(1-0.160304682766381)</f>
        <v>0</v>
      </c>
      <c r="AM624" s="32">
        <f>F624*AE624</f>
        <v>0</v>
      </c>
      <c r="AN624" s="32">
        <f>F624*AF624</f>
        <v>0</v>
      </c>
      <c r="AO624" s="33" t="s">
        <v>60</v>
      </c>
      <c r="AP624" s="33" t="s">
        <v>61</v>
      </c>
      <c r="AQ624" s="21" t="s">
        <v>461</v>
      </c>
    </row>
    <row r="625" spans="1:43" ht="25.7" customHeight="1" x14ac:dyDescent="0.25">
      <c r="C625" s="34" t="s">
        <v>63</v>
      </c>
      <c r="D625" s="340" t="s">
        <v>64</v>
      </c>
      <c r="E625" s="341"/>
      <c r="F625" s="341"/>
      <c r="G625" s="341"/>
      <c r="H625" s="341"/>
      <c r="I625" s="341"/>
      <c r="J625" s="341"/>
      <c r="K625" s="341"/>
      <c r="L625" s="341"/>
      <c r="M625" s="341"/>
    </row>
    <row r="626" spans="1:43" x14ac:dyDescent="0.25">
      <c r="A626" s="26"/>
      <c r="B626" s="27" t="s">
        <v>459</v>
      </c>
      <c r="C626" s="27" t="s">
        <v>68</v>
      </c>
      <c r="D626" s="338" t="s">
        <v>69</v>
      </c>
      <c r="E626" s="339"/>
      <c r="F626" s="339"/>
      <c r="G626" s="339"/>
      <c r="H626" s="28">
        <f>SUM(H627:H627)</f>
        <v>0</v>
      </c>
      <c r="I626" s="28">
        <f>SUM(I627:I627)</f>
        <v>0</v>
      </c>
      <c r="J626" s="28">
        <f>H626+I626</f>
        <v>0</v>
      </c>
      <c r="K626" s="21"/>
      <c r="L626" s="28">
        <f>SUM(L627:L627)</f>
        <v>0.8233568</v>
      </c>
      <c r="M626" s="21"/>
      <c r="P626" s="28">
        <f>IF(Q626="PR",J626,SUM(O627:O627))</f>
        <v>0</v>
      </c>
      <c r="Q626" s="21" t="s">
        <v>54</v>
      </c>
      <c r="R626" s="28">
        <f>IF(Q626="HS",H626,0)</f>
        <v>0</v>
      </c>
      <c r="S626" s="28">
        <f>IF(Q626="HS",I626-P626,0)</f>
        <v>0</v>
      </c>
      <c r="T626" s="28">
        <f>IF(Q626="PS",H626,0)</f>
        <v>0</v>
      </c>
      <c r="U626" s="28">
        <f>IF(Q626="PS",I626-P626,0)</f>
        <v>0</v>
      </c>
      <c r="V626" s="28">
        <f>IF(Q626="MP",H626,0)</f>
        <v>0</v>
      </c>
      <c r="W626" s="28">
        <f>IF(Q626="MP",I626-P626,0)</f>
        <v>0</v>
      </c>
      <c r="X626" s="28">
        <f>IF(Q626="OM",H626,0)</f>
        <v>0</v>
      </c>
      <c r="Y626" s="21" t="s">
        <v>459</v>
      </c>
      <c r="AI626" s="28">
        <f>SUM(Z627:Z627)</f>
        <v>0</v>
      </c>
      <c r="AJ626" s="28">
        <f>SUM(AA627:AA627)</f>
        <v>0</v>
      </c>
      <c r="AK626" s="28">
        <f>SUM(AB627:AB627)</f>
        <v>0</v>
      </c>
    </row>
    <row r="627" spans="1:43" x14ac:dyDescent="0.25">
      <c r="A627" s="29" t="s">
        <v>463</v>
      </c>
      <c r="B627" s="29" t="s">
        <v>459</v>
      </c>
      <c r="C627" s="29" t="s">
        <v>70</v>
      </c>
      <c r="D627" s="29" t="s">
        <v>71</v>
      </c>
      <c r="E627" s="29" t="s">
        <v>58</v>
      </c>
      <c r="F627" s="30">
        <v>16.52</v>
      </c>
      <c r="G627" s="317">
        <v>0</v>
      </c>
      <c r="H627" s="30">
        <f>ROUND(F627*AE627,2)</f>
        <v>0</v>
      </c>
      <c r="I627" s="30">
        <f>J627-H627</f>
        <v>0</v>
      </c>
      <c r="J627" s="30">
        <f>ROUND(F627*G627,2)</f>
        <v>0</v>
      </c>
      <c r="K627" s="30">
        <v>4.9840000000000002E-2</v>
      </c>
      <c r="L627" s="30">
        <f>F627*K627</f>
        <v>0.8233568</v>
      </c>
      <c r="M627" s="258" t="s">
        <v>2291</v>
      </c>
      <c r="N627" s="31" t="s">
        <v>59</v>
      </c>
      <c r="O627" s="30">
        <f>IF(N627="5",I627,0)</f>
        <v>0</v>
      </c>
      <c r="Z627" s="30">
        <f>IF(AD627=0,J627,0)</f>
        <v>0</v>
      </c>
      <c r="AA627" s="30">
        <f>IF(AD627=15,J627,0)</f>
        <v>0</v>
      </c>
      <c r="AB627" s="30">
        <f>IF(AD627=21,J627,0)</f>
        <v>0</v>
      </c>
      <c r="AD627" s="32">
        <v>21</v>
      </c>
      <c r="AE627" s="32">
        <f>G627*0.411768721414431</f>
        <v>0</v>
      </c>
      <c r="AF627" s="32">
        <f>G627*(1-0.411768721414431)</f>
        <v>0</v>
      </c>
      <c r="AM627" s="32">
        <f>F627*AE627</f>
        <v>0</v>
      </c>
      <c r="AN627" s="32">
        <f>F627*AF627</f>
        <v>0</v>
      </c>
      <c r="AO627" s="33" t="s">
        <v>72</v>
      </c>
      <c r="AP627" s="33" t="s">
        <v>61</v>
      </c>
      <c r="AQ627" s="21" t="s">
        <v>461</v>
      </c>
    </row>
    <row r="628" spans="1:43" x14ac:dyDescent="0.25">
      <c r="A628" s="26"/>
      <c r="B628" s="27" t="s">
        <v>459</v>
      </c>
      <c r="C628" s="27" t="s">
        <v>73</v>
      </c>
      <c r="D628" s="338" t="s">
        <v>74</v>
      </c>
      <c r="E628" s="339"/>
      <c r="F628" s="339"/>
      <c r="G628" s="339"/>
      <c r="H628" s="28">
        <f>SUM(H629:H629)</f>
        <v>0</v>
      </c>
      <c r="I628" s="28">
        <f>SUM(I629:I629)</f>
        <v>0</v>
      </c>
      <c r="J628" s="28">
        <f>H628+I628</f>
        <v>0</v>
      </c>
      <c r="K628" s="21"/>
      <c r="L628" s="28">
        <f>SUM(L629:L629)</f>
        <v>0.26597199999999999</v>
      </c>
      <c r="M628" s="21"/>
      <c r="P628" s="28">
        <f>IF(Q628="PR",J628,SUM(O629:O629))</f>
        <v>0</v>
      </c>
      <c r="Q628" s="21" t="s">
        <v>75</v>
      </c>
      <c r="R628" s="28">
        <f>IF(Q628="HS",H628,0)</f>
        <v>0</v>
      </c>
      <c r="S628" s="28">
        <f>IF(Q628="HS",I628-P628,0)</f>
        <v>0</v>
      </c>
      <c r="T628" s="28">
        <f>IF(Q628="PS",H628,0)</f>
        <v>0</v>
      </c>
      <c r="U628" s="28">
        <f>IF(Q628="PS",I628-P628,0)</f>
        <v>0</v>
      </c>
      <c r="V628" s="28">
        <f>IF(Q628="MP",H628,0)</f>
        <v>0</v>
      </c>
      <c r="W628" s="28">
        <f>IF(Q628="MP",I628-P628,0)</f>
        <v>0</v>
      </c>
      <c r="X628" s="28">
        <f>IF(Q628="OM",H628,0)</f>
        <v>0</v>
      </c>
      <c r="Y628" s="21" t="s">
        <v>459</v>
      </c>
      <c r="AI628" s="28">
        <f>SUM(Z629:Z629)</f>
        <v>0</v>
      </c>
      <c r="AJ628" s="28">
        <f>SUM(AA629:AA629)</f>
        <v>0</v>
      </c>
      <c r="AK628" s="28">
        <f>SUM(AB629:AB629)</f>
        <v>0</v>
      </c>
    </row>
    <row r="629" spans="1:43" x14ac:dyDescent="0.25">
      <c r="A629" s="29" t="s">
        <v>464</v>
      </c>
      <c r="B629" s="29" t="s">
        <v>459</v>
      </c>
      <c r="C629" s="29" t="s">
        <v>77</v>
      </c>
      <c r="D629" s="29" t="s">
        <v>2278</v>
      </c>
      <c r="E629" s="29" t="s">
        <v>58</v>
      </c>
      <c r="F629" s="30">
        <v>16.52</v>
      </c>
      <c r="G629" s="317">
        <v>0</v>
      </c>
      <c r="H629" s="30">
        <f>ROUND(F629*AE629,2)</f>
        <v>0</v>
      </c>
      <c r="I629" s="30">
        <f>J629-H629</f>
        <v>0</v>
      </c>
      <c r="J629" s="30">
        <f>ROUND(F629*G629,2)</f>
        <v>0</v>
      </c>
      <c r="K629" s="30">
        <v>1.61E-2</v>
      </c>
      <c r="L629" s="30">
        <f>F629*K629</f>
        <v>0.26597199999999999</v>
      </c>
      <c r="M629" s="258" t="s">
        <v>2291</v>
      </c>
      <c r="N629" s="31" t="s">
        <v>59</v>
      </c>
      <c r="O629" s="30">
        <f>IF(N629="5",I629,0)</f>
        <v>0</v>
      </c>
      <c r="Z629" s="30">
        <f>IF(AD629=0,J629,0)</f>
        <v>0</v>
      </c>
      <c r="AA629" s="30">
        <f>IF(AD629=15,J629,0)</f>
        <v>0</v>
      </c>
      <c r="AB629" s="30">
        <f>IF(AD629=21,J629,0)</f>
        <v>0</v>
      </c>
      <c r="AD629" s="32">
        <v>21</v>
      </c>
      <c r="AE629" s="32">
        <f>G629*0.787221324717286</f>
        <v>0</v>
      </c>
      <c r="AF629" s="32">
        <f>G629*(1-0.787221324717286)</f>
        <v>0</v>
      </c>
      <c r="AM629" s="32">
        <f>F629*AE629</f>
        <v>0</v>
      </c>
      <c r="AN629" s="32">
        <f>F629*AF629</f>
        <v>0</v>
      </c>
      <c r="AO629" s="33" t="s">
        <v>78</v>
      </c>
      <c r="AP629" s="33" t="s">
        <v>79</v>
      </c>
      <c r="AQ629" s="21" t="s">
        <v>461</v>
      </c>
    </row>
    <row r="630" spans="1:43" x14ac:dyDescent="0.25">
      <c r="C630" s="34" t="s">
        <v>63</v>
      </c>
      <c r="D630" s="340" t="s">
        <v>2280</v>
      </c>
      <c r="E630" s="341"/>
      <c r="F630" s="341"/>
      <c r="G630" s="341"/>
      <c r="H630" s="341"/>
      <c r="I630" s="341"/>
      <c r="J630" s="341"/>
      <c r="K630" s="341"/>
      <c r="L630" s="341"/>
      <c r="M630" s="341"/>
    </row>
    <row r="631" spans="1:43" x14ac:dyDescent="0.25">
      <c r="A631" s="26"/>
      <c r="B631" s="27" t="s">
        <v>459</v>
      </c>
      <c r="C631" s="27" t="s">
        <v>80</v>
      </c>
      <c r="D631" s="338" t="s">
        <v>81</v>
      </c>
      <c r="E631" s="339"/>
      <c r="F631" s="339"/>
      <c r="G631" s="339"/>
      <c r="H631" s="28">
        <f>SUM(H632:H632)</f>
        <v>0</v>
      </c>
      <c r="I631" s="28">
        <f>SUM(I632:I632)</f>
        <v>0</v>
      </c>
      <c r="J631" s="28">
        <f>H631+I631</f>
        <v>0</v>
      </c>
      <c r="K631" s="21"/>
      <c r="L631" s="28">
        <f>SUM(L632:L632)</f>
        <v>6.7071199999999997E-2</v>
      </c>
      <c r="M631" s="21"/>
      <c r="P631" s="28">
        <f>IF(Q631="PR",J631,SUM(O632:O632))</f>
        <v>0</v>
      </c>
      <c r="Q631" s="21" t="s">
        <v>75</v>
      </c>
      <c r="R631" s="28">
        <f>IF(Q631="HS",H631,0)</f>
        <v>0</v>
      </c>
      <c r="S631" s="28">
        <f>IF(Q631="HS",I631-P631,0)</f>
        <v>0</v>
      </c>
      <c r="T631" s="28">
        <f>IF(Q631="PS",H631,0)</f>
        <v>0</v>
      </c>
      <c r="U631" s="28">
        <f>IF(Q631="PS",I631-P631,0)</f>
        <v>0</v>
      </c>
      <c r="V631" s="28">
        <f>IF(Q631="MP",H631,0)</f>
        <v>0</v>
      </c>
      <c r="W631" s="28">
        <f>IF(Q631="MP",I631-P631,0)</f>
        <v>0</v>
      </c>
      <c r="X631" s="28">
        <f>IF(Q631="OM",H631,0)</f>
        <v>0</v>
      </c>
      <c r="Y631" s="21" t="s">
        <v>459</v>
      </c>
      <c r="AI631" s="28">
        <f>SUM(Z632:Z632)</f>
        <v>0</v>
      </c>
      <c r="AJ631" s="28">
        <f>SUM(AA632:AA632)</f>
        <v>0</v>
      </c>
      <c r="AK631" s="28">
        <f>SUM(AB632:AB632)</f>
        <v>0</v>
      </c>
    </row>
    <row r="632" spans="1:43" x14ac:dyDescent="0.25">
      <c r="A632" s="29" t="s">
        <v>465</v>
      </c>
      <c r="B632" s="29" t="s">
        <v>459</v>
      </c>
      <c r="C632" s="29" t="s">
        <v>83</v>
      </c>
      <c r="D632" s="29" t="s">
        <v>84</v>
      </c>
      <c r="E632" s="29" t="s">
        <v>58</v>
      </c>
      <c r="F632" s="30">
        <v>16.52</v>
      </c>
      <c r="G632" s="317">
        <v>0</v>
      </c>
      <c r="H632" s="30">
        <f>ROUND(F632*AE632,2)</f>
        <v>0</v>
      </c>
      <c r="I632" s="30">
        <f>J632-H632</f>
        <v>0</v>
      </c>
      <c r="J632" s="30">
        <f>ROUND(F632*G632,2)</f>
        <v>0</v>
      </c>
      <c r="K632" s="30">
        <v>4.0600000000000002E-3</v>
      </c>
      <c r="L632" s="30">
        <f>F632*K632</f>
        <v>6.7071199999999997E-2</v>
      </c>
      <c r="M632" s="258" t="s">
        <v>2291</v>
      </c>
      <c r="N632" s="31" t="s">
        <v>59</v>
      </c>
      <c r="O632" s="30">
        <f>IF(N632="5",I632,0)</f>
        <v>0</v>
      </c>
      <c r="Z632" s="30">
        <f>IF(AD632=0,J632,0)</f>
        <v>0</v>
      </c>
      <c r="AA632" s="30">
        <f>IF(AD632=15,J632,0)</f>
        <v>0</v>
      </c>
      <c r="AB632" s="30">
        <f>IF(AD632=21,J632,0)</f>
        <v>0</v>
      </c>
      <c r="AD632" s="32">
        <v>21</v>
      </c>
      <c r="AE632" s="32">
        <f>G632*0.67230605738576</f>
        <v>0</v>
      </c>
      <c r="AF632" s="32">
        <f>G632*(1-0.67230605738576)</f>
        <v>0</v>
      </c>
      <c r="AM632" s="32">
        <f>F632*AE632</f>
        <v>0</v>
      </c>
      <c r="AN632" s="32">
        <f>F632*AF632</f>
        <v>0</v>
      </c>
      <c r="AO632" s="33" t="s">
        <v>85</v>
      </c>
      <c r="AP632" s="33" t="s">
        <v>79</v>
      </c>
      <c r="AQ632" s="21" t="s">
        <v>461</v>
      </c>
    </row>
    <row r="633" spans="1:43" x14ac:dyDescent="0.25">
      <c r="A633" s="26"/>
      <c r="B633" s="27" t="s">
        <v>459</v>
      </c>
      <c r="C633" s="27" t="s">
        <v>86</v>
      </c>
      <c r="D633" s="338" t="s">
        <v>87</v>
      </c>
      <c r="E633" s="339"/>
      <c r="F633" s="339"/>
      <c r="G633" s="339"/>
      <c r="H633" s="28">
        <f>SUM(H634:H634)</f>
        <v>0</v>
      </c>
      <c r="I633" s="28">
        <f>SUM(I634:I634)</f>
        <v>0</v>
      </c>
      <c r="J633" s="28">
        <f>H633+I633</f>
        <v>0</v>
      </c>
      <c r="K633" s="21"/>
      <c r="L633" s="28">
        <f>SUM(L634:L634)</f>
        <v>5.4000000000000001E-4</v>
      </c>
      <c r="M633" s="21"/>
      <c r="P633" s="28">
        <f>IF(Q633="PR",J633,SUM(O634:O634))</f>
        <v>0</v>
      </c>
      <c r="Q633" s="21" t="s">
        <v>75</v>
      </c>
      <c r="R633" s="28">
        <f>IF(Q633="HS",H633,0)</f>
        <v>0</v>
      </c>
      <c r="S633" s="28">
        <f>IF(Q633="HS",I633-P633,0)</f>
        <v>0</v>
      </c>
      <c r="T633" s="28">
        <f>IF(Q633="PS",H633,0)</f>
        <v>0</v>
      </c>
      <c r="U633" s="28">
        <f>IF(Q633="PS",I633-P633,0)</f>
        <v>0</v>
      </c>
      <c r="V633" s="28">
        <f>IF(Q633="MP",H633,0)</f>
        <v>0</v>
      </c>
      <c r="W633" s="28">
        <f>IF(Q633="MP",I633-P633,0)</f>
        <v>0</v>
      </c>
      <c r="X633" s="28">
        <f>IF(Q633="OM",H633,0)</f>
        <v>0</v>
      </c>
      <c r="Y633" s="21" t="s">
        <v>459</v>
      </c>
      <c r="AI633" s="28">
        <f>SUM(Z634:Z634)</f>
        <v>0</v>
      </c>
      <c r="AJ633" s="28">
        <f>SUM(AA634:AA634)</f>
        <v>0</v>
      </c>
      <c r="AK633" s="28">
        <f>SUM(AB634:AB634)</f>
        <v>0</v>
      </c>
    </row>
    <row r="634" spans="1:43" x14ac:dyDescent="0.25">
      <c r="A634" s="29" t="s">
        <v>466</v>
      </c>
      <c r="B634" s="29" t="s">
        <v>459</v>
      </c>
      <c r="C634" s="29" t="s">
        <v>89</v>
      </c>
      <c r="D634" s="29" t="s">
        <v>90</v>
      </c>
      <c r="E634" s="29" t="s">
        <v>58</v>
      </c>
      <c r="F634" s="30">
        <v>2</v>
      </c>
      <c r="G634" s="317">
        <v>0</v>
      </c>
      <c r="H634" s="30">
        <f>ROUND(F634*AE634,2)</f>
        <v>0</v>
      </c>
      <c r="I634" s="30">
        <f>J634-H634</f>
        <v>0</v>
      </c>
      <c r="J634" s="30">
        <f>ROUND(F634*G634,2)</f>
        <v>0</v>
      </c>
      <c r="K634" s="30">
        <v>2.7E-4</v>
      </c>
      <c r="L634" s="30">
        <f>F634*K634</f>
        <v>5.4000000000000001E-4</v>
      </c>
      <c r="M634" s="258" t="s">
        <v>2291</v>
      </c>
      <c r="N634" s="31" t="s">
        <v>59</v>
      </c>
      <c r="O634" s="30">
        <f>IF(N634="5",I634,0)</f>
        <v>0</v>
      </c>
      <c r="Z634" s="30">
        <f>IF(AD634=0,J634,0)</f>
        <v>0</v>
      </c>
      <c r="AA634" s="30">
        <f>IF(AD634=15,J634,0)</f>
        <v>0</v>
      </c>
      <c r="AB634" s="30">
        <f>IF(AD634=21,J634,0)</f>
        <v>0</v>
      </c>
      <c r="AD634" s="32">
        <v>21</v>
      </c>
      <c r="AE634" s="32">
        <f>G634*0.186098187625859</f>
        <v>0</v>
      </c>
      <c r="AF634" s="32">
        <f>G634*(1-0.186098187625859)</f>
        <v>0</v>
      </c>
      <c r="AM634" s="32">
        <f>F634*AE634</f>
        <v>0</v>
      </c>
      <c r="AN634" s="32">
        <f>F634*AF634</f>
        <v>0</v>
      </c>
      <c r="AO634" s="33" t="s">
        <v>91</v>
      </c>
      <c r="AP634" s="33" t="s">
        <v>92</v>
      </c>
      <c r="AQ634" s="21" t="s">
        <v>461</v>
      </c>
    </row>
    <row r="635" spans="1:43" x14ac:dyDescent="0.25">
      <c r="A635" s="26"/>
      <c r="B635" s="27" t="s">
        <v>459</v>
      </c>
      <c r="C635" s="27" t="s">
        <v>93</v>
      </c>
      <c r="D635" s="338" t="s">
        <v>94</v>
      </c>
      <c r="E635" s="339"/>
      <c r="F635" s="339"/>
      <c r="G635" s="339"/>
      <c r="H635" s="28">
        <f>SUM(H636:H636)</f>
        <v>0</v>
      </c>
      <c r="I635" s="28">
        <f>SUM(I636:I636)</f>
        <v>0</v>
      </c>
      <c r="J635" s="28">
        <f>H635+I635</f>
        <v>0</v>
      </c>
      <c r="K635" s="21"/>
      <c r="L635" s="28">
        <f>SUM(L636:L636)</f>
        <v>4.7632000000000001E-2</v>
      </c>
      <c r="M635" s="21"/>
      <c r="P635" s="28">
        <f>IF(Q635="PR",J635,SUM(O636:O636))</f>
        <v>0</v>
      </c>
      <c r="Q635" s="21" t="s">
        <v>75</v>
      </c>
      <c r="R635" s="28">
        <f>IF(Q635="HS",H635,0)</f>
        <v>0</v>
      </c>
      <c r="S635" s="28">
        <f>IF(Q635="HS",I635-P635,0)</f>
        <v>0</v>
      </c>
      <c r="T635" s="28">
        <f>IF(Q635="PS",H635,0)</f>
        <v>0</v>
      </c>
      <c r="U635" s="28">
        <f>IF(Q635="PS",I635-P635,0)</f>
        <v>0</v>
      </c>
      <c r="V635" s="28">
        <f>IF(Q635="MP",H635,0)</f>
        <v>0</v>
      </c>
      <c r="W635" s="28">
        <f>IF(Q635="MP",I635-P635,0)</f>
        <v>0</v>
      </c>
      <c r="X635" s="28">
        <f>IF(Q635="OM",H635,0)</f>
        <v>0</v>
      </c>
      <c r="Y635" s="21" t="s">
        <v>459</v>
      </c>
      <c r="AI635" s="28">
        <f>SUM(Z636:Z636)</f>
        <v>0</v>
      </c>
      <c r="AJ635" s="28">
        <f>SUM(AA636:AA636)</f>
        <v>0</v>
      </c>
      <c r="AK635" s="28">
        <f>SUM(AB636:AB636)</f>
        <v>0</v>
      </c>
    </row>
    <row r="636" spans="1:43" x14ac:dyDescent="0.25">
      <c r="A636" s="29" t="s">
        <v>467</v>
      </c>
      <c r="B636" s="29" t="s">
        <v>459</v>
      </c>
      <c r="C636" s="29" t="s">
        <v>96</v>
      </c>
      <c r="D636" s="29" t="s">
        <v>97</v>
      </c>
      <c r="E636" s="29" t="s">
        <v>58</v>
      </c>
      <c r="F636" s="30">
        <v>73.28</v>
      </c>
      <c r="G636" s="317">
        <v>0</v>
      </c>
      <c r="H636" s="30">
        <f>ROUND(F636*AE636,2)</f>
        <v>0</v>
      </c>
      <c r="I636" s="30">
        <f>J636-H636</f>
        <v>0</v>
      </c>
      <c r="J636" s="30">
        <f>ROUND(F636*G636,2)</f>
        <v>0</v>
      </c>
      <c r="K636" s="30">
        <v>6.4999999999999997E-4</v>
      </c>
      <c r="L636" s="30">
        <f>F636*K636</f>
        <v>4.7632000000000001E-2</v>
      </c>
      <c r="M636" s="258" t="s">
        <v>2291</v>
      </c>
      <c r="N636" s="31" t="s">
        <v>59</v>
      </c>
      <c r="O636" s="30">
        <f>IF(N636="5",I636,0)</f>
        <v>0</v>
      </c>
      <c r="Z636" s="30">
        <f>IF(AD636=0,J636,0)</f>
        <v>0</v>
      </c>
      <c r="AA636" s="30">
        <f>IF(AD636=15,J636,0)</f>
        <v>0</v>
      </c>
      <c r="AB636" s="30">
        <f>IF(AD636=21,J636,0)</f>
        <v>0</v>
      </c>
      <c r="AD636" s="32">
        <v>21</v>
      </c>
      <c r="AE636" s="32">
        <f>G636*0.333747476316198</f>
        <v>0</v>
      </c>
      <c r="AF636" s="32">
        <f>G636*(1-0.333747476316198)</f>
        <v>0</v>
      </c>
      <c r="AM636" s="32">
        <f>F636*AE636</f>
        <v>0</v>
      </c>
      <c r="AN636" s="32">
        <f>F636*AF636</f>
        <v>0</v>
      </c>
      <c r="AO636" s="33" t="s">
        <v>98</v>
      </c>
      <c r="AP636" s="33" t="s">
        <v>92</v>
      </c>
      <c r="AQ636" s="21" t="s">
        <v>461</v>
      </c>
    </row>
    <row r="637" spans="1:43" x14ac:dyDescent="0.25">
      <c r="A637" s="26"/>
      <c r="B637" s="27" t="s">
        <v>459</v>
      </c>
      <c r="C637" s="27" t="s">
        <v>99</v>
      </c>
      <c r="D637" s="338" t="s">
        <v>100</v>
      </c>
      <c r="E637" s="339"/>
      <c r="F637" s="339"/>
      <c r="G637" s="339"/>
      <c r="H637" s="28">
        <f>SUM(H638:H638)</f>
        <v>0</v>
      </c>
      <c r="I637" s="28">
        <f>SUM(I638:I638)</f>
        <v>0</v>
      </c>
      <c r="J637" s="28">
        <f>H637+I637</f>
        <v>0</v>
      </c>
      <c r="K637" s="21"/>
      <c r="L637" s="28">
        <f>SUM(L638:L638)</f>
        <v>0</v>
      </c>
      <c r="M637" s="21"/>
      <c r="P637" s="28">
        <f>IF(Q637="PR",J637,SUM(O638:O638))</f>
        <v>0</v>
      </c>
      <c r="Q637" s="21" t="s">
        <v>54</v>
      </c>
      <c r="R637" s="28">
        <f>IF(Q637="HS",H637,0)</f>
        <v>0</v>
      </c>
      <c r="S637" s="28">
        <f>IF(Q637="HS",I637-P637,0)</f>
        <v>0</v>
      </c>
      <c r="T637" s="28">
        <f>IF(Q637="PS",H637,0)</f>
        <v>0</v>
      </c>
      <c r="U637" s="28">
        <f>IF(Q637="PS",I637-P637,0)</f>
        <v>0</v>
      </c>
      <c r="V637" s="28">
        <f>IF(Q637="MP",H637,0)</f>
        <v>0</v>
      </c>
      <c r="W637" s="28">
        <f>IF(Q637="MP",I637-P637,0)</f>
        <v>0</v>
      </c>
      <c r="X637" s="28">
        <f>IF(Q637="OM",H637,0)</f>
        <v>0</v>
      </c>
      <c r="Y637" s="21" t="s">
        <v>459</v>
      </c>
      <c r="AI637" s="28">
        <f>SUM(Z638:Z638)</f>
        <v>0</v>
      </c>
      <c r="AJ637" s="28">
        <f>SUM(AA638:AA638)</f>
        <v>0</v>
      </c>
      <c r="AK637" s="28">
        <f>SUM(AB638:AB638)</f>
        <v>0</v>
      </c>
    </row>
    <row r="638" spans="1:43" x14ac:dyDescent="0.25">
      <c r="A638" s="29" t="s">
        <v>468</v>
      </c>
      <c r="B638" s="29" t="s">
        <v>459</v>
      </c>
      <c r="C638" s="29" t="s">
        <v>102</v>
      </c>
      <c r="D638" s="29" t="s">
        <v>103</v>
      </c>
      <c r="E638" s="29" t="s">
        <v>104</v>
      </c>
      <c r="F638" s="30">
        <v>2.4</v>
      </c>
      <c r="G638" s="317">
        <v>0</v>
      </c>
      <c r="H638" s="30">
        <f>ROUND(F638*AE638,2)</f>
        <v>0</v>
      </c>
      <c r="I638" s="30">
        <f>J638-H638</f>
        <v>0</v>
      </c>
      <c r="J638" s="30">
        <f>ROUND(F638*G638,2)</f>
        <v>0</v>
      </c>
      <c r="K638" s="30">
        <v>0</v>
      </c>
      <c r="L638" s="30">
        <f>F638*K638</f>
        <v>0</v>
      </c>
      <c r="M638" s="258" t="s">
        <v>2291</v>
      </c>
      <c r="N638" s="31" t="s">
        <v>55</v>
      </c>
      <c r="O638" s="30">
        <f>IF(N638="5",I638,0)</f>
        <v>0</v>
      </c>
      <c r="Z638" s="30">
        <f>IF(AD638=0,J638,0)</f>
        <v>0</v>
      </c>
      <c r="AA638" s="30">
        <f>IF(AD638=15,J638,0)</f>
        <v>0</v>
      </c>
      <c r="AB638" s="30">
        <f>IF(AD638=21,J638,0)</f>
        <v>0</v>
      </c>
      <c r="AD638" s="32">
        <v>21</v>
      </c>
      <c r="AE638" s="32">
        <f>G638*0</f>
        <v>0</v>
      </c>
      <c r="AF638" s="32">
        <f>G638*(1-0)</f>
        <v>0</v>
      </c>
      <c r="AM638" s="32">
        <f>F638*AE638</f>
        <v>0</v>
      </c>
      <c r="AN638" s="32">
        <f>F638*AF638</f>
        <v>0</v>
      </c>
      <c r="AO638" s="33" t="s">
        <v>105</v>
      </c>
      <c r="AP638" s="33" t="s">
        <v>106</v>
      </c>
      <c r="AQ638" s="21" t="s">
        <v>461</v>
      </c>
    </row>
    <row r="639" spans="1:43" x14ac:dyDescent="0.25">
      <c r="C639" s="34" t="s">
        <v>63</v>
      </c>
      <c r="D639" s="340" t="s">
        <v>107</v>
      </c>
      <c r="E639" s="341"/>
      <c r="F639" s="341"/>
      <c r="G639" s="341"/>
      <c r="H639" s="341"/>
      <c r="I639" s="341"/>
      <c r="J639" s="341"/>
      <c r="K639" s="341"/>
      <c r="L639" s="341"/>
      <c r="M639" s="341"/>
    </row>
    <row r="640" spans="1:43" x14ac:dyDescent="0.25">
      <c r="A640" s="26"/>
      <c r="B640" s="27" t="s">
        <v>469</v>
      </c>
      <c r="C640" s="27"/>
      <c r="D640" s="338" t="s">
        <v>469</v>
      </c>
      <c r="E640" s="339"/>
      <c r="F640" s="339"/>
      <c r="G640" s="339"/>
      <c r="H640" s="28">
        <f>H641+H646+H648+H651+H653+H655+H657</f>
        <v>0</v>
      </c>
      <c r="I640" s="28">
        <f>I641+I646+I648+I651+I653+I655+I657</f>
        <v>0</v>
      </c>
      <c r="J640" s="28">
        <f>H640+I640</f>
        <v>0</v>
      </c>
      <c r="K640" s="21"/>
      <c r="L640" s="28">
        <f>L641+L646+L648+L651+L653+L655+L657</f>
        <v>1.4691672</v>
      </c>
      <c r="M640" s="21"/>
    </row>
    <row r="641" spans="1:43" x14ac:dyDescent="0.25">
      <c r="A641" s="26"/>
      <c r="B641" s="27" t="s">
        <v>469</v>
      </c>
      <c r="C641" s="27" t="s">
        <v>52</v>
      </c>
      <c r="D641" s="338" t="s">
        <v>53</v>
      </c>
      <c r="E641" s="339"/>
      <c r="F641" s="339"/>
      <c r="G641" s="339"/>
      <c r="H641" s="28">
        <f>SUM(H642:H644)</f>
        <v>0</v>
      </c>
      <c r="I641" s="28">
        <f>SUM(I642:I644)</f>
        <v>0</v>
      </c>
      <c r="J641" s="28">
        <f>H641+I641</f>
        <v>0</v>
      </c>
      <c r="K641" s="21"/>
      <c r="L641" s="28">
        <f>SUM(L642:L644)</f>
        <v>0.58754220000000001</v>
      </c>
      <c r="M641" s="21"/>
      <c r="P641" s="28">
        <f>IF(Q641="PR",J641,SUM(O642:O644))</f>
        <v>0</v>
      </c>
      <c r="Q641" s="21" t="s">
        <v>54</v>
      </c>
      <c r="R641" s="28">
        <f>IF(Q641="HS",H641,0)</f>
        <v>0</v>
      </c>
      <c r="S641" s="28">
        <f>IF(Q641="HS",I641-P641,0)</f>
        <v>0</v>
      </c>
      <c r="T641" s="28">
        <f>IF(Q641="PS",H641,0)</f>
        <v>0</v>
      </c>
      <c r="U641" s="28">
        <f>IF(Q641="PS",I641-P641,0)</f>
        <v>0</v>
      </c>
      <c r="V641" s="28">
        <f>IF(Q641="MP",H641,0)</f>
        <v>0</v>
      </c>
      <c r="W641" s="28">
        <f>IF(Q641="MP",I641-P641,0)</f>
        <v>0</v>
      </c>
      <c r="X641" s="28">
        <f>IF(Q641="OM",H641,0)</f>
        <v>0</v>
      </c>
      <c r="Y641" s="21" t="s">
        <v>469</v>
      </c>
      <c r="AI641" s="28">
        <f>SUM(Z642:Z644)</f>
        <v>0</v>
      </c>
      <c r="AJ641" s="28">
        <f>SUM(AA642:AA644)</f>
        <v>0</v>
      </c>
      <c r="AK641" s="28">
        <f>SUM(AB642:AB644)</f>
        <v>0</v>
      </c>
    </row>
    <row r="642" spans="1:43" x14ac:dyDescent="0.25">
      <c r="A642" s="29" t="s">
        <v>470</v>
      </c>
      <c r="B642" s="29" t="s">
        <v>469</v>
      </c>
      <c r="C642" s="29" t="s">
        <v>56</v>
      </c>
      <c r="D642" s="29" t="s">
        <v>57</v>
      </c>
      <c r="E642" s="29" t="s">
        <v>58</v>
      </c>
      <c r="F642" s="30">
        <v>46.86</v>
      </c>
      <c r="G642" s="317">
        <v>0</v>
      </c>
      <c r="H642" s="30">
        <f>ROUND(F642*AE642,2)</f>
        <v>0</v>
      </c>
      <c r="I642" s="30">
        <f>J642-H642</f>
        <v>0</v>
      </c>
      <c r="J642" s="30">
        <f>ROUND(F642*G642,2)</f>
        <v>0</v>
      </c>
      <c r="K642" s="30">
        <v>1.001E-2</v>
      </c>
      <c r="L642" s="30">
        <f>F642*K642</f>
        <v>0.4690686</v>
      </c>
      <c r="M642" s="258" t="s">
        <v>2291</v>
      </c>
      <c r="N642" s="31" t="s">
        <v>59</v>
      </c>
      <c r="O642" s="30">
        <f>IF(N642="5",I642,0)</f>
        <v>0</v>
      </c>
      <c r="Z642" s="30">
        <f>IF(AD642=0,J642,0)</f>
        <v>0</v>
      </c>
      <c r="AA642" s="30">
        <f>IF(AD642=15,J642,0)</f>
        <v>0</v>
      </c>
      <c r="AB642" s="30">
        <f>IF(AD642=21,J642,0)</f>
        <v>0</v>
      </c>
      <c r="AD642" s="32">
        <v>21</v>
      </c>
      <c r="AE642" s="32">
        <f>G642*0.0756575801052128</f>
        <v>0</v>
      </c>
      <c r="AF642" s="32">
        <f>G642*(1-0.0756575801052128)</f>
        <v>0</v>
      </c>
      <c r="AM642" s="32">
        <f>F642*AE642</f>
        <v>0</v>
      </c>
      <c r="AN642" s="32">
        <f>F642*AF642</f>
        <v>0</v>
      </c>
      <c r="AO642" s="33" t="s">
        <v>60</v>
      </c>
      <c r="AP642" s="33" t="s">
        <v>61</v>
      </c>
      <c r="AQ642" s="21" t="s">
        <v>471</v>
      </c>
    </row>
    <row r="643" spans="1:43" ht="25.7" customHeight="1" x14ac:dyDescent="0.25">
      <c r="C643" s="34" t="s">
        <v>63</v>
      </c>
      <c r="D643" s="340" t="s">
        <v>64</v>
      </c>
      <c r="E643" s="341"/>
      <c r="F643" s="341"/>
      <c r="G643" s="341"/>
      <c r="H643" s="341"/>
      <c r="I643" s="341"/>
      <c r="J643" s="341"/>
      <c r="K643" s="341"/>
      <c r="L643" s="341"/>
      <c r="M643" s="341"/>
    </row>
    <row r="644" spans="1:43" x14ac:dyDescent="0.25">
      <c r="A644" s="29" t="s">
        <v>472</v>
      </c>
      <c r="B644" s="29" t="s">
        <v>469</v>
      </c>
      <c r="C644" s="29" t="s">
        <v>66</v>
      </c>
      <c r="D644" s="29" t="s">
        <v>67</v>
      </c>
      <c r="E644" s="29" t="s">
        <v>58</v>
      </c>
      <c r="F644" s="30">
        <v>12.04</v>
      </c>
      <c r="G644" s="317">
        <v>0</v>
      </c>
      <c r="H644" s="30">
        <f>ROUND(F644*AE644,2)</f>
        <v>0</v>
      </c>
      <c r="I644" s="30">
        <f>J644-H644</f>
        <v>0</v>
      </c>
      <c r="J644" s="30">
        <f>ROUND(F644*G644,2)</f>
        <v>0</v>
      </c>
      <c r="K644" s="30">
        <v>9.8399999999999998E-3</v>
      </c>
      <c r="L644" s="30">
        <f>F644*K644</f>
        <v>0.11847359999999998</v>
      </c>
      <c r="M644" s="258" t="s">
        <v>2291</v>
      </c>
      <c r="N644" s="31" t="s">
        <v>59</v>
      </c>
      <c r="O644" s="30">
        <f>IF(N644="5",I644,0)</f>
        <v>0</v>
      </c>
      <c r="Z644" s="30">
        <f>IF(AD644=0,J644,0)</f>
        <v>0</v>
      </c>
      <c r="AA644" s="30">
        <f>IF(AD644=15,J644,0)</f>
        <v>0</v>
      </c>
      <c r="AB644" s="30">
        <f>IF(AD644=21,J644,0)</f>
        <v>0</v>
      </c>
      <c r="AD644" s="32">
        <v>21</v>
      </c>
      <c r="AE644" s="32">
        <f>G644*0.160304682766381</f>
        <v>0</v>
      </c>
      <c r="AF644" s="32">
        <f>G644*(1-0.160304682766381)</f>
        <v>0</v>
      </c>
      <c r="AM644" s="32">
        <f>F644*AE644</f>
        <v>0</v>
      </c>
      <c r="AN644" s="32">
        <f>F644*AF644</f>
        <v>0</v>
      </c>
      <c r="AO644" s="33" t="s">
        <v>60</v>
      </c>
      <c r="AP644" s="33" t="s">
        <v>61</v>
      </c>
      <c r="AQ644" s="21" t="s">
        <v>471</v>
      </c>
    </row>
    <row r="645" spans="1:43" ht="25.7" customHeight="1" x14ac:dyDescent="0.25">
      <c r="C645" s="34" t="s">
        <v>63</v>
      </c>
      <c r="D645" s="340" t="s">
        <v>64</v>
      </c>
      <c r="E645" s="341"/>
      <c r="F645" s="341"/>
      <c r="G645" s="341"/>
      <c r="H645" s="341"/>
      <c r="I645" s="341"/>
      <c r="J645" s="341"/>
      <c r="K645" s="341"/>
      <c r="L645" s="341"/>
      <c r="M645" s="341"/>
    </row>
    <row r="646" spans="1:43" x14ac:dyDescent="0.25">
      <c r="A646" s="26"/>
      <c r="B646" s="27" t="s">
        <v>469</v>
      </c>
      <c r="C646" s="27" t="s">
        <v>68</v>
      </c>
      <c r="D646" s="338" t="s">
        <v>69</v>
      </c>
      <c r="E646" s="339"/>
      <c r="F646" s="339"/>
      <c r="G646" s="339"/>
      <c r="H646" s="28">
        <f>SUM(H647:H647)</f>
        <v>0</v>
      </c>
      <c r="I646" s="28">
        <f>SUM(I647:I647)</f>
        <v>0</v>
      </c>
      <c r="J646" s="28">
        <f>H646+I646</f>
        <v>0</v>
      </c>
      <c r="K646" s="21"/>
      <c r="L646" s="28">
        <f>SUM(L647:L647)</f>
        <v>0.60007359999999998</v>
      </c>
      <c r="M646" s="21"/>
      <c r="P646" s="28">
        <f>IF(Q646="PR",J646,SUM(O647:O647))</f>
        <v>0</v>
      </c>
      <c r="Q646" s="21" t="s">
        <v>54</v>
      </c>
      <c r="R646" s="28">
        <f>IF(Q646="HS",H646,0)</f>
        <v>0</v>
      </c>
      <c r="S646" s="28">
        <f>IF(Q646="HS",I646-P646,0)</f>
        <v>0</v>
      </c>
      <c r="T646" s="28">
        <f>IF(Q646="PS",H646,0)</f>
        <v>0</v>
      </c>
      <c r="U646" s="28">
        <f>IF(Q646="PS",I646-P646,0)</f>
        <v>0</v>
      </c>
      <c r="V646" s="28">
        <f>IF(Q646="MP",H646,0)</f>
        <v>0</v>
      </c>
      <c r="W646" s="28">
        <f>IF(Q646="MP",I646-P646,0)</f>
        <v>0</v>
      </c>
      <c r="X646" s="28">
        <f>IF(Q646="OM",H646,0)</f>
        <v>0</v>
      </c>
      <c r="Y646" s="21" t="s">
        <v>469</v>
      </c>
      <c r="AI646" s="28">
        <f>SUM(Z647:Z647)</f>
        <v>0</v>
      </c>
      <c r="AJ646" s="28">
        <f>SUM(AA647:AA647)</f>
        <v>0</v>
      </c>
      <c r="AK646" s="28">
        <f>SUM(AB647:AB647)</f>
        <v>0</v>
      </c>
    </row>
    <row r="647" spans="1:43" x14ac:dyDescent="0.25">
      <c r="A647" s="29" t="s">
        <v>473</v>
      </c>
      <c r="B647" s="29" t="s">
        <v>469</v>
      </c>
      <c r="C647" s="29" t="s">
        <v>70</v>
      </c>
      <c r="D647" s="29" t="s">
        <v>71</v>
      </c>
      <c r="E647" s="29" t="s">
        <v>58</v>
      </c>
      <c r="F647" s="30">
        <v>12.04</v>
      </c>
      <c r="G647" s="317">
        <v>0</v>
      </c>
      <c r="H647" s="30">
        <f>ROUND(F647*AE647,2)</f>
        <v>0</v>
      </c>
      <c r="I647" s="30">
        <f>J647-H647</f>
        <v>0</v>
      </c>
      <c r="J647" s="30">
        <f>ROUND(F647*G647,2)</f>
        <v>0</v>
      </c>
      <c r="K647" s="30">
        <v>4.9840000000000002E-2</v>
      </c>
      <c r="L647" s="30">
        <f>F647*K647</f>
        <v>0.60007359999999998</v>
      </c>
      <c r="M647" s="258" t="s">
        <v>2291</v>
      </c>
      <c r="N647" s="31" t="s">
        <v>59</v>
      </c>
      <c r="O647" s="30">
        <f>IF(N647="5",I647,0)</f>
        <v>0</v>
      </c>
      <c r="Z647" s="30">
        <f>IF(AD647=0,J647,0)</f>
        <v>0</v>
      </c>
      <c r="AA647" s="30">
        <f>IF(AD647=15,J647,0)</f>
        <v>0</v>
      </c>
      <c r="AB647" s="30">
        <f>IF(AD647=21,J647,0)</f>
        <v>0</v>
      </c>
      <c r="AD647" s="32">
        <v>21</v>
      </c>
      <c r="AE647" s="32">
        <f>G647*0.411768721414431</f>
        <v>0</v>
      </c>
      <c r="AF647" s="32">
        <f>G647*(1-0.411768721414431)</f>
        <v>0</v>
      </c>
      <c r="AM647" s="32">
        <f>F647*AE647</f>
        <v>0</v>
      </c>
      <c r="AN647" s="32">
        <f>F647*AF647</f>
        <v>0</v>
      </c>
      <c r="AO647" s="33" t="s">
        <v>72</v>
      </c>
      <c r="AP647" s="33" t="s">
        <v>61</v>
      </c>
      <c r="AQ647" s="21" t="s">
        <v>471</v>
      </c>
    </row>
    <row r="648" spans="1:43" x14ac:dyDescent="0.25">
      <c r="A648" s="26"/>
      <c r="B648" s="27" t="s">
        <v>469</v>
      </c>
      <c r="C648" s="27" t="s">
        <v>73</v>
      </c>
      <c r="D648" s="338" t="s">
        <v>74</v>
      </c>
      <c r="E648" s="339"/>
      <c r="F648" s="339"/>
      <c r="G648" s="339"/>
      <c r="H648" s="28">
        <f>SUM(H649:H649)</f>
        <v>0</v>
      </c>
      <c r="I648" s="28">
        <f>SUM(I649:I649)</f>
        <v>0</v>
      </c>
      <c r="J648" s="28">
        <f>H648+I648</f>
        <v>0</v>
      </c>
      <c r="K648" s="21"/>
      <c r="L648" s="28">
        <f>SUM(L649:L649)</f>
        <v>0.19384399999999999</v>
      </c>
      <c r="M648" s="21"/>
      <c r="P648" s="28">
        <f>IF(Q648="PR",J648,SUM(O649:O649))</f>
        <v>0</v>
      </c>
      <c r="Q648" s="21" t="s">
        <v>75</v>
      </c>
      <c r="R648" s="28">
        <f>IF(Q648="HS",H648,0)</f>
        <v>0</v>
      </c>
      <c r="S648" s="28">
        <f>IF(Q648="HS",I648-P648,0)</f>
        <v>0</v>
      </c>
      <c r="T648" s="28">
        <f>IF(Q648="PS",H648,0)</f>
        <v>0</v>
      </c>
      <c r="U648" s="28">
        <f>IF(Q648="PS",I648-P648,0)</f>
        <v>0</v>
      </c>
      <c r="V648" s="28">
        <f>IF(Q648="MP",H648,0)</f>
        <v>0</v>
      </c>
      <c r="W648" s="28">
        <f>IF(Q648="MP",I648-P648,0)</f>
        <v>0</v>
      </c>
      <c r="X648" s="28">
        <f>IF(Q648="OM",H648,0)</f>
        <v>0</v>
      </c>
      <c r="Y648" s="21" t="s">
        <v>469</v>
      </c>
      <c r="AI648" s="28">
        <f>SUM(Z649:Z649)</f>
        <v>0</v>
      </c>
      <c r="AJ648" s="28">
        <f>SUM(AA649:AA649)</f>
        <v>0</v>
      </c>
      <c r="AK648" s="28">
        <f>SUM(AB649:AB649)</f>
        <v>0</v>
      </c>
    </row>
    <row r="649" spans="1:43" x14ac:dyDescent="0.25">
      <c r="A649" s="29" t="s">
        <v>474</v>
      </c>
      <c r="B649" s="29" t="s">
        <v>469</v>
      </c>
      <c r="C649" s="29" t="s">
        <v>77</v>
      </c>
      <c r="D649" s="29" t="s">
        <v>2278</v>
      </c>
      <c r="E649" s="29" t="s">
        <v>58</v>
      </c>
      <c r="F649" s="30">
        <v>12.04</v>
      </c>
      <c r="G649" s="317">
        <v>0</v>
      </c>
      <c r="H649" s="30">
        <f>ROUND(F649*AE649,2)</f>
        <v>0</v>
      </c>
      <c r="I649" s="30">
        <f>J649-H649</f>
        <v>0</v>
      </c>
      <c r="J649" s="30">
        <f>ROUND(F649*G649,2)</f>
        <v>0</v>
      </c>
      <c r="K649" s="30">
        <v>1.61E-2</v>
      </c>
      <c r="L649" s="30">
        <f>F649*K649</f>
        <v>0.19384399999999999</v>
      </c>
      <c r="M649" s="258" t="s">
        <v>2291</v>
      </c>
      <c r="N649" s="31" t="s">
        <v>59</v>
      </c>
      <c r="O649" s="30">
        <f>IF(N649="5",I649,0)</f>
        <v>0</v>
      </c>
      <c r="Z649" s="30">
        <f>IF(AD649=0,J649,0)</f>
        <v>0</v>
      </c>
      <c r="AA649" s="30">
        <f>IF(AD649=15,J649,0)</f>
        <v>0</v>
      </c>
      <c r="AB649" s="30">
        <f>IF(AD649=21,J649,0)</f>
        <v>0</v>
      </c>
      <c r="AD649" s="32">
        <v>21</v>
      </c>
      <c r="AE649" s="32">
        <f>G649*0.787221324717286</f>
        <v>0</v>
      </c>
      <c r="AF649" s="32">
        <f>G649*(1-0.787221324717286)</f>
        <v>0</v>
      </c>
      <c r="AM649" s="32">
        <f>F649*AE649</f>
        <v>0</v>
      </c>
      <c r="AN649" s="32">
        <f>F649*AF649</f>
        <v>0</v>
      </c>
      <c r="AO649" s="33" t="s">
        <v>78</v>
      </c>
      <c r="AP649" s="33" t="s">
        <v>79</v>
      </c>
      <c r="AQ649" s="21" t="s">
        <v>471</v>
      </c>
    </row>
    <row r="650" spans="1:43" x14ac:dyDescent="0.25">
      <c r="C650" s="34" t="s">
        <v>63</v>
      </c>
      <c r="D650" s="340" t="s">
        <v>2280</v>
      </c>
      <c r="E650" s="341"/>
      <c r="F650" s="341"/>
      <c r="G650" s="341"/>
      <c r="H650" s="341"/>
      <c r="I650" s="341"/>
      <c r="J650" s="341"/>
      <c r="K650" s="341"/>
      <c r="L650" s="341"/>
      <c r="M650" s="341"/>
    </row>
    <row r="651" spans="1:43" x14ac:dyDescent="0.25">
      <c r="A651" s="26"/>
      <c r="B651" s="27" t="s">
        <v>469</v>
      </c>
      <c r="C651" s="27" t="s">
        <v>80</v>
      </c>
      <c r="D651" s="338" t="s">
        <v>81</v>
      </c>
      <c r="E651" s="339"/>
      <c r="F651" s="339"/>
      <c r="G651" s="339"/>
      <c r="H651" s="28">
        <f>SUM(H652:H652)</f>
        <v>0</v>
      </c>
      <c r="I651" s="28">
        <f>SUM(I652:I652)</f>
        <v>0</v>
      </c>
      <c r="J651" s="28">
        <f>H651+I651</f>
        <v>0</v>
      </c>
      <c r="K651" s="21"/>
      <c r="L651" s="28">
        <f>SUM(L652:L652)</f>
        <v>4.8882399999999999E-2</v>
      </c>
      <c r="M651" s="21"/>
      <c r="P651" s="28">
        <f>IF(Q651="PR",J651,SUM(O652:O652))</f>
        <v>0</v>
      </c>
      <c r="Q651" s="21" t="s">
        <v>75</v>
      </c>
      <c r="R651" s="28">
        <f>IF(Q651="HS",H651,0)</f>
        <v>0</v>
      </c>
      <c r="S651" s="28">
        <f>IF(Q651="HS",I651-P651,0)</f>
        <v>0</v>
      </c>
      <c r="T651" s="28">
        <f>IF(Q651="PS",H651,0)</f>
        <v>0</v>
      </c>
      <c r="U651" s="28">
        <f>IF(Q651="PS",I651-P651,0)</f>
        <v>0</v>
      </c>
      <c r="V651" s="28">
        <f>IF(Q651="MP",H651,0)</f>
        <v>0</v>
      </c>
      <c r="W651" s="28">
        <f>IF(Q651="MP",I651-P651,0)</f>
        <v>0</v>
      </c>
      <c r="X651" s="28">
        <f>IF(Q651="OM",H651,0)</f>
        <v>0</v>
      </c>
      <c r="Y651" s="21" t="s">
        <v>469</v>
      </c>
      <c r="AI651" s="28">
        <f>SUM(Z652:Z652)</f>
        <v>0</v>
      </c>
      <c r="AJ651" s="28">
        <f>SUM(AA652:AA652)</f>
        <v>0</v>
      </c>
      <c r="AK651" s="28">
        <f>SUM(AB652:AB652)</f>
        <v>0</v>
      </c>
    </row>
    <row r="652" spans="1:43" x14ac:dyDescent="0.25">
      <c r="A652" s="29" t="s">
        <v>475</v>
      </c>
      <c r="B652" s="29" t="s">
        <v>469</v>
      </c>
      <c r="C652" s="29" t="s">
        <v>83</v>
      </c>
      <c r="D652" s="29" t="s">
        <v>84</v>
      </c>
      <c r="E652" s="29" t="s">
        <v>58</v>
      </c>
      <c r="F652" s="30">
        <v>12.04</v>
      </c>
      <c r="G652" s="317">
        <v>0</v>
      </c>
      <c r="H652" s="30">
        <f>ROUND(F652*AE652,2)</f>
        <v>0</v>
      </c>
      <c r="I652" s="30">
        <f>J652-H652</f>
        <v>0</v>
      </c>
      <c r="J652" s="30">
        <f>ROUND(F652*G652,2)</f>
        <v>0</v>
      </c>
      <c r="K652" s="30">
        <v>4.0600000000000002E-3</v>
      </c>
      <c r="L652" s="30">
        <f>F652*K652</f>
        <v>4.8882399999999999E-2</v>
      </c>
      <c r="M652" s="258" t="s">
        <v>2291</v>
      </c>
      <c r="N652" s="31" t="s">
        <v>59</v>
      </c>
      <c r="O652" s="30">
        <f>IF(N652="5",I652,0)</f>
        <v>0</v>
      </c>
      <c r="Z652" s="30">
        <f>IF(AD652=0,J652,0)</f>
        <v>0</v>
      </c>
      <c r="AA652" s="30">
        <f>IF(AD652=15,J652,0)</f>
        <v>0</v>
      </c>
      <c r="AB652" s="30">
        <f>IF(AD652=21,J652,0)</f>
        <v>0</v>
      </c>
      <c r="AD652" s="32">
        <v>21</v>
      </c>
      <c r="AE652" s="32">
        <f>G652*0.67230605738576</f>
        <v>0</v>
      </c>
      <c r="AF652" s="32">
        <f>G652*(1-0.67230605738576)</f>
        <v>0</v>
      </c>
      <c r="AM652" s="32">
        <f>F652*AE652</f>
        <v>0</v>
      </c>
      <c r="AN652" s="32">
        <f>F652*AF652</f>
        <v>0</v>
      </c>
      <c r="AO652" s="33" t="s">
        <v>85</v>
      </c>
      <c r="AP652" s="33" t="s">
        <v>79</v>
      </c>
      <c r="AQ652" s="21" t="s">
        <v>471</v>
      </c>
    </row>
    <row r="653" spans="1:43" x14ac:dyDescent="0.25">
      <c r="A653" s="26"/>
      <c r="B653" s="27" t="s">
        <v>469</v>
      </c>
      <c r="C653" s="27" t="s">
        <v>86</v>
      </c>
      <c r="D653" s="338" t="s">
        <v>87</v>
      </c>
      <c r="E653" s="339"/>
      <c r="F653" s="339"/>
      <c r="G653" s="339"/>
      <c r="H653" s="28">
        <f>SUM(H654:H654)</f>
        <v>0</v>
      </c>
      <c r="I653" s="28">
        <f>SUM(I654:I654)</f>
        <v>0</v>
      </c>
      <c r="J653" s="28">
        <f>H653+I653</f>
        <v>0</v>
      </c>
      <c r="K653" s="21"/>
      <c r="L653" s="28">
        <f>SUM(L654:L654)</f>
        <v>5.4000000000000001E-4</v>
      </c>
      <c r="M653" s="21"/>
      <c r="P653" s="28">
        <f>IF(Q653="PR",J653,SUM(O654:O654))</f>
        <v>0</v>
      </c>
      <c r="Q653" s="21" t="s">
        <v>75</v>
      </c>
      <c r="R653" s="28">
        <f>IF(Q653="HS",H653,0)</f>
        <v>0</v>
      </c>
      <c r="S653" s="28">
        <f>IF(Q653="HS",I653-P653,0)</f>
        <v>0</v>
      </c>
      <c r="T653" s="28">
        <f>IF(Q653="PS",H653,0)</f>
        <v>0</v>
      </c>
      <c r="U653" s="28">
        <f>IF(Q653="PS",I653-P653,0)</f>
        <v>0</v>
      </c>
      <c r="V653" s="28">
        <f>IF(Q653="MP",H653,0)</f>
        <v>0</v>
      </c>
      <c r="W653" s="28">
        <f>IF(Q653="MP",I653-P653,0)</f>
        <v>0</v>
      </c>
      <c r="X653" s="28">
        <f>IF(Q653="OM",H653,0)</f>
        <v>0</v>
      </c>
      <c r="Y653" s="21" t="s">
        <v>469</v>
      </c>
      <c r="AI653" s="28">
        <f>SUM(Z654:Z654)</f>
        <v>0</v>
      </c>
      <c r="AJ653" s="28">
        <f>SUM(AA654:AA654)</f>
        <v>0</v>
      </c>
      <c r="AK653" s="28">
        <f>SUM(AB654:AB654)</f>
        <v>0</v>
      </c>
    </row>
    <row r="654" spans="1:43" x14ac:dyDescent="0.25">
      <c r="A654" s="29" t="s">
        <v>476</v>
      </c>
      <c r="B654" s="29" t="s">
        <v>469</v>
      </c>
      <c r="C654" s="29" t="s">
        <v>89</v>
      </c>
      <c r="D654" s="29" t="s">
        <v>90</v>
      </c>
      <c r="E654" s="29" t="s">
        <v>58</v>
      </c>
      <c r="F654" s="30">
        <v>2</v>
      </c>
      <c r="G654" s="317">
        <v>0</v>
      </c>
      <c r="H654" s="30">
        <f>ROUND(F654*AE654,2)</f>
        <v>0</v>
      </c>
      <c r="I654" s="30">
        <f>J654-H654</f>
        <v>0</v>
      </c>
      <c r="J654" s="30">
        <f>ROUND(F654*G654,2)</f>
        <v>0</v>
      </c>
      <c r="K654" s="30">
        <v>2.7E-4</v>
      </c>
      <c r="L654" s="30">
        <f>F654*K654</f>
        <v>5.4000000000000001E-4</v>
      </c>
      <c r="M654" s="258" t="s">
        <v>2291</v>
      </c>
      <c r="N654" s="31" t="s">
        <v>59</v>
      </c>
      <c r="O654" s="30">
        <f>IF(N654="5",I654,0)</f>
        <v>0</v>
      </c>
      <c r="Z654" s="30">
        <f>IF(AD654=0,J654,0)</f>
        <v>0</v>
      </c>
      <c r="AA654" s="30">
        <f>IF(AD654=15,J654,0)</f>
        <v>0</v>
      </c>
      <c r="AB654" s="30">
        <f>IF(AD654=21,J654,0)</f>
        <v>0</v>
      </c>
      <c r="AD654" s="32">
        <v>21</v>
      </c>
      <c r="AE654" s="32">
        <f>G654*0.186098187625859</f>
        <v>0</v>
      </c>
      <c r="AF654" s="32">
        <f>G654*(1-0.186098187625859)</f>
        <v>0</v>
      </c>
      <c r="AM654" s="32">
        <f>F654*AE654</f>
        <v>0</v>
      </c>
      <c r="AN654" s="32">
        <f>F654*AF654</f>
        <v>0</v>
      </c>
      <c r="AO654" s="33" t="s">
        <v>91</v>
      </c>
      <c r="AP654" s="33" t="s">
        <v>92</v>
      </c>
      <c r="AQ654" s="21" t="s">
        <v>471</v>
      </c>
    </row>
    <row r="655" spans="1:43" x14ac:dyDescent="0.25">
      <c r="A655" s="26"/>
      <c r="B655" s="27" t="s">
        <v>469</v>
      </c>
      <c r="C655" s="27" t="s">
        <v>93</v>
      </c>
      <c r="D655" s="338" t="s">
        <v>94</v>
      </c>
      <c r="E655" s="339"/>
      <c r="F655" s="339"/>
      <c r="G655" s="339"/>
      <c r="H655" s="28">
        <f>SUM(H656:H656)</f>
        <v>0</v>
      </c>
      <c r="I655" s="28">
        <f>SUM(I656:I656)</f>
        <v>0</v>
      </c>
      <c r="J655" s="28">
        <f>H655+I655</f>
        <v>0</v>
      </c>
      <c r="K655" s="21"/>
      <c r="L655" s="28">
        <f>SUM(L656:L656)</f>
        <v>3.8285E-2</v>
      </c>
      <c r="M655" s="21"/>
      <c r="P655" s="28">
        <f>IF(Q655="PR",J655,SUM(O656:O656))</f>
        <v>0</v>
      </c>
      <c r="Q655" s="21" t="s">
        <v>75</v>
      </c>
      <c r="R655" s="28">
        <f>IF(Q655="HS",H655,0)</f>
        <v>0</v>
      </c>
      <c r="S655" s="28">
        <f>IF(Q655="HS",I655-P655,0)</f>
        <v>0</v>
      </c>
      <c r="T655" s="28">
        <f>IF(Q655="PS",H655,0)</f>
        <v>0</v>
      </c>
      <c r="U655" s="28">
        <f>IF(Q655="PS",I655-P655,0)</f>
        <v>0</v>
      </c>
      <c r="V655" s="28">
        <f>IF(Q655="MP",H655,0)</f>
        <v>0</v>
      </c>
      <c r="W655" s="28">
        <f>IF(Q655="MP",I655-P655,0)</f>
        <v>0</v>
      </c>
      <c r="X655" s="28">
        <f>IF(Q655="OM",H655,0)</f>
        <v>0</v>
      </c>
      <c r="Y655" s="21" t="s">
        <v>469</v>
      </c>
      <c r="AI655" s="28">
        <f>SUM(Z656:Z656)</f>
        <v>0</v>
      </c>
      <c r="AJ655" s="28">
        <f>SUM(AA656:AA656)</f>
        <v>0</v>
      </c>
      <c r="AK655" s="28">
        <f>SUM(AB656:AB656)</f>
        <v>0</v>
      </c>
    </row>
    <row r="656" spans="1:43" x14ac:dyDescent="0.25">
      <c r="A656" s="29" t="s">
        <v>477</v>
      </c>
      <c r="B656" s="29" t="s">
        <v>469</v>
      </c>
      <c r="C656" s="29" t="s">
        <v>96</v>
      </c>
      <c r="D656" s="29" t="s">
        <v>97</v>
      </c>
      <c r="E656" s="29" t="s">
        <v>58</v>
      </c>
      <c r="F656" s="30">
        <v>58.9</v>
      </c>
      <c r="G656" s="317">
        <v>0</v>
      </c>
      <c r="H656" s="30">
        <f>ROUND(F656*AE656,2)</f>
        <v>0</v>
      </c>
      <c r="I656" s="30">
        <f>J656-H656</f>
        <v>0</v>
      </c>
      <c r="J656" s="30">
        <f>ROUND(F656*G656,2)</f>
        <v>0</v>
      </c>
      <c r="K656" s="30">
        <v>6.4999999999999997E-4</v>
      </c>
      <c r="L656" s="30">
        <f>F656*K656</f>
        <v>3.8285E-2</v>
      </c>
      <c r="M656" s="258" t="s">
        <v>2291</v>
      </c>
      <c r="N656" s="31" t="s">
        <v>59</v>
      </c>
      <c r="O656" s="30">
        <f>IF(N656="5",I656,0)</f>
        <v>0</v>
      </c>
      <c r="Z656" s="30">
        <f>IF(AD656=0,J656,0)</f>
        <v>0</v>
      </c>
      <c r="AA656" s="30">
        <f>IF(AD656=15,J656,0)</f>
        <v>0</v>
      </c>
      <c r="AB656" s="30">
        <f>IF(AD656=21,J656,0)</f>
        <v>0</v>
      </c>
      <c r="AD656" s="32">
        <v>21</v>
      </c>
      <c r="AE656" s="32">
        <f>G656*0.333747476316198</f>
        <v>0</v>
      </c>
      <c r="AF656" s="32">
        <f>G656*(1-0.333747476316198)</f>
        <v>0</v>
      </c>
      <c r="AM656" s="32">
        <f>F656*AE656</f>
        <v>0</v>
      </c>
      <c r="AN656" s="32">
        <f>F656*AF656</f>
        <v>0</v>
      </c>
      <c r="AO656" s="33" t="s">
        <v>98</v>
      </c>
      <c r="AP656" s="33" t="s">
        <v>92</v>
      </c>
      <c r="AQ656" s="21" t="s">
        <v>471</v>
      </c>
    </row>
    <row r="657" spans="1:43" x14ac:dyDescent="0.25">
      <c r="A657" s="26"/>
      <c r="B657" s="27" t="s">
        <v>469</v>
      </c>
      <c r="C657" s="27" t="s">
        <v>99</v>
      </c>
      <c r="D657" s="338" t="s">
        <v>100</v>
      </c>
      <c r="E657" s="339"/>
      <c r="F657" s="339"/>
      <c r="G657" s="339"/>
      <c r="H657" s="28">
        <f>SUM(H658:H658)</f>
        <v>0</v>
      </c>
      <c r="I657" s="28">
        <f>SUM(I658:I658)</f>
        <v>0</v>
      </c>
      <c r="J657" s="28">
        <f>H657+I657</f>
        <v>0</v>
      </c>
      <c r="K657" s="21"/>
      <c r="L657" s="28">
        <f>SUM(L658:L658)</f>
        <v>0</v>
      </c>
      <c r="M657" s="21"/>
      <c r="P657" s="28">
        <f>IF(Q657="PR",J657,SUM(O658:O658))</f>
        <v>0</v>
      </c>
      <c r="Q657" s="21" t="s">
        <v>54</v>
      </c>
      <c r="R657" s="28">
        <f>IF(Q657="HS",H657,0)</f>
        <v>0</v>
      </c>
      <c r="S657" s="28">
        <f>IF(Q657="HS",I657-P657,0)</f>
        <v>0</v>
      </c>
      <c r="T657" s="28">
        <f>IF(Q657="PS",H657,0)</f>
        <v>0</v>
      </c>
      <c r="U657" s="28">
        <f>IF(Q657="PS",I657-P657,0)</f>
        <v>0</v>
      </c>
      <c r="V657" s="28">
        <f>IF(Q657="MP",H657,0)</f>
        <v>0</v>
      </c>
      <c r="W657" s="28">
        <f>IF(Q657="MP",I657-P657,0)</f>
        <v>0</v>
      </c>
      <c r="X657" s="28">
        <f>IF(Q657="OM",H657,0)</f>
        <v>0</v>
      </c>
      <c r="Y657" s="21" t="s">
        <v>469</v>
      </c>
      <c r="AI657" s="28">
        <f>SUM(Z658:Z658)</f>
        <v>0</v>
      </c>
      <c r="AJ657" s="28">
        <f>SUM(AA658:AA658)</f>
        <v>0</v>
      </c>
      <c r="AK657" s="28">
        <f>SUM(AB658:AB658)</f>
        <v>0</v>
      </c>
    </row>
    <row r="658" spans="1:43" x14ac:dyDescent="0.25">
      <c r="A658" s="29" t="s">
        <v>478</v>
      </c>
      <c r="B658" s="29" t="s">
        <v>469</v>
      </c>
      <c r="C658" s="29" t="s">
        <v>102</v>
      </c>
      <c r="D658" s="29" t="s">
        <v>103</v>
      </c>
      <c r="E658" s="29" t="s">
        <v>104</v>
      </c>
      <c r="F658" s="30">
        <v>2.4</v>
      </c>
      <c r="G658" s="317">
        <v>0</v>
      </c>
      <c r="H658" s="30">
        <f>ROUND(F658*AE658,2)</f>
        <v>0</v>
      </c>
      <c r="I658" s="30">
        <f>J658-H658</f>
        <v>0</v>
      </c>
      <c r="J658" s="30">
        <f>ROUND(F658*G658,2)</f>
        <v>0</v>
      </c>
      <c r="K658" s="30">
        <v>0</v>
      </c>
      <c r="L658" s="30">
        <f>F658*K658</f>
        <v>0</v>
      </c>
      <c r="M658" s="258" t="s">
        <v>2291</v>
      </c>
      <c r="N658" s="31" t="s">
        <v>55</v>
      </c>
      <c r="O658" s="30">
        <f>IF(N658="5",I658,0)</f>
        <v>0</v>
      </c>
      <c r="Z658" s="30">
        <f>IF(AD658=0,J658,0)</f>
        <v>0</v>
      </c>
      <c r="AA658" s="30">
        <f>IF(AD658=15,J658,0)</f>
        <v>0</v>
      </c>
      <c r="AB658" s="30">
        <f>IF(AD658=21,J658,0)</f>
        <v>0</v>
      </c>
      <c r="AD658" s="32">
        <v>21</v>
      </c>
      <c r="AE658" s="32">
        <f>G658*0</f>
        <v>0</v>
      </c>
      <c r="AF658" s="32">
        <f>G658*(1-0)</f>
        <v>0</v>
      </c>
      <c r="AM658" s="32">
        <f>F658*AE658</f>
        <v>0</v>
      </c>
      <c r="AN658" s="32">
        <f>F658*AF658</f>
        <v>0</v>
      </c>
      <c r="AO658" s="33" t="s">
        <v>105</v>
      </c>
      <c r="AP658" s="33" t="s">
        <v>106</v>
      </c>
      <c r="AQ658" s="21" t="s">
        <v>471</v>
      </c>
    </row>
    <row r="659" spans="1:43" x14ac:dyDescent="0.25">
      <c r="C659" s="34" t="s">
        <v>63</v>
      </c>
      <c r="D659" s="340" t="s">
        <v>107</v>
      </c>
      <c r="E659" s="341"/>
      <c r="F659" s="341"/>
      <c r="G659" s="341"/>
      <c r="H659" s="341"/>
      <c r="I659" s="341"/>
      <c r="J659" s="341"/>
      <c r="K659" s="341"/>
      <c r="L659" s="341"/>
      <c r="M659" s="341"/>
    </row>
    <row r="660" spans="1:43" x14ac:dyDescent="0.25">
      <c r="A660" s="26"/>
      <c r="B660" s="27" t="s">
        <v>479</v>
      </c>
      <c r="C660" s="27"/>
      <c r="D660" s="338" t="s">
        <v>479</v>
      </c>
      <c r="E660" s="339"/>
      <c r="F660" s="339"/>
      <c r="G660" s="339"/>
      <c r="H660" s="28">
        <f>H661+H663+H666+H668+H672+H674</f>
        <v>0</v>
      </c>
      <c r="I660" s="28">
        <f>I661+I663+I666+I668+I672+I674</f>
        <v>0</v>
      </c>
      <c r="J660" s="28">
        <f>H660+I660</f>
        <v>0</v>
      </c>
      <c r="K660" s="21"/>
      <c r="L660" s="28">
        <f>L661+L663+L666+L668+L672+L674</f>
        <v>12.690127600000002</v>
      </c>
      <c r="M660" s="21"/>
    </row>
    <row r="661" spans="1:43" x14ac:dyDescent="0.25">
      <c r="A661" s="26"/>
      <c r="B661" s="27" t="s">
        <v>479</v>
      </c>
      <c r="C661" s="27" t="s">
        <v>166</v>
      </c>
      <c r="D661" s="338" t="s">
        <v>167</v>
      </c>
      <c r="E661" s="339"/>
      <c r="F661" s="339"/>
      <c r="G661" s="339"/>
      <c r="H661" s="28">
        <f>SUM(H662:H662)</f>
        <v>0</v>
      </c>
      <c r="I661" s="28">
        <f>SUM(I662:I662)</f>
        <v>0</v>
      </c>
      <c r="J661" s="28">
        <f>H661+I661</f>
        <v>0</v>
      </c>
      <c r="K661" s="21"/>
      <c r="L661" s="28">
        <f>SUM(L662:L662)</f>
        <v>0.42936000000000002</v>
      </c>
      <c r="M661" s="21"/>
      <c r="P661" s="28">
        <f>IF(Q661="PR",J661,SUM(O662:O662))</f>
        <v>0</v>
      </c>
      <c r="Q661" s="21" t="s">
        <v>54</v>
      </c>
      <c r="R661" s="28">
        <f>IF(Q661="HS",H661,0)</f>
        <v>0</v>
      </c>
      <c r="S661" s="28">
        <f>IF(Q661="HS",I661-P661,0)</f>
        <v>0</v>
      </c>
      <c r="T661" s="28">
        <f>IF(Q661="PS",H661,0)</f>
        <v>0</v>
      </c>
      <c r="U661" s="28">
        <f>IF(Q661="PS",I661-P661,0)</f>
        <v>0</v>
      </c>
      <c r="V661" s="28">
        <f>IF(Q661="MP",H661,0)</f>
        <v>0</v>
      </c>
      <c r="W661" s="28">
        <f>IF(Q661="MP",I661-P661,0)</f>
        <v>0</v>
      </c>
      <c r="X661" s="28">
        <f>IF(Q661="OM",H661,0)</f>
        <v>0</v>
      </c>
      <c r="Y661" s="21" t="s">
        <v>479</v>
      </c>
      <c r="AI661" s="28">
        <f>SUM(Z662:Z662)</f>
        <v>0</v>
      </c>
      <c r="AJ661" s="28">
        <f>SUM(AA662:AA662)</f>
        <v>0</v>
      </c>
      <c r="AK661" s="28">
        <f>SUM(AB662:AB662)</f>
        <v>0</v>
      </c>
    </row>
    <row r="662" spans="1:43" x14ac:dyDescent="0.25">
      <c r="A662" s="29" t="s">
        <v>480</v>
      </c>
      <c r="B662" s="29" t="s">
        <v>479</v>
      </c>
      <c r="C662" s="29" t="s">
        <v>169</v>
      </c>
      <c r="D662" s="29" t="s">
        <v>170</v>
      </c>
      <c r="E662" s="29" t="s">
        <v>58</v>
      </c>
      <c r="F662" s="30">
        <v>35.78</v>
      </c>
      <c r="G662" s="317">
        <v>0</v>
      </c>
      <c r="H662" s="30">
        <f>ROUND(F662*AE662,2)</f>
        <v>0</v>
      </c>
      <c r="I662" s="30">
        <f>J662-H662</f>
        <v>0</v>
      </c>
      <c r="J662" s="30">
        <f>ROUND(F662*G662,2)</f>
        <v>0</v>
      </c>
      <c r="K662" s="30">
        <v>1.2E-2</v>
      </c>
      <c r="L662" s="30">
        <f>F662*K662</f>
        <v>0.42936000000000002</v>
      </c>
      <c r="M662" s="31"/>
      <c r="N662" s="31" t="s">
        <v>55</v>
      </c>
      <c r="O662" s="30">
        <f>IF(N662="5",I662,0)</f>
        <v>0</v>
      </c>
      <c r="Z662" s="30">
        <f>IF(AD662=0,J662,0)</f>
        <v>0</v>
      </c>
      <c r="AA662" s="30">
        <f>IF(AD662=15,J662,0)</f>
        <v>0</v>
      </c>
      <c r="AB662" s="30">
        <f>IF(AD662=21,J662,0)</f>
        <v>0</v>
      </c>
      <c r="AD662" s="32">
        <v>21</v>
      </c>
      <c r="AE662" s="32">
        <f>G662*0.381443298969072</f>
        <v>0</v>
      </c>
      <c r="AF662" s="32">
        <f>G662*(1-0.381443298969072)</f>
        <v>0</v>
      </c>
      <c r="AM662" s="32">
        <f>F662*AE662</f>
        <v>0</v>
      </c>
      <c r="AN662" s="32">
        <f>F662*AF662</f>
        <v>0</v>
      </c>
      <c r="AO662" s="33" t="s">
        <v>171</v>
      </c>
      <c r="AP662" s="33" t="s">
        <v>171</v>
      </c>
      <c r="AQ662" s="21" t="s">
        <v>481</v>
      </c>
    </row>
    <row r="663" spans="1:43" x14ac:dyDescent="0.25">
      <c r="A663" s="26"/>
      <c r="B663" s="27" t="s">
        <v>479</v>
      </c>
      <c r="C663" s="27" t="s">
        <v>52</v>
      </c>
      <c r="D663" s="338" t="s">
        <v>53</v>
      </c>
      <c r="E663" s="339"/>
      <c r="F663" s="339"/>
      <c r="G663" s="339"/>
      <c r="H663" s="28">
        <f>SUM(H664:H664)</f>
        <v>0</v>
      </c>
      <c r="I663" s="28">
        <f>SUM(I664:I664)</f>
        <v>0</v>
      </c>
      <c r="J663" s="28">
        <f>H663+I663</f>
        <v>0</v>
      </c>
      <c r="K663" s="21"/>
      <c r="L663" s="28">
        <f>SUM(L664:L664)</f>
        <v>1.4182167999999999</v>
      </c>
      <c r="M663" s="21"/>
      <c r="P663" s="28">
        <f>IF(Q663="PR",J663,SUM(O664:O664))</f>
        <v>0</v>
      </c>
      <c r="Q663" s="21" t="s">
        <v>54</v>
      </c>
      <c r="R663" s="28">
        <f>IF(Q663="HS",H663,0)</f>
        <v>0</v>
      </c>
      <c r="S663" s="28">
        <f>IF(Q663="HS",I663-P663,0)</f>
        <v>0</v>
      </c>
      <c r="T663" s="28">
        <f>IF(Q663="PS",H663,0)</f>
        <v>0</v>
      </c>
      <c r="U663" s="28">
        <f>IF(Q663="PS",I663-P663,0)</f>
        <v>0</v>
      </c>
      <c r="V663" s="28">
        <f>IF(Q663="MP",H663,0)</f>
        <v>0</v>
      </c>
      <c r="W663" s="28">
        <f>IF(Q663="MP",I663-P663,0)</f>
        <v>0</v>
      </c>
      <c r="X663" s="28">
        <f>IF(Q663="OM",H663,0)</f>
        <v>0</v>
      </c>
      <c r="Y663" s="21" t="s">
        <v>479</v>
      </c>
      <c r="AI663" s="28">
        <f>SUM(Z664:Z664)</f>
        <v>0</v>
      </c>
      <c r="AJ663" s="28">
        <f>SUM(AA664:AA664)</f>
        <v>0</v>
      </c>
      <c r="AK663" s="28">
        <f>SUM(AB664:AB664)</f>
        <v>0</v>
      </c>
    </row>
    <row r="664" spans="1:43" x14ac:dyDescent="0.25">
      <c r="A664" s="29" t="s">
        <v>482</v>
      </c>
      <c r="B664" s="29" t="s">
        <v>479</v>
      </c>
      <c r="C664" s="29" t="s">
        <v>56</v>
      </c>
      <c r="D664" s="29" t="s">
        <v>57</v>
      </c>
      <c r="E664" s="29" t="s">
        <v>58</v>
      </c>
      <c r="F664" s="30">
        <v>141.68</v>
      </c>
      <c r="G664" s="317">
        <v>0</v>
      </c>
      <c r="H664" s="30">
        <f>ROUND(F664*AE664,2)</f>
        <v>0</v>
      </c>
      <c r="I664" s="30">
        <f>J664-H664</f>
        <v>0</v>
      </c>
      <c r="J664" s="30">
        <f>ROUND(F664*G664,2)</f>
        <v>0</v>
      </c>
      <c r="K664" s="30">
        <v>1.001E-2</v>
      </c>
      <c r="L664" s="30">
        <f>F664*K664</f>
        <v>1.4182167999999999</v>
      </c>
      <c r="M664" s="258" t="s">
        <v>2291</v>
      </c>
      <c r="N664" s="31" t="s">
        <v>59</v>
      </c>
      <c r="O664" s="30">
        <f>IF(N664="5",I664,0)</f>
        <v>0</v>
      </c>
      <c r="Z664" s="30">
        <f>IF(AD664=0,J664,0)</f>
        <v>0</v>
      </c>
      <c r="AA664" s="30">
        <f>IF(AD664=15,J664,0)</f>
        <v>0</v>
      </c>
      <c r="AB664" s="30">
        <f>IF(AD664=21,J664,0)</f>
        <v>0</v>
      </c>
      <c r="AD664" s="32">
        <v>21</v>
      </c>
      <c r="AE664" s="32">
        <f>G664*0.0756575801052128</f>
        <v>0</v>
      </c>
      <c r="AF664" s="32">
        <f>G664*(1-0.0756575801052128)</f>
        <v>0</v>
      </c>
      <c r="AM664" s="32">
        <f>F664*AE664</f>
        <v>0</v>
      </c>
      <c r="AN664" s="32">
        <f>F664*AF664</f>
        <v>0</v>
      </c>
      <c r="AO664" s="33" t="s">
        <v>60</v>
      </c>
      <c r="AP664" s="33" t="s">
        <v>61</v>
      </c>
      <c r="AQ664" s="21" t="s">
        <v>481</v>
      </c>
    </row>
    <row r="665" spans="1:43" ht="25.7" customHeight="1" x14ac:dyDescent="0.25">
      <c r="C665" s="34" t="s">
        <v>63</v>
      </c>
      <c r="D665" s="340" t="s">
        <v>64</v>
      </c>
      <c r="E665" s="341"/>
      <c r="F665" s="341"/>
      <c r="G665" s="341"/>
      <c r="H665" s="341"/>
      <c r="I665" s="341"/>
      <c r="J665" s="341"/>
      <c r="K665" s="341"/>
      <c r="L665" s="341"/>
      <c r="M665" s="341"/>
    </row>
    <row r="666" spans="1:43" x14ac:dyDescent="0.25">
      <c r="A666" s="26"/>
      <c r="B666" s="27" t="s">
        <v>479</v>
      </c>
      <c r="C666" s="27" t="s">
        <v>68</v>
      </c>
      <c r="D666" s="338" t="s">
        <v>69</v>
      </c>
      <c r="E666" s="339"/>
      <c r="F666" s="339"/>
      <c r="G666" s="339"/>
      <c r="H666" s="28">
        <f>SUM(H667:H667)</f>
        <v>0</v>
      </c>
      <c r="I666" s="28">
        <f>SUM(I667:I667)</f>
        <v>0</v>
      </c>
      <c r="J666" s="28">
        <f>H666+I666</f>
        <v>0</v>
      </c>
      <c r="K666" s="21"/>
      <c r="L666" s="28">
        <f>SUM(L667:L667)</f>
        <v>7.4268546000000004</v>
      </c>
      <c r="M666" s="21"/>
      <c r="P666" s="28">
        <f>IF(Q666="PR",J666,SUM(O667:O667))</f>
        <v>0</v>
      </c>
      <c r="Q666" s="21" t="s">
        <v>54</v>
      </c>
      <c r="R666" s="28">
        <f>IF(Q666="HS",H666,0)</f>
        <v>0</v>
      </c>
      <c r="S666" s="28">
        <f>IF(Q666="HS",I666-P666,0)</f>
        <v>0</v>
      </c>
      <c r="T666" s="28">
        <f>IF(Q666="PS",H666,0)</f>
        <v>0</v>
      </c>
      <c r="U666" s="28">
        <f>IF(Q666="PS",I666-P666,0)</f>
        <v>0</v>
      </c>
      <c r="V666" s="28">
        <f>IF(Q666="MP",H666,0)</f>
        <v>0</v>
      </c>
      <c r="W666" s="28">
        <f>IF(Q666="MP",I666-P666,0)</f>
        <v>0</v>
      </c>
      <c r="X666" s="28">
        <f>IF(Q666="OM",H666,0)</f>
        <v>0</v>
      </c>
      <c r="Y666" s="21" t="s">
        <v>479</v>
      </c>
      <c r="AI666" s="28">
        <f>SUM(Z667:Z667)</f>
        <v>0</v>
      </c>
      <c r="AJ666" s="28">
        <f>SUM(AA667:AA667)</f>
        <v>0</v>
      </c>
      <c r="AK666" s="28">
        <f>SUM(AB667:AB667)</f>
        <v>0</v>
      </c>
    </row>
    <row r="667" spans="1:43" x14ac:dyDescent="0.25">
      <c r="A667" s="29" t="s">
        <v>483</v>
      </c>
      <c r="B667" s="29" t="s">
        <v>479</v>
      </c>
      <c r="C667" s="29" t="s">
        <v>312</v>
      </c>
      <c r="D667" s="29" t="s">
        <v>313</v>
      </c>
      <c r="E667" s="29" t="s">
        <v>58</v>
      </c>
      <c r="F667" s="30">
        <v>35.78</v>
      </c>
      <c r="G667" s="317">
        <v>0</v>
      </c>
      <c r="H667" s="30">
        <f>ROUND(F667*AE667,2)</f>
        <v>0</v>
      </c>
      <c r="I667" s="30">
        <f>J667-H667</f>
        <v>0</v>
      </c>
      <c r="J667" s="30">
        <f>ROUND(F667*G667,2)</f>
        <v>0</v>
      </c>
      <c r="K667" s="30">
        <v>0.20757</v>
      </c>
      <c r="L667" s="30">
        <f>F667*K667</f>
        <v>7.4268546000000004</v>
      </c>
      <c r="M667" s="258" t="s">
        <v>2291</v>
      </c>
      <c r="N667" s="31" t="s">
        <v>59</v>
      </c>
      <c r="O667" s="30">
        <f>IF(N667="5",I667,0)</f>
        <v>0</v>
      </c>
      <c r="Z667" s="30">
        <f>IF(AD667=0,J667,0)</f>
        <v>0</v>
      </c>
      <c r="AA667" s="30">
        <f>IF(AD667=15,J667,0)</f>
        <v>0</v>
      </c>
      <c r="AB667" s="30">
        <f>IF(AD667=21,J667,0)</f>
        <v>0</v>
      </c>
      <c r="AD667" s="32">
        <v>21</v>
      </c>
      <c r="AE667" s="32">
        <f>G667*0.605216640631423</f>
        <v>0</v>
      </c>
      <c r="AF667" s="32">
        <f>G667*(1-0.605216640631423)</f>
        <v>0</v>
      </c>
      <c r="AM667" s="32">
        <f>F667*AE667</f>
        <v>0</v>
      </c>
      <c r="AN667" s="32">
        <f>F667*AF667</f>
        <v>0</v>
      </c>
      <c r="AO667" s="33" t="s">
        <v>72</v>
      </c>
      <c r="AP667" s="33" t="s">
        <v>61</v>
      </c>
      <c r="AQ667" s="21" t="s">
        <v>481</v>
      </c>
    </row>
    <row r="668" spans="1:43" x14ac:dyDescent="0.25">
      <c r="A668" s="26"/>
      <c r="B668" s="27" t="s">
        <v>479</v>
      </c>
      <c r="C668" s="27" t="s">
        <v>73</v>
      </c>
      <c r="D668" s="338" t="s">
        <v>74</v>
      </c>
      <c r="E668" s="339"/>
      <c r="F668" s="339"/>
      <c r="G668" s="339"/>
      <c r="H668" s="28">
        <f>SUM(H669:H671)</f>
        <v>0</v>
      </c>
      <c r="I668" s="28">
        <f>SUM(I669:I671)</f>
        <v>0</v>
      </c>
      <c r="J668" s="28">
        <f>H668+I668</f>
        <v>0</v>
      </c>
      <c r="K668" s="21"/>
      <c r="L668" s="28">
        <f>SUM(L669:L671)</f>
        <v>3.3003472</v>
      </c>
      <c r="M668" s="21"/>
      <c r="P668" s="28">
        <f>IF(Q668="PR",J668,SUM(O669:O671))</f>
        <v>0</v>
      </c>
      <c r="Q668" s="21" t="s">
        <v>75</v>
      </c>
      <c r="R668" s="28">
        <f>IF(Q668="HS",H668,0)</f>
        <v>0</v>
      </c>
      <c r="S668" s="28">
        <f>IF(Q668="HS",I668-P668,0)</f>
        <v>0</v>
      </c>
      <c r="T668" s="28">
        <f>IF(Q668="PS",H668,0)</f>
        <v>0</v>
      </c>
      <c r="U668" s="28">
        <f>IF(Q668="PS",I668-P668,0)</f>
        <v>0</v>
      </c>
      <c r="V668" s="28">
        <f>IF(Q668="MP",H668,0)</f>
        <v>0</v>
      </c>
      <c r="W668" s="28">
        <f>IF(Q668="MP",I668-P668,0)</f>
        <v>0</v>
      </c>
      <c r="X668" s="28">
        <f>IF(Q668="OM",H668,0)</f>
        <v>0</v>
      </c>
      <c r="Y668" s="21" t="s">
        <v>479</v>
      </c>
      <c r="AI668" s="28">
        <f>SUM(Z669:Z671)</f>
        <v>0</v>
      </c>
      <c r="AJ668" s="28">
        <f>SUM(AA669:AA671)</f>
        <v>0</v>
      </c>
      <c r="AK668" s="28">
        <f>SUM(AB669:AB671)</f>
        <v>0</v>
      </c>
    </row>
    <row r="669" spans="1:43" x14ac:dyDescent="0.25">
      <c r="A669" s="29" t="s">
        <v>484</v>
      </c>
      <c r="B669" s="29" t="s">
        <v>479</v>
      </c>
      <c r="C669" s="29" t="s">
        <v>77</v>
      </c>
      <c r="D669" s="29" t="s">
        <v>2278</v>
      </c>
      <c r="E669" s="29" t="s">
        <v>58</v>
      </c>
      <c r="F669" s="30">
        <v>35.78</v>
      </c>
      <c r="G669" s="317">
        <v>0</v>
      </c>
      <c r="H669" s="30">
        <f>ROUND(F669*AE669,2)</f>
        <v>0</v>
      </c>
      <c r="I669" s="30">
        <f>J669-H669</f>
        <v>0</v>
      </c>
      <c r="J669" s="30">
        <f>ROUND(F669*G669,2)</f>
        <v>0</v>
      </c>
      <c r="K669" s="30">
        <v>1.61E-2</v>
      </c>
      <c r="L669" s="30">
        <f>F669*K669</f>
        <v>0.57605799999999996</v>
      </c>
      <c r="M669" s="31" t="s">
        <v>2292</v>
      </c>
      <c r="N669" s="31" t="s">
        <v>59</v>
      </c>
      <c r="O669" s="30">
        <f>IF(N669="5",I669,0)</f>
        <v>0</v>
      </c>
      <c r="Z669" s="30">
        <f>IF(AD669=0,J669,0)</f>
        <v>0</v>
      </c>
      <c r="AA669" s="30">
        <f>IF(AD669=15,J669,0)</f>
        <v>0</v>
      </c>
      <c r="AB669" s="30">
        <f>IF(AD669=21,J669,0)</f>
        <v>0</v>
      </c>
      <c r="AD669" s="32">
        <v>21</v>
      </c>
      <c r="AE669" s="32">
        <f>G669*0.787221324717286</f>
        <v>0</v>
      </c>
      <c r="AF669" s="32">
        <f>G669*(1-0.787221324717286)</f>
        <v>0</v>
      </c>
      <c r="AM669" s="32">
        <f>F669*AE669</f>
        <v>0</v>
      </c>
      <c r="AN669" s="32">
        <f>F669*AF669</f>
        <v>0</v>
      </c>
      <c r="AO669" s="33" t="s">
        <v>78</v>
      </c>
      <c r="AP669" s="33" t="s">
        <v>79</v>
      </c>
      <c r="AQ669" s="21" t="s">
        <v>481</v>
      </c>
    </row>
    <row r="670" spans="1:43" x14ac:dyDescent="0.25">
      <c r="C670" s="34" t="s">
        <v>63</v>
      </c>
      <c r="D670" s="340" t="s">
        <v>2280</v>
      </c>
      <c r="E670" s="341"/>
      <c r="F670" s="341"/>
      <c r="G670" s="341"/>
      <c r="H670" s="341"/>
      <c r="I670" s="341"/>
      <c r="J670" s="341"/>
      <c r="K670" s="341"/>
      <c r="L670" s="341"/>
      <c r="M670" s="341"/>
    </row>
    <row r="671" spans="1:43" x14ac:dyDescent="0.25">
      <c r="A671" s="29" t="s">
        <v>485</v>
      </c>
      <c r="B671" s="29" t="s">
        <v>479</v>
      </c>
      <c r="C671" s="29" t="s">
        <v>122</v>
      </c>
      <c r="D671" s="29" t="s">
        <v>123</v>
      </c>
      <c r="E671" s="29" t="s">
        <v>58</v>
      </c>
      <c r="F671" s="30">
        <v>35.78</v>
      </c>
      <c r="G671" s="317">
        <v>0</v>
      </c>
      <c r="H671" s="30">
        <f>ROUND(F671*AE671,2)</f>
        <v>0</v>
      </c>
      <c r="I671" s="30">
        <f>J671-H671</f>
        <v>0</v>
      </c>
      <c r="J671" s="30">
        <f>ROUND(F671*G671,2)</f>
        <v>0</v>
      </c>
      <c r="K671" s="30">
        <v>7.6139999999999999E-2</v>
      </c>
      <c r="L671" s="30">
        <f>F671*K671</f>
        <v>2.7242891999999999</v>
      </c>
      <c r="M671" s="31" t="s">
        <v>2292</v>
      </c>
      <c r="N671" s="31" t="s">
        <v>59</v>
      </c>
      <c r="O671" s="30">
        <f>IF(N671="5",I671,0)</f>
        <v>0</v>
      </c>
      <c r="Z671" s="30">
        <f>IF(AD671=0,J671,0)</f>
        <v>0</v>
      </c>
      <c r="AA671" s="30">
        <f>IF(AD671=15,J671,0)</f>
        <v>0</v>
      </c>
      <c r="AB671" s="30">
        <f>IF(AD671=21,J671,0)</f>
        <v>0</v>
      </c>
      <c r="AD671" s="32">
        <v>21</v>
      </c>
      <c r="AE671" s="32">
        <f>G671*0.547569562266712</f>
        <v>0</v>
      </c>
      <c r="AF671" s="32">
        <f>G671*(1-0.547569562266712)</f>
        <v>0</v>
      </c>
      <c r="AM671" s="32">
        <f>F671*AE671</f>
        <v>0</v>
      </c>
      <c r="AN671" s="32">
        <f>F671*AF671</f>
        <v>0</v>
      </c>
      <c r="AO671" s="33" t="s">
        <v>78</v>
      </c>
      <c r="AP671" s="33" t="s">
        <v>79</v>
      </c>
      <c r="AQ671" s="21" t="s">
        <v>481</v>
      </c>
    </row>
    <row r="672" spans="1:43" x14ac:dyDescent="0.25">
      <c r="A672" s="26"/>
      <c r="B672" s="27" t="s">
        <v>479</v>
      </c>
      <c r="C672" s="27" t="s">
        <v>93</v>
      </c>
      <c r="D672" s="338" t="s">
        <v>94</v>
      </c>
      <c r="E672" s="339"/>
      <c r="F672" s="339"/>
      <c r="G672" s="339"/>
      <c r="H672" s="28">
        <f>SUM(H673:H673)</f>
        <v>0</v>
      </c>
      <c r="I672" s="28">
        <f>SUM(I673:I673)</f>
        <v>0</v>
      </c>
      <c r="J672" s="28">
        <f>H672+I672</f>
        <v>0</v>
      </c>
      <c r="K672" s="21"/>
      <c r="L672" s="28">
        <f>SUM(L673:L673)</f>
        <v>0.11534899999999999</v>
      </c>
      <c r="M672" s="21"/>
      <c r="P672" s="28">
        <f>IF(Q672="PR",J672,SUM(O673:O673))</f>
        <v>0</v>
      </c>
      <c r="Q672" s="21" t="s">
        <v>75</v>
      </c>
      <c r="R672" s="28">
        <f>IF(Q672="HS",H672,0)</f>
        <v>0</v>
      </c>
      <c r="S672" s="28">
        <f>IF(Q672="HS",I672-P672,0)</f>
        <v>0</v>
      </c>
      <c r="T672" s="28">
        <f>IF(Q672="PS",H672,0)</f>
        <v>0</v>
      </c>
      <c r="U672" s="28">
        <f>IF(Q672="PS",I672-P672,0)</f>
        <v>0</v>
      </c>
      <c r="V672" s="28">
        <f>IF(Q672="MP",H672,0)</f>
        <v>0</v>
      </c>
      <c r="W672" s="28">
        <f>IF(Q672="MP",I672-P672,0)</f>
        <v>0</v>
      </c>
      <c r="X672" s="28">
        <f>IF(Q672="OM",H672,0)</f>
        <v>0</v>
      </c>
      <c r="Y672" s="21" t="s">
        <v>479</v>
      </c>
      <c r="AI672" s="28">
        <f>SUM(Z673:Z673)</f>
        <v>0</v>
      </c>
      <c r="AJ672" s="28">
        <f>SUM(AA673:AA673)</f>
        <v>0</v>
      </c>
      <c r="AK672" s="28">
        <f>SUM(AB673:AB673)</f>
        <v>0</v>
      </c>
    </row>
    <row r="673" spans="1:43" x14ac:dyDescent="0.25">
      <c r="A673" s="29" t="s">
        <v>486</v>
      </c>
      <c r="B673" s="29" t="s">
        <v>479</v>
      </c>
      <c r="C673" s="29" t="s">
        <v>96</v>
      </c>
      <c r="D673" s="29" t="s">
        <v>97</v>
      </c>
      <c r="E673" s="29" t="s">
        <v>58</v>
      </c>
      <c r="F673" s="30">
        <v>177.46</v>
      </c>
      <c r="G673" s="317">
        <v>0</v>
      </c>
      <c r="H673" s="30">
        <f>ROUND(F673*AE673,2)</f>
        <v>0</v>
      </c>
      <c r="I673" s="30">
        <f>J673-H673</f>
        <v>0</v>
      </c>
      <c r="J673" s="30">
        <f>ROUND(F673*G673,2)</f>
        <v>0</v>
      </c>
      <c r="K673" s="30">
        <v>6.4999999999999997E-4</v>
      </c>
      <c r="L673" s="30">
        <f>F673*K673</f>
        <v>0.11534899999999999</v>
      </c>
      <c r="M673" s="31" t="s">
        <v>2292</v>
      </c>
      <c r="N673" s="31" t="s">
        <v>59</v>
      </c>
      <c r="O673" s="30">
        <f>IF(N673="5",I673,0)</f>
        <v>0</v>
      </c>
      <c r="Z673" s="30">
        <f>IF(AD673=0,J673,0)</f>
        <v>0</v>
      </c>
      <c r="AA673" s="30">
        <f>IF(AD673=15,J673,0)</f>
        <v>0</v>
      </c>
      <c r="AB673" s="30">
        <f>IF(AD673=21,J673,0)</f>
        <v>0</v>
      </c>
      <c r="AD673" s="32">
        <v>21</v>
      </c>
      <c r="AE673" s="32">
        <f>G673*0.333747476316198</f>
        <v>0</v>
      </c>
      <c r="AF673" s="32">
        <f>G673*(1-0.333747476316198)</f>
        <v>0</v>
      </c>
      <c r="AM673" s="32">
        <f>F673*AE673</f>
        <v>0</v>
      </c>
      <c r="AN673" s="32">
        <f>F673*AF673</f>
        <v>0</v>
      </c>
      <c r="AO673" s="33" t="s">
        <v>98</v>
      </c>
      <c r="AP673" s="33" t="s">
        <v>92</v>
      </c>
      <c r="AQ673" s="21" t="s">
        <v>481</v>
      </c>
    </row>
    <row r="674" spans="1:43" x14ac:dyDescent="0.25">
      <c r="A674" s="26"/>
      <c r="B674" s="27" t="s">
        <v>479</v>
      </c>
      <c r="C674" s="27" t="s">
        <v>99</v>
      </c>
      <c r="D674" s="338" t="s">
        <v>100</v>
      </c>
      <c r="E674" s="339"/>
      <c r="F674" s="339"/>
      <c r="G674" s="339"/>
      <c r="H674" s="28">
        <f>SUM(H675:H675)</f>
        <v>0</v>
      </c>
      <c r="I674" s="28">
        <f>SUM(I675:I675)</f>
        <v>0</v>
      </c>
      <c r="J674" s="28">
        <f>H674+I674</f>
        <v>0</v>
      </c>
      <c r="K674" s="21"/>
      <c r="L674" s="28">
        <f>SUM(L675:L675)</f>
        <v>0</v>
      </c>
      <c r="M674" s="21"/>
      <c r="P674" s="28">
        <f>IF(Q674="PR",J674,SUM(O675:O675))</f>
        <v>0</v>
      </c>
      <c r="Q674" s="21" t="s">
        <v>54</v>
      </c>
      <c r="R674" s="28">
        <f>IF(Q674="HS",H674,0)</f>
        <v>0</v>
      </c>
      <c r="S674" s="28">
        <f>IF(Q674="HS",I674-P674,0)</f>
        <v>0</v>
      </c>
      <c r="T674" s="28">
        <f>IF(Q674="PS",H674,0)</f>
        <v>0</v>
      </c>
      <c r="U674" s="28">
        <f>IF(Q674="PS",I674-P674,0)</f>
        <v>0</v>
      </c>
      <c r="V674" s="28">
        <f>IF(Q674="MP",H674,0)</f>
        <v>0</v>
      </c>
      <c r="W674" s="28">
        <f>IF(Q674="MP",I674-P674,0)</f>
        <v>0</v>
      </c>
      <c r="X674" s="28">
        <f>IF(Q674="OM",H674,0)</f>
        <v>0</v>
      </c>
      <c r="Y674" s="21" t="s">
        <v>479</v>
      </c>
      <c r="AI674" s="28">
        <f>SUM(Z675:Z675)</f>
        <v>0</v>
      </c>
      <c r="AJ674" s="28">
        <f>SUM(AA675:AA675)</f>
        <v>0</v>
      </c>
      <c r="AK674" s="28">
        <f>SUM(AB675:AB675)</f>
        <v>0</v>
      </c>
    </row>
    <row r="675" spans="1:43" x14ac:dyDescent="0.25">
      <c r="A675" s="29" t="s">
        <v>487</v>
      </c>
      <c r="B675" s="29" t="s">
        <v>479</v>
      </c>
      <c r="C675" s="29" t="s">
        <v>102</v>
      </c>
      <c r="D675" s="29" t="s">
        <v>103</v>
      </c>
      <c r="E675" s="29" t="s">
        <v>104</v>
      </c>
      <c r="F675" s="30">
        <v>1.2</v>
      </c>
      <c r="G675" s="317">
        <v>0</v>
      </c>
      <c r="H675" s="30">
        <f>ROUND(F675*AE675,2)</f>
        <v>0</v>
      </c>
      <c r="I675" s="30">
        <f>J675-H675</f>
        <v>0</v>
      </c>
      <c r="J675" s="30">
        <f>ROUND(F675*G675,2)</f>
        <v>0</v>
      </c>
      <c r="K675" s="30">
        <v>0</v>
      </c>
      <c r="L675" s="30">
        <f>F675*K675</f>
        <v>0</v>
      </c>
      <c r="M675" s="31" t="s">
        <v>2292</v>
      </c>
      <c r="N675" s="31" t="s">
        <v>55</v>
      </c>
      <c r="O675" s="30">
        <f>IF(N675="5",I675,0)</f>
        <v>0</v>
      </c>
      <c r="Z675" s="30">
        <f>IF(AD675=0,J675,0)</f>
        <v>0</v>
      </c>
      <c r="AA675" s="30">
        <f>IF(AD675=15,J675,0)</f>
        <v>0</v>
      </c>
      <c r="AB675" s="30">
        <f>IF(AD675=21,J675,0)</f>
        <v>0</v>
      </c>
      <c r="AD675" s="32">
        <v>21</v>
      </c>
      <c r="AE675" s="32">
        <f>G675*0</f>
        <v>0</v>
      </c>
      <c r="AF675" s="32">
        <f>G675*(1-0)</f>
        <v>0</v>
      </c>
      <c r="AM675" s="32">
        <f>F675*AE675</f>
        <v>0</v>
      </c>
      <c r="AN675" s="32">
        <f>F675*AF675</f>
        <v>0</v>
      </c>
      <c r="AO675" s="33" t="s">
        <v>105</v>
      </c>
      <c r="AP675" s="33" t="s">
        <v>106</v>
      </c>
      <c r="AQ675" s="21" t="s">
        <v>481</v>
      </c>
    </row>
    <row r="676" spans="1:43" x14ac:dyDescent="0.25">
      <c r="C676" s="34" t="s">
        <v>63</v>
      </c>
      <c r="D676" s="340" t="s">
        <v>107</v>
      </c>
      <c r="E676" s="341"/>
      <c r="F676" s="341"/>
      <c r="G676" s="341"/>
      <c r="H676" s="341"/>
      <c r="I676" s="341"/>
      <c r="J676" s="341"/>
      <c r="K676" s="341"/>
      <c r="L676" s="341"/>
      <c r="M676" s="341"/>
    </row>
    <row r="677" spans="1:43" x14ac:dyDescent="0.25">
      <c r="A677" s="26"/>
      <c r="B677" s="27" t="s">
        <v>488</v>
      </c>
      <c r="C677" s="27"/>
      <c r="D677" s="338" t="s">
        <v>488</v>
      </c>
      <c r="E677" s="339"/>
      <c r="F677" s="339"/>
      <c r="G677" s="339"/>
      <c r="H677" s="28">
        <f>H678+H683+H685+H688+H690+H692+H694+H697</f>
        <v>0</v>
      </c>
      <c r="I677" s="28">
        <f>I678+I683+I685+I688+I690+I692+I694+I697</f>
        <v>0</v>
      </c>
      <c r="J677" s="28">
        <f>H677+I677</f>
        <v>0</v>
      </c>
      <c r="K677" s="21"/>
      <c r="L677" s="28">
        <f>L678+L683+L685+L688+L690+L692+L694+L697</f>
        <v>1.5466959999999998</v>
      </c>
      <c r="M677" s="21"/>
    </row>
    <row r="678" spans="1:43" x14ac:dyDescent="0.25">
      <c r="A678" s="26"/>
      <c r="B678" s="27" t="s">
        <v>488</v>
      </c>
      <c r="C678" s="27" t="s">
        <v>52</v>
      </c>
      <c r="D678" s="338" t="s">
        <v>53</v>
      </c>
      <c r="E678" s="339"/>
      <c r="F678" s="339"/>
      <c r="G678" s="339"/>
      <c r="H678" s="28">
        <f>SUM(H679:H681)</f>
        <v>0</v>
      </c>
      <c r="I678" s="28">
        <f>SUM(I679:I681)</f>
        <v>0</v>
      </c>
      <c r="J678" s="28">
        <f>H678+I678</f>
        <v>0</v>
      </c>
      <c r="K678" s="21"/>
      <c r="L678" s="28">
        <f>SUM(L679:L681)</f>
        <v>0.550095</v>
      </c>
      <c r="M678" s="21"/>
      <c r="P678" s="28">
        <f>IF(Q678="PR",J678,SUM(O679:O681))</f>
        <v>0</v>
      </c>
      <c r="Q678" s="21" t="s">
        <v>54</v>
      </c>
      <c r="R678" s="28">
        <f>IF(Q678="HS",H678,0)</f>
        <v>0</v>
      </c>
      <c r="S678" s="28">
        <f>IF(Q678="HS",I678-P678,0)</f>
        <v>0</v>
      </c>
      <c r="T678" s="28">
        <f>IF(Q678="PS",H678,0)</f>
        <v>0</v>
      </c>
      <c r="U678" s="28">
        <f>IF(Q678="PS",I678-P678,0)</f>
        <v>0</v>
      </c>
      <c r="V678" s="28">
        <f>IF(Q678="MP",H678,0)</f>
        <v>0</v>
      </c>
      <c r="W678" s="28">
        <f>IF(Q678="MP",I678-P678,0)</f>
        <v>0</v>
      </c>
      <c r="X678" s="28">
        <f>IF(Q678="OM",H678,0)</f>
        <v>0</v>
      </c>
      <c r="Y678" s="21" t="s">
        <v>488</v>
      </c>
      <c r="AI678" s="28">
        <f>SUM(Z679:Z681)</f>
        <v>0</v>
      </c>
      <c r="AJ678" s="28">
        <f>SUM(AA679:AA681)</f>
        <v>0</v>
      </c>
      <c r="AK678" s="28">
        <f>SUM(AB679:AB681)</f>
        <v>0</v>
      </c>
    </row>
    <row r="679" spans="1:43" x14ac:dyDescent="0.25">
      <c r="A679" s="29" t="s">
        <v>489</v>
      </c>
      <c r="B679" s="29" t="s">
        <v>488</v>
      </c>
      <c r="C679" s="29" t="s">
        <v>56</v>
      </c>
      <c r="D679" s="29" t="s">
        <v>57</v>
      </c>
      <c r="E679" s="29" t="s">
        <v>58</v>
      </c>
      <c r="F679" s="30">
        <v>44.22</v>
      </c>
      <c r="G679" s="317">
        <v>0</v>
      </c>
      <c r="H679" s="30">
        <f>ROUND(F679*AE679,2)</f>
        <v>0</v>
      </c>
      <c r="I679" s="30">
        <f>J679-H679</f>
        <v>0</v>
      </c>
      <c r="J679" s="30">
        <f>ROUND(F679*G679,2)</f>
        <v>0</v>
      </c>
      <c r="K679" s="30">
        <v>1.001E-2</v>
      </c>
      <c r="L679" s="30">
        <f>F679*K679</f>
        <v>0.44264219999999999</v>
      </c>
      <c r="M679" s="31" t="s">
        <v>2292</v>
      </c>
      <c r="N679" s="31" t="s">
        <v>59</v>
      </c>
      <c r="O679" s="30">
        <f>IF(N679="5",I679,0)</f>
        <v>0</v>
      </c>
      <c r="Z679" s="30">
        <f>IF(AD679=0,J679,0)</f>
        <v>0</v>
      </c>
      <c r="AA679" s="30">
        <f>IF(AD679=15,J679,0)</f>
        <v>0</v>
      </c>
      <c r="AB679" s="30">
        <f>IF(AD679=21,J679,0)</f>
        <v>0</v>
      </c>
      <c r="AD679" s="32">
        <v>21</v>
      </c>
      <c r="AE679" s="32">
        <f>G679*0.0756575801052128</f>
        <v>0</v>
      </c>
      <c r="AF679" s="32">
        <f>G679*(1-0.0756575801052128)</f>
        <v>0</v>
      </c>
      <c r="AM679" s="32">
        <f>F679*AE679</f>
        <v>0</v>
      </c>
      <c r="AN679" s="32">
        <f>F679*AF679</f>
        <v>0</v>
      </c>
      <c r="AO679" s="33" t="s">
        <v>60</v>
      </c>
      <c r="AP679" s="33" t="s">
        <v>61</v>
      </c>
      <c r="AQ679" s="21" t="s">
        <v>490</v>
      </c>
    </row>
    <row r="680" spans="1:43" ht="25.7" customHeight="1" x14ac:dyDescent="0.25">
      <c r="C680" s="34" t="s">
        <v>63</v>
      </c>
      <c r="D680" s="340" t="s">
        <v>64</v>
      </c>
      <c r="E680" s="341"/>
      <c r="F680" s="341"/>
      <c r="G680" s="341"/>
      <c r="H680" s="341"/>
      <c r="I680" s="341"/>
      <c r="J680" s="341"/>
      <c r="K680" s="341"/>
      <c r="L680" s="341"/>
      <c r="M680" s="341"/>
    </row>
    <row r="681" spans="1:43" x14ac:dyDescent="0.25">
      <c r="A681" s="29" t="s">
        <v>491</v>
      </c>
      <c r="B681" s="29" t="s">
        <v>488</v>
      </c>
      <c r="C681" s="29" t="s">
        <v>66</v>
      </c>
      <c r="D681" s="29" t="s">
        <v>67</v>
      </c>
      <c r="E681" s="29" t="s">
        <v>58</v>
      </c>
      <c r="F681" s="30">
        <v>10.92</v>
      </c>
      <c r="G681" s="317">
        <v>0</v>
      </c>
      <c r="H681" s="30">
        <f>ROUND(F681*AE681,2)</f>
        <v>0</v>
      </c>
      <c r="I681" s="30">
        <f>J681-H681</f>
        <v>0</v>
      </c>
      <c r="J681" s="30">
        <f>ROUND(F681*G681,2)</f>
        <v>0</v>
      </c>
      <c r="K681" s="30">
        <v>9.8399999999999998E-3</v>
      </c>
      <c r="L681" s="30">
        <f>F681*K681</f>
        <v>0.1074528</v>
      </c>
      <c r="M681" s="31" t="s">
        <v>2292</v>
      </c>
      <c r="N681" s="31" t="s">
        <v>59</v>
      </c>
      <c r="O681" s="30">
        <f>IF(N681="5",I681,0)</f>
        <v>0</v>
      </c>
      <c r="Z681" s="30">
        <f>IF(AD681=0,J681,0)</f>
        <v>0</v>
      </c>
      <c r="AA681" s="30">
        <f>IF(AD681=15,J681,0)</f>
        <v>0</v>
      </c>
      <c r="AB681" s="30">
        <f>IF(AD681=21,J681,0)</f>
        <v>0</v>
      </c>
      <c r="AD681" s="32">
        <v>21</v>
      </c>
      <c r="AE681" s="32">
        <f>G681*0.160304682766381</f>
        <v>0</v>
      </c>
      <c r="AF681" s="32">
        <f>G681*(1-0.160304682766381)</f>
        <v>0</v>
      </c>
      <c r="AM681" s="32">
        <f>F681*AE681</f>
        <v>0</v>
      </c>
      <c r="AN681" s="32">
        <f>F681*AF681</f>
        <v>0</v>
      </c>
      <c r="AO681" s="33" t="s">
        <v>60</v>
      </c>
      <c r="AP681" s="33" t="s">
        <v>61</v>
      </c>
      <c r="AQ681" s="21" t="s">
        <v>490</v>
      </c>
    </row>
    <row r="682" spans="1:43" ht="25.7" customHeight="1" x14ac:dyDescent="0.25">
      <c r="C682" s="34" t="s">
        <v>63</v>
      </c>
      <c r="D682" s="340" t="s">
        <v>64</v>
      </c>
      <c r="E682" s="341"/>
      <c r="F682" s="341"/>
      <c r="G682" s="341"/>
      <c r="H682" s="341"/>
      <c r="I682" s="341"/>
      <c r="J682" s="341"/>
      <c r="K682" s="341"/>
      <c r="L682" s="341"/>
      <c r="M682" s="341"/>
    </row>
    <row r="683" spans="1:43" x14ac:dyDescent="0.25">
      <c r="A683" s="26"/>
      <c r="B683" s="27" t="s">
        <v>488</v>
      </c>
      <c r="C683" s="27" t="s">
        <v>68</v>
      </c>
      <c r="D683" s="338" t="s">
        <v>69</v>
      </c>
      <c r="E683" s="339"/>
      <c r="F683" s="339"/>
      <c r="G683" s="339"/>
      <c r="H683" s="28">
        <f>SUM(H684:H684)</f>
        <v>0</v>
      </c>
      <c r="I683" s="28">
        <f>SUM(I684:I684)</f>
        <v>0</v>
      </c>
      <c r="J683" s="28">
        <f>H683+I683</f>
        <v>0</v>
      </c>
      <c r="K683" s="21"/>
      <c r="L683" s="28">
        <f>SUM(L684:L684)</f>
        <v>0.54425279999999998</v>
      </c>
      <c r="M683" s="21"/>
      <c r="P683" s="28">
        <f>IF(Q683="PR",J683,SUM(O684:O684))</f>
        <v>0</v>
      </c>
      <c r="Q683" s="21" t="s">
        <v>54</v>
      </c>
      <c r="R683" s="28">
        <f>IF(Q683="HS",H683,0)</f>
        <v>0</v>
      </c>
      <c r="S683" s="28">
        <f>IF(Q683="HS",I683-P683,0)</f>
        <v>0</v>
      </c>
      <c r="T683" s="28">
        <f>IF(Q683="PS",H683,0)</f>
        <v>0</v>
      </c>
      <c r="U683" s="28">
        <f>IF(Q683="PS",I683-P683,0)</f>
        <v>0</v>
      </c>
      <c r="V683" s="28">
        <f>IF(Q683="MP",H683,0)</f>
        <v>0</v>
      </c>
      <c r="W683" s="28">
        <f>IF(Q683="MP",I683-P683,0)</f>
        <v>0</v>
      </c>
      <c r="X683" s="28">
        <f>IF(Q683="OM",H683,0)</f>
        <v>0</v>
      </c>
      <c r="Y683" s="21" t="s">
        <v>488</v>
      </c>
      <c r="AI683" s="28">
        <f>SUM(Z684:Z684)</f>
        <v>0</v>
      </c>
      <c r="AJ683" s="28">
        <f>SUM(AA684:AA684)</f>
        <v>0</v>
      </c>
      <c r="AK683" s="28">
        <f>SUM(AB684:AB684)</f>
        <v>0</v>
      </c>
    </row>
    <row r="684" spans="1:43" x14ac:dyDescent="0.25">
      <c r="A684" s="29" t="s">
        <v>492</v>
      </c>
      <c r="B684" s="29" t="s">
        <v>488</v>
      </c>
      <c r="C684" s="29" t="s">
        <v>70</v>
      </c>
      <c r="D684" s="29" t="s">
        <v>71</v>
      </c>
      <c r="E684" s="29" t="s">
        <v>58</v>
      </c>
      <c r="F684" s="30">
        <v>10.92</v>
      </c>
      <c r="G684" s="317">
        <v>0</v>
      </c>
      <c r="H684" s="30">
        <f>ROUND(F684*AE684,2)</f>
        <v>0</v>
      </c>
      <c r="I684" s="30">
        <f>J684-H684</f>
        <v>0</v>
      </c>
      <c r="J684" s="30">
        <f>ROUND(F684*G684,2)</f>
        <v>0</v>
      </c>
      <c r="K684" s="30">
        <v>4.9840000000000002E-2</v>
      </c>
      <c r="L684" s="30">
        <f>F684*K684</f>
        <v>0.54425279999999998</v>
      </c>
      <c r="M684" s="31" t="s">
        <v>2292</v>
      </c>
      <c r="N684" s="31" t="s">
        <v>59</v>
      </c>
      <c r="O684" s="30">
        <f>IF(N684="5",I684,0)</f>
        <v>0</v>
      </c>
      <c r="Z684" s="30">
        <f>IF(AD684=0,J684,0)</f>
        <v>0</v>
      </c>
      <c r="AA684" s="30">
        <f>IF(AD684=15,J684,0)</f>
        <v>0</v>
      </c>
      <c r="AB684" s="30">
        <f>IF(AD684=21,J684,0)</f>
        <v>0</v>
      </c>
      <c r="AD684" s="32">
        <v>21</v>
      </c>
      <c r="AE684" s="32">
        <f>G684*0.411768721414431</f>
        <v>0</v>
      </c>
      <c r="AF684" s="32">
        <f>G684*(1-0.411768721414431)</f>
        <v>0</v>
      </c>
      <c r="AM684" s="32">
        <f>F684*AE684</f>
        <v>0</v>
      </c>
      <c r="AN684" s="32">
        <f>F684*AF684</f>
        <v>0</v>
      </c>
      <c r="AO684" s="33" t="s">
        <v>72</v>
      </c>
      <c r="AP684" s="33" t="s">
        <v>61</v>
      </c>
      <c r="AQ684" s="21" t="s">
        <v>490</v>
      </c>
    </row>
    <row r="685" spans="1:43" x14ac:dyDescent="0.25">
      <c r="A685" s="26"/>
      <c r="B685" s="27" t="s">
        <v>488</v>
      </c>
      <c r="C685" s="27" t="s">
        <v>73</v>
      </c>
      <c r="D685" s="338" t="s">
        <v>74</v>
      </c>
      <c r="E685" s="339"/>
      <c r="F685" s="339"/>
      <c r="G685" s="339"/>
      <c r="H685" s="28">
        <f>SUM(H686:H686)</f>
        <v>0</v>
      </c>
      <c r="I685" s="28">
        <f>SUM(I686:I686)</f>
        <v>0</v>
      </c>
      <c r="J685" s="28">
        <f>H685+I685</f>
        <v>0</v>
      </c>
      <c r="K685" s="21"/>
      <c r="L685" s="28">
        <f>SUM(L686:L686)</f>
        <v>0.175812</v>
      </c>
      <c r="M685" s="21"/>
      <c r="P685" s="28">
        <f>IF(Q685="PR",J685,SUM(O686:O686))</f>
        <v>0</v>
      </c>
      <c r="Q685" s="21" t="s">
        <v>75</v>
      </c>
      <c r="R685" s="28">
        <f>IF(Q685="HS",H685,0)</f>
        <v>0</v>
      </c>
      <c r="S685" s="28">
        <f>IF(Q685="HS",I685-P685,0)</f>
        <v>0</v>
      </c>
      <c r="T685" s="28">
        <f>IF(Q685="PS",H685,0)</f>
        <v>0</v>
      </c>
      <c r="U685" s="28">
        <f>IF(Q685="PS",I685-P685,0)</f>
        <v>0</v>
      </c>
      <c r="V685" s="28">
        <f>IF(Q685="MP",H685,0)</f>
        <v>0</v>
      </c>
      <c r="W685" s="28">
        <f>IF(Q685="MP",I685-P685,0)</f>
        <v>0</v>
      </c>
      <c r="X685" s="28">
        <f>IF(Q685="OM",H685,0)</f>
        <v>0</v>
      </c>
      <c r="Y685" s="21" t="s">
        <v>488</v>
      </c>
      <c r="AI685" s="28">
        <f>SUM(Z686:Z686)</f>
        <v>0</v>
      </c>
      <c r="AJ685" s="28">
        <f>SUM(AA686:AA686)</f>
        <v>0</v>
      </c>
      <c r="AK685" s="28">
        <f>SUM(AB686:AB686)</f>
        <v>0</v>
      </c>
    </row>
    <row r="686" spans="1:43" x14ac:dyDescent="0.25">
      <c r="A686" s="29" t="s">
        <v>493</v>
      </c>
      <c r="B686" s="29" t="s">
        <v>488</v>
      </c>
      <c r="C686" s="29" t="s">
        <v>77</v>
      </c>
      <c r="D686" s="29" t="s">
        <v>2278</v>
      </c>
      <c r="E686" s="29" t="s">
        <v>58</v>
      </c>
      <c r="F686" s="30">
        <v>10.92</v>
      </c>
      <c r="G686" s="317">
        <v>0</v>
      </c>
      <c r="H686" s="30">
        <f>ROUND(F686*AE686,2)</f>
        <v>0</v>
      </c>
      <c r="I686" s="30">
        <f>J686-H686</f>
        <v>0</v>
      </c>
      <c r="J686" s="30">
        <f>ROUND(F686*G686,2)</f>
        <v>0</v>
      </c>
      <c r="K686" s="30">
        <v>1.61E-2</v>
      </c>
      <c r="L686" s="30">
        <f>F686*K686</f>
        <v>0.175812</v>
      </c>
      <c r="M686" s="31" t="s">
        <v>2292</v>
      </c>
      <c r="N686" s="31" t="s">
        <v>59</v>
      </c>
      <c r="O686" s="30">
        <f>IF(N686="5",I686,0)</f>
        <v>0</v>
      </c>
      <c r="Z686" s="30">
        <f>IF(AD686=0,J686,0)</f>
        <v>0</v>
      </c>
      <c r="AA686" s="30">
        <f>IF(AD686=15,J686,0)</f>
        <v>0</v>
      </c>
      <c r="AB686" s="30">
        <f>IF(AD686=21,J686,0)</f>
        <v>0</v>
      </c>
      <c r="AD686" s="32">
        <v>21</v>
      </c>
      <c r="AE686" s="32">
        <f>G686*0.787221324717286</f>
        <v>0</v>
      </c>
      <c r="AF686" s="32">
        <f>G686*(1-0.787221324717286)</f>
        <v>0</v>
      </c>
      <c r="AM686" s="32">
        <f>F686*AE686</f>
        <v>0</v>
      </c>
      <c r="AN686" s="32">
        <f>F686*AF686</f>
        <v>0</v>
      </c>
      <c r="AO686" s="33" t="s">
        <v>78</v>
      </c>
      <c r="AP686" s="33" t="s">
        <v>79</v>
      </c>
      <c r="AQ686" s="21" t="s">
        <v>490</v>
      </c>
    </row>
    <row r="687" spans="1:43" x14ac:dyDescent="0.25">
      <c r="C687" s="34" t="s">
        <v>63</v>
      </c>
      <c r="D687" s="340" t="s">
        <v>2280</v>
      </c>
      <c r="E687" s="341"/>
      <c r="F687" s="341"/>
      <c r="G687" s="341"/>
      <c r="H687" s="341"/>
      <c r="I687" s="341"/>
      <c r="J687" s="341"/>
      <c r="K687" s="341"/>
      <c r="L687" s="341"/>
      <c r="M687" s="341"/>
    </row>
    <row r="688" spans="1:43" x14ac:dyDescent="0.25">
      <c r="A688" s="26"/>
      <c r="B688" s="27" t="s">
        <v>488</v>
      </c>
      <c r="C688" s="27" t="s">
        <v>80</v>
      </c>
      <c r="D688" s="338" t="s">
        <v>81</v>
      </c>
      <c r="E688" s="339"/>
      <c r="F688" s="339"/>
      <c r="G688" s="339"/>
      <c r="H688" s="28">
        <f>SUM(H689:H689)</f>
        <v>0</v>
      </c>
      <c r="I688" s="28">
        <f>SUM(I689:I689)</f>
        <v>0</v>
      </c>
      <c r="J688" s="28">
        <f>H688+I688</f>
        <v>0</v>
      </c>
      <c r="K688" s="21"/>
      <c r="L688" s="28">
        <f>SUM(L689:L689)</f>
        <v>4.4335200000000005E-2</v>
      </c>
      <c r="M688" s="21"/>
      <c r="P688" s="28">
        <f>IF(Q688="PR",J688,SUM(O689:O689))</f>
        <v>0</v>
      </c>
      <c r="Q688" s="21" t="s">
        <v>75</v>
      </c>
      <c r="R688" s="28">
        <f>IF(Q688="HS",H688,0)</f>
        <v>0</v>
      </c>
      <c r="S688" s="28">
        <f>IF(Q688="HS",I688-P688,0)</f>
        <v>0</v>
      </c>
      <c r="T688" s="28">
        <f>IF(Q688="PS",H688,0)</f>
        <v>0</v>
      </c>
      <c r="U688" s="28">
        <f>IF(Q688="PS",I688-P688,0)</f>
        <v>0</v>
      </c>
      <c r="V688" s="28">
        <f>IF(Q688="MP",H688,0)</f>
        <v>0</v>
      </c>
      <c r="W688" s="28">
        <f>IF(Q688="MP",I688-P688,0)</f>
        <v>0</v>
      </c>
      <c r="X688" s="28">
        <f>IF(Q688="OM",H688,0)</f>
        <v>0</v>
      </c>
      <c r="Y688" s="21" t="s">
        <v>488</v>
      </c>
      <c r="AI688" s="28">
        <f>SUM(Z689:Z689)</f>
        <v>0</v>
      </c>
      <c r="AJ688" s="28">
        <f>SUM(AA689:AA689)</f>
        <v>0</v>
      </c>
      <c r="AK688" s="28">
        <f>SUM(AB689:AB689)</f>
        <v>0</v>
      </c>
    </row>
    <row r="689" spans="1:43" x14ac:dyDescent="0.25">
      <c r="A689" s="29" t="s">
        <v>494</v>
      </c>
      <c r="B689" s="29" t="s">
        <v>488</v>
      </c>
      <c r="C689" s="29" t="s">
        <v>83</v>
      </c>
      <c r="D689" s="29" t="s">
        <v>84</v>
      </c>
      <c r="E689" s="29" t="s">
        <v>58</v>
      </c>
      <c r="F689" s="30">
        <v>10.92</v>
      </c>
      <c r="G689" s="317">
        <v>0</v>
      </c>
      <c r="H689" s="30">
        <f>ROUND(F689*AE689,2)</f>
        <v>0</v>
      </c>
      <c r="I689" s="30">
        <f>J689-H689</f>
        <v>0</v>
      </c>
      <c r="J689" s="30">
        <f>ROUND(F689*G689,2)</f>
        <v>0</v>
      </c>
      <c r="K689" s="30">
        <v>4.0600000000000002E-3</v>
      </c>
      <c r="L689" s="30">
        <f>F689*K689</f>
        <v>4.4335200000000005E-2</v>
      </c>
      <c r="M689" s="31" t="s">
        <v>2292</v>
      </c>
      <c r="N689" s="31" t="s">
        <v>59</v>
      </c>
      <c r="O689" s="30">
        <f>IF(N689="5",I689,0)</f>
        <v>0</v>
      </c>
      <c r="Z689" s="30">
        <f>IF(AD689=0,J689,0)</f>
        <v>0</v>
      </c>
      <c r="AA689" s="30">
        <f>IF(AD689=15,J689,0)</f>
        <v>0</v>
      </c>
      <c r="AB689" s="30">
        <f>IF(AD689=21,J689,0)</f>
        <v>0</v>
      </c>
      <c r="AD689" s="32">
        <v>21</v>
      </c>
      <c r="AE689" s="32">
        <f>G689*0.67230605738576</f>
        <v>0</v>
      </c>
      <c r="AF689" s="32">
        <f>G689*(1-0.67230605738576)</f>
        <v>0</v>
      </c>
      <c r="AM689" s="32">
        <f>F689*AE689</f>
        <v>0</v>
      </c>
      <c r="AN689" s="32">
        <f>F689*AF689</f>
        <v>0</v>
      </c>
      <c r="AO689" s="33" t="s">
        <v>85</v>
      </c>
      <c r="AP689" s="33" t="s">
        <v>79</v>
      </c>
      <c r="AQ689" s="21" t="s">
        <v>490</v>
      </c>
    </row>
    <row r="690" spans="1:43" x14ac:dyDescent="0.25">
      <c r="A690" s="26"/>
      <c r="B690" s="27" t="s">
        <v>488</v>
      </c>
      <c r="C690" s="27" t="s">
        <v>86</v>
      </c>
      <c r="D690" s="338" t="s">
        <v>87</v>
      </c>
      <c r="E690" s="339"/>
      <c r="F690" s="339"/>
      <c r="G690" s="339"/>
      <c r="H690" s="28">
        <f>SUM(H691:H691)</f>
        <v>0</v>
      </c>
      <c r="I690" s="28">
        <f>SUM(I691:I691)</f>
        <v>0</v>
      </c>
      <c r="J690" s="28">
        <f>H690+I690</f>
        <v>0</v>
      </c>
      <c r="K690" s="21"/>
      <c r="L690" s="28">
        <f>SUM(L691:L691)</f>
        <v>5.4000000000000001E-4</v>
      </c>
      <c r="M690" s="21"/>
      <c r="P690" s="28">
        <f>IF(Q690="PR",J690,SUM(O691:O691))</f>
        <v>0</v>
      </c>
      <c r="Q690" s="21" t="s">
        <v>75</v>
      </c>
      <c r="R690" s="28">
        <f>IF(Q690="HS",H690,0)</f>
        <v>0</v>
      </c>
      <c r="S690" s="28">
        <f>IF(Q690="HS",I690-P690,0)</f>
        <v>0</v>
      </c>
      <c r="T690" s="28">
        <f>IF(Q690="PS",H690,0)</f>
        <v>0</v>
      </c>
      <c r="U690" s="28">
        <f>IF(Q690="PS",I690-P690,0)</f>
        <v>0</v>
      </c>
      <c r="V690" s="28">
        <f>IF(Q690="MP",H690,0)</f>
        <v>0</v>
      </c>
      <c r="W690" s="28">
        <f>IF(Q690="MP",I690-P690,0)</f>
        <v>0</v>
      </c>
      <c r="X690" s="28">
        <f>IF(Q690="OM",H690,0)</f>
        <v>0</v>
      </c>
      <c r="Y690" s="21" t="s">
        <v>488</v>
      </c>
      <c r="AI690" s="28">
        <f>SUM(Z691:Z691)</f>
        <v>0</v>
      </c>
      <c r="AJ690" s="28">
        <f>SUM(AA691:AA691)</f>
        <v>0</v>
      </c>
      <c r="AK690" s="28">
        <f>SUM(AB691:AB691)</f>
        <v>0</v>
      </c>
    </row>
    <row r="691" spans="1:43" x14ac:dyDescent="0.25">
      <c r="A691" s="29" t="s">
        <v>495</v>
      </c>
      <c r="B691" s="29" t="s">
        <v>488</v>
      </c>
      <c r="C691" s="29" t="s">
        <v>89</v>
      </c>
      <c r="D691" s="29" t="s">
        <v>90</v>
      </c>
      <c r="E691" s="29" t="s">
        <v>58</v>
      </c>
      <c r="F691" s="30">
        <v>2</v>
      </c>
      <c r="G691" s="317">
        <v>0</v>
      </c>
      <c r="H691" s="30">
        <f>ROUND(F691*AE691,2)</f>
        <v>0</v>
      </c>
      <c r="I691" s="30">
        <f>J691-H691</f>
        <v>0</v>
      </c>
      <c r="J691" s="30">
        <f>ROUND(F691*G691,2)</f>
        <v>0</v>
      </c>
      <c r="K691" s="30">
        <v>2.7E-4</v>
      </c>
      <c r="L691" s="30">
        <f>F691*K691</f>
        <v>5.4000000000000001E-4</v>
      </c>
      <c r="M691" s="31" t="s">
        <v>2292</v>
      </c>
      <c r="N691" s="31" t="s">
        <v>59</v>
      </c>
      <c r="O691" s="30">
        <f>IF(N691="5",I691,0)</f>
        <v>0</v>
      </c>
      <c r="Z691" s="30">
        <f>IF(AD691=0,J691,0)</f>
        <v>0</v>
      </c>
      <c r="AA691" s="30">
        <f>IF(AD691=15,J691,0)</f>
        <v>0</v>
      </c>
      <c r="AB691" s="30">
        <f>IF(AD691=21,J691,0)</f>
        <v>0</v>
      </c>
      <c r="AD691" s="32">
        <v>21</v>
      </c>
      <c r="AE691" s="32">
        <f>G691*0.186098187625859</f>
        <v>0</v>
      </c>
      <c r="AF691" s="32">
        <f>G691*(1-0.186098187625859)</f>
        <v>0</v>
      </c>
      <c r="AM691" s="32">
        <f>F691*AE691</f>
        <v>0</v>
      </c>
      <c r="AN691" s="32">
        <f>F691*AF691</f>
        <v>0</v>
      </c>
      <c r="AO691" s="33" t="s">
        <v>91</v>
      </c>
      <c r="AP691" s="33" t="s">
        <v>92</v>
      </c>
      <c r="AQ691" s="21" t="s">
        <v>490</v>
      </c>
    </row>
    <row r="692" spans="1:43" x14ac:dyDescent="0.25">
      <c r="A692" s="26"/>
      <c r="B692" s="27" t="s">
        <v>488</v>
      </c>
      <c r="C692" s="27" t="s">
        <v>93</v>
      </c>
      <c r="D692" s="338" t="s">
        <v>94</v>
      </c>
      <c r="E692" s="339"/>
      <c r="F692" s="339"/>
      <c r="G692" s="339"/>
      <c r="H692" s="28">
        <f>SUM(H693:H693)</f>
        <v>0</v>
      </c>
      <c r="I692" s="28">
        <f>SUM(I693:I693)</f>
        <v>0</v>
      </c>
      <c r="J692" s="28">
        <f>H692+I692</f>
        <v>0</v>
      </c>
      <c r="K692" s="21"/>
      <c r="L692" s="28">
        <f>SUM(L693:L693)</f>
        <v>3.5840999999999998E-2</v>
      </c>
      <c r="M692" s="21"/>
      <c r="P692" s="28">
        <f>IF(Q692="PR",J692,SUM(O693:O693))</f>
        <v>0</v>
      </c>
      <c r="Q692" s="21" t="s">
        <v>75</v>
      </c>
      <c r="R692" s="28">
        <f>IF(Q692="HS",H692,0)</f>
        <v>0</v>
      </c>
      <c r="S692" s="28">
        <f>IF(Q692="HS",I692-P692,0)</f>
        <v>0</v>
      </c>
      <c r="T692" s="28">
        <f>IF(Q692="PS",H692,0)</f>
        <v>0</v>
      </c>
      <c r="U692" s="28">
        <f>IF(Q692="PS",I692-P692,0)</f>
        <v>0</v>
      </c>
      <c r="V692" s="28">
        <f>IF(Q692="MP",H692,0)</f>
        <v>0</v>
      </c>
      <c r="W692" s="28">
        <f>IF(Q692="MP",I692-P692,0)</f>
        <v>0</v>
      </c>
      <c r="X692" s="28">
        <f>IF(Q692="OM",H692,0)</f>
        <v>0</v>
      </c>
      <c r="Y692" s="21" t="s">
        <v>488</v>
      </c>
      <c r="AI692" s="28">
        <f>SUM(Z693:Z693)</f>
        <v>0</v>
      </c>
      <c r="AJ692" s="28">
        <f>SUM(AA693:AA693)</f>
        <v>0</v>
      </c>
      <c r="AK692" s="28">
        <f>SUM(AB693:AB693)</f>
        <v>0</v>
      </c>
    </row>
    <row r="693" spans="1:43" x14ac:dyDescent="0.25">
      <c r="A693" s="29" t="s">
        <v>496</v>
      </c>
      <c r="B693" s="29" t="s">
        <v>488</v>
      </c>
      <c r="C693" s="29" t="s">
        <v>96</v>
      </c>
      <c r="D693" s="29" t="s">
        <v>97</v>
      </c>
      <c r="E693" s="29" t="s">
        <v>58</v>
      </c>
      <c r="F693" s="30">
        <v>55.14</v>
      </c>
      <c r="G693" s="317">
        <v>0</v>
      </c>
      <c r="H693" s="30">
        <f>ROUND(F693*AE693,2)</f>
        <v>0</v>
      </c>
      <c r="I693" s="30">
        <f>J693-H693</f>
        <v>0</v>
      </c>
      <c r="J693" s="30">
        <f>ROUND(F693*G693,2)</f>
        <v>0</v>
      </c>
      <c r="K693" s="30">
        <v>6.4999999999999997E-4</v>
      </c>
      <c r="L693" s="30">
        <f>F693*K693</f>
        <v>3.5840999999999998E-2</v>
      </c>
      <c r="M693" s="31" t="s">
        <v>2292</v>
      </c>
      <c r="N693" s="31" t="s">
        <v>59</v>
      </c>
      <c r="O693" s="30">
        <f>IF(N693="5",I693,0)</f>
        <v>0</v>
      </c>
      <c r="Z693" s="30">
        <f>IF(AD693=0,J693,0)</f>
        <v>0</v>
      </c>
      <c r="AA693" s="30">
        <f>IF(AD693=15,J693,0)</f>
        <v>0</v>
      </c>
      <c r="AB693" s="30">
        <f>IF(AD693=21,J693,0)</f>
        <v>0</v>
      </c>
      <c r="AD693" s="32">
        <v>21</v>
      </c>
      <c r="AE693" s="32">
        <f>G693*0.333747476316198</f>
        <v>0</v>
      </c>
      <c r="AF693" s="32">
        <f>G693*(1-0.333747476316198)</f>
        <v>0</v>
      </c>
      <c r="AM693" s="32">
        <f>F693*AE693</f>
        <v>0</v>
      </c>
      <c r="AN693" s="32">
        <f>F693*AF693</f>
        <v>0</v>
      </c>
      <c r="AO693" s="33" t="s">
        <v>98</v>
      </c>
      <c r="AP693" s="33" t="s">
        <v>92</v>
      </c>
      <c r="AQ693" s="21" t="s">
        <v>490</v>
      </c>
    </row>
    <row r="694" spans="1:43" x14ac:dyDescent="0.25">
      <c r="A694" s="26"/>
      <c r="B694" s="27" t="s">
        <v>488</v>
      </c>
      <c r="C694" s="27" t="s">
        <v>99</v>
      </c>
      <c r="D694" s="338" t="s">
        <v>100</v>
      </c>
      <c r="E694" s="339"/>
      <c r="F694" s="339"/>
      <c r="G694" s="339"/>
      <c r="H694" s="28">
        <f>SUM(H695:H695)</f>
        <v>0</v>
      </c>
      <c r="I694" s="28">
        <f>SUM(I695:I695)</f>
        <v>0</v>
      </c>
      <c r="J694" s="28">
        <f>H694+I694</f>
        <v>0</v>
      </c>
      <c r="K694" s="21"/>
      <c r="L694" s="28">
        <f>SUM(L695:L695)</f>
        <v>0</v>
      </c>
      <c r="M694" s="21"/>
      <c r="P694" s="28">
        <f>IF(Q694="PR",J694,SUM(O695:O695))</f>
        <v>0</v>
      </c>
      <c r="Q694" s="21" t="s">
        <v>54</v>
      </c>
      <c r="R694" s="28">
        <f>IF(Q694="HS",H694,0)</f>
        <v>0</v>
      </c>
      <c r="S694" s="28">
        <f>IF(Q694="HS",I694-P694,0)</f>
        <v>0</v>
      </c>
      <c r="T694" s="28">
        <f>IF(Q694="PS",H694,0)</f>
        <v>0</v>
      </c>
      <c r="U694" s="28">
        <f>IF(Q694="PS",I694-P694,0)</f>
        <v>0</v>
      </c>
      <c r="V694" s="28">
        <f>IF(Q694="MP",H694,0)</f>
        <v>0</v>
      </c>
      <c r="W694" s="28">
        <f>IF(Q694="MP",I694-P694,0)</f>
        <v>0</v>
      </c>
      <c r="X694" s="28">
        <f>IF(Q694="OM",H694,0)</f>
        <v>0</v>
      </c>
      <c r="Y694" s="21" t="s">
        <v>488</v>
      </c>
      <c r="AI694" s="28">
        <f>SUM(Z695:Z695)</f>
        <v>0</v>
      </c>
      <c r="AJ694" s="28">
        <f>SUM(AA695:AA695)</f>
        <v>0</v>
      </c>
      <c r="AK694" s="28">
        <f>SUM(AB695:AB695)</f>
        <v>0</v>
      </c>
    </row>
    <row r="695" spans="1:43" x14ac:dyDescent="0.25">
      <c r="A695" s="29" t="s">
        <v>497</v>
      </c>
      <c r="B695" s="29" t="s">
        <v>488</v>
      </c>
      <c r="C695" s="29" t="s">
        <v>102</v>
      </c>
      <c r="D695" s="29" t="s">
        <v>103</v>
      </c>
      <c r="E695" s="29" t="s">
        <v>104</v>
      </c>
      <c r="F695" s="30">
        <v>2.4</v>
      </c>
      <c r="G695" s="317">
        <v>0</v>
      </c>
      <c r="H695" s="30">
        <f>ROUND(F695*AE695,2)</f>
        <v>0</v>
      </c>
      <c r="I695" s="30">
        <f>J695-H695</f>
        <v>0</v>
      </c>
      <c r="J695" s="30">
        <f>ROUND(F695*G695,2)</f>
        <v>0</v>
      </c>
      <c r="K695" s="30">
        <v>0</v>
      </c>
      <c r="L695" s="30">
        <f>F695*K695</f>
        <v>0</v>
      </c>
      <c r="M695" s="31" t="s">
        <v>2292</v>
      </c>
      <c r="N695" s="31" t="s">
        <v>55</v>
      </c>
      <c r="O695" s="30">
        <f>IF(N695="5",I695,0)</f>
        <v>0</v>
      </c>
      <c r="Z695" s="30">
        <f>IF(AD695=0,J695,0)</f>
        <v>0</v>
      </c>
      <c r="AA695" s="30">
        <f>IF(AD695=15,J695,0)</f>
        <v>0</v>
      </c>
      <c r="AB695" s="30">
        <f>IF(AD695=21,J695,0)</f>
        <v>0</v>
      </c>
      <c r="AD695" s="32">
        <v>21</v>
      </c>
      <c r="AE695" s="32">
        <f>G695*0</f>
        <v>0</v>
      </c>
      <c r="AF695" s="32">
        <f>G695*(1-0)</f>
        <v>0</v>
      </c>
      <c r="AM695" s="32">
        <f>F695*AE695</f>
        <v>0</v>
      </c>
      <c r="AN695" s="32">
        <f>F695*AF695</f>
        <v>0</v>
      </c>
      <c r="AO695" s="33" t="s">
        <v>105</v>
      </c>
      <c r="AP695" s="33" t="s">
        <v>106</v>
      </c>
      <c r="AQ695" s="21" t="s">
        <v>490</v>
      </c>
    </row>
    <row r="696" spans="1:43" x14ac:dyDescent="0.25">
      <c r="C696" s="34" t="s">
        <v>63</v>
      </c>
      <c r="D696" s="340" t="s">
        <v>107</v>
      </c>
      <c r="E696" s="341"/>
      <c r="F696" s="341"/>
      <c r="G696" s="341"/>
      <c r="H696" s="341"/>
      <c r="I696" s="341"/>
      <c r="J696" s="341"/>
      <c r="K696" s="341"/>
      <c r="L696" s="341"/>
      <c r="M696" s="341"/>
    </row>
    <row r="697" spans="1:43" x14ac:dyDescent="0.25">
      <c r="A697" s="26"/>
      <c r="B697" s="27" t="s">
        <v>488</v>
      </c>
      <c r="C697" s="27" t="s">
        <v>108</v>
      </c>
      <c r="D697" s="338" t="s">
        <v>109</v>
      </c>
      <c r="E697" s="339"/>
      <c r="F697" s="339"/>
      <c r="G697" s="339"/>
      <c r="H697" s="28">
        <f>SUM(H698:H698)</f>
        <v>0</v>
      </c>
      <c r="I697" s="28">
        <f>SUM(I698:I698)</f>
        <v>0</v>
      </c>
      <c r="J697" s="28">
        <f>H697+I697</f>
        <v>0</v>
      </c>
      <c r="K697" s="21"/>
      <c r="L697" s="28">
        <f>SUM(L698:L698)</f>
        <v>0.19581999999999999</v>
      </c>
      <c r="M697" s="21"/>
      <c r="P697" s="28">
        <f>IF(Q697="PR",J697,SUM(O698:O698))</f>
        <v>0</v>
      </c>
      <c r="Q697" s="21" t="s">
        <v>54</v>
      </c>
      <c r="R697" s="28">
        <f>IF(Q697="HS",H697,0)</f>
        <v>0</v>
      </c>
      <c r="S697" s="28">
        <f>IF(Q697="HS",I697-P697,0)</f>
        <v>0</v>
      </c>
      <c r="T697" s="28">
        <f>IF(Q697="PS",H697,0)</f>
        <v>0</v>
      </c>
      <c r="U697" s="28">
        <f>IF(Q697="PS",I697-P697,0)</f>
        <v>0</v>
      </c>
      <c r="V697" s="28">
        <f>IF(Q697="MP",H697,0)</f>
        <v>0</v>
      </c>
      <c r="W697" s="28">
        <f>IF(Q697="MP",I697-P697,0)</f>
        <v>0</v>
      </c>
      <c r="X697" s="28">
        <f>IF(Q697="OM",H697,0)</f>
        <v>0</v>
      </c>
      <c r="Y697" s="21" t="s">
        <v>488</v>
      </c>
      <c r="AI697" s="28">
        <f>SUM(Z698:Z698)</f>
        <v>0</v>
      </c>
      <c r="AJ697" s="28">
        <f>SUM(AA698:AA698)</f>
        <v>0</v>
      </c>
      <c r="AK697" s="28">
        <f>SUM(AB698:AB698)</f>
        <v>0</v>
      </c>
    </row>
    <row r="698" spans="1:43" x14ac:dyDescent="0.25">
      <c r="A698" s="29" t="s">
        <v>498</v>
      </c>
      <c r="B698" s="29" t="s">
        <v>488</v>
      </c>
      <c r="C698" s="29" t="s">
        <v>111</v>
      </c>
      <c r="D698" s="29" t="s">
        <v>112</v>
      </c>
      <c r="E698" s="29" t="s">
        <v>113</v>
      </c>
      <c r="F698" s="30">
        <v>2</v>
      </c>
      <c r="G698" s="317">
        <v>0</v>
      </c>
      <c r="H698" s="30">
        <f>ROUND(F698*AE698,2)</f>
        <v>0</v>
      </c>
      <c r="I698" s="30">
        <f>J698-H698</f>
        <v>0</v>
      </c>
      <c r="J698" s="30">
        <f>ROUND(F698*G698,2)</f>
        <v>0</v>
      </c>
      <c r="K698" s="30">
        <v>9.7909999999999997E-2</v>
      </c>
      <c r="L698" s="30">
        <f>F698*K698</f>
        <v>0.19581999999999999</v>
      </c>
      <c r="M698" s="31" t="s">
        <v>2292</v>
      </c>
      <c r="N698" s="31" t="s">
        <v>55</v>
      </c>
      <c r="O698" s="30">
        <f>IF(N698="5",I698,0)</f>
        <v>0</v>
      </c>
      <c r="Z698" s="30">
        <f>IF(AD698=0,J698,0)</f>
        <v>0</v>
      </c>
      <c r="AA698" s="30">
        <f>IF(AD698=15,J698,0)</f>
        <v>0</v>
      </c>
      <c r="AB698" s="30">
        <f>IF(AD698=21,J698,0)</f>
        <v>0</v>
      </c>
      <c r="AD698" s="32">
        <v>21</v>
      </c>
      <c r="AE698" s="32">
        <f>G698*0.0762897526501767</f>
        <v>0</v>
      </c>
      <c r="AF698" s="32">
        <f>G698*(1-0.0762897526501767)</f>
        <v>0</v>
      </c>
      <c r="AM698" s="32">
        <f>F698*AE698</f>
        <v>0</v>
      </c>
      <c r="AN698" s="32">
        <f>F698*AF698</f>
        <v>0</v>
      </c>
      <c r="AO698" s="33" t="s">
        <v>114</v>
      </c>
      <c r="AP698" s="33" t="s">
        <v>106</v>
      </c>
      <c r="AQ698" s="21" t="s">
        <v>490</v>
      </c>
    </row>
    <row r="699" spans="1:43" x14ac:dyDescent="0.25">
      <c r="C699" s="34" t="s">
        <v>63</v>
      </c>
      <c r="D699" s="340" t="s">
        <v>107</v>
      </c>
      <c r="E699" s="341"/>
      <c r="F699" s="341"/>
      <c r="G699" s="341"/>
      <c r="H699" s="341"/>
      <c r="I699" s="341"/>
      <c r="J699" s="341"/>
      <c r="K699" s="341"/>
      <c r="L699" s="341"/>
      <c r="M699" s="341"/>
    </row>
    <row r="700" spans="1:43" x14ac:dyDescent="0.25">
      <c r="A700" s="26"/>
      <c r="B700" s="27" t="s">
        <v>499</v>
      </c>
      <c r="C700" s="27"/>
      <c r="D700" s="338" t="s">
        <v>499</v>
      </c>
      <c r="E700" s="339"/>
      <c r="F700" s="339"/>
      <c r="G700" s="339"/>
      <c r="H700" s="28">
        <f>H701+H706+H708+H712+H716+H718</f>
        <v>0</v>
      </c>
      <c r="I700" s="28">
        <f>I701+I706+I708+I712+I716+I718</f>
        <v>0</v>
      </c>
      <c r="J700" s="28">
        <f>H700+I700</f>
        <v>0</v>
      </c>
      <c r="K700" s="21"/>
      <c r="L700" s="28">
        <f>L701+L706+L708+L712+L716+L718</f>
        <v>10.213703799999999</v>
      </c>
      <c r="M700" s="21"/>
    </row>
    <row r="701" spans="1:43" x14ac:dyDescent="0.25">
      <c r="A701" s="26"/>
      <c r="B701" s="27" t="s">
        <v>499</v>
      </c>
      <c r="C701" s="27" t="s">
        <v>52</v>
      </c>
      <c r="D701" s="338" t="s">
        <v>53</v>
      </c>
      <c r="E701" s="339"/>
      <c r="F701" s="339"/>
      <c r="G701" s="339"/>
      <c r="H701" s="28">
        <f>SUM(H702:H704)</f>
        <v>0</v>
      </c>
      <c r="I701" s="28">
        <f>SUM(I702:I704)</f>
        <v>0</v>
      </c>
      <c r="J701" s="28">
        <f>H701+I701</f>
        <v>0</v>
      </c>
      <c r="K701" s="21"/>
      <c r="L701" s="28">
        <f>SUM(L702:L704)</f>
        <v>1.0825635</v>
      </c>
      <c r="M701" s="21"/>
      <c r="P701" s="28">
        <f>IF(Q701="PR",J701,SUM(O702:O704))</f>
        <v>0</v>
      </c>
      <c r="Q701" s="21" t="s">
        <v>54</v>
      </c>
      <c r="R701" s="28">
        <f>IF(Q701="HS",H701,0)</f>
        <v>0</v>
      </c>
      <c r="S701" s="28">
        <f>IF(Q701="HS",I701-P701,0)</f>
        <v>0</v>
      </c>
      <c r="T701" s="28">
        <f>IF(Q701="PS",H701,0)</f>
        <v>0</v>
      </c>
      <c r="U701" s="28">
        <f>IF(Q701="PS",I701-P701,0)</f>
        <v>0</v>
      </c>
      <c r="V701" s="28">
        <f>IF(Q701="MP",H701,0)</f>
        <v>0</v>
      </c>
      <c r="W701" s="28">
        <f>IF(Q701="MP",I701-P701,0)</f>
        <v>0</v>
      </c>
      <c r="X701" s="28">
        <f>IF(Q701="OM",H701,0)</f>
        <v>0</v>
      </c>
      <c r="Y701" s="21" t="s">
        <v>499</v>
      </c>
      <c r="AI701" s="28">
        <f>SUM(Z702:Z704)</f>
        <v>0</v>
      </c>
      <c r="AJ701" s="28">
        <f>SUM(AA702:AA704)</f>
        <v>0</v>
      </c>
      <c r="AK701" s="28">
        <f>SUM(AB702:AB704)</f>
        <v>0</v>
      </c>
    </row>
    <row r="702" spans="1:43" x14ac:dyDescent="0.25">
      <c r="A702" s="29" t="s">
        <v>500</v>
      </c>
      <c r="B702" s="29" t="s">
        <v>499</v>
      </c>
      <c r="C702" s="29" t="s">
        <v>56</v>
      </c>
      <c r="D702" s="29" t="s">
        <v>57</v>
      </c>
      <c r="E702" s="29" t="s">
        <v>58</v>
      </c>
      <c r="F702" s="30">
        <v>85.47</v>
      </c>
      <c r="G702" s="317">
        <v>0</v>
      </c>
      <c r="H702" s="30">
        <f>ROUND(F702*AE702,2)</f>
        <v>0</v>
      </c>
      <c r="I702" s="30">
        <f>J702-H702</f>
        <v>0</v>
      </c>
      <c r="J702" s="30">
        <f>ROUND(F702*G702,2)</f>
        <v>0</v>
      </c>
      <c r="K702" s="30">
        <v>1.001E-2</v>
      </c>
      <c r="L702" s="30">
        <f>F702*K702</f>
        <v>0.8555547</v>
      </c>
      <c r="M702" s="31" t="s">
        <v>2292</v>
      </c>
      <c r="N702" s="31" t="s">
        <v>59</v>
      </c>
      <c r="O702" s="30">
        <f>IF(N702="5",I702,0)</f>
        <v>0</v>
      </c>
      <c r="Z702" s="30">
        <f>IF(AD702=0,J702,0)</f>
        <v>0</v>
      </c>
      <c r="AA702" s="30">
        <f>IF(AD702=15,J702,0)</f>
        <v>0</v>
      </c>
      <c r="AB702" s="30">
        <f>IF(AD702=21,J702,0)</f>
        <v>0</v>
      </c>
      <c r="AD702" s="32">
        <v>21</v>
      </c>
      <c r="AE702" s="32">
        <f>G702*0.0756575801052128</f>
        <v>0</v>
      </c>
      <c r="AF702" s="32">
        <f>G702*(1-0.0756575801052128)</f>
        <v>0</v>
      </c>
      <c r="AM702" s="32">
        <f>F702*AE702</f>
        <v>0</v>
      </c>
      <c r="AN702" s="32">
        <f>F702*AF702</f>
        <v>0</v>
      </c>
      <c r="AO702" s="33" t="s">
        <v>60</v>
      </c>
      <c r="AP702" s="33" t="s">
        <v>61</v>
      </c>
      <c r="AQ702" s="21" t="s">
        <v>501</v>
      </c>
    </row>
    <row r="703" spans="1:43" ht="25.7" customHeight="1" x14ac:dyDescent="0.25">
      <c r="C703" s="34" t="s">
        <v>63</v>
      </c>
      <c r="D703" s="340" t="s">
        <v>64</v>
      </c>
      <c r="E703" s="341"/>
      <c r="F703" s="341"/>
      <c r="G703" s="341"/>
      <c r="H703" s="341"/>
      <c r="I703" s="341"/>
      <c r="J703" s="341"/>
      <c r="K703" s="341"/>
      <c r="L703" s="341"/>
      <c r="M703" s="341"/>
    </row>
    <row r="704" spans="1:43" x14ac:dyDescent="0.25">
      <c r="A704" s="29" t="s">
        <v>502</v>
      </c>
      <c r="B704" s="29" t="s">
        <v>499</v>
      </c>
      <c r="C704" s="29" t="s">
        <v>66</v>
      </c>
      <c r="D704" s="29" t="s">
        <v>67</v>
      </c>
      <c r="E704" s="29" t="s">
        <v>58</v>
      </c>
      <c r="F704" s="30">
        <v>23.07</v>
      </c>
      <c r="G704" s="317">
        <v>0</v>
      </c>
      <c r="H704" s="30">
        <f>ROUND(F704*AE704,2)</f>
        <v>0</v>
      </c>
      <c r="I704" s="30">
        <f>J704-H704</f>
        <v>0</v>
      </c>
      <c r="J704" s="30">
        <f>ROUND(F704*G704,2)</f>
        <v>0</v>
      </c>
      <c r="K704" s="30">
        <v>9.8399999999999998E-3</v>
      </c>
      <c r="L704" s="30">
        <f>F704*K704</f>
        <v>0.22700880000000001</v>
      </c>
      <c r="M704" s="31" t="s">
        <v>2292</v>
      </c>
      <c r="N704" s="31" t="s">
        <v>59</v>
      </c>
      <c r="O704" s="30">
        <f>IF(N704="5",I704,0)</f>
        <v>0</v>
      </c>
      <c r="Z704" s="30">
        <f>IF(AD704=0,J704,0)</f>
        <v>0</v>
      </c>
      <c r="AA704" s="30">
        <f>IF(AD704=15,J704,0)</f>
        <v>0</v>
      </c>
      <c r="AB704" s="30">
        <f>IF(AD704=21,J704,0)</f>
        <v>0</v>
      </c>
      <c r="AD704" s="32">
        <v>21</v>
      </c>
      <c r="AE704" s="32">
        <f>G704*0.160304682766381</f>
        <v>0</v>
      </c>
      <c r="AF704" s="32">
        <f>G704*(1-0.160304682766381)</f>
        <v>0</v>
      </c>
      <c r="AM704" s="32">
        <f>F704*AE704</f>
        <v>0</v>
      </c>
      <c r="AN704" s="32">
        <f>F704*AF704</f>
        <v>0</v>
      </c>
      <c r="AO704" s="33" t="s">
        <v>60</v>
      </c>
      <c r="AP704" s="33" t="s">
        <v>61</v>
      </c>
      <c r="AQ704" s="21" t="s">
        <v>501</v>
      </c>
    </row>
    <row r="705" spans="1:43" ht="25.7" customHeight="1" x14ac:dyDescent="0.25">
      <c r="C705" s="34" t="s">
        <v>63</v>
      </c>
      <c r="D705" s="340" t="s">
        <v>64</v>
      </c>
      <c r="E705" s="341"/>
      <c r="F705" s="341"/>
      <c r="G705" s="341"/>
      <c r="H705" s="341"/>
      <c r="I705" s="341"/>
      <c r="J705" s="341"/>
      <c r="K705" s="341"/>
      <c r="L705" s="341"/>
      <c r="M705" s="341"/>
    </row>
    <row r="706" spans="1:43" x14ac:dyDescent="0.25">
      <c r="A706" s="26"/>
      <c r="B706" s="27" t="s">
        <v>499</v>
      </c>
      <c r="C706" s="27" t="s">
        <v>68</v>
      </c>
      <c r="D706" s="338" t="s">
        <v>69</v>
      </c>
      <c r="E706" s="339"/>
      <c r="F706" s="339"/>
      <c r="G706" s="339"/>
      <c r="H706" s="28">
        <f>SUM(H707:H707)</f>
        <v>0</v>
      </c>
      <c r="I706" s="28">
        <f>SUM(I707:I707)</f>
        <v>0</v>
      </c>
      <c r="J706" s="28">
        <f>H706+I706</f>
        <v>0</v>
      </c>
      <c r="K706" s="21"/>
      <c r="L706" s="28">
        <f>SUM(L707:L707)</f>
        <v>3.4311321000000001</v>
      </c>
      <c r="M706" s="21"/>
      <c r="P706" s="28">
        <f>IF(Q706="PR",J706,SUM(O707:O707))</f>
        <v>0</v>
      </c>
      <c r="Q706" s="21" t="s">
        <v>54</v>
      </c>
      <c r="R706" s="28">
        <f>IF(Q706="HS",H706,0)</f>
        <v>0</v>
      </c>
      <c r="S706" s="28">
        <f>IF(Q706="HS",I706-P706,0)</f>
        <v>0</v>
      </c>
      <c r="T706" s="28">
        <f>IF(Q706="PS",H706,0)</f>
        <v>0</v>
      </c>
      <c r="U706" s="28">
        <f>IF(Q706="PS",I706-P706,0)</f>
        <v>0</v>
      </c>
      <c r="V706" s="28">
        <f>IF(Q706="MP",H706,0)</f>
        <v>0</v>
      </c>
      <c r="W706" s="28">
        <f>IF(Q706="MP",I706-P706,0)</f>
        <v>0</v>
      </c>
      <c r="X706" s="28">
        <f>IF(Q706="OM",H706,0)</f>
        <v>0</v>
      </c>
      <c r="Y706" s="21" t="s">
        <v>499</v>
      </c>
      <c r="AI706" s="28">
        <f>SUM(Z707:Z707)</f>
        <v>0</v>
      </c>
      <c r="AJ706" s="28">
        <f>SUM(AA707:AA707)</f>
        <v>0</v>
      </c>
      <c r="AK706" s="28">
        <f>SUM(AB707:AB707)</f>
        <v>0</v>
      </c>
    </row>
    <row r="707" spans="1:43" x14ac:dyDescent="0.25">
      <c r="A707" s="29" t="s">
        <v>503</v>
      </c>
      <c r="B707" s="29" t="s">
        <v>499</v>
      </c>
      <c r="C707" s="29" t="s">
        <v>312</v>
      </c>
      <c r="D707" s="29" t="s">
        <v>313</v>
      </c>
      <c r="E707" s="29" t="s">
        <v>58</v>
      </c>
      <c r="F707" s="30">
        <v>16.53</v>
      </c>
      <c r="G707" s="317">
        <v>0</v>
      </c>
      <c r="H707" s="30">
        <f>ROUND(F707*AE707,2)</f>
        <v>0</v>
      </c>
      <c r="I707" s="30">
        <f>J707-H707</f>
        <v>0</v>
      </c>
      <c r="J707" s="30">
        <f>ROUND(F707*G707,2)</f>
        <v>0</v>
      </c>
      <c r="K707" s="30">
        <v>0.20757</v>
      </c>
      <c r="L707" s="30">
        <f>F707*K707</f>
        <v>3.4311321000000001</v>
      </c>
      <c r="M707" s="31" t="s">
        <v>2292</v>
      </c>
      <c r="N707" s="31" t="s">
        <v>59</v>
      </c>
      <c r="O707" s="30">
        <f>IF(N707="5",I707,0)</f>
        <v>0</v>
      </c>
      <c r="Z707" s="30">
        <f>IF(AD707=0,J707,0)</f>
        <v>0</v>
      </c>
      <c r="AA707" s="30">
        <f>IF(AD707=15,J707,0)</f>
        <v>0</v>
      </c>
      <c r="AB707" s="30">
        <f>IF(AD707=21,J707,0)</f>
        <v>0</v>
      </c>
      <c r="AD707" s="32">
        <v>21</v>
      </c>
      <c r="AE707" s="32">
        <f>G707*0.605216640631423</f>
        <v>0</v>
      </c>
      <c r="AF707" s="32">
        <f>G707*(1-0.605216640631423)</f>
        <v>0</v>
      </c>
      <c r="AM707" s="32">
        <f>F707*AE707</f>
        <v>0</v>
      </c>
      <c r="AN707" s="32">
        <f>F707*AF707</f>
        <v>0</v>
      </c>
      <c r="AO707" s="33" t="s">
        <v>72</v>
      </c>
      <c r="AP707" s="33" t="s">
        <v>61</v>
      </c>
      <c r="AQ707" s="21" t="s">
        <v>501</v>
      </c>
    </row>
    <row r="708" spans="1:43" x14ac:dyDescent="0.25">
      <c r="A708" s="26"/>
      <c r="B708" s="27" t="s">
        <v>499</v>
      </c>
      <c r="C708" s="27" t="s">
        <v>130</v>
      </c>
      <c r="D708" s="338" t="s">
        <v>131</v>
      </c>
      <c r="E708" s="339"/>
      <c r="F708" s="339"/>
      <c r="G708" s="339"/>
      <c r="H708" s="28">
        <f>SUM(H709:H711)</f>
        <v>0</v>
      </c>
      <c r="I708" s="28">
        <f>SUM(I709:I711)</f>
        <v>0</v>
      </c>
      <c r="J708" s="28">
        <f>H708+I708</f>
        <v>0</v>
      </c>
      <c r="K708" s="21"/>
      <c r="L708" s="28">
        <f>SUM(L709:L711)</f>
        <v>4.10473</v>
      </c>
      <c r="M708" s="21"/>
      <c r="P708" s="28">
        <f>IF(Q708="PR",J708,SUM(O709:O711))</f>
        <v>0</v>
      </c>
      <c r="Q708" s="21" t="s">
        <v>54</v>
      </c>
      <c r="R708" s="28">
        <f>IF(Q708="HS",H708,0)</f>
        <v>0</v>
      </c>
      <c r="S708" s="28">
        <f>IF(Q708="HS",I708-P708,0)</f>
        <v>0</v>
      </c>
      <c r="T708" s="28">
        <f>IF(Q708="PS",H708,0)</f>
        <v>0</v>
      </c>
      <c r="U708" s="28">
        <f>IF(Q708="PS",I708-P708,0)</f>
        <v>0</v>
      </c>
      <c r="V708" s="28">
        <f>IF(Q708="MP",H708,0)</f>
        <v>0</v>
      </c>
      <c r="W708" s="28">
        <f>IF(Q708="MP",I708-P708,0)</f>
        <v>0</v>
      </c>
      <c r="X708" s="28">
        <f>IF(Q708="OM",H708,0)</f>
        <v>0</v>
      </c>
      <c r="Y708" s="21" t="s">
        <v>499</v>
      </c>
      <c r="AI708" s="28">
        <f>SUM(Z709:Z711)</f>
        <v>0</v>
      </c>
      <c r="AJ708" s="28">
        <f>SUM(AA709:AA711)</f>
        <v>0</v>
      </c>
      <c r="AK708" s="28">
        <f>SUM(AB709:AB711)</f>
        <v>0</v>
      </c>
    </row>
    <row r="709" spans="1:43" x14ac:dyDescent="0.25">
      <c r="A709" s="29" t="s">
        <v>504</v>
      </c>
      <c r="B709" s="29" t="s">
        <v>499</v>
      </c>
      <c r="C709" s="29" t="s">
        <v>133</v>
      </c>
      <c r="D709" s="29" t="s">
        <v>134</v>
      </c>
      <c r="E709" s="29" t="s">
        <v>113</v>
      </c>
      <c r="F709" s="30">
        <v>1</v>
      </c>
      <c r="G709" s="317">
        <v>0</v>
      </c>
      <c r="H709" s="30">
        <f>ROUND(F709*AE709,2)</f>
        <v>0</v>
      </c>
      <c r="I709" s="30">
        <f>J709-H709</f>
        <v>0</v>
      </c>
      <c r="J709" s="30">
        <f>ROUND(F709*G709,2)</f>
        <v>0</v>
      </c>
      <c r="K709" s="30">
        <v>4.02386</v>
      </c>
      <c r="L709" s="30">
        <f>F709*K709</f>
        <v>4.02386</v>
      </c>
      <c r="M709" s="31" t="s">
        <v>2292</v>
      </c>
      <c r="N709" s="31" t="s">
        <v>59</v>
      </c>
      <c r="O709" s="30">
        <f>IF(N709="5",I709,0)</f>
        <v>0</v>
      </c>
      <c r="Z709" s="30">
        <f>IF(AD709=0,J709,0)</f>
        <v>0</v>
      </c>
      <c r="AA709" s="30">
        <f>IF(AD709=15,J709,0)</f>
        <v>0</v>
      </c>
      <c r="AB709" s="30">
        <f>IF(AD709=21,J709,0)</f>
        <v>0</v>
      </c>
      <c r="AD709" s="32">
        <v>21</v>
      </c>
      <c r="AE709" s="32">
        <f>G709*0.425369632778091</f>
        <v>0</v>
      </c>
      <c r="AF709" s="32">
        <f>G709*(1-0.425369632778091)</f>
        <v>0</v>
      </c>
      <c r="AM709" s="32">
        <f>F709*AE709</f>
        <v>0</v>
      </c>
      <c r="AN709" s="32">
        <f>F709*AF709</f>
        <v>0</v>
      </c>
      <c r="AO709" s="33" t="s">
        <v>135</v>
      </c>
      <c r="AP709" s="33" t="s">
        <v>61</v>
      </c>
      <c r="AQ709" s="21" t="s">
        <v>501</v>
      </c>
    </row>
    <row r="710" spans="1:43" ht="25.7" customHeight="1" x14ac:dyDescent="0.25">
      <c r="C710" s="34" t="s">
        <v>63</v>
      </c>
      <c r="D710" s="340" t="s">
        <v>136</v>
      </c>
      <c r="E710" s="341"/>
      <c r="F710" s="341"/>
      <c r="G710" s="341"/>
      <c r="H710" s="341"/>
      <c r="I710" s="341"/>
      <c r="J710" s="341"/>
      <c r="K710" s="341"/>
      <c r="L710" s="341"/>
      <c r="M710" s="341"/>
    </row>
    <row r="711" spans="1:43" x14ac:dyDescent="0.25">
      <c r="A711" s="29" t="s">
        <v>505</v>
      </c>
      <c r="B711" s="29" t="s">
        <v>499</v>
      </c>
      <c r="C711" s="29" t="s">
        <v>138</v>
      </c>
      <c r="D711" s="29" t="s">
        <v>139</v>
      </c>
      <c r="E711" s="29" t="s">
        <v>113</v>
      </c>
      <c r="F711" s="30">
        <v>1</v>
      </c>
      <c r="G711" s="317">
        <v>0</v>
      </c>
      <c r="H711" s="30">
        <f>ROUND(F711*AE711,2)</f>
        <v>0</v>
      </c>
      <c r="I711" s="30">
        <f>J711-H711</f>
        <v>0</v>
      </c>
      <c r="J711" s="30">
        <f>ROUND(F711*G711,2)</f>
        <v>0</v>
      </c>
      <c r="K711" s="30">
        <v>8.0869999999999997E-2</v>
      </c>
      <c r="L711" s="30">
        <f>F711*K711</f>
        <v>8.0869999999999997E-2</v>
      </c>
      <c r="M711" s="31" t="s">
        <v>2292</v>
      </c>
      <c r="N711" s="31" t="s">
        <v>59</v>
      </c>
      <c r="O711" s="30">
        <f>IF(N711="5",I711,0)</f>
        <v>0</v>
      </c>
      <c r="Z711" s="30">
        <f>IF(AD711=0,J711,0)</f>
        <v>0</v>
      </c>
      <c r="AA711" s="30">
        <f>IF(AD711=15,J711,0)</f>
        <v>0</v>
      </c>
      <c r="AB711" s="30">
        <f>IF(AD711=21,J711,0)</f>
        <v>0</v>
      </c>
      <c r="AD711" s="32">
        <v>21</v>
      </c>
      <c r="AE711" s="32">
        <f>G711*0.927547713673244</f>
        <v>0</v>
      </c>
      <c r="AF711" s="32">
        <f>G711*(1-0.927547713673244)</f>
        <v>0</v>
      </c>
      <c r="AM711" s="32">
        <f>F711*AE711</f>
        <v>0</v>
      </c>
      <c r="AN711" s="32">
        <f>F711*AF711</f>
        <v>0</v>
      </c>
      <c r="AO711" s="33" t="s">
        <v>135</v>
      </c>
      <c r="AP711" s="33" t="s">
        <v>61</v>
      </c>
      <c r="AQ711" s="21" t="s">
        <v>501</v>
      </c>
    </row>
    <row r="712" spans="1:43" x14ac:dyDescent="0.25">
      <c r="A712" s="26"/>
      <c r="B712" s="27" t="s">
        <v>499</v>
      </c>
      <c r="C712" s="27" t="s">
        <v>73</v>
      </c>
      <c r="D712" s="338" t="s">
        <v>74</v>
      </c>
      <c r="E712" s="339"/>
      <c r="F712" s="339"/>
      <c r="G712" s="339"/>
      <c r="H712" s="28">
        <f>SUM(H713:H715)</f>
        <v>0</v>
      </c>
      <c r="I712" s="28">
        <f>SUM(I713:I715)</f>
        <v>0</v>
      </c>
      <c r="J712" s="28">
        <f>H712+I712</f>
        <v>0</v>
      </c>
      <c r="K712" s="21"/>
      <c r="L712" s="28">
        <f>SUM(L713:L715)</f>
        <v>1.5247272000000001</v>
      </c>
      <c r="M712" s="21"/>
      <c r="P712" s="28">
        <f>IF(Q712="PR",J712,SUM(O713:O715))</f>
        <v>0</v>
      </c>
      <c r="Q712" s="21" t="s">
        <v>75</v>
      </c>
      <c r="R712" s="28">
        <f>IF(Q712="HS",H712,0)</f>
        <v>0</v>
      </c>
      <c r="S712" s="28">
        <f>IF(Q712="HS",I712-P712,0)</f>
        <v>0</v>
      </c>
      <c r="T712" s="28">
        <f>IF(Q712="PS",H712,0)</f>
        <v>0</v>
      </c>
      <c r="U712" s="28">
        <f>IF(Q712="PS",I712-P712,0)</f>
        <v>0</v>
      </c>
      <c r="V712" s="28">
        <f>IF(Q712="MP",H712,0)</f>
        <v>0</v>
      </c>
      <c r="W712" s="28">
        <f>IF(Q712="MP",I712-P712,0)</f>
        <v>0</v>
      </c>
      <c r="X712" s="28">
        <f>IF(Q712="OM",H712,0)</f>
        <v>0</v>
      </c>
      <c r="Y712" s="21" t="s">
        <v>499</v>
      </c>
      <c r="AI712" s="28">
        <f>SUM(Z713:Z715)</f>
        <v>0</v>
      </c>
      <c r="AJ712" s="28">
        <f>SUM(AA713:AA715)</f>
        <v>0</v>
      </c>
      <c r="AK712" s="28">
        <f>SUM(AB713:AB715)</f>
        <v>0</v>
      </c>
    </row>
    <row r="713" spans="1:43" x14ac:dyDescent="0.25">
      <c r="A713" s="29" t="s">
        <v>506</v>
      </c>
      <c r="B713" s="29" t="s">
        <v>499</v>
      </c>
      <c r="C713" s="29" t="s">
        <v>77</v>
      </c>
      <c r="D713" s="29" t="s">
        <v>2278</v>
      </c>
      <c r="E713" s="29" t="s">
        <v>58</v>
      </c>
      <c r="F713" s="30">
        <v>16.53</v>
      </c>
      <c r="G713" s="317">
        <v>0</v>
      </c>
      <c r="H713" s="30">
        <f>ROUND(F713*AE713,2)</f>
        <v>0</v>
      </c>
      <c r="I713" s="30">
        <f>J713-H713</f>
        <v>0</v>
      </c>
      <c r="J713" s="30">
        <f>ROUND(F713*G713,2)</f>
        <v>0</v>
      </c>
      <c r="K713" s="30">
        <v>1.61E-2</v>
      </c>
      <c r="L713" s="30">
        <f>F713*K713</f>
        <v>0.26613300000000001</v>
      </c>
      <c r="M713" s="31" t="s">
        <v>2292</v>
      </c>
      <c r="N713" s="31" t="s">
        <v>59</v>
      </c>
      <c r="O713" s="30">
        <f>IF(N713="5",I713,0)</f>
        <v>0</v>
      </c>
      <c r="Z713" s="30">
        <f>IF(AD713=0,J713,0)</f>
        <v>0</v>
      </c>
      <c r="AA713" s="30">
        <f>IF(AD713=15,J713,0)</f>
        <v>0</v>
      </c>
      <c r="AB713" s="30">
        <f>IF(AD713=21,J713,0)</f>
        <v>0</v>
      </c>
      <c r="AD713" s="32">
        <v>21</v>
      </c>
      <c r="AE713" s="32">
        <f>G713*0.787221324717286</f>
        <v>0</v>
      </c>
      <c r="AF713" s="32">
        <f>G713*(1-0.787221324717286)</f>
        <v>0</v>
      </c>
      <c r="AM713" s="32">
        <f>F713*AE713</f>
        <v>0</v>
      </c>
      <c r="AN713" s="32">
        <f>F713*AF713</f>
        <v>0</v>
      </c>
      <c r="AO713" s="33" t="s">
        <v>78</v>
      </c>
      <c r="AP713" s="33" t="s">
        <v>79</v>
      </c>
      <c r="AQ713" s="21" t="s">
        <v>501</v>
      </c>
    </row>
    <row r="714" spans="1:43" x14ac:dyDescent="0.25">
      <c r="C714" s="34" t="s">
        <v>63</v>
      </c>
      <c r="D714" s="340" t="s">
        <v>2280</v>
      </c>
      <c r="E714" s="341"/>
      <c r="F714" s="341"/>
      <c r="G714" s="341"/>
      <c r="H714" s="341"/>
      <c r="I714" s="341"/>
      <c r="J714" s="341"/>
      <c r="K714" s="341"/>
      <c r="L714" s="341"/>
      <c r="M714" s="341"/>
    </row>
    <row r="715" spans="1:43" x14ac:dyDescent="0.25">
      <c r="A715" s="29" t="s">
        <v>507</v>
      </c>
      <c r="B715" s="29" t="s">
        <v>499</v>
      </c>
      <c r="C715" s="29" t="s">
        <v>122</v>
      </c>
      <c r="D715" s="29" t="s">
        <v>123</v>
      </c>
      <c r="E715" s="29" t="s">
        <v>58</v>
      </c>
      <c r="F715" s="30">
        <v>16.53</v>
      </c>
      <c r="G715" s="317">
        <v>0</v>
      </c>
      <c r="H715" s="30">
        <f>ROUND(F715*AE715,2)</f>
        <v>0</v>
      </c>
      <c r="I715" s="30">
        <f>J715-H715</f>
        <v>0</v>
      </c>
      <c r="J715" s="30">
        <f>ROUND(F715*G715,2)</f>
        <v>0</v>
      </c>
      <c r="K715" s="30">
        <v>7.6139999999999999E-2</v>
      </c>
      <c r="L715" s="30">
        <f>F715*K715</f>
        <v>1.2585942000000001</v>
      </c>
      <c r="M715" s="31" t="s">
        <v>2292</v>
      </c>
      <c r="N715" s="31" t="s">
        <v>59</v>
      </c>
      <c r="O715" s="30">
        <f>IF(N715="5",I715,0)</f>
        <v>0</v>
      </c>
      <c r="Z715" s="30">
        <f>IF(AD715=0,J715,0)</f>
        <v>0</v>
      </c>
      <c r="AA715" s="30">
        <f>IF(AD715=15,J715,0)</f>
        <v>0</v>
      </c>
      <c r="AB715" s="30">
        <f>IF(AD715=21,J715,0)</f>
        <v>0</v>
      </c>
      <c r="AD715" s="32">
        <v>21</v>
      </c>
      <c r="AE715" s="32">
        <f>G715*0.547569562266712</f>
        <v>0</v>
      </c>
      <c r="AF715" s="32">
        <f>G715*(1-0.547569562266712)</f>
        <v>0</v>
      </c>
      <c r="AM715" s="32">
        <f>F715*AE715</f>
        <v>0</v>
      </c>
      <c r="AN715" s="32">
        <f>F715*AF715</f>
        <v>0</v>
      </c>
      <c r="AO715" s="33" t="s">
        <v>78</v>
      </c>
      <c r="AP715" s="33" t="s">
        <v>79</v>
      </c>
      <c r="AQ715" s="21" t="s">
        <v>501</v>
      </c>
    </row>
    <row r="716" spans="1:43" x14ac:dyDescent="0.25">
      <c r="A716" s="26"/>
      <c r="B716" s="27" t="s">
        <v>499</v>
      </c>
      <c r="C716" s="27" t="s">
        <v>93</v>
      </c>
      <c r="D716" s="338" t="s">
        <v>94</v>
      </c>
      <c r="E716" s="339"/>
      <c r="F716" s="339"/>
      <c r="G716" s="339"/>
      <c r="H716" s="28">
        <f>SUM(H717:H717)</f>
        <v>0</v>
      </c>
      <c r="I716" s="28">
        <f>SUM(I717:I717)</f>
        <v>0</v>
      </c>
      <c r="J716" s="28">
        <f>H716+I716</f>
        <v>0</v>
      </c>
      <c r="K716" s="21"/>
      <c r="L716" s="28">
        <f>SUM(L717:L717)</f>
        <v>7.0551000000000003E-2</v>
      </c>
      <c r="M716" s="21"/>
      <c r="P716" s="28">
        <f>IF(Q716="PR",J716,SUM(O717:O717))</f>
        <v>0</v>
      </c>
      <c r="Q716" s="21" t="s">
        <v>75</v>
      </c>
      <c r="R716" s="28">
        <f>IF(Q716="HS",H716,0)</f>
        <v>0</v>
      </c>
      <c r="S716" s="28">
        <f>IF(Q716="HS",I716-P716,0)</f>
        <v>0</v>
      </c>
      <c r="T716" s="28">
        <f>IF(Q716="PS",H716,0)</f>
        <v>0</v>
      </c>
      <c r="U716" s="28">
        <f>IF(Q716="PS",I716-P716,0)</f>
        <v>0</v>
      </c>
      <c r="V716" s="28">
        <f>IF(Q716="MP",H716,0)</f>
        <v>0</v>
      </c>
      <c r="W716" s="28">
        <f>IF(Q716="MP",I716-P716,0)</f>
        <v>0</v>
      </c>
      <c r="X716" s="28">
        <f>IF(Q716="OM",H716,0)</f>
        <v>0</v>
      </c>
      <c r="Y716" s="21" t="s">
        <v>499</v>
      </c>
      <c r="AI716" s="28">
        <f>SUM(Z717:Z717)</f>
        <v>0</v>
      </c>
      <c r="AJ716" s="28">
        <f>SUM(AA717:AA717)</f>
        <v>0</v>
      </c>
      <c r="AK716" s="28">
        <f>SUM(AB717:AB717)</f>
        <v>0</v>
      </c>
    </row>
    <row r="717" spans="1:43" x14ac:dyDescent="0.25">
      <c r="A717" s="29" t="s">
        <v>508</v>
      </c>
      <c r="B717" s="29" t="s">
        <v>499</v>
      </c>
      <c r="C717" s="29" t="s">
        <v>96</v>
      </c>
      <c r="D717" s="29" t="s">
        <v>97</v>
      </c>
      <c r="E717" s="29" t="s">
        <v>58</v>
      </c>
      <c r="F717" s="30">
        <v>108.54</v>
      </c>
      <c r="G717" s="317">
        <v>0</v>
      </c>
      <c r="H717" s="30">
        <f>ROUND(F717*AE717,2)</f>
        <v>0</v>
      </c>
      <c r="I717" s="30">
        <f>J717-H717</f>
        <v>0</v>
      </c>
      <c r="J717" s="30">
        <f>ROUND(F717*G717,2)</f>
        <v>0</v>
      </c>
      <c r="K717" s="30">
        <v>6.4999999999999997E-4</v>
      </c>
      <c r="L717" s="30">
        <f>F717*K717</f>
        <v>7.0551000000000003E-2</v>
      </c>
      <c r="M717" s="31" t="s">
        <v>2292</v>
      </c>
      <c r="N717" s="31" t="s">
        <v>59</v>
      </c>
      <c r="O717" s="30">
        <f>IF(N717="5",I717,0)</f>
        <v>0</v>
      </c>
      <c r="Z717" s="30">
        <f>IF(AD717=0,J717,0)</f>
        <v>0</v>
      </c>
      <c r="AA717" s="30">
        <f>IF(AD717=15,J717,0)</f>
        <v>0</v>
      </c>
      <c r="AB717" s="30">
        <f>IF(AD717=21,J717,0)</f>
        <v>0</v>
      </c>
      <c r="AD717" s="32">
        <v>21</v>
      </c>
      <c r="AE717" s="32">
        <f>G717*0.333747476316198</f>
        <v>0</v>
      </c>
      <c r="AF717" s="32">
        <f>G717*(1-0.333747476316198)</f>
        <v>0</v>
      </c>
      <c r="AM717" s="32">
        <f>F717*AE717</f>
        <v>0</v>
      </c>
      <c r="AN717" s="32">
        <f>F717*AF717</f>
        <v>0</v>
      </c>
      <c r="AO717" s="33" t="s">
        <v>98</v>
      </c>
      <c r="AP717" s="33" t="s">
        <v>92</v>
      </c>
      <c r="AQ717" s="21" t="s">
        <v>501</v>
      </c>
    </row>
    <row r="718" spans="1:43" x14ac:dyDescent="0.25">
      <c r="A718" s="26"/>
      <c r="B718" s="27" t="s">
        <v>499</v>
      </c>
      <c r="C718" s="27" t="s">
        <v>99</v>
      </c>
      <c r="D718" s="338" t="s">
        <v>100</v>
      </c>
      <c r="E718" s="339"/>
      <c r="F718" s="339"/>
      <c r="G718" s="339"/>
      <c r="H718" s="28">
        <f>SUM(H719:H719)</f>
        <v>0</v>
      </c>
      <c r="I718" s="28">
        <f>SUM(I719:I719)</f>
        <v>0</v>
      </c>
      <c r="J718" s="28">
        <f>H718+I718</f>
        <v>0</v>
      </c>
      <c r="K718" s="21"/>
      <c r="L718" s="28">
        <f>SUM(L719:L719)</f>
        <v>0</v>
      </c>
      <c r="M718" s="21"/>
      <c r="P718" s="28">
        <f>IF(Q718="PR",J718,SUM(O719:O719))</f>
        <v>0</v>
      </c>
      <c r="Q718" s="21" t="s">
        <v>54</v>
      </c>
      <c r="R718" s="28">
        <f>IF(Q718="HS",H718,0)</f>
        <v>0</v>
      </c>
      <c r="S718" s="28">
        <f>IF(Q718="HS",I718-P718,0)</f>
        <v>0</v>
      </c>
      <c r="T718" s="28">
        <f>IF(Q718="PS",H718,0)</f>
        <v>0</v>
      </c>
      <c r="U718" s="28">
        <f>IF(Q718="PS",I718-P718,0)</f>
        <v>0</v>
      </c>
      <c r="V718" s="28">
        <f>IF(Q718="MP",H718,0)</f>
        <v>0</v>
      </c>
      <c r="W718" s="28">
        <f>IF(Q718="MP",I718-P718,0)</f>
        <v>0</v>
      </c>
      <c r="X718" s="28">
        <f>IF(Q718="OM",H718,0)</f>
        <v>0</v>
      </c>
      <c r="Y718" s="21" t="s">
        <v>499</v>
      </c>
      <c r="AI718" s="28">
        <f>SUM(Z719:Z719)</f>
        <v>0</v>
      </c>
      <c r="AJ718" s="28">
        <f>SUM(AA719:AA719)</f>
        <v>0</v>
      </c>
      <c r="AK718" s="28">
        <f>SUM(AB719:AB719)</f>
        <v>0</v>
      </c>
    </row>
    <row r="719" spans="1:43" x14ac:dyDescent="0.25">
      <c r="A719" s="29" t="s">
        <v>509</v>
      </c>
      <c r="B719" s="29" t="s">
        <v>499</v>
      </c>
      <c r="C719" s="29" t="s">
        <v>102</v>
      </c>
      <c r="D719" s="29" t="s">
        <v>103</v>
      </c>
      <c r="E719" s="29" t="s">
        <v>104</v>
      </c>
      <c r="F719" s="30">
        <v>3.6</v>
      </c>
      <c r="G719" s="317">
        <v>0</v>
      </c>
      <c r="H719" s="30">
        <f>ROUND(F719*AE719,2)</f>
        <v>0</v>
      </c>
      <c r="I719" s="30">
        <f>J719-H719</f>
        <v>0</v>
      </c>
      <c r="J719" s="30">
        <f>ROUND(F719*G719,2)</f>
        <v>0</v>
      </c>
      <c r="K719" s="30">
        <v>0</v>
      </c>
      <c r="L719" s="30">
        <f>F719*K719</f>
        <v>0</v>
      </c>
      <c r="M719" s="31" t="s">
        <v>2292</v>
      </c>
      <c r="N719" s="31" t="s">
        <v>55</v>
      </c>
      <c r="O719" s="30">
        <f>IF(N719="5",I719,0)</f>
        <v>0</v>
      </c>
      <c r="Z719" s="30">
        <f>IF(AD719=0,J719,0)</f>
        <v>0</v>
      </c>
      <c r="AA719" s="30">
        <f>IF(AD719=15,J719,0)</f>
        <v>0</v>
      </c>
      <c r="AB719" s="30">
        <f>IF(AD719=21,J719,0)</f>
        <v>0</v>
      </c>
      <c r="AD719" s="32">
        <v>21</v>
      </c>
      <c r="AE719" s="32">
        <f>G719*0</f>
        <v>0</v>
      </c>
      <c r="AF719" s="32">
        <f>G719*(1-0)</f>
        <v>0</v>
      </c>
      <c r="AM719" s="32">
        <f>F719*AE719</f>
        <v>0</v>
      </c>
      <c r="AN719" s="32">
        <f>F719*AF719</f>
        <v>0</v>
      </c>
      <c r="AO719" s="33" t="s">
        <v>105</v>
      </c>
      <c r="AP719" s="33" t="s">
        <v>106</v>
      </c>
      <c r="AQ719" s="21" t="s">
        <v>501</v>
      </c>
    </row>
    <row r="720" spans="1:43" x14ac:dyDescent="0.25">
      <c r="C720" s="34" t="s">
        <v>63</v>
      </c>
      <c r="D720" s="340" t="s">
        <v>107</v>
      </c>
      <c r="E720" s="341"/>
      <c r="F720" s="341"/>
      <c r="G720" s="341"/>
      <c r="H720" s="341"/>
      <c r="I720" s="341"/>
      <c r="J720" s="341"/>
      <c r="K720" s="341"/>
      <c r="L720" s="341"/>
      <c r="M720" s="341"/>
    </row>
    <row r="721" spans="1:43" x14ac:dyDescent="0.25">
      <c r="A721" s="26"/>
      <c r="B721" s="27" t="s">
        <v>510</v>
      </c>
      <c r="C721" s="27"/>
      <c r="D721" s="338" t="s">
        <v>510</v>
      </c>
      <c r="E721" s="339"/>
      <c r="F721" s="339"/>
      <c r="G721" s="339"/>
      <c r="H721" s="28">
        <f>H722+H727+H729+H732+H734+H736+H738</f>
        <v>0</v>
      </c>
      <c r="I721" s="28">
        <f>I722+I727+I729+I732+I734+I736+I738</f>
        <v>0</v>
      </c>
      <c r="J721" s="28">
        <f>H721+I721</f>
        <v>0</v>
      </c>
      <c r="K721" s="21"/>
      <c r="L721" s="28">
        <f>L722+L727+L729+L732+L734+L736+L738</f>
        <v>3.1190441999999998</v>
      </c>
      <c r="M721" s="21"/>
    </row>
    <row r="722" spans="1:43" x14ac:dyDescent="0.25">
      <c r="A722" s="26"/>
      <c r="B722" s="27" t="s">
        <v>510</v>
      </c>
      <c r="C722" s="27" t="s">
        <v>52</v>
      </c>
      <c r="D722" s="338" t="s">
        <v>53</v>
      </c>
      <c r="E722" s="339"/>
      <c r="F722" s="339"/>
      <c r="G722" s="339"/>
      <c r="H722" s="28">
        <f>SUM(H723:H725)</f>
        <v>0</v>
      </c>
      <c r="I722" s="28">
        <f>SUM(I723:I725)</f>
        <v>0</v>
      </c>
      <c r="J722" s="28">
        <f>H722+I722</f>
        <v>0</v>
      </c>
      <c r="K722" s="21"/>
      <c r="L722" s="28">
        <f>SUM(L723:L725)</f>
        <v>1.0305282</v>
      </c>
      <c r="M722" s="21"/>
      <c r="P722" s="28">
        <f>IF(Q722="PR",J722,SUM(O723:O725))</f>
        <v>0</v>
      </c>
      <c r="Q722" s="21" t="s">
        <v>54</v>
      </c>
      <c r="R722" s="28">
        <f>IF(Q722="HS",H722,0)</f>
        <v>0</v>
      </c>
      <c r="S722" s="28">
        <f>IF(Q722="HS",I722-P722,0)</f>
        <v>0</v>
      </c>
      <c r="T722" s="28">
        <f>IF(Q722="PS",H722,0)</f>
        <v>0</v>
      </c>
      <c r="U722" s="28">
        <f>IF(Q722="PS",I722-P722,0)</f>
        <v>0</v>
      </c>
      <c r="V722" s="28">
        <f>IF(Q722="MP",H722,0)</f>
        <v>0</v>
      </c>
      <c r="W722" s="28">
        <f>IF(Q722="MP",I722-P722,0)</f>
        <v>0</v>
      </c>
      <c r="X722" s="28">
        <f>IF(Q722="OM",H722,0)</f>
        <v>0</v>
      </c>
      <c r="Y722" s="21" t="s">
        <v>510</v>
      </c>
      <c r="AI722" s="28">
        <f>SUM(Z723:Z725)</f>
        <v>0</v>
      </c>
      <c r="AJ722" s="28">
        <f>SUM(AA723:AA725)</f>
        <v>0</v>
      </c>
      <c r="AK722" s="28">
        <f>SUM(AB723:AB725)</f>
        <v>0</v>
      </c>
    </row>
    <row r="723" spans="1:43" x14ac:dyDescent="0.25">
      <c r="A723" s="29" t="s">
        <v>511</v>
      </c>
      <c r="B723" s="29" t="s">
        <v>510</v>
      </c>
      <c r="C723" s="29" t="s">
        <v>56</v>
      </c>
      <c r="D723" s="29" t="s">
        <v>57</v>
      </c>
      <c r="E723" s="29" t="s">
        <v>58</v>
      </c>
      <c r="F723" s="30">
        <v>74.58</v>
      </c>
      <c r="G723" s="317">
        <v>0</v>
      </c>
      <c r="H723" s="30">
        <f>ROUND(F723*AE723,2)</f>
        <v>0</v>
      </c>
      <c r="I723" s="30">
        <f>J723-H723</f>
        <v>0</v>
      </c>
      <c r="J723" s="30">
        <f>ROUND(F723*G723,2)</f>
        <v>0</v>
      </c>
      <c r="K723" s="30">
        <v>1.001E-2</v>
      </c>
      <c r="L723" s="30">
        <f>F723*K723</f>
        <v>0.74654579999999993</v>
      </c>
      <c r="M723" s="31" t="s">
        <v>2292</v>
      </c>
      <c r="N723" s="31" t="s">
        <v>59</v>
      </c>
      <c r="O723" s="30">
        <f>IF(N723="5",I723,0)</f>
        <v>0</v>
      </c>
      <c r="Z723" s="30">
        <f>IF(AD723=0,J723,0)</f>
        <v>0</v>
      </c>
      <c r="AA723" s="30">
        <f>IF(AD723=15,J723,0)</f>
        <v>0</v>
      </c>
      <c r="AB723" s="30">
        <f>IF(AD723=21,J723,0)</f>
        <v>0</v>
      </c>
      <c r="AD723" s="32">
        <v>21</v>
      </c>
      <c r="AE723" s="32">
        <f>G723*0.0756575801052128</f>
        <v>0</v>
      </c>
      <c r="AF723" s="32">
        <f>G723*(1-0.0756575801052128)</f>
        <v>0</v>
      </c>
      <c r="AM723" s="32">
        <f>F723*AE723</f>
        <v>0</v>
      </c>
      <c r="AN723" s="32">
        <f>F723*AF723</f>
        <v>0</v>
      </c>
      <c r="AO723" s="33" t="s">
        <v>60</v>
      </c>
      <c r="AP723" s="33" t="s">
        <v>61</v>
      </c>
      <c r="AQ723" s="21" t="s">
        <v>512</v>
      </c>
    </row>
    <row r="724" spans="1:43" ht="25.7" customHeight="1" x14ac:dyDescent="0.25">
      <c r="C724" s="34" t="s">
        <v>63</v>
      </c>
      <c r="D724" s="340" t="s">
        <v>64</v>
      </c>
      <c r="E724" s="341"/>
      <c r="F724" s="341"/>
      <c r="G724" s="341"/>
      <c r="H724" s="341"/>
      <c r="I724" s="341"/>
      <c r="J724" s="341"/>
      <c r="K724" s="341"/>
      <c r="L724" s="341"/>
      <c r="M724" s="341"/>
    </row>
    <row r="725" spans="1:43" x14ac:dyDescent="0.25">
      <c r="A725" s="29" t="s">
        <v>513</v>
      </c>
      <c r="B725" s="29" t="s">
        <v>510</v>
      </c>
      <c r="C725" s="29" t="s">
        <v>66</v>
      </c>
      <c r="D725" s="29" t="s">
        <v>67</v>
      </c>
      <c r="E725" s="29" t="s">
        <v>58</v>
      </c>
      <c r="F725" s="30">
        <v>28.86</v>
      </c>
      <c r="G725" s="317">
        <v>0</v>
      </c>
      <c r="H725" s="30">
        <f>ROUND(F725*AE725,2)</f>
        <v>0</v>
      </c>
      <c r="I725" s="30">
        <f>J725-H725</f>
        <v>0</v>
      </c>
      <c r="J725" s="30">
        <f>ROUND(F725*G725,2)</f>
        <v>0</v>
      </c>
      <c r="K725" s="30">
        <v>9.8399999999999998E-3</v>
      </c>
      <c r="L725" s="30">
        <f>F725*K725</f>
        <v>0.28398239999999997</v>
      </c>
      <c r="M725" s="31" t="s">
        <v>2292</v>
      </c>
      <c r="N725" s="31" t="s">
        <v>59</v>
      </c>
      <c r="O725" s="30">
        <f>IF(N725="5",I725,0)</f>
        <v>0</v>
      </c>
      <c r="Z725" s="30">
        <f>IF(AD725=0,J725,0)</f>
        <v>0</v>
      </c>
      <c r="AA725" s="30">
        <f>IF(AD725=15,J725,0)</f>
        <v>0</v>
      </c>
      <c r="AB725" s="30">
        <f>IF(AD725=21,J725,0)</f>
        <v>0</v>
      </c>
      <c r="AD725" s="32">
        <v>21</v>
      </c>
      <c r="AE725" s="32">
        <f>G725*0.160304682766381</f>
        <v>0</v>
      </c>
      <c r="AF725" s="32">
        <f>G725*(1-0.160304682766381)</f>
        <v>0</v>
      </c>
      <c r="AM725" s="32">
        <f>F725*AE725</f>
        <v>0</v>
      </c>
      <c r="AN725" s="32">
        <f>F725*AF725</f>
        <v>0</v>
      </c>
      <c r="AO725" s="33" t="s">
        <v>60</v>
      </c>
      <c r="AP725" s="33" t="s">
        <v>61</v>
      </c>
      <c r="AQ725" s="21" t="s">
        <v>512</v>
      </c>
    </row>
    <row r="726" spans="1:43" ht="25.7" customHeight="1" x14ac:dyDescent="0.25">
      <c r="C726" s="34" t="s">
        <v>63</v>
      </c>
      <c r="D726" s="340" t="s">
        <v>64</v>
      </c>
      <c r="E726" s="341"/>
      <c r="F726" s="341"/>
      <c r="G726" s="341"/>
      <c r="H726" s="341"/>
      <c r="I726" s="341"/>
      <c r="J726" s="341"/>
      <c r="K726" s="341"/>
      <c r="L726" s="341"/>
      <c r="M726" s="341"/>
    </row>
    <row r="727" spans="1:43" x14ac:dyDescent="0.25">
      <c r="A727" s="26"/>
      <c r="B727" s="27" t="s">
        <v>510</v>
      </c>
      <c r="C727" s="27" t="s">
        <v>68</v>
      </c>
      <c r="D727" s="338" t="s">
        <v>69</v>
      </c>
      <c r="E727" s="339"/>
      <c r="F727" s="339"/>
      <c r="G727" s="339"/>
      <c r="H727" s="28">
        <f>SUM(H728:H728)</f>
        <v>0</v>
      </c>
      <c r="I727" s="28">
        <f>SUM(I728:I728)</f>
        <v>0</v>
      </c>
      <c r="J727" s="28">
        <f>H727+I727</f>
        <v>0</v>
      </c>
      <c r="K727" s="21"/>
      <c r="L727" s="28">
        <f>SUM(L728:L728)</f>
        <v>1.4383824000000001</v>
      </c>
      <c r="M727" s="21"/>
      <c r="P727" s="28">
        <f>IF(Q727="PR",J727,SUM(O728:O728))</f>
        <v>0</v>
      </c>
      <c r="Q727" s="21" t="s">
        <v>54</v>
      </c>
      <c r="R727" s="28">
        <f>IF(Q727="HS",H727,0)</f>
        <v>0</v>
      </c>
      <c r="S727" s="28">
        <f>IF(Q727="HS",I727-P727,0)</f>
        <v>0</v>
      </c>
      <c r="T727" s="28">
        <f>IF(Q727="PS",H727,0)</f>
        <v>0</v>
      </c>
      <c r="U727" s="28">
        <f>IF(Q727="PS",I727-P727,0)</f>
        <v>0</v>
      </c>
      <c r="V727" s="28">
        <f>IF(Q727="MP",H727,0)</f>
        <v>0</v>
      </c>
      <c r="W727" s="28">
        <f>IF(Q727="MP",I727-P727,0)</f>
        <v>0</v>
      </c>
      <c r="X727" s="28">
        <f>IF(Q727="OM",H727,0)</f>
        <v>0</v>
      </c>
      <c r="Y727" s="21" t="s">
        <v>510</v>
      </c>
      <c r="AI727" s="28">
        <f>SUM(Z728:Z728)</f>
        <v>0</v>
      </c>
      <c r="AJ727" s="28">
        <f>SUM(AA728:AA728)</f>
        <v>0</v>
      </c>
      <c r="AK727" s="28">
        <f>SUM(AB728:AB728)</f>
        <v>0</v>
      </c>
    </row>
    <row r="728" spans="1:43" x14ac:dyDescent="0.25">
      <c r="A728" s="29" t="s">
        <v>514</v>
      </c>
      <c r="B728" s="29" t="s">
        <v>510</v>
      </c>
      <c r="C728" s="29" t="s">
        <v>70</v>
      </c>
      <c r="D728" s="29" t="s">
        <v>71</v>
      </c>
      <c r="E728" s="29" t="s">
        <v>58</v>
      </c>
      <c r="F728" s="30">
        <v>28.86</v>
      </c>
      <c r="G728" s="317">
        <v>0</v>
      </c>
      <c r="H728" s="30">
        <f>ROUND(F728*AE728,2)</f>
        <v>0</v>
      </c>
      <c r="I728" s="30">
        <f>J728-H728</f>
        <v>0</v>
      </c>
      <c r="J728" s="30">
        <f>ROUND(F728*G728,2)</f>
        <v>0</v>
      </c>
      <c r="K728" s="30">
        <v>4.9840000000000002E-2</v>
      </c>
      <c r="L728" s="30">
        <f>F728*K728</f>
        <v>1.4383824000000001</v>
      </c>
      <c r="M728" s="31" t="s">
        <v>2292</v>
      </c>
      <c r="N728" s="31" t="s">
        <v>59</v>
      </c>
      <c r="O728" s="30">
        <f>IF(N728="5",I728,0)</f>
        <v>0</v>
      </c>
      <c r="Z728" s="30">
        <f>IF(AD728=0,J728,0)</f>
        <v>0</v>
      </c>
      <c r="AA728" s="30">
        <f>IF(AD728=15,J728,0)</f>
        <v>0</v>
      </c>
      <c r="AB728" s="30">
        <f>IF(AD728=21,J728,0)</f>
        <v>0</v>
      </c>
      <c r="AD728" s="32">
        <v>21</v>
      </c>
      <c r="AE728" s="32">
        <f>G728*0.411768721414431</f>
        <v>0</v>
      </c>
      <c r="AF728" s="32">
        <f>G728*(1-0.411768721414431)</f>
        <v>0</v>
      </c>
      <c r="AM728" s="32">
        <f>F728*AE728</f>
        <v>0</v>
      </c>
      <c r="AN728" s="32">
        <f>F728*AF728</f>
        <v>0</v>
      </c>
      <c r="AO728" s="33" t="s">
        <v>72</v>
      </c>
      <c r="AP728" s="33" t="s">
        <v>61</v>
      </c>
      <c r="AQ728" s="21" t="s">
        <v>512</v>
      </c>
    </row>
    <row r="729" spans="1:43" x14ac:dyDescent="0.25">
      <c r="A729" s="26"/>
      <c r="B729" s="27" t="s">
        <v>510</v>
      </c>
      <c r="C729" s="27" t="s">
        <v>73</v>
      </c>
      <c r="D729" s="338" t="s">
        <v>74</v>
      </c>
      <c r="E729" s="339"/>
      <c r="F729" s="339"/>
      <c r="G729" s="339"/>
      <c r="H729" s="28">
        <f>SUM(H730:H730)</f>
        <v>0</v>
      </c>
      <c r="I729" s="28">
        <f>SUM(I730:I730)</f>
        <v>0</v>
      </c>
      <c r="J729" s="28">
        <f>H729+I729</f>
        <v>0</v>
      </c>
      <c r="K729" s="21"/>
      <c r="L729" s="28">
        <f>SUM(L730:L730)</f>
        <v>0.464646</v>
      </c>
      <c r="M729" s="21"/>
      <c r="P729" s="28">
        <f>IF(Q729="PR",J729,SUM(O730:O730))</f>
        <v>0</v>
      </c>
      <c r="Q729" s="21" t="s">
        <v>75</v>
      </c>
      <c r="R729" s="28">
        <f>IF(Q729="HS",H729,0)</f>
        <v>0</v>
      </c>
      <c r="S729" s="28">
        <f>IF(Q729="HS",I729-P729,0)</f>
        <v>0</v>
      </c>
      <c r="T729" s="28">
        <f>IF(Q729="PS",H729,0)</f>
        <v>0</v>
      </c>
      <c r="U729" s="28">
        <f>IF(Q729="PS",I729-P729,0)</f>
        <v>0</v>
      </c>
      <c r="V729" s="28">
        <f>IF(Q729="MP",H729,0)</f>
        <v>0</v>
      </c>
      <c r="W729" s="28">
        <f>IF(Q729="MP",I729-P729,0)</f>
        <v>0</v>
      </c>
      <c r="X729" s="28">
        <f>IF(Q729="OM",H729,0)</f>
        <v>0</v>
      </c>
      <c r="Y729" s="21" t="s">
        <v>510</v>
      </c>
      <c r="AI729" s="28">
        <f>SUM(Z730:Z730)</f>
        <v>0</v>
      </c>
      <c r="AJ729" s="28">
        <f>SUM(AA730:AA730)</f>
        <v>0</v>
      </c>
      <c r="AK729" s="28">
        <f>SUM(AB730:AB730)</f>
        <v>0</v>
      </c>
    </row>
    <row r="730" spans="1:43" x14ac:dyDescent="0.25">
      <c r="A730" s="29" t="s">
        <v>515</v>
      </c>
      <c r="B730" s="29" t="s">
        <v>510</v>
      </c>
      <c r="C730" s="29" t="s">
        <v>77</v>
      </c>
      <c r="D730" s="29" t="s">
        <v>2278</v>
      </c>
      <c r="E730" s="29" t="s">
        <v>58</v>
      </c>
      <c r="F730" s="30">
        <v>28.86</v>
      </c>
      <c r="G730" s="317">
        <v>0</v>
      </c>
      <c r="H730" s="30">
        <f>ROUND(F730*AE730,2)</f>
        <v>0</v>
      </c>
      <c r="I730" s="30">
        <f>J730-H730</f>
        <v>0</v>
      </c>
      <c r="J730" s="30">
        <f>ROUND(F730*G730,2)</f>
        <v>0</v>
      </c>
      <c r="K730" s="30">
        <v>1.61E-2</v>
      </c>
      <c r="L730" s="30">
        <f>F730*K730</f>
        <v>0.464646</v>
      </c>
      <c r="M730" s="31" t="s">
        <v>2292</v>
      </c>
      <c r="N730" s="31" t="s">
        <v>59</v>
      </c>
      <c r="O730" s="30">
        <f>IF(N730="5",I730,0)</f>
        <v>0</v>
      </c>
      <c r="Z730" s="30">
        <f>IF(AD730=0,J730,0)</f>
        <v>0</v>
      </c>
      <c r="AA730" s="30">
        <f>IF(AD730=15,J730,0)</f>
        <v>0</v>
      </c>
      <c r="AB730" s="30">
        <f>IF(AD730=21,J730,0)</f>
        <v>0</v>
      </c>
      <c r="AD730" s="32">
        <v>21</v>
      </c>
      <c r="AE730" s="32">
        <f>G730*0.787221324717286</f>
        <v>0</v>
      </c>
      <c r="AF730" s="32">
        <f>G730*(1-0.787221324717286)</f>
        <v>0</v>
      </c>
      <c r="AM730" s="32">
        <f>F730*AE730</f>
        <v>0</v>
      </c>
      <c r="AN730" s="32">
        <f>F730*AF730</f>
        <v>0</v>
      </c>
      <c r="AO730" s="33" t="s">
        <v>78</v>
      </c>
      <c r="AP730" s="33" t="s">
        <v>79</v>
      </c>
      <c r="AQ730" s="21" t="s">
        <v>512</v>
      </c>
    </row>
    <row r="731" spans="1:43" x14ac:dyDescent="0.25">
      <c r="C731" s="34" t="s">
        <v>63</v>
      </c>
      <c r="D731" s="340" t="s">
        <v>2280</v>
      </c>
      <c r="E731" s="341"/>
      <c r="F731" s="341"/>
      <c r="G731" s="341"/>
      <c r="H731" s="341"/>
      <c r="I731" s="341"/>
      <c r="J731" s="341"/>
      <c r="K731" s="341"/>
      <c r="L731" s="341"/>
      <c r="M731" s="341"/>
    </row>
    <row r="732" spans="1:43" x14ac:dyDescent="0.25">
      <c r="A732" s="26"/>
      <c r="B732" s="27" t="s">
        <v>510</v>
      </c>
      <c r="C732" s="27" t="s">
        <v>80</v>
      </c>
      <c r="D732" s="338" t="s">
        <v>81</v>
      </c>
      <c r="E732" s="339"/>
      <c r="F732" s="339"/>
      <c r="G732" s="339"/>
      <c r="H732" s="28">
        <f>SUM(H733:H733)</f>
        <v>0</v>
      </c>
      <c r="I732" s="28">
        <f>SUM(I733:I733)</f>
        <v>0</v>
      </c>
      <c r="J732" s="28">
        <f>H732+I732</f>
        <v>0</v>
      </c>
      <c r="K732" s="21"/>
      <c r="L732" s="28">
        <f>SUM(L733:L733)</f>
        <v>0.1171716</v>
      </c>
      <c r="M732" s="21"/>
      <c r="P732" s="28">
        <f>IF(Q732="PR",J732,SUM(O733:O733))</f>
        <v>0</v>
      </c>
      <c r="Q732" s="21" t="s">
        <v>75</v>
      </c>
      <c r="R732" s="28">
        <f>IF(Q732="HS",H732,0)</f>
        <v>0</v>
      </c>
      <c r="S732" s="28">
        <f>IF(Q732="HS",I732-P732,0)</f>
        <v>0</v>
      </c>
      <c r="T732" s="28">
        <f>IF(Q732="PS",H732,0)</f>
        <v>0</v>
      </c>
      <c r="U732" s="28">
        <f>IF(Q732="PS",I732-P732,0)</f>
        <v>0</v>
      </c>
      <c r="V732" s="28">
        <f>IF(Q732="MP",H732,0)</f>
        <v>0</v>
      </c>
      <c r="W732" s="28">
        <f>IF(Q732="MP",I732-P732,0)</f>
        <v>0</v>
      </c>
      <c r="X732" s="28">
        <f>IF(Q732="OM",H732,0)</f>
        <v>0</v>
      </c>
      <c r="Y732" s="21" t="s">
        <v>510</v>
      </c>
      <c r="AI732" s="28">
        <f>SUM(Z733:Z733)</f>
        <v>0</v>
      </c>
      <c r="AJ732" s="28">
        <f>SUM(AA733:AA733)</f>
        <v>0</v>
      </c>
      <c r="AK732" s="28">
        <f>SUM(AB733:AB733)</f>
        <v>0</v>
      </c>
    </row>
    <row r="733" spans="1:43" x14ac:dyDescent="0.25">
      <c r="A733" s="29" t="s">
        <v>516</v>
      </c>
      <c r="B733" s="29" t="s">
        <v>510</v>
      </c>
      <c r="C733" s="29" t="s">
        <v>83</v>
      </c>
      <c r="D733" s="29" t="s">
        <v>84</v>
      </c>
      <c r="E733" s="29" t="s">
        <v>58</v>
      </c>
      <c r="F733" s="30">
        <v>28.86</v>
      </c>
      <c r="G733" s="317">
        <v>0</v>
      </c>
      <c r="H733" s="30">
        <f>ROUND(F733*AE733,2)</f>
        <v>0</v>
      </c>
      <c r="I733" s="30">
        <f>J733-H733</f>
        <v>0</v>
      </c>
      <c r="J733" s="30">
        <f>ROUND(F733*G733,2)</f>
        <v>0</v>
      </c>
      <c r="K733" s="30">
        <v>4.0600000000000002E-3</v>
      </c>
      <c r="L733" s="30">
        <f>F733*K733</f>
        <v>0.1171716</v>
      </c>
      <c r="M733" s="31" t="s">
        <v>2292</v>
      </c>
      <c r="N733" s="31" t="s">
        <v>59</v>
      </c>
      <c r="O733" s="30">
        <f>IF(N733="5",I733,0)</f>
        <v>0</v>
      </c>
      <c r="Z733" s="30">
        <f>IF(AD733=0,J733,0)</f>
        <v>0</v>
      </c>
      <c r="AA733" s="30">
        <f>IF(AD733=15,J733,0)</f>
        <v>0</v>
      </c>
      <c r="AB733" s="30">
        <f>IF(AD733=21,J733,0)</f>
        <v>0</v>
      </c>
      <c r="AD733" s="32">
        <v>21</v>
      </c>
      <c r="AE733" s="32">
        <f>G733*0.67230605738576</f>
        <v>0</v>
      </c>
      <c r="AF733" s="32">
        <f>G733*(1-0.67230605738576)</f>
        <v>0</v>
      </c>
      <c r="AM733" s="32">
        <f>F733*AE733</f>
        <v>0</v>
      </c>
      <c r="AN733" s="32">
        <f>F733*AF733</f>
        <v>0</v>
      </c>
      <c r="AO733" s="33" t="s">
        <v>85</v>
      </c>
      <c r="AP733" s="33" t="s">
        <v>79</v>
      </c>
      <c r="AQ733" s="21" t="s">
        <v>512</v>
      </c>
    </row>
    <row r="734" spans="1:43" x14ac:dyDescent="0.25">
      <c r="A734" s="26"/>
      <c r="B734" s="27" t="s">
        <v>510</v>
      </c>
      <c r="C734" s="27" t="s">
        <v>86</v>
      </c>
      <c r="D734" s="338" t="s">
        <v>87</v>
      </c>
      <c r="E734" s="339"/>
      <c r="F734" s="339"/>
      <c r="G734" s="339"/>
      <c r="H734" s="28">
        <f>SUM(H735:H735)</f>
        <v>0</v>
      </c>
      <c r="I734" s="28">
        <f>SUM(I735:I735)</f>
        <v>0</v>
      </c>
      <c r="J734" s="28">
        <f>H734+I734</f>
        <v>0</v>
      </c>
      <c r="K734" s="21"/>
      <c r="L734" s="28">
        <f>SUM(L735:L735)</f>
        <v>1.08E-3</v>
      </c>
      <c r="M734" s="21"/>
      <c r="P734" s="28">
        <f>IF(Q734="PR",J734,SUM(O735:O735))</f>
        <v>0</v>
      </c>
      <c r="Q734" s="21" t="s">
        <v>75</v>
      </c>
      <c r="R734" s="28">
        <f>IF(Q734="HS",H734,0)</f>
        <v>0</v>
      </c>
      <c r="S734" s="28">
        <f>IF(Q734="HS",I734-P734,0)</f>
        <v>0</v>
      </c>
      <c r="T734" s="28">
        <f>IF(Q734="PS",H734,0)</f>
        <v>0</v>
      </c>
      <c r="U734" s="28">
        <f>IF(Q734="PS",I734-P734,0)</f>
        <v>0</v>
      </c>
      <c r="V734" s="28">
        <f>IF(Q734="MP",H734,0)</f>
        <v>0</v>
      </c>
      <c r="W734" s="28">
        <f>IF(Q734="MP",I734-P734,0)</f>
        <v>0</v>
      </c>
      <c r="X734" s="28">
        <f>IF(Q734="OM",H734,0)</f>
        <v>0</v>
      </c>
      <c r="Y734" s="21" t="s">
        <v>510</v>
      </c>
      <c r="AI734" s="28">
        <f>SUM(Z735:Z735)</f>
        <v>0</v>
      </c>
      <c r="AJ734" s="28">
        <f>SUM(AA735:AA735)</f>
        <v>0</v>
      </c>
      <c r="AK734" s="28">
        <f>SUM(AB735:AB735)</f>
        <v>0</v>
      </c>
    </row>
    <row r="735" spans="1:43" x14ac:dyDescent="0.25">
      <c r="A735" s="29" t="s">
        <v>517</v>
      </c>
      <c r="B735" s="29" t="s">
        <v>510</v>
      </c>
      <c r="C735" s="29" t="s">
        <v>89</v>
      </c>
      <c r="D735" s="29" t="s">
        <v>90</v>
      </c>
      <c r="E735" s="29" t="s">
        <v>58</v>
      </c>
      <c r="F735" s="30">
        <v>4</v>
      </c>
      <c r="G735" s="317">
        <v>0</v>
      </c>
      <c r="H735" s="30">
        <f>ROUND(F735*AE735,2)</f>
        <v>0</v>
      </c>
      <c r="I735" s="30">
        <f>J735-H735</f>
        <v>0</v>
      </c>
      <c r="J735" s="30">
        <f>ROUND(F735*G735,2)</f>
        <v>0</v>
      </c>
      <c r="K735" s="30">
        <v>2.7E-4</v>
      </c>
      <c r="L735" s="30">
        <f>F735*K735</f>
        <v>1.08E-3</v>
      </c>
      <c r="M735" s="31" t="s">
        <v>2292</v>
      </c>
      <c r="N735" s="31" t="s">
        <v>59</v>
      </c>
      <c r="O735" s="30">
        <f>IF(N735="5",I735,0)</f>
        <v>0</v>
      </c>
      <c r="Z735" s="30">
        <f>IF(AD735=0,J735,0)</f>
        <v>0</v>
      </c>
      <c r="AA735" s="30">
        <f>IF(AD735=15,J735,0)</f>
        <v>0</v>
      </c>
      <c r="AB735" s="30">
        <f>IF(AD735=21,J735,0)</f>
        <v>0</v>
      </c>
      <c r="AD735" s="32">
        <v>21</v>
      </c>
      <c r="AE735" s="32">
        <f>G735*0.186098187625859</f>
        <v>0</v>
      </c>
      <c r="AF735" s="32">
        <f>G735*(1-0.186098187625859)</f>
        <v>0</v>
      </c>
      <c r="AM735" s="32">
        <f>F735*AE735</f>
        <v>0</v>
      </c>
      <c r="AN735" s="32">
        <f>F735*AF735</f>
        <v>0</v>
      </c>
      <c r="AO735" s="33" t="s">
        <v>91</v>
      </c>
      <c r="AP735" s="33" t="s">
        <v>92</v>
      </c>
      <c r="AQ735" s="21" t="s">
        <v>512</v>
      </c>
    </row>
    <row r="736" spans="1:43" x14ac:dyDescent="0.25">
      <c r="A736" s="26"/>
      <c r="B736" s="27" t="s">
        <v>510</v>
      </c>
      <c r="C736" s="27" t="s">
        <v>93</v>
      </c>
      <c r="D736" s="338" t="s">
        <v>94</v>
      </c>
      <c r="E736" s="339"/>
      <c r="F736" s="339"/>
      <c r="G736" s="339"/>
      <c r="H736" s="28">
        <f>SUM(H737:H737)</f>
        <v>0</v>
      </c>
      <c r="I736" s="28">
        <f>SUM(I737:I737)</f>
        <v>0</v>
      </c>
      <c r="J736" s="28">
        <f>H736+I736</f>
        <v>0</v>
      </c>
      <c r="K736" s="21"/>
      <c r="L736" s="28">
        <f>SUM(L737:L737)</f>
        <v>6.723599999999999E-2</v>
      </c>
      <c r="M736" s="21"/>
      <c r="P736" s="28">
        <f>IF(Q736="PR",J736,SUM(O737:O737))</f>
        <v>0</v>
      </c>
      <c r="Q736" s="21" t="s">
        <v>75</v>
      </c>
      <c r="R736" s="28">
        <f>IF(Q736="HS",H736,0)</f>
        <v>0</v>
      </c>
      <c r="S736" s="28">
        <f>IF(Q736="HS",I736-P736,0)</f>
        <v>0</v>
      </c>
      <c r="T736" s="28">
        <f>IF(Q736="PS",H736,0)</f>
        <v>0</v>
      </c>
      <c r="U736" s="28">
        <f>IF(Q736="PS",I736-P736,0)</f>
        <v>0</v>
      </c>
      <c r="V736" s="28">
        <f>IF(Q736="MP",H736,0)</f>
        <v>0</v>
      </c>
      <c r="W736" s="28">
        <f>IF(Q736="MP",I736-P736,0)</f>
        <v>0</v>
      </c>
      <c r="X736" s="28">
        <f>IF(Q736="OM",H736,0)</f>
        <v>0</v>
      </c>
      <c r="Y736" s="21" t="s">
        <v>510</v>
      </c>
      <c r="AI736" s="28">
        <f>SUM(Z737:Z737)</f>
        <v>0</v>
      </c>
      <c r="AJ736" s="28">
        <f>SUM(AA737:AA737)</f>
        <v>0</v>
      </c>
      <c r="AK736" s="28">
        <f>SUM(AB737:AB737)</f>
        <v>0</v>
      </c>
    </row>
    <row r="737" spans="1:43" x14ac:dyDescent="0.25">
      <c r="A737" s="29" t="s">
        <v>518</v>
      </c>
      <c r="B737" s="29" t="s">
        <v>510</v>
      </c>
      <c r="C737" s="29" t="s">
        <v>96</v>
      </c>
      <c r="D737" s="29" t="s">
        <v>97</v>
      </c>
      <c r="E737" s="29" t="s">
        <v>58</v>
      </c>
      <c r="F737" s="30">
        <v>103.44</v>
      </c>
      <c r="G737" s="317">
        <v>0</v>
      </c>
      <c r="H737" s="30">
        <f>ROUND(F737*AE737,2)</f>
        <v>0</v>
      </c>
      <c r="I737" s="30">
        <f>J737-H737</f>
        <v>0</v>
      </c>
      <c r="J737" s="30">
        <f>ROUND(F737*G737,2)</f>
        <v>0</v>
      </c>
      <c r="K737" s="30">
        <v>6.4999999999999997E-4</v>
      </c>
      <c r="L737" s="30">
        <f>F737*K737</f>
        <v>6.723599999999999E-2</v>
      </c>
      <c r="M737" s="31" t="s">
        <v>2292</v>
      </c>
      <c r="N737" s="31" t="s">
        <v>59</v>
      </c>
      <c r="O737" s="30">
        <f>IF(N737="5",I737,0)</f>
        <v>0</v>
      </c>
      <c r="Z737" s="30">
        <f>IF(AD737=0,J737,0)</f>
        <v>0</v>
      </c>
      <c r="AA737" s="30">
        <f>IF(AD737=15,J737,0)</f>
        <v>0</v>
      </c>
      <c r="AB737" s="30">
        <f>IF(AD737=21,J737,0)</f>
        <v>0</v>
      </c>
      <c r="AD737" s="32">
        <v>21</v>
      </c>
      <c r="AE737" s="32">
        <f>G737*0.333747476316198</f>
        <v>0</v>
      </c>
      <c r="AF737" s="32">
        <f>G737*(1-0.333747476316198)</f>
        <v>0</v>
      </c>
      <c r="AM737" s="32">
        <f>F737*AE737</f>
        <v>0</v>
      </c>
      <c r="AN737" s="32">
        <f>F737*AF737</f>
        <v>0</v>
      </c>
      <c r="AO737" s="33" t="s">
        <v>98</v>
      </c>
      <c r="AP737" s="33" t="s">
        <v>92</v>
      </c>
      <c r="AQ737" s="21" t="s">
        <v>512</v>
      </c>
    </row>
    <row r="738" spans="1:43" x14ac:dyDescent="0.25">
      <c r="A738" s="26"/>
      <c r="B738" s="27" t="s">
        <v>510</v>
      </c>
      <c r="C738" s="27" t="s">
        <v>99</v>
      </c>
      <c r="D738" s="338" t="s">
        <v>100</v>
      </c>
      <c r="E738" s="339"/>
      <c r="F738" s="339"/>
      <c r="G738" s="339"/>
      <c r="H738" s="28">
        <f>SUM(H739:H739)</f>
        <v>0</v>
      </c>
      <c r="I738" s="28">
        <f>SUM(I739:I739)</f>
        <v>0</v>
      </c>
      <c r="J738" s="28">
        <f>H738+I738</f>
        <v>0</v>
      </c>
      <c r="K738" s="21"/>
      <c r="L738" s="28">
        <f>SUM(L739:L739)</f>
        <v>0</v>
      </c>
      <c r="M738" s="21"/>
      <c r="P738" s="28">
        <f>IF(Q738="PR",J738,SUM(O739:O739))</f>
        <v>0</v>
      </c>
      <c r="Q738" s="21" t="s">
        <v>54</v>
      </c>
      <c r="R738" s="28">
        <f>IF(Q738="HS",H738,0)</f>
        <v>0</v>
      </c>
      <c r="S738" s="28">
        <f>IF(Q738="HS",I738-P738,0)</f>
        <v>0</v>
      </c>
      <c r="T738" s="28">
        <f>IF(Q738="PS",H738,0)</f>
        <v>0</v>
      </c>
      <c r="U738" s="28">
        <f>IF(Q738="PS",I738-P738,0)</f>
        <v>0</v>
      </c>
      <c r="V738" s="28">
        <f>IF(Q738="MP",H738,0)</f>
        <v>0</v>
      </c>
      <c r="W738" s="28">
        <f>IF(Q738="MP",I738-P738,0)</f>
        <v>0</v>
      </c>
      <c r="X738" s="28">
        <f>IF(Q738="OM",H738,0)</f>
        <v>0</v>
      </c>
      <c r="Y738" s="21" t="s">
        <v>510</v>
      </c>
      <c r="AI738" s="28">
        <f>SUM(Z739:Z739)</f>
        <v>0</v>
      </c>
      <c r="AJ738" s="28">
        <f>SUM(AA739:AA739)</f>
        <v>0</v>
      </c>
      <c r="AK738" s="28">
        <f>SUM(AB739:AB739)</f>
        <v>0</v>
      </c>
    </row>
    <row r="739" spans="1:43" x14ac:dyDescent="0.25">
      <c r="A739" s="29" t="s">
        <v>519</v>
      </c>
      <c r="B739" s="29" t="s">
        <v>510</v>
      </c>
      <c r="C739" s="29" t="s">
        <v>102</v>
      </c>
      <c r="D739" s="29" t="s">
        <v>103</v>
      </c>
      <c r="E739" s="29" t="s">
        <v>104</v>
      </c>
      <c r="F739" s="30">
        <v>6</v>
      </c>
      <c r="G739" s="317">
        <v>0</v>
      </c>
      <c r="H739" s="30">
        <f>ROUND(F739*AE739,2)</f>
        <v>0</v>
      </c>
      <c r="I739" s="30">
        <f>J739-H739</f>
        <v>0</v>
      </c>
      <c r="J739" s="30">
        <f>ROUND(F739*G739,2)</f>
        <v>0</v>
      </c>
      <c r="K739" s="30">
        <v>0</v>
      </c>
      <c r="L739" s="30">
        <f>F739*K739</f>
        <v>0</v>
      </c>
      <c r="M739" s="31" t="s">
        <v>2292</v>
      </c>
      <c r="N739" s="31" t="s">
        <v>55</v>
      </c>
      <c r="O739" s="30">
        <f>IF(N739="5",I739,0)</f>
        <v>0</v>
      </c>
      <c r="Z739" s="30">
        <f>IF(AD739=0,J739,0)</f>
        <v>0</v>
      </c>
      <c r="AA739" s="30">
        <f>IF(AD739=15,J739,0)</f>
        <v>0</v>
      </c>
      <c r="AB739" s="30">
        <f>IF(AD739=21,J739,0)</f>
        <v>0</v>
      </c>
      <c r="AD739" s="32">
        <v>21</v>
      </c>
      <c r="AE739" s="32">
        <f>G739*0</f>
        <v>0</v>
      </c>
      <c r="AF739" s="32">
        <f>G739*(1-0)</f>
        <v>0</v>
      </c>
      <c r="AM739" s="32">
        <f>F739*AE739</f>
        <v>0</v>
      </c>
      <c r="AN739" s="32">
        <f>F739*AF739</f>
        <v>0</v>
      </c>
      <c r="AO739" s="33" t="s">
        <v>105</v>
      </c>
      <c r="AP739" s="33" t="s">
        <v>106</v>
      </c>
      <c r="AQ739" s="21" t="s">
        <v>512</v>
      </c>
    </row>
    <row r="740" spans="1:43" x14ac:dyDescent="0.25">
      <c r="C740" s="34" t="s">
        <v>63</v>
      </c>
      <c r="D740" s="340" t="s">
        <v>107</v>
      </c>
      <c r="E740" s="341"/>
      <c r="F740" s="341"/>
      <c r="G740" s="341"/>
      <c r="H740" s="341"/>
      <c r="I740" s="341"/>
      <c r="J740" s="341"/>
      <c r="K740" s="341"/>
      <c r="L740" s="341"/>
      <c r="M740" s="341"/>
    </row>
    <row r="741" spans="1:43" x14ac:dyDescent="0.25">
      <c r="A741" s="26"/>
      <c r="B741" s="27" t="s">
        <v>520</v>
      </c>
      <c r="C741" s="27"/>
      <c r="D741" s="338" t="s">
        <v>520</v>
      </c>
      <c r="E741" s="339"/>
      <c r="F741" s="339"/>
      <c r="G741" s="339"/>
      <c r="H741" s="28">
        <f>H742+H744+H751+H753+H755+H758+H760+H765+H767+H769</f>
        <v>0</v>
      </c>
      <c r="I741" s="28">
        <f>I742+I744+I751+I753+I755+I758+I760+I765+I767+I769</f>
        <v>0</v>
      </c>
      <c r="J741" s="28">
        <f>H741+I741</f>
        <v>0</v>
      </c>
      <c r="K741" s="21"/>
      <c r="L741" s="28">
        <f>L742+L744+L751+L753+L755+L758+L760+L765+L767+L769</f>
        <v>3.1368821000000002</v>
      </c>
      <c r="M741" s="21"/>
    </row>
    <row r="742" spans="1:43" x14ac:dyDescent="0.25">
      <c r="A742" s="26"/>
      <c r="B742" s="27" t="s">
        <v>520</v>
      </c>
      <c r="C742" s="27" t="s">
        <v>166</v>
      </c>
      <c r="D742" s="338" t="s">
        <v>167</v>
      </c>
      <c r="E742" s="339"/>
      <c r="F742" s="339"/>
      <c r="G742" s="339"/>
      <c r="H742" s="28">
        <f>SUM(H743:H743)</f>
        <v>0</v>
      </c>
      <c r="I742" s="28">
        <f>SUM(I743:I743)</f>
        <v>0</v>
      </c>
      <c r="J742" s="28">
        <f>H742+I742</f>
        <v>0</v>
      </c>
      <c r="K742" s="21"/>
      <c r="L742" s="28">
        <f>SUM(L743:L743)</f>
        <v>5.04E-2</v>
      </c>
      <c r="M742" s="21"/>
      <c r="P742" s="28">
        <f>IF(Q742="PR",J742,SUM(O743:O743))</f>
        <v>0</v>
      </c>
      <c r="Q742" s="21" t="s">
        <v>54</v>
      </c>
      <c r="R742" s="28">
        <f>IF(Q742="HS",H742,0)</f>
        <v>0</v>
      </c>
      <c r="S742" s="28">
        <f>IF(Q742="HS",I742-P742,0)</f>
        <v>0</v>
      </c>
      <c r="T742" s="28">
        <f>IF(Q742="PS",H742,0)</f>
        <v>0</v>
      </c>
      <c r="U742" s="28">
        <f>IF(Q742="PS",I742-P742,0)</f>
        <v>0</v>
      </c>
      <c r="V742" s="28">
        <f>IF(Q742="MP",H742,0)</f>
        <v>0</v>
      </c>
      <c r="W742" s="28">
        <f>IF(Q742="MP",I742-P742,0)</f>
        <v>0</v>
      </c>
      <c r="X742" s="28">
        <f>IF(Q742="OM",H742,0)</f>
        <v>0</v>
      </c>
      <c r="Y742" s="21" t="s">
        <v>520</v>
      </c>
      <c r="AI742" s="28">
        <f>SUM(Z743:Z743)</f>
        <v>0</v>
      </c>
      <c r="AJ742" s="28">
        <f>SUM(AA743:AA743)</f>
        <v>0</v>
      </c>
      <c r="AK742" s="28">
        <f>SUM(AB743:AB743)</f>
        <v>0</v>
      </c>
    </row>
    <row r="743" spans="1:43" x14ac:dyDescent="0.25">
      <c r="A743" s="29" t="s">
        <v>521</v>
      </c>
      <c r="B743" s="29" t="s">
        <v>520</v>
      </c>
      <c r="C743" s="29" t="s">
        <v>169</v>
      </c>
      <c r="D743" s="29" t="s">
        <v>170</v>
      </c>
      <c r="E743" s="29" t="s">
        <v>58</v>
      </c>
      <c r="F743" s="30">
        <v>4.2</v>
      </c>
      <c r="G743" s="317">
        <v>0</v>
      </c>
      <c r="H743" s="30">
        <f>ROUND(F743*AE743,2)</f>
        <v>0</v>
      </c>
      <c r="I743" s="30">
        <f>J743-H743</f>
        <v>0</v>
      </c>
      <c r="J743" s="30">
        <f>ROUND(F743*G743,2)</f>
        <v>0</v>
      </c>
      <c r="K743" s="30">
        <v>1.2E-2</v>
      </c>
      <c r="L743" s="30">
        <f>F743*K743</f>
        <v>5.04E-2</v>
      </c>
      <c r="M743" s="31"/>
      <c r="N743" s="31" t="s">
        <v>55</v>
      </c>
      <c r="O743" s="30">
        <f>IF(N743="5",I743,0)</f>
        <v>0</v>
      </c>
      <c r="Z743" s="30">
        <f>IF(AD743=0,J743,0)</f>
        <v>0</v>
      </c>
      <c r="AA743" s="30">
        <f>IF(AD743=15,J743,0)</f>
        <v>0</v>
      </c>
      <c r="AB743" s="30">
        <f>IF(AD743=21,J743,0)</f>
        <v>0</v>
      </c>
      <c r="AD743" s="32">
        <v>21</v>
      </c>
      <c r="AE743" s="32">
        <f>G743*0.381443298969072</f>
        <v>0</v>
      </c>
      <c r="AF743" s="32">
        <f>G743*(1-0.381443298969072)</f>
        <v>0</v>
      </c>
      <c r="AM743" s="32">
        <f>F743*AE743</f>
        <v>0</v>
      </c>
      <c r="AN743" s="32">
        <f>F743*AF743</f>
        <v>0</v>
      </c>
      <c r="AO743" s="33" t="s">
        <v>171</v>
      </c>
      <c r="AP743" s="33" t="s">
        <v>171</v>
      </c>
      <c r="AQ743" s="21" t="s">
        <v>522</v>
      </c>
    </row>
    <row r="744" spans="1:43" x14ac:dyDescent="0.25">
      <c r="A744" s="26"/>
      <c r="B744" s="27" t="s">
        <v>520</v>
      </c>
      <c r="C744" s="27" t="s">
        <v>52</v>
      </c>
      <c r="D744" s="338" t="s">
        <v>53</v>
      </c>
      <c r="E744" s="339"/>
      <c r="F744" s="339"/>
      <c r="G744" s="339"/>
      <c r="H744" s="28">
        <f>SUM(H745:H749)</f>
        <v>0</v>
      </c>
      <c r="I744" s="28">
        <f>SUM(I745:I749)</f>
        <v>0</v>
      </c>
      <c r="J744" s="28">
        <f>H744+I744</f>
        <v>0</v>
      </c>
      <c r="K744" s="21"/>
      <c r="L744" s="28">
        <f>SUM(L745:L749)</f>
        <v>1.2176404000000001</v>
      </c>
      <c r="M744" s="21"/>
      <c r="P744" s="28">
        <f>IF(Q744="PR",J744,SUM(O745:O749))</f>
        <v>0</v>
      </c>
      <c r="Q744" s="21" t="s">
        <v>54</v>
      </c>
      <c r="R744" s="28">
        <f>IF(Q744="HS",H744,0)</f>
        <v>0</v>
      </c>
      <c r="S744" s="28">
        <f>IF(Q744="HS",I744-P744,0)</f>
        <v>0</v>
      </c>
      <c r="T744" s="28">
        <f>IF(Q744="PS",H744,0)</f>
        <v>0</v>
      </c>
      <c r="U744" s="28">
        <f>IF(Q744="PS",I744-P744,0)</f>
        <v>0</v>
      </c>
      <c r="V744" s="28">
        <f>IF(Q744="MP",H744,0)</f>
        <v>0</v>
      </c>
      <c r="W744" s="28">
        <f>IF(Q744="MP",I744-P744,0)</f>
        <v>0</v>
      </c>
      <c r="X744" s="28">
        <f>IF(Q744="OM",H744,0)</f>
        <v>0</v>
      </c>
      <c r="Y744" s="21" t="s">
        <v>520</v>
      </c>
      <c r="AI744" s="28">
        <f>SUM(Z745:Z749)</f>
        <v>0</v>
      </c>
      <c r="AJ744" s="28">
        <f>SUM(AA745:AA749)</f>
        <v>0</v>
      </c>
      <c r="AK744" s="28">
        <f>SUM(AB745:AB749)</f>
        <v>0</v>
      </c>
    </row>
    <row r="745" spans="1:43" x14ac:dyDescent="0.25">
      <c r="A745" s="29" t="s">
        <v>523</v>
      </c>
      <c r="B745" s="29" t="s">
        <v>520</v>
      </c>
      <c r="C745" s="29" t="s">
        <v>56</v>
      </c>
      <c r="D745" s="29" t="s">
        <v>57</v>
      </c>
      <c r="E745" s="29" t="s">
        <v>58</v>
      </c>
      <c r="F745" s="30">
        <v>49.34</v>
      </c>
      <c r="G745" s="317">
        <v>0</v>
      </c>
      <c r="H745" s="30">
        <f>ROUND(F745*AE745,2)</f>
        <v>0</v>
      </c>
      <c r="I745" s="30">
        <f>J745-H745</f>
        <v>0</v>
      </c>
      <c r="J745" s="30">
        <f>ROUND(F745*G745,2)</f>
        <v>0</v>
      </c>
      <c r="K745" s="30">
        <v>1.001E-2</v>
      </c>
      <c r="L745" s="30">
        <f>F745*K745</f>
        <v>0.49389340000000004</v>
      </c>
      <c r="M745" s="31" t="s">
        <v>2292</v>
      </c>
      <c r="N745" s="31" t="s">
        <v>59</v>
      </c>
      <c r="O745" s="30">
        <f>IF(N745="5",I745,0)</f>
        <v>0</v>
      </c>
      <c r="Z745" s="30">
        <f>IF(AD745=0,J745,0)</f>
        <v>0</v>
      </c>
      <c r="AA745" s="30">
        <f>IF(AD745=15,J745,0)</f>
        <v>0</v>
      </c>
      <c r="AB745" s="30">
        <f>IF(AD745=21,J745,0)</f>
        <v>0</v>
      </c>
      <c r="AD745" s="32">
        <v>21</v>
      </c>
      <c r="AE745" s="32">
        <f>G745*0.0756575801052128</f>
        <v>0</v>
      </c>
      <c r="AF745" s="32">
        <f>G745*(1-0.0756575801052128)</f>
        <v>0</v>
      </c>
      <c r="AM745" s="32">
        <f>F745*AE745</f>
        <v>0</v>
      </c>
      <c r="AN745" s="32">
        <f>F745*AF745</f>
        <v>0</v>
      </c>
      <c r="AO745" s="33" t="s">
        <v>60</v>
      </c>
      <c r="AP745" s="33" t="s">
        <v>61</v>
      </c>
      <c r="AQ745" s="21" t="s">
        <v>522</v>
      </c>
    </row>
    <row r="746" spans="1:43" ht="25.7" customHeight="1" x14ac:dyDescent="0.25">
      <c r="C746" s="34" t="s">
        <v>63</v>
      </c>
      <c r="D746" s="340" t="s">
        <v>64</v>
      </c>
      <c r="E746" s="341"/>
      <c r="F746" s="341"/>
      <c r="G746" s="341"/>
      <c r="H746" s="341"/>
      <c r="I746" s="341"/>
      <c r="J746" s="341"/>
      <c r="K746" s="341"/>
      <c r="L746" s="341"/>
      <c r="M746" s="341"/>
    </row>
    <row r="747" spans="1:43" x14ac:dyDescent="0.25">
      <c r="A747" s="29" t="s">
        <v>524</v>
      </c>
      <c r="B747" s="29" t="s">
        <v>520</v>
      </c>
      <c r="C747" s="29" t="s">
        <v>156</v>
      </c>
      <c r="D747" s="29" t="s">
        <v>2279</v>
      </c>
      <c r="E747" s="29" t="s">
        <v>58</v>
      </c>
      <c r="F747" s="30">
        <v>29.7</v>
      </c>
      <c r="G747" s="317">
        <v>0</v>
      </c>
      <c r="H747" s="30">
        <f>ROUND(F747*AE747,2)</f>
        <v>0</v>
      </c>
      <c r="I747" s="30">
        <f>J747-H747</f>
        <v>0</v>
      </c>
      <c r="J747" s="30">
        <f>ROUND(F747*G747,2)</f>
        <v>0</v>
      </c>
      <c r="K747" s="30">
        <v>2.0310000000000002E-2</v>
      </c>
      <c r="L747" s="30">
        <f>F747*K747</f>
        <v>0.60320700000000005</v>
      </c>
      <c r="M747" s="31" t="s">
        <v>2292</v>
      </c>
      <c r="N747" s="31" t="s">
        <v>55</v>
      </c>
      <c r="O747" s="30">
        <f>IF(N747="5",I747,0)</f>
        <v>0</v>
      </c>
      <c r="Z747" s="30">
        <f>IF(AD747=0,J747,0)</f>
        <v>0</v>
      </c>
      <c r="AA747" s="30">
        <f>IF(AD747=15,J747,0)</f>
        <v>0</v>
      </c>
      <c r="AB747" s="30">
        <f>IF(AD747=21,J747,0)</f>
        <v>0</v>
      </c>
      <c r="AD747" s="32">
        <v>21</v>
      </c>
      <c r="AE747" s="32">
        <f>G747*0.423217647685695</f>
        <v>0</v>
      </c>
      <c r="AF747" s="32">
        <f>G747*(1-0.423217647685695)</f>
        <v>0</v>
      </c>
      <c r="AM747" s="32">
        <f>F747*AE747</f>
        <v>0</v>
      </c>
      <c r="AN747" s="32">
        <f>F747*AF747</f>
        <v>0</v>
      </c>
      <c r="AO747" s="33" t="s">
        <v>60</v>
      </c>
      <c r="AP747" s="33" t="s">
        <v>61</v>
      </c>
      <c r="AQ747" s="21" t="s">
        <v>522</v>
      </c>
    </row>
    <row r="748" spans="1:43" ht="25.7" customHeight="1" x14ac:dyDescent="0.25">
      <c r="C748" s="34" t="s">
        <v>63</v>
      </c>
      <c r="D748" s="340" t="s">
        <v>157</v>
      </c>
      <c r="E748" s="341"/>
      <c r="F748" s="341"/>
      <c r="G748" s="341"/>
      <c r="H748" s="341"/>
      <c r="I748" s="341"/>
      <c r="J748" s="341"/>
      <c r="K748" s="341"/>
      <c r="L748" s="341"/>
      <c r="M748" s="341"/>
    </row>
    <row r="749" spans="1:43" x14ac:dyDescent="0.25">
      <c r="A749" s="29" t="s">
        <v>525</v>
      </c>
      <c r="B749" s="29" t="s">
        <v>520</v>
      </c>
      <c r="C749" s="29" t="s">
        <v>66</v>
      </c>
      <c r="D749" s="29" t="s">
        <v>67</v>
      </c>
      <c r="E749" s="29" t="s">
        <v>58</v>
      </c>
      <c r="F749" s="30">
        <v>12.25</v>
      </c>
      <c r="G749" s="317">
        <v>0</v>
      </c>
      <c r="H749" s="30">
        <f>ROUND(F749*AE749,2)</f>
        <v>0</v>
      </c>
      <c r="I749" s="30">
        <f>J749-H749</f>
        <v>0</v>
      </c>
      <c r="J749" s="30">
        <f>ROUND(F749*G749,2)</f>
        <v>0</v>
      </c>
      <c r="K749" s="30">
        <v>9.8399999999999998E-3</v>
      </c>
      <c r="L749" s="30">
        <f>F749*K749</f>
        <v>0.12053999999999999</v>
      </c>
      <c r="M749" s="31" t="s">
        <v>2292</v>
      </c>
      <c r="N749" s="31" t="s">
        <v>59</v>
      </c>
      <c r="O749" s="30">
        <f>IF(N749="5",I749,0)</f>
        <v>0</v>
      </c>
      <c r="Z749" s="30">
        <f>IF(AD749=0,J749,0)</f>
        <v>0</v>
      </c>
      <c r="AA749" s="30">
        <f>IF(AD749=15,J749,0)</f>
        <v>0</v>
      </c>
      <c r="AB749" s="30">
        <f>IF(AD749=21,J749,0)</f>
        <v>0</v>
      </c>
      <c r="AD749" s="32">
        <v>21</v>
      </c>
      <c r="AE749" s="32">
        <f>G749*0.160304682766381</f>
        <v>0</v>
      </c>
      <c r="AF749" s="32">
        <f>G749*(1-0.160304682766381)</f>
        <v>0</v>
      </c>
      <c r="AM749" s="32">
        <f>F749*AE749</f>
        <v>0</v>
      </c>
      <c r="AN749" s="32">
        <f>F749*AF749</f>
        <v>0</v>
      </c>
      <c r="AO749" s="33" t="s">
        <v>60</v>
      </c>
      <c r="AP749" s="33" t="s">
        <v>61</v>
      </c>
      <c r="AQ749" s="21" t="s">
        <v>522</v>
      </c>
    </row>
    <row r="750" spans="1:43" ht="25.7" customHeight="1" x14ac:dyDescent="0.25">
      <c r="C750" s="34" t="s">
        <v>63</v>
      </c>
      <c r="D750" s="340" t="s">
        <v>64</v>
      </c>
      <c r="E750" s="341"/>
      <c r="F750" s="341"/>
      <c r="G750" s="341"/>
      <c r="H750" s="341"/>
      <c r="I750" s="341"/>
      <c r="J750" s="341"/>
      <c r="K750" s="341"/>
      <c r="L750" s="341"/>
      <c r="M750" s="341"/>
    </row>
    <row r="751" spans="1:43" x14ac:dyDescent="0.25">
      <c r="A751" s="26"/>
      <c r="B751" s="27" t="s">
        <v>520</v>
      </c>
      <c r="C751" s="27" t="s">
        <v>68</v>
      </c>
      <c r="D751" s="338" t="s">
        <v>69</v>
      </c>
      <c r="E751" s="339"/>
      <c r="F751" s="339"/>
      <c r="G751" s="339"/>
      <c r="H751" s="28">
        <f>SUM(H752:H752)</f>
        <v>0</v>
      </c>
      <c r="I751" s="28">
        <f>SUM(I752:I752)</f>
        <v>0</v>
      </c>
      <c r="J751" s="28">
        <f>H751+I751</f>
        <v>0</v>
      </c>
      <c r="K751" s="21"/>
      <c r="L751" s="28">
        <f>SUM(L752:L752)</f>
        <v>0.82236000000000009</v>
      </c>
      <c r="M751" s="21"/>
      <c r="P751" s="28">
        <f>IF(Q751="PR",J751,SUM(O752:O752))</f>
        <v>0</v>
      </c>
      <c r="Q751" s="21" t="s">
        <v>54</v>
      </c>
      <c r="R751" s="28">
        <f>IF(Q751="HS",H751,0)</f>
        <v>0</v>
      </c>
      <c r="S751" s="28">
        <f>IF(Q751="HS",I751-P751,0)</f>
        <v>0</v>
      </c>
      <c r="T751" s="28">
        <f>IF(Q751="PS",H751,0)</f>
        <v>0</v>
      </c>
      <c r="U751" s="28">
        <f>IF(Q751="PS",I751-P751,0)</f>
        <v>0</v>
      </c>
      <c r="V751" s="28">
        <f>IF(Q751="MP",H751,0)</f>
        <v>0</v>
      </c>
      <c r="W751" s="28">
        <f>IF(Q751="MP",I751-P751,0)</f>
        <v>0</v>
      </c>
      <c r="X751" s="28">
        <f>IF(Q751="OM",H751,0)</f>
        <v>0</v>
      </c>
      <c r="Y751" s="21" t="s">
        <v>520</v>
      </c>
      <c r="AI751" s="28">
        <f>SUM(Z752:Z752)</f>
        <v>0</v>
      </c>
      <c r="AJ751" s="28">
        <f>SUM(AA752:AA752)</f>
        <v>0</v>
      </c>
      <c r="AK751" s="28">
        <f>SUM(AB752:AB752)</f>
        <v>0</v>
      </c>
    </row>
    <row r="752" spans="1:43" x14ac:dyDescent="0.25">
      <c r="A752" s="29" t="s">
        <v>526</v>
      </c>
      <c r="B752" s="29" t="s">
        <v>520</v>
      </c>
      <c r="C752" s="29" t="s">
        <v>70</v>
      </c>
      <c r="D752" s="29" t="s">
        <v>71</v>
      </c>
      <c r="E752" s="29" t="s">
        <v>58</v>
      </c>
      <c r="F752" s="30">
        <v>16.5</v>
      </c>
      <c r="G752" s="317">
        <v>0</v>
      </c>
      <c r="H752" s="30">
        <f>ROUND(F752*AE752,2)</f>
        <v>0</v>
      </c>
      <c r="I752" s="30">
        <f>J752-H752</f>
        <v>0</v>
      </c>
      <c r="J752" s="30">
        <f>ROUND(F752*G752,2)</f>
        <v>0</v>
      </c>
      <c r="K752" s="30">
        <v>4.9840000000000002E-2</v>
      </c>
      <c r="L752" s="30">
        <f>F752*K752</f>
        <v>0.82236000000000009</v>
      </c>
      <c r="M752" s="31" t="s">
        <v>2292</v>
      </c>
      <c r="N752" s="31" t="s">
        <v>59</v>
      </c>
      <c r="O752" s="30">
        <f>IF(N752="5",I752,0)</f>
        <v>0</v>
      </c>
      <c r="Z752" s="30">
        <f>IF(AD752=0,J752,0)</f>
        <v>0</v>
      </c>
      <c r="AA752" s="30">
        <f>IF(AD752=15,J752,0)</f>
        <v>0</v>
      </c>
      <c r="AB752" s="30">
        <f>IF(AD752=21,J752,0)</f>
        <v>0</v>
      </c>
      <c r="AD752" s="32">
        <v>21</v>
      </c>
      <c r="AE752" s="32">
        <f>G752*0.411768721414431</f>
        <v>0</v>
      </c>
      <c r="AF752" s="32">
        <f>G752*(1-0.411768721414431)</f>
        <v>0</v>
      </c>
      <c r="AM752" s="32">
        <f>F752*AE752</f>
        <v>0</v>
      </c>
      <c r="AN752" s="32">
        <f>F752*AF752</f>
        <v>0</v>
      </c>
      <c r="AO752" s="33" t="s">
        <v>72</v>
      </c>
      <c r="AP752" s="33" t="s">
        <v>61</v>
      </c>
      <c r="AQ752" s="21" t="s">
        <v>522</v>
      </c>
    </row>
    <row r="753" spans="1:43" x14ac:dyDescent="0.25">
      <c r="A753" s="26"/>
      <c r="B753" s="27" t="s">
        <v>520</v>
      </c>
      <c r="C753" s="27" t="s">
        <v>527</v>
      </c>
      <c r="D753" s="338" t="s">
        <v>528</v>
      </c>
      <c r="E753" s="339"/>
      <c r="F753" s="339"/>
      <c r="G753" s="339"/>
      <c r="H753" s="28">
        <f>SUM(H754:H754)</f>
        <v>0</v>
      </c>
      <c r="I753" s="28">
        <f>SUM(I754:I754)</f>
        <v>0</v>
      </c>
      <c r="J753" s="28">
        <f>H753+I753</f>
        <v>0</v>
      </c>
      <c r="K753" s="21"/>
      <c r="L753" s="28">
        <f>SUM(L754:L754)</f>
        <v>3.8280000000000002E-2</v>
      </c>
      <c r="M753" s="21"/>
      <c r="P753" s="28">
        <f>IF(Q753="PR",J753,SUM(O754:O754))</f>
        <v>0</v>
      </c>
      <c r="Q753" s="21" t="s">
        <v>75</v>
      </c>
      <c r="R753" s="28">
        <f>IF(Q753="HS",H753,0)</f>
        <v>0</v>
      </c>
      <c r="S753" s="28">
        <f>IF(Q753="HS",I753-P753,0)</f>
        <v>0</v>
      </c>
      <c r="T753" s="28">
        <f>IF(Q753="PS",H753,0)</f>
        <v>0</v>
      </c>
      <c r="U753" s="28">
        <f>IF(Q753="PS",I753-P753,0)</f>
        <v>0</v>
      </c>
      <c r="V753" s="28">
        <f>IF(Q753="MP",H753,0)</f>
        <v>0</v>
      </c>
      <c r="W753" s="28">
        <f>IF(Q753="MP",I753-P753,0)</f>
        <v>0</v>
      </c>
      <c r="X753" s="28">
        <f>IF(Q753="OM",H753,0)</f>
        <v>0</v>
      </c>
      <c r="Y753" s="21" t="s">
        <v>520</v>
      </c>
      <c r="AI753" s="28">
        <f>SUM(Z754:Z754)</f>
        <v>0</v>
      </c>
      <c r="AJ753" s="28">
        <f>SUM(AA754:AA754)</f>
        <v>0</v>
      </c>
      <c r="AK753" s="28">
        <f>SUM(AB754:AB754)</f>
        <v>0</v>
      </c>
    </row>
    <row r="754" spans="1:43" x14ac:dyDescent="0.25">
      <c r="A754" s="29" t="s">
        <v>529</v>
      </c>
      <c r="B754" s="29" t="s">
        <v>520</v>
      </c>
      <c r="C754" s="29" t="s">
        <v>530</v>
      </c>
      <c r="D754" s="29" t="s">
        <v>531</v>
      </c>
      <c r="E754" s="29" t="s">
        <v>113</v>
      </c>
      <c r="F754" s="30">
        <v>1</v>
      </c>
      <c r="G754" s="317">
        <v>0</v>
      </c>
      <c r="H754" s="30">
        <f>ROUND(F754*AE754,2)</f>
        <v>0</v>
      </c>
      <c r="I754" s="30">
        <f>J754-H754</f>
        <v>0</v>
      </c>
      <c r="J754" s="30">
        <f>ROUND(F754*G754,2)</f>
        <v>0</v>
      </c>
      <c r="K754" s="30">
        <v>3.8280000000000002E-2</v>
      </c>
      <c r="L754" s="30">
        <f>F754*K754</f>
        <v>3.8280000000000002E-2</v>
      </c>
      <c r="M754" s="31" t="s">
        <v>2292</v>
      </c>
      <c r="N754" s="31" t="s">
        <v>59</v>
      </c>
      <c r="O754" s="30">
        <f>IF(N754="5",I754,0)</f>
        <v>0</v>
      </c>
      <c r="Z754" s="30">
        <f>IF(AD754=0,J754,0)</f>
        <v>0</v>
      </c>
      <c r="AA754" s="30">
        <f>IF(AD754=15,J754,0)</f>
        <v>0</v>
      </c>
      <c r="AB754" s="30">
        <f>IF(AD754=21,J754,0)</f>
        <v>0</v>
      </c>
      <c r="AD754" s="32">
        <v>21</v>
      </c>
      <c r="AE754" s="32">
        <f>G754*0.877792075647468</f>
        <v>0</v>
      </c>
      <c r="AF754" s="32">
        <f>G754*(1-0.877792075647468)</f>
        <v>0</v>
      </c>
      <c r="AM754" s="32">
        <f>F754*AE754</f>
        <v>0</v>
      </c>
      <c r="AN754" s="32">
        <f>F754*AF754</f>
        <v>0</v>
      </c>
      <c r="AO754" s="33" t="s">
        <v>532</v>
      </c>
      <c r="AP754" s="33" t="s">
        <v>533</v>
      </c>
      <c r="AQ754" s="21" t="s">
        <v>522</v>
      </c>
    </row>
    <row r="755" spans="1:43" x14ac:dyDescent="0.25">
      <c r="A755" s="26"/>
      <c r="B755" s="27" t="s">
        <v>520</v>
      </c>
      <c r="C755" s="27" t="s">
        <v>73</v>
      </c>
      <c r="D755" s="338" t="s">
        <v>74</v>
      </c>
      <c r="E755" s="339"/>
      <c r="F755" s="339"/>
      <c r="G755" s="339"/>
      <c r="H755" s="28">
        <f>SUM(H756:H756)</f>
        <v>0</v>
      </c>
      <c r="I755" s="28">
        <f>SUM(I756:I756)</f>
        <v>0</v>
      </c>
      <c r="J755" s="28">
        <f>H755+I755</f>
        <v>0</v>
      </c>
      <c r="K755" s="21"/>
      <c r="L755" s="28">
        <f>SUM(L756:L756)</f>
        <v>0.26565</v>
      </c>
      <c r="M755" s="21"/>
      <c r="P755" s="28">
        <f>IF(Q755="PR",J755,SUM(O756:O756))</f>
        <v>0</v>
      </c>
      <c r="Q755" s="21" t="s">
        <v>75</v>
      </c>
      <c r="R755" s="28">
        <f>IF(Q755="HS",H755,0)</f>
        <v>0</v>
      </c>
      <c r="S755" s="28">
        <f>IF(Q755="HS",I755-P755,0)</f>
        <v>0</v>
      </c>
      <c r="T755" s="28">
        <f>IF(Q755="PS",H755,0)</f>
        <v>0</v>
      </c>
      <c r="U755" s="28">
        <f>IF(Q755="PS",I755-P755,0)</f>
        <v>0</v>
      </c>
      <c r="V755" s="28">
        <f>IF(Q755="MP",H755,0)</f>
        <v>0</v>
      </c>
      <c r="W755" s="28">
        <f>IF(Q755="MP",I755-P755,0)</f>
        <v>0</v>
      </c>
      <c r="X755" s="28">
        <f>IF(Q755="OM",H755,0)</f>
        <v>0</v>
      </c>
      <c r="Y755" s="21" t="s">
        <v>520</v>
      </c>
      <c r="AI755" s="28">
        <f>SUM(Z756:Z756)</f>
        <v>0</v>
      </c>
      <c r="AJ755" s="28">
        <f>SUM(AA756:AA756)</f>
        <v>0</v>
      </c>
      <c r="AK755" s="28">
        <f>SUM(AB756:AB756)</f>
        <v>0</v>
      </c>
    </row>
    <row r="756" spans="1:43" x14ac:dyDescent="0.25">
      <c r="A756" s="29" t="s">
        <v>534</v>
      </c>
      <c r="B756" s="29" t="s">
        <v>520</v>
      </c>
      <c r="C756" s="29" t="s">
        <v>77</v>
      </c>
      <c r="D756" s="29" t="s">
        <v>2278</v>
      </c>
      <c r="E756" s="29" t="s">
        <v>58</v>
      </c>
      <c r="F756" s="30">
        <v>16.5</v>
      </c>
      <c r="G756" s="317">
        <v>0</v>
      </c>
      <c r="H756" s="30">
        <f>ROUND(F756*AE756,2)</f>
        <v>0</v>
      </c>
      <c r="I756" s="30">
        <f>J756-H756</f>
        <v>0</v>
      </c>
      <c r="J756" s="30">
        <f>ROUND(F756*G756,2)</f>
        <v>0</v>
      </c>
      <c r="K756" s="30">
        <v>1.61E-2</v>
      </c>
      <c r="L756" s="30">
        <f>F756*K756</f>
        <v>0.26565</v>
      </c>
      <c r="M756" s="31" t="s">
        <v>2292</v>
      </c>
      <c r="N756" s="31" t="s">
        <v>59</v>
      </c>
      <c r="O756" s="30">
        <f>IF(N756="5",I756,0)</f>
        <v>0</v>
      </c>
      <c r="Z756" s="30">
        <f>IF(AD756=0,J756,0)</f>
        <v>0</v>
      </c>
      <c r="AA756" s="30">
        <f>IF(AD756=15,J756,0)</f>
        <v>0</v>
      </c>
      <c r="AB756" s="30">
        <f>IF(AD756=21,J756,0)</f>
        <v>0</v>
      </c>
      <c r="AD756" s="32">
        <v>21</v>
      </c>
      <c r="AE756" s="32">
        <f>G756*0.787221324717286</f>
        <v>0</v>
      </c>
      <c r="AF756" s="32">
        <f>G756*(1-0.787221324717286)</f>
        <v>0</v>
      </c>
      <c r="AM756" s="32">
        <f>F756*AE756</f>
        <v>0</v>
      </c>
      <c r="AN756" s="32">
        <f>F756*AF756</f>
        <v>0</v>
      </c>
      <c r="AO756" s="33" t="s">
        <v>78</v>
      </c>
      <c r="AP756" s="33" t="s">
        <v>79</v>
      </c>
      <c r="AQ756" s="21" t="s">
        <v>522</v>
      </c>
    </row>
    <row r="757" spans="1:43" x14ac:dyDescent="0.25">
      <c r="C757" s="34" t="s">
        <v>63</v>
      </c>
      <c r="D757" s="340" t="s">
        <v>2280</v>
      </c>
      <c r="E757" s="341"/>
      <c r="F757" s="341"/>
      <c r="G757" s="341"/>
      <c r="H757" s="341"/>
      <c r="I757" s="341"/>
      <c r="J757" s="341"/>
      <c r="K757" s="341"/>
      <c r="L757" s="341"/>
      <c r="M757" s="341"/>
    </row>
    <row r="758" spans="1:43" x14ac:dyDescent="0.25">
      <c r="A758" s="26"/>
      <c r="B758" s="27" t="s">
        <v>520</v>
      </c>
      <c r="C758" s="27" t="s">
        <v>80</v>
      </c>
      <c r="D758" s="338" t="s">
        <v>81</v>
      </c>
      <c r="E758" s="339"/>
      <c r="F758" s="339"/>
      <c r="G758" s="339"/>
      <c r="H758" s="28">
        <f>SUM(H759:H759)</f>
        <v>0</v>
      </c>
      <c r="I758" s="28">
        <f>SUM(I759:I759)</f>
        <v>0</v>
      </c>
      <c r="J758" s="28">
        <f>H758+I758</f>
        <v>0</v>
      </c>
      <c r="K758" s="21"/>
      <c r="L758" s="28">
        <f>SUM(L759:L759)</f>
        <v>4.9735000000000001E-2</v>
      </c>
      <c r="M758" s="21"/>
      <c r="P758" s="28">
        <f>IF(Q758="PR",J758,SUM(O759:O759))</f>
        <v>0</v>
      </c>
      <c r="Q758" s="21" t="s">
        <v>75</v>
      </c>
      <c r="R758" s="28">
        <f>IF(Q758="HS",H758,0)</f>
        <v>0</v>
      </c>
      <c r="S758" s="28">
        <f>IF(Q758="HS",I758-P758,0)</f>
        <v>0</v>
      </c>
      <c r="T758" s="28">
        <f>IF(Q758="PS",H758,0)</f>
        <v>0</v>
      </c>
      <c r="U758" s="28">
        <f>IF(Q758="PS",I758-P758,0)</f>
        <v>0</v>
      </c>
      <c r="V758" s="28">
        <f>IF(Q758="MP",H758,0)</f>
        <v>0</v>
      </c>
      <c r="W758" s="28">
        <f>IF(Q758="MP",I758-P758,0)</f>
        <v>0</v>
      </c>
      <c r="X758" s="28">
        <f>IF(Q758="OM",H758,0)</f>
        <v>0</v>
      </c>
      <c r="Y758" s="21" t="s">
        <v>520</v>
      </c>
      <c r="AI758" s="28">
        <f>SUM(Z759:Z759)</f>
        <v>0</v>
      </c>
      <c r="AJ758" s="28">
        <f>SUM(AA759:AA759)</f>
        <v>0</v>
      </c>
      <c r="AK758" s="28">
        <f>SUM(AB759:AB759)</f>
        <v>0</v>
      </c>
    </row>
    <row r="759" spans="1:43" x14ac:dyDescent="0.25">
      <c r="A759" s="29" t="s">
        <v>535</v>
      </c>
      <c r="B759" s="29" t="s">
        <v>520</v>
      </c>
      <c r="C759" s="29" t="s">
        <v>83</v>
      </c>
      <c r="D759" s="29" t="s">
        <v>84</v>
      </c>
      <c r="E759" s="29" t="s">
        <v>58</v>
      </c>
      <c r="F759" s="30">
        <v>12.25</v>
      </c>
      <c r="G759" s="317">
        <v>0</v>
      </c>
      <c r="H759" s="30">
        <f>ROUND(F759*AE759,2)</f>
        <v>0</v>
      </c>
      <c r="I759" s="30">
        <f>J759-H759</f>
        <v>0</v>
      </c>
      <c r="J759" s="30">
        <f>ROUND(F759*G759,2)</f>
        <v>0</v>
      </c>
      <c r="K759" s="30">
        <v>4.0600000000000002E-3</v>
      </c>
      <c r="L759" s="30">
        <f>F759*K759</f>
        <v>4.9735000000000001E-2</v>
      </c>
      <c r="M759" s="31" t="s">
        <v>2292</v>
      </c>
      <c r="N759" s="31" t="s">
        <v>59</v>
      </c>
      <c r="O759" s="30">
        <f>IF(N759="5",I759,0)</f>
        <v>0</v>
      </c>
      <c r="Z759" s="30">
        <f>IF(AD759=0,J759,0)</f>
        <v>0</v>
      </c>
      <c r="AA759" s="30">
        <f>IF(AD759=15,J759,0)</f>
        <v>0</v>
      </c>
      <c r="AB759" s="30">
        <f>IF(AD759=21,J759,0)</f>
        <v>0</v>
      </c>
      <c r="AD759" s="32">
        <v>21</v>
      </c>
      <c r="AE759" s="32">
        <f>G759*0.67230605738576</f>
        <v>0</v>
      </c>
      <c r="AF759" s="32">
        <f>G759*(1-0.67230605738576)</f>
        <v>0</v>
      </c>
      <c r="AM759" s="32">
        <f>F759*AE759</f>
        <v>0</v>
      </c>
      <c r="AN759" s="32">
        <f>F759*AF759</f>
        <v>0</v>
      </c>
      <c r="AO759" s="33" t="s">
        <v>85</v>
      </c>
      <c r="AP759" s="33" t="s">
        <v>79</v>
      </c>
      <c r="AQ759" s="21" t="s">
        <v>522</v>
      </c>
    </row>
    <row r="760" spans="1:43" x14ac:dyDescent="0.25">
      <c r="A760" s="26"/>
      <c r="B760" s="27" t="s">
        <v>520</v>
      </c>
      <c r="C760" s="27" t="s">
        <v>189</v>
      </c>
      <c r="D760" s="338" t="s">
        <v>190</v>
      </c>
      <c r="E760" s="339"/>
      <c r="F760" s="339"/>
      <c r="G760" s="339"/>
      <c r="H760" s="28">
        <f>SUM(H761:H763)</f>
        <v>0</v>
      </c>
      <c r="I760" s="28">
        <f>SUM(I761:I763)</f>
        <v>0</v>
      </c>
      <c r="J760" s="28">
        <f>H760+I760</f>
        <v>0</v>
      </c>
      <c r="K760" s="21"/>
      <c r="L760" s="28">
        <f>SUM(L761:L763)</f>
        <v>0.6445012</v>
      </c>
      <c r="M760" s="21"/>
      <c r="P760" s="28">
        <f>IF(Q760="PR",J760,SUM(O761:O763))</f>
        <v>0</v>
      </c>
      <c r="Q760" s="21" t="s">
        <v>75</v>
      </c>
      <c r="R760" s="28">
        <f>IF(Q760="HS",H760,0)</f>
        <v>0</v>
      </c>
      <c r="S760" s="28">
        <f>IF(Q760="HS",I760-P760,0)</f>
        <v>0</v>
      </c>
      <c r="T760" s="28">
        <f>IF(Q760="PS",H760,0)</f>
        <v>0</v>
      </c>
      <c r="U760" s="28">
        <f>IF(Q760="PS",I760-P760,0)</f>
        <v>0</v>
      </c>
      <c r="V760" s="28">
        <f>IF(Q760="MP",H760,0)</f>
        <v>0</v>
      </c>
      <c r="W760" s="28">
        <f>IF(Q760="MP",I760-P760,0)</f>
        <v>0</v>
      </c>
      <c r="X760" s="28">
        <f>IF(Q760="OM",H760,0)</f>
        <v>0</v>
      </c>
      <c r="Y760" s="21" t="s">
        <v>520</v>
      </c>
      <c r="AI760" s="28">
        <f>SUM(Z761:Z763)</f>
        <v>0</v>
      </c>
      <c r="AJ760" s="28">
        <f>SUM(AA761:AA763)</f>
        <v>0</v>
      </c>
      <c r="AK760" s="28">
        <f>SUM(AB761:AB763)</f>
        <v>0</v>
      </c>
    </row>
    <row r="761" spans="1:43" x14ac:dyDescent="0.25">
      <c r="A761" s="29" t="s">
        <v>536</v>
      </c>
      <c r="B761" s="29" t="s">
        <v>520</v>
      </c>
      <c r="C761" s="29" t="s">
        <v>444</v>
      </c>
      <c r="D761" s="29" t="s">
        <v>2289</v>
      </c>
      <c r="E761" s="29" t="s">
        <v>58</v>
      </c>
      <c r="F761" s="30">
        <v>24.08</v>
      </c>
      <c r="G761" s="317">
        <v>0</v>
      </c>
      <c r="H761" s="30">
        <f>ROUND(F761*AE761,2)</f>
        <v>0</v>
      </c>
      <c r="I761" s="30">
        <f>J761-H761</f>
        <v>0</v>
      </c>
      <c r="J761" s="30">
        <f>ROUND(F761*G761,2)</f>
        <v>0</v>
      </c>
      <c r="K761" s="30">
        <v>2.2790000000000001E-2</v>
      </c>
      <c r="L761" s="30">
        <f>F761*K761</f>
        <v>0.54878320000000003</v>
      </c>
      <c r="M761" s="31" t="s">
        <v>2292</v>
      </c>
      <c r="N761" s="31" t="s">
        <v>59</v>
      </c>
      <c r="O761" s="30">
        <f>IF(N761="5",I761,0)</f>
        <v>0</v>
      </c>
      <c r="Z761" s="30">
        <f>IF(AD761=0,J761,0)</f>
        <v>0</v>
      </c>
      <c r="AA761" s="30">
        <f>IF(AD761=15,J761,0)</f>
        <v>0</v>
      </c>
      <c r="AB761" s="30">
        <f>IF(AD761=21,J761,0)</f>
        <v>0</v>
      </c>
      <c r="AD761" s="32">
        <v>21</v>
      </c>
      <c r="AE761" s="32">
        <f>G761*0.579484228260688</f>
        <v>0</v>
      </c>
      <c r="AF761" s="32">
        <f>G761*(1-0.579484228260688)</f>
        <v>0</v>
      </c>
      <c r="AM761" s="32">
        <f>F761*AE761</f>
        <v>0</v>
      </c>
      <c r="AN761" s="32">
        <f>F761*AF761</f>
        <v>0</v>
      </c>
      <c r="AO761" s="33" t="s">
        <v>194</v>
      </c>
      <c r="AP761" s="33" t="s">
        <v>92</v>
      </c>
      <c r="AQ761" s="21" t="s">
        <v>522</v>
      </c>
    </row>
    <row r="762" spans="1:43" ht="25.7" customHeight="1" x14ac:dyDescent="0.25">
      <c r="C762" s="34" t="s">
        <v>63</v>
      </c>
      <c r="D762" s="241" t="s">
        <v>2284</v>
      </c>
      <c r="E762" s="242"/>
      <c r="F762" s="242"/>
      <c r="G762" s="320"/>
      <c r="H762" s="242"/>
      <c r="I762" s="242"/>
      <c r="J762" s="242"/>
      <c r="K762" s="242"/>
      <c r="L762" s="242"/>
      <c r="M762" s="242"/>
    </row>
    <row r="763" spans="1:43" x14ac:dyDescent="0.25">
      <c r="A763" s="29" t="s">
        <v>537</v>
      </c>
      <c r="B763" s="29" t="s">
        <v>520</v>
      </c>
      <c r="C763" s="29" t="s">
        <v>444</v>
      </c>
      <c r="D763" s="29" t="s">
        <v>2290</v>
      </c>
      <c r="E763" s="29" t="s">
        <v>58</v>
      </c>
      <c r="F763" s="30">
        <v>4.2</v>
      </c>
      <c r="G763" s="317">
        <v>0</v>
      </c>
      <c r="H763" s="30">
        <f>ROUND(F763*AE763,2)</f>
        <v>0</v>
      </c>
      <c r="I763" s="30">
        <f>J763-H763</f>
        <v>0</v>
      </c>
      <c r="J763" s="30">
        <f>ROUND(F763*G763,2)</f>
        <v>0</v>
      </c>
      <c r="K763" s="30">
        <v>2.2790000000000001E-2</v>
      </c>
      <c r="L763" s="30">
        <f>F763*K763</f>
        <v>9.5718000000000011E-2</v>
      </c>
      <c r="M763" s="31" t="s">
        <v>2292</v>
      </c>
      <c r="N763" s="31" t="s">
        <v>59</v>
      </c>
      <c r="O763" s="30">
        <f>IF(N763="5",I763,0)</f>
        <v>0</v>
      </c>
      <c r="Z763" s="30">
        <f>IF(AD763=0,J763,0)</f>
        <v>0</v>
      </c>
      <c r="AA763" s="30">
        <f>IF(AD763=15,J763,0)</f>
        <v>0</v>
      </c>
      <c r="AB763" s="30">
        <f>IF(AD763=21,J763,0)</f>
        <v>0</v>
      </c>
      <c r="AD763" s="32">
        <v>21</v>
      </c>
      <c r="AE763" s="32">
        <f>G763*0.579484228260688</f>
        <v>0</v>
      </c>
      <c r="AF763" s="32">
        <f>G763*(1-0.579484228260688)</f>
        <v>0</v>
      </c>
      <c r="AM763" s="32">
        <f>F763*AE763</f>
        <v>0</v>
      </c>
      <c r="AN763" s="32">
        <f>F763*AF763</f>
        <v>0</v>
      </c>
      <c r="AO763" s="33" t="s">
        <v>194</v>
      </c>
      <c r="AP763" s="33" t="s">
        <v>92</v>
      </c>
      <c r="AQ763" s="21" t="s">
        <v>522</v>
      </c>
    </row>
    <row r="764" spans="1:43" ht="25.7" customHeight="1" x14ac:dyDescent="0.25">
      <c r="C764" s="34" t="s">
        <v>63</v>
      </c>
      <c r="D764" s="340" t="s">
        <v>2284</v>
      </c>
      <c r="E764" s="341"/>
      <c r="F764" s="341"/>
      <c r="G764" s="341"/>
      <c r="H764" s="341"/>
      <c r="I764" s="341"/>
      <c r="J764" s="341"/>
      <c r="K764" s="341"/>
      <c r="L764" s="341"/>
      <c r="M764" s="341"/>
    </row>
    <row r="765" spans="1:43" x14ac:dyDescent="0.25">
      <c r="A765" s="26"/>
      <c r="B765" s="27" t="s">
        <v>520</v>
      </c>
      <c r="C765" s="27" t="s">
        <v>86</v>
      </c>
      <c r="D765" s="338" t="s">
        <v>87</v>
      </c>
      <c r="E765" s="339"/>
      <c r="F765" s="339"/>
      <c r="G765" s="339"/>
      <c r="H765" s="28">
        <f>SUM(H766:H766)</f>
        <v>0</v>
      </c>
      <c r="I765" s="28">
        <f>SUM(I766:I766)</f>
        <v>0</v>
      </c>
      <c r="J765" s="28">
        <f>H765+I765</f>
        <v>0</v>
      </c>
      <c r="K765" s="21"/>
      <c r="L765" s="28">
        <f>SUM(L766:L766)</f>
        <v>1.08E-3</v>
      </c>
      <c r="M765" s="21"/>
      <c r="P765" s="28">
        <f>IF(Q765="PR",J765,SUM(O766:O766))</f>
        <v>0</v>
      </c>
      <c r="Q765" s="21" t="s">
        <v>75</v>
      </c>
      <c r="R765" s="28">
        <f>IF(Q765="HS",H765,0)</f>
        <v>0</v>
      </c>
      <c r="S765" s="28">
        <f>IF(Q765="HS",I765-P765,0)</f>
        <v>0</v>
      </c>
      <c r="T765" s="28">
        <f>IF(Q765="PS",H765,0)</f>
        <v>0</v>
      </c>
      <c r="U765" s="28">
        <f>IF(Q765="PS",I765-P765,0)</f>
        <v>0</v>
      </c>
      <c r="V765" s="28">
        <f>IF(Q765="MP",H765,0)</f>
        <v>0</v>
      </c>
      <c r="W765" s="28">
        <f>IF(Q765="MP",I765-P765,0)</f>
        <v>0</v>
      </c>
      <c r="X765" s="28">
        <f>IF(Q765="OM",H765,0)</f>
        <v>0</v>
      </c>
      <c r="Y765" s="21" t="s">
        <v>520</v>
      </c>
      <c r="AI765" s="28">
        <f>SUM(Z766:Z766)</f>
        <v>0</v>
      </c>
      <c r="AJ765" s="28">
        <f>SUM(AA766:AA766)</f>
        <v>0</v>
      </c>
      <c r="AK765" s="28">
        <f>SUM(AB766:AB766)</f>
        <v>0</v>
      </c>
    </row>
    <row r="766" spans="1:43" x14ac:dyDescent="0.25">
      <c r="A766" s="29" t="s">
        <v>538</v>
      </c>
      <c r="B766" s="29" t="s">
        <v>520</v>
      </c>
      <c r="C766" s="29" t="s">
        <v>89</v>
      </c>
      <c r="D766" s="29" t="s">
        <v>90</v>
      </c>
      <c r="E766" s="29" t="s">
        <v>58</v>
      </c>
      <c r="F766" s="30">
        <v>4</v>
      </c>
      <c r="G766" s="317">
        <v>0</v>
      </c>
      <c r="H766" s="30">
        <f>ROUND(F766*AE766,2)</f>
        <v>0</v>
      </c>
      <c r="I766" s="30">
        <f>J766-H766</f>
        <v>0</v>
      </c>
      <c r="J766" s="30">
        <f>ROUND(F766*G766,2)</f>
        <v>0</v>
      </c>
      <c r="K766" s="30">
        <v>2.7E-4</v>
      </c>
      <c r="L766" s="30">
        <f>F766*K766</f>
        <v>1.08E-3</v>
      </c>
      <c r="M766" s="31" t="s">
        <v>2292</v>
      </c>
      <c r="N766" s="31" t="s">
        <v>59</v>
      </c>
      <c r="O766" s="30">
        <f>IF(N766="5",I766,0)</f>
        <v>0</v>
      </c>
      <c r="Z766" s="30">
        <f>IF(AD766=0,J766,0)</f>
        <v>0</v>
      </c>
      <c r="AA766" s="30">
        <f>IF(AD766=15,J766,0)</f>
        <v>0</v>
      </c>
      <c r="AB766" s="30">
        <f>IF(AD766=21,J766,0)</f>
        <v>0</v>
      </c>
      <c r="AD766" s="32">
        <v>21</v>
      </c>
      <c r="AE766" s="32">
        <f>G766*0.186098187625859</f>
        <v>0</v>
      </c>
      <c r="AF766" s="32">
        <f>G766*(1-0.186098187625859)</f>
        <v>0</v>
      </c>
      <c r="AM766" s="32">
        <f>F766*AE766</f>
        <v>0</v>
      </c>
      <c r="AN766" s="32">
        <f>F766*AF766</f>
        <v>0</v>
      </c>
      <c r="AO766" s="33" t="s">
        <v>91</v>
      </c>
      <c r="AP766" s="33" t="s">
        <v>92</v>
      </c>
      <c r="AQ766" s="21" t="s">
        <v>522</v>
      </c>
    </row>
    <row r="767" spans="1:43" x14ac:dyDescent="0.25">
      <c r="A767" s="26"/>
      <c r="B767" s="27" t="s">
        <v>520</v>
      </c>
      <c r="C767" s="27" t="s">
        <v>93</v>
      </c>
      <c r="D767" s="338" t="s">
        <v>94</v>
      </c>
      <c r="E767" s="339"/>
      <c r="F767" s="339"/>
      <c r="G767" s="339"/>
      <c r="H767" s="28">
        <f>SUM(H768:H768)</f>
        <v>0</v>
      </c>
      <c r="I767" s="28">
        <f>SUM(I768:I768)</f>
        <v>0</v>
      </c>
      <c r="J767" s="28">
        <f>H767+I767</f>
        <v>0</v>
      </c>
      <c r="K767" s="21"/>
      <c r="L767" s="28">
        <f>SUM(L768:L768)</f>
        <v>4.72355E-2</v>
      </c>
      <c r="M767" s="21"/>
      <c r="P767" s="28">
        <f>IF(Q767="PR",J767,SUM(O768:O768))</f>
        <v>0</v>
      </c>
      <c r="Q767" s="21" t="s">
        <v>75</v>
      </c>
      <c r="R767" s="28">
        <f>IF(Q767="HS",H767,0)</f>
        <v>0</v>
      </c>
      <c r="S767" s="28">
        <f>IF(Q767="HS",I767-P767,0)</f>
        <v>0</v>
      </c>
      <c r="T767" s="28">
        <f>IF(Q767="PS",H767,0)</f>
        <v>0</v>
      </c>
      <c r="U767" s="28">
        <f>IF(Q767="PS",I767-P767,0)</f>
        <v>0</v>
      </c>
      <c r="V767" s="28">
        <f>IF(Q767="MP",H767,0)</f>
        <v>0</v>
      </c>
      <c r="W767" s="28">
        <f>IF(Q767="MP",I767-P767,0)</f>
        <v>0</v>
      </c>
      <c r="X767" s="28">
        <f>IF(Q767="OM",H767,0)</f>
        <v>0</v>
      </c>
      <c r="Y767" s="21" t="s">
        <v>520</v>
      </c>
      <c r="AI767" s="28">
        <f>SUM(Z768:Z768)</f>
        <v>0</v>
      </c>
      <c r="AJ767" s="28">
        <f>SUM(AA768:AA768)</f>
        <v>0</v>
      </c>
      <c r="AK767" s="28">
        <f>SUM(AB768:AB768)</f>
        <v>0</v>
      </c>
    </row>
    <row r="768" spans="1:43" x14ac:dyDescent="0.25">
      <c r="A768" s="29" t="s">
        <v>539</v>
      </c>
      <c r="B768" s="29" t="s">
        <v>520</v>
      </c>
      <c r="C768" s="29" t="s">
        <v>96</v>
      </c>
      <c r="D768" s="29" t="s">
        <v>97</v>
      </c>
      <c r="E768" s="29" t="s">
        <v>58</v>
      </c>
      <c r="F768" s="30">
        <v>72.67</v>
      </c>
      <c r="G768" s="317">
        <v>0</v>
      </c>
      <c r="H768" s="30">
        <f>ROUND(F768*AE768,2)</f>
        <v>0</v>
      </c>
      <c r="I768" s="30">
        <f>J768-H768</f>
        <v>0</v>
      </c>
      <c r="J768" s="30">
        <f>ROUND(F768*G768,2)</f>
        <v>0</v>
      </c>
      <c r="K768" s="30">
        <v>6.4999999999999997E-4</v>
      </c>
      <c r="L768" s="30">
        <f>F768*K768</f>
        <v>4.72355E-2</v>
      </c>
      <c r="M768" s="31" t="s">
        <v>2292</v>
      </c>
      <c r="N768" s="31" t="s">
        <v>59</v>
      </c>
      <c r="O768" s="30">
        <f>IF(N768="5",I768,0)</f>
        <v>0</v>
      </c>
      <c r="Z768" s="30">
        <f>IF(AD768=0,J768,0)</f>
        <v>0</v>
      </c>
      <c r="AA768" s="30">
        <f>IF(AD768=15,J768,0)</f>
        <v>0</v>
      </c>
      <c r="AB768" s="30">
        <f>IF(AD768=21,J768,0)</f>
        <v>0</v>
      </c>
      <c r="AD768" s="32">
        <v>21</v>
      </c>
      <c r="AE768" s="32">
        <f>G768*0.333747476316198</f>
        <v>0</v>
      </c>
      <c r="AF768" s="32">
        <f>G768*(1-0.333747476316198)</f>
        <v>0</v>
      </c>
      <c r="AM768" s="32">
        <f>F768*AE768</f>
        <v>0</v>
      </c>
      <c r="AN768" s="32">
        <f>F768*AF768</f>
        <v>0</v>
      </c>
      <c r="AO768" s="33" t="s">
        <v>98</v>
      </c>
      <c r="AP768" s="33" t="s">
        <v>92</v>
      </c>
      <c r="AQ768" s="21" t="s">
        <v>522</v>
      </c>
    </row>
    <row r="769" spans="1:43" x14ac:dyDescent="0.25">
      <c r="A769" s="26"/>
      <c r="B769" s="27" t="s">
        <v>520</v>
      </c>
      <c r="C769" s="27" t="s">
        <v>99</v>
      </c>
      <c r="D769" s="338" t="s">
        <v>100</v>
      </c>
      <c r="E769" s="339"/>
      <c r="F769" s="339"/>
      <c r="G769" s="339"/>
      <c r="H769" s="28">
        <f>SUM(H770:H770)</f>
        <v>0</v>
      </c>
      <c r="I769" s="28">
        <f>SUM(I770:I770)</f>
        <v>0</v>
      </c>
      <c r="J769" s="28">
        <f>H769+I769</f>
        <v>0</v>
      </c>
      <c r="K769" s="21"/>
      <c r="L769" s="28">
        <f>SUM(L770:L770)</f>
        <v>0</v>
      </c>
      <c r="M769" s="21"/>
      <c r="P769" s="28">
        <f>IF(Q769="PR",J769,SUM(O770:O770))</f>
        <v>0</v>
      </c>
      <c r="Q769" s="21" t="s">
        <v>54</v>
      </c>
      <c r="R769" s="28">
        <f>IF(Q769="HS",H769,0)</f>
        <v>0</v>
      </c>
      <c r="S769" s="28">
        <f>IF(Q769="HS",I769-P769,0)</f>
        <v>0</v>
      </c>
      <c r="T769" s="28">
        <f>IF(Q769="PS",H769,0)</f>
        <v>0</v>
      </c>
      <c r="U769" s="28">
        <f>IF(Q769="PS",I769-P769,0)</f>
        <v>0</v>
      </c>
      <c r="V769" s="28">
        <f>IF(Q769="MP",H769,0)</f>
        <v>0</v>
      </c>
      <c r="W769" s="28">
        <f>IF(Q769="MP",I769-P769,0)</f>
        <v>0</v>
      </c>
      <c r="X769" s="28">
        <f>IF(Q769="OM",H769,0)</f>
        <v>0</v>
      </c>
      <c r="Y769" s="21" t="s">
        <v>520</v>
      </c>
      <c r="AI769" s="28">
        <f>SUM(Z770:Z770)</f>
        <v>0</v>
      </c>
      <c r="AJ769" s="28">
        <f>SUM(AA770:AA770)</f>
        <v>0</v>
      </c>
      <c r="AK769" s="28">
        <f>SUM(AB770:AB770)</f>
        <v>0</v>
      </c>
    </row>
    <row r="770" spans="1:43" x14ac:dyDescent="0.25">
      <c r="A770" s="29" t="s">
        <v>540</v>
      </c>
      <c r="B770" s="29" t="s">
        <v>520</v>
      </c>
      <c r="C770" s="29" t="s">
        <v>102</v>
      </c>
      <c r="D770" s="29" t="s">
        <v>103</v>
      </c>
      <c r="E770" s="29" t="s">
        <v>104</v>
      </c>
      <c r="F770" s="30">
        <v>3.6</v>
      </c>
      <c r="G770" s="317">
        <v>0</v>
      </c>
      <c r="H770" s="30">
        <f>ROUND(F770*AE770,2)</f>
        <v>0</v>
      </c>
      <c r="I770" s="30">
        <f>J770-H770</f>
        <v>0</v>
      </c>
      <c r="J770" s="30">
        <f>ROUND(F770*G770,2)</f>
        <v>0</v>
      </c>
      <c r="K770" s="30">
        <v>0</v>
      </c>
      <c r="L770" s="30">
        <f>F770*K770</f>
        <v>0</v>
      </c>
      <c r="M770" s="31" t="s">
        <v>2292</v>
      </c>
      <c r="N770" s="31" t="s">
        <v>55</v>
      </c>
      <c r="O770" s="30">
        <f>IF(N770="5",I770,0)</f>
        <v>0</v>
      </c>
      <c r="Z770" s="30">
        <f>IF(AD770=0,J770,0)</f>
        <v>0</v>
      </c>
      <c r="AA770" s="30">
        <f>IF(AD770=15,J770,0)</f>
        <v>0</v>
      </c>
      <c r="AB770" s="30">
        <f>IF(AD770=21,J770,0)</f>
        <v>0</v>
      </c>
      <c r="AD770" s="32">
        <v>21</v>
      </c>
      <c r="AE770" s="32">
        <f>G770*0</f>
        <v>0</v>
      </c>
      <c r="AF770" s="32">
        <f>G770*(1-0)</f>
        <v>0</v>
      </c>
      <c r="AM770" s="32">
        <f>F770*AE770</f>
        <v>0</v>
      </c>
      <c r="AN770" s="32">
        <f>F770*AF770</f>
        <v>0</v>
      </c>
      <c r="AO770" s="33" t="s">
        <v>105</v>
      </c>
      <c r="AP770" s="33" t="s">
        <v>106</v>
      </c>
      <c r="AQ770" s="21" t="s">
        <v>522</v>
      </c>
    </row>
    <row r="771" spans="1:43" x14ac:dyDescent="0.25">
      <c r="C771" s="34" t="s">
        <v>63</v>
      </c>
      <c r="D771" s="340" t="s">
        <v>107</v>
      </c>
      <c r="E771" s="341"/>
      <c r="F771" s="341"/>
      <c r="G771" s="341"/>
      <c r="H771" s="341"/>
      <c r="I771" s="341"/>
      <c r="J771" s="341"/>
      <c r="K771" s="341"/>
      <c r="L771" s="341"/>
      <c r="M771" s="341"/>
    </row>
    <row r="772" spans="1:43" x14ac:dyDescent="0.25">
      <c r="A772" s="26"/>
      <c r="B772" s="27" t="s">
        <v>541</v>
      </c>
      <c r="C772" s="27"/>
      <c r="D772" s="338" t="s">
        <v>541</v>
      </c>
      <c r="E772" s="339"/>
      <c r="F772" s="339"/>
      <c r="G772" s="339"/>
      <c r="H772" s="28">
        <f>H773+H775+H778+H780+H782+H785+H791+H793+H795</f>
        <v>0</v>
      </c>
      <c r="I772" s="28">
        <f>I773+I775+I778+I780+I782+I785+I791+I793+I795</f>
        <v>0</v>
      </c>
      <c r="J772" s="28">
        <f>H772+I772</f>
        <v>0</v>
      </c>
      <c r="K772" s="21"/>
      <c r="L772" s="28">
        <f>L773+L775+L778+L780+L782+L785+L791+L793+L795</f>
        <v>9.7599409000000019</v>
      </c>
      <c r="M772" s="21"/>
    </row>
    <row r="773" spans="1:43" x14ac:dyDescent="0.25">
      <c r="A773" s="26"/>
      <c r="B773" s="27" t="s">
        <v>541</v>
      </c>
      <c r="C773" s="27" t="s">
        <v>166</v>
      </c>
      <c r="D773" s="338" t="s">
        <v>167</v>
      </c>
      <c r="E773" s="339"/>
      <c r="F773" s="339"/>
      <c r="G773" s="339"/>
      <c r="H773" s="28">
        <f>SUM(H774:H774)</f>
        <v>0</v>
      </c>
      <c r="I773" s="28">
        <f>SUM(I774:I774)</f>
        <v>0</v>
      </c>
      <c r="J773" s="28">
        <f>H773+I773</f>
        <v>0</v>
      </c>
      <c r="K773" s="21"/>
      <c r="L773" s="28">
        <f>SUM(L774:L774)</f>
        <v>0.1404</v>
      </c>
      <c r="M773" s="21"/>
      <c r="P773" s="28">
        <f>IF(Q773="PR",J773,SUM(O774:O774))</f>
        <v>0</v>
      </c>
      <c r="Q773" s="21" t="s">
        <v>54</v>
      </c>
      <c r="R773" s="28">
        <f>IF(Q773="HS",H773,0)</f>
        <v>0</v>
      </c>
      <c r="S773" s="28">
        <f>IF(Q773="HS",I773-P773,0)</f>
        <v>0</v>
      </c>
      <c r="T773" s="28">
        <f>IF(Q773="PS",H773,0)</f>
        <v>0</v>
      </c>
      <c r="U773" s="28">
        <f>IF(Q773="PS",I773-P773,0)</f>
        <v>0</v>
      </c>
      <c r="V773" s="28">
        <f>IF(Q773="MP",H773,0)</f>
        <v>0</v>
      </c>
      <c r="W773" s="28">
        <f>IF(Q773="MP",I773-P773,0)</f>
        <v>0</v>
      </c>
      <c r="X773" s="28">
        <f>IF(Q773="OM",H773,0)</f>
        <v>0</v>
      </c>
      <c r="Y773" s="21" t="s">
        <v>541</v>
      </c>
      <c r="AI773" s="28">
        <f>SUM(Z774:Z774)</f>
        <v>0</v>
      </c>
      <c r="AJ773" s="28">
        <f>SUM(AA774:AA774)</f>
        <v>0</v>
      </c>
      <c r="AK773" s="28">
        <f>SUM(AB774:AB774)</f>
        <v>0</v>
      </c>
    </row>
    <row r="774" spans="1:43" x14ac:dyDescent="0.25">
      <c r="A774" s="29" t="s">
        <v>542</v>
      </c>
      <c r="B774" s="29" t="s">
        <v>541</v>
      </c>
      <c r="C774" s="29" t="s">
        <v>169</v>
      </c>
      <c r="D774" s="29" t="s">
        <v>170</v>
      </c>
      <c r="E774" s="29" t="s">
        <v>58</v>
      </c>
      <c r="F774" s="30">
        <v>11.7</v>
      </c>
      <c r="G774" s="317">
        <v>0</v>
      </c>
      <c r="H774" s="30">
        <f>ROUND(F774*AE774,2)</f>
        <v>0</v>
      </c>
      <c r="I774" s="30">
        <f>J774-H774</f>
        <v>0</v>
      </c>
      <c r="J774" s="30">
        <f>ROUND(F774*G774,2)</f>
        <v>0</v>
      </c>
      <c r="K774" s="30">
        <v>1.2E-2</v>
      </c>
      <c r="L774" s="30">
        <f>F774*K774</f>
        <v>0.1404</v>
      </c>
      <c r="M774" s="31"/>
      <c r="N774" s="31" t="s">
        <v>55</v>
      </c>
      <c r="O774" s="30">
        <f>IF(N774="5",I774,0)</f>
        <v>0</v>
      </c>
      <c r="Z774" s="30">
        <f>IF(AD774=0,J774,0)</f>
        <v>0</v>
      </c>
      <c r="AA774" s="30">
        <f>IF(AD774=15,J774,0)</f>
        <v>0</v>
      </c>
      <c r="AB774" s="30">
        <f>IF(AD774=21,J774,0)</f>
        <v>0</v>
      </c>
      <c r="AD774" s="32">
        <v>21</v>
      </c>
      <c r="AE774" s="32">
        <f>G774*0.381443298969072</f>
        <v>0</v>
      </c>
      <c r="AF774" s="32">
        <f>G774*(1-0.381443298969072)</f>
        <v>0</v>
      </c>
      <c r="AM774" s="32">
        <f>F774*AE774</f>
        <v>0</v>
      </c>
      <c r="AN774" s="32">
        <f>F774*AF774</f>
        <v>0</v>
      </c>
      <c r="AO774" s="33" t="s">
        <v>171</v>
      </c>
      <c r="AP774" s="33" t="s">
        <v>171</v>
      </c>
      <c r="AQ774" s="21" t="s">
        <v>543</v>
      </c>
    </row>
    <row r="775" spans="1:43" x14ac:dyDescent="0.25">
      <c r="A775" s="26"/>
      <c r="B775" s="27" t="s">
        <v>541</v>
      </c>
      <c r="C775" s="27" t="s">
        <v>52</v>
      </c>
      <c r="D775" s="338" t="s">
        <v>53</v>
      </c>
      <c r="E775" s="339"/>
      <c r="F775" s="339"/>
      <c r="G775" s="339"/>
      <c r="H775" s="28">
        <f>SUM(H776:H776)</f>
        <v>0</v>
      </c>
      <c r="I775" s="28">
        <f>SUM(I776:I776)</f>
        <v>0</v>
      </c>
      <c r="J775" s="28">
        <f>H775+I775</f>
        <v>0</v>
      </c>
      <c r="K775" s="21"/>
      <c r="L775" s="28">
        <f>SUM(L776:L776)</f>
        <v>0.1600599</v>
      </c>
      <c r="M775" s="21"/>
      <c r="P775" s="28">
        <f>IF(Q775="PR",J775,SUM(O776:O776))</f>
        <v>0</v>
      </c>
      <c r="Q775" s="21" t="s">
        <v>54</v>
      </c>
      <c r="R775" s="28">
        <f>IF(Q775="HS",H775,0)</f>
        <v>0</v>
      </c>
      <c r="S775" s="28">
        <f>IF(Q775="HS",I775-P775,0)</f>
        <v>0</v>
      </c>
      <c r="T775" s="28">
        <f>IF(Q775="PS",H775,0)</f>
        <v>0</v>
      </c>
      <c r="U775" s="28">
        <f>IF(Q775="PS",I775-P775,0)</f>
        <v>0</v>
      </c>
      <c r="V775" s="28">
        <f>IF(Q775="MP",H775,0)</f>
        <v>0</v>
      </c>
      <c r="W775" s="28">
        <f>IF(Q775="MP",I775-P775,0)</f>
        <v>0</v>
      </c>
      <c r="X775" s="28">
        <f>IF(Q775="OM",H775,0)</f>
        <v>0</v>
      </c>
      <c r="Y775" s="21" t="s">
        <v>541</v>
      </c>
      <c r="AI775" s="28">
        <f>SUM(Z776:Z776)</f>
        <v>0</v>
      </c>
      <c r="AJ775" s="28">
        <f>SUM(AA776:AA776)</f>
        <v>0</v>
      </c>
      <c r="AK775" s="28">
        <f>SUM(AB776:AB776)</f>
        <v>0</v>
      </c>
    </row>
    <row r="776" spans="1:43" x14ac:dyDescent="0.25">
      <c r="A776" s="29" t="s">
        <v>544</v>
      </c>
      <c r="B776" s="29" t="s">
        <v>541</v>
      </c>
      <c r="C776" s="29" t="s">
        <v>56</v>
      </c>
      <c r="D776" s="29" t="s">
        <v>57</v>
      </c>
      <c r="E776" s="29" t="s">
        <v>58</v>
      </c>
      <c r="F776" s="30">
        <v>15.99</v>
      </c>
      <c r="G776" s="317">
        <v>0</v>
      </c>
      <c r="H776" s="30">
        <f>ROUND(F776*AE776,2)</f>
        <v>0</v>
      </c>
      <c r="I776" s="30">
        <f>J776-H776</f>
        <v>0</v>
      </c>
      <c r="J776" s="30">
        <f>ROUND(F776*G776,2)</f>
        <v>0</v>
      </c>
      <c r="K776" s="30">
        <v>1.001E-2</v>
      </c>
      <c r="L776" s="30">
        <f>F776*K776</f>
        <v>0.1600599</v>
      </c>
      <c r="M776" s="31" t="s">
        <v>2292</v>
      </c>
      <c r="N776" s="31" t="s">
        <v>59</v>
      </c>
      <c r="O776" s="30">
        <f>IF(N776="5",I776,0)</f>
        <v>0</v>
      </c>
      <c r="Z776" s="30">
        <f>IF(AD776=0,J776,0)</f>
        <v>0</v>
      </c>
      <c r="AA776" s="30">
        <f>IF(AD776=15,J776,0)</f>
        <v>0</v>
      </c>
      <c r="AB776" s="30">
        <f>IF(AD776=21,J776,0)</f>
        <v>0</v>
      </c>
      <c r="AD776" s="32">
        <v>21</v>
      </c>
      <c r="AE776" s="32">
        <f>G776*0.0756575801052128</f>
        <v>0</v>
      </c>
      <c r="AF776" s="32">
        <f>G776*(1-0.0756575801052128)</f>
        <v>0</v>
      </c>
      <c r="AM776" s="32">
        <f>F776*AE776</f>
        <v>0</v>
      </c>
      <c r="AN776" s="32">
        <f>F776*AF776</f>
        <v>0</v>
      </c>
      <c r="AO776" s="33" t="s">
        <v>60</v>
      </c>
      <c r="AP776" s="33" t="s">
        <v>61</v>
      </c>
      <c r="AQ776" s="21" t="s">
        <v>543</v>
      </c>
    </row>
    <row r="777" spans="1:43" ht="25.7" customHeight="1" x14ac:dyDescent="0.25">
      <c r="C777" s="34" t="s">
        <v>63</v>
      </c>
      <c r="D777" s="340" t="s">
        <v>64</v>
      </c>
      <c r="E777" s="341"/>
      <c r="F777" s="341"/>
      <c r="G777" s="341"/>
      <c r="H777" s="341"/>
      <c r="I777" s="341"/>
      <c r="J777" s="341"/>
      <c r="K777" s="341"/>
      <c r="L777" s="341"/>
      <c r="M777" s="341"/>
    </row>
    <row r="778" spans="1:43" x14ac:dyDescent="0.25">
      <c r="A778" s="26"/>
      <c r="B778" s="27" t="s">
        <v>541</v>
      </c>
      <c r="C778" s="27" t="s">
        <v>68</v>
      </c>
      <c r="D778" s="338" t="s">
        <v>69</v>
      </c>
      <c r="E778" s="339"/>
      <c r="F778" s="339"/>
      <c r="G778" s="339"/>
      <c r="H778" s="28">
        <f>SUM(H779:H779)</f>
        <v>0</v>
      </c>
      <c r="I778" s="28">
        <f>SUM(I779:I779)</f>
        <v>0</v>
      </c>
      <c r="J778" s="28">
        <f>H778+I778</f>
        <v>0</v>
      </c>
      <c r="K778" s="21"/>
      <c r="L778" s="28">
        <f>SUM(L779:L779)</f>
        <v>0.58312799999999998</v>
      </c>
      <c r="M778" s="21"/>
      <c r="P778" s="28">
        <f>IF(Q778="PR",J778,SUM(O779:O779))</f>
        <v>0</v>
      </c>
      <c r="Q778" s="21" t="s">
        <v>54</v>
      </c>
      <c r="R778" s="28">
        <f>IF(Q778="HS",H778,0)</f>
        <v>0</v>
      </c>
      <c r="S778" s="28">
        <f>IF(Q778="HS",I778-P778,0)</f>
        <v>0</v>
      </c>
      <c r="T778" s="28">
        <f>IF(Q778="PS",H778,0)</f>
        <v>0</v>
      </c>
      <c r="U778" s="28">
        <f>IF(Q778="PS",I778-P778,0)</f>
        <v>0</v>
      </c>
      <c r="V778" s="28">
        <f>IF(Q778="MP",H778,0)</f>
        <v>0</v>
      </c>
      <c r="W778" s="28">
        <f>IF(Q778="MP",I778-P778,0)</f>
        <v>0</v>
      </c>
      <c r="X778" s="28">
        <f>IF(Q778="OM",H778,0)</f>
        <v>0</v>
      </c>
      <c r="Y778" s="21" t="s">
        <v>541</v>
      </c>
      <c r="AI778" s="28">
        <f>SUM(Z779:Z779)</f>
        <v>0</v>
      </c>
      <c r="AJ778" s="28">
        <f>SUM(AA779:AA779)</f>
        <v>0</v>
      </c>
      <c r="AK778" s="28">
        <f>SUM(AB779:AB779)</f>
        <v>0</v>
      </c>
    </row>
    <row r="779" spans="1:43" x14ac:dyDescent="0.25">
      <c r="A779" s="29" t="s">
        <v>545</v>
      </c>
      <c r="B779" s="29" t="s">
        <v>541</v>
      </c>
      <c r="C779" s="29" t="s">
        <v>70</v>
      </c>
      <c r="D779" s="29" t="s">
        <v>71</v>
      </c>
      <c r="E779" s="29" t="s">
        <v>58</v>
      </c>
      <c r="F779" s="30">
        <v>11.7</v>
      </c>
      <c r="G779" s="317">
        <v>0</v>
      </c>
      <c r="H779" s="30">
        <f>ROUND(F779*AE779,2)</f>
        <v>0</v>
      </c>
      <c r="I779" s="30">
        <f>J779-H779</f>
        <v>0</v>
      </c>
      <c r="J779" s="30">
        <f>ROUND(F779*G779,2)</f>
        <v>0</v>
      </c>
      <c r="K779" s="30">
        <v>4.9840000000000002E-2</v>
      </c>
      <c r="L779" s="30">
        <f>F779*K779</f>
        <v>0.58312799999999998</v>
      </c>
      <c r="M779" s="31" t="s">
        <v>2292</v>
      </c>
      <c r="N779" s="31" t="s">
        <v>59</v>
      </c>
      <c r="O779" s="30">
        <f>IF(N779="5",I779,0)</f>
        <v>0</v>
      </c>
      <c r="Z779" s="30">
        <f>IF(AD779=0,J779,0)</f>
        <v>0</v>
      </c>
      <c r="AA779" s="30">
        <f>IF(AD779=15,J779,0)</f>
        <v>0</v>
      </c>
      <c r="AB779" s="30">
        <f>IF(AD779=21,J779,0)</f>
        <v>0</v>
      </c>
      <c r="AD779" s="32">
        <v>21</v>
      </c>
      <c r="AE779" s="32">
        <f>G779*0.411768721414431</f>
        <v>0</v>
      </c>
      <c r="AF779" s="32">
        <f>G779*(1-0.411768721414431)</f>
        <v>0</v>
      </c>
      <c r="AM779" s="32">
        <f>F779*AE779</f>
        <v>0</v>
      </c>
      <c r="AN779" s="32">
        <f>F779*AF779</f>
        <v>0</v>
      </c>
      <c r="AO779" s="33" t="s">
        <v>72</v>
      </c>
      <c r="AP779" s="33" t="s">
        <v>61</v>
      </c>
      <c r="AQ779" s="21" t="s">
        <v>543</v>
      </c>
    </row>
    <row r="780" spans="1:43" x14ac:dyDescent="0.25">
      <c r="A780" s="26"/>
      <c r="B780" s="27" t="s">
        <v>541</v>
      </c>
      <c r="C780" s="27" t="s">
        <v>527</v>
      </c>
      <c r="D780" s="338" t="s">
        <v>528</v>
      </c>
      <c r="E780" s="339"/>
      <c r="F780" s="339"/>
      <c r="G780" s="339"/>
      <c r="H780" s="28">
        <f>SUM(H781:H781)</f>
        <v>0</v>
      </c>
      <c r="I780" s="28">
        <f>SUM(I781:I781)</f>
        <v>0</v>
      </c>
      <c r="J780" s="28">
        <f>H780+I780</f>
        <v>0</v>
      </c>
      <c r="K780" s="21"/>
      <c r="L780" s="28">
        <f>SUM(L781:L781)</f>
        <v>7.6560000000000003E-2</v>
      </c>
      <c r="M780" s="21"/>
      <c r="P780" s="28">
        <f>IF(Q780="PR",J780,SUM(O781:O781))</f>
        <v>0</v>
      </c>
      <c r="Q780" s="21" t="s">
        <v>75</v>
      </c>
      <c r="R780" s="28">
        <f>IF(Q780="HS",H780,0)</f>
        <v>0</v>
      </c>
      <c r="S780" s="28">
        <f>IF(Q780="HS",I780-P780,0)</f>
        <v>0</v>
      </c>
      <c r="T780" s="28">
        <f>IF(Q780="PS",H780,0)</f>
        <v>0</v>
      </c>
      <c r="U780" s="28">
        <f>IF(Q780="PS",I780-P780,0)</f>
        <v>0</v>
      </c>
      <c r="V780" s="28">
        <f>IF(Q780="MP",H780,0)</f>
        <v>0</v>
      </c>
      <c r="W780" s="28">
        <f>IF(Q780="MP",I780-P780,0)</f>
        <v>0</v>
      </c>
      <c r="X780" s="28">
        <f>IF(Q780="OM",H780,0)</f>
        <v>0</v>
      </c>
      <c r="Y780" s="21" t="s">
        <v>541</v>
      </c>
      <c r="AI780" s="28">
        <f>SUM(Z781:Z781)</f>
        <v>0</v>
      </c>
      <c r="AJ780" s="28">
        <f>SUM(AA781:AA781)</f>
        <v>0</v>
      </c>
      <c r="AK780" s="28">
        <f>SUM(AB781:AB781)</f>
        <v>0</v>
      </c>
    </row>
    <row r="781" spans="1:43" x14ac:dyDescent="0.25">
      <c r="A781" s="29" t="s">
        <v>546</v>
      </c>
      <c r="B781" s="29" t="s">
        <v>541</v>
      </c>
      <c r="C781" s="29" t="s">
        <v>530</v>
      </c>
      <c r="D781" s="29" t="s">
        <v>531</v>
      </c>
      <c r="E781" s="29" t="s">
        <v>113</v>
      </c>
      <c r="F781" s="30">
        <v>2</v>
      </c>
      <c r="G781" s="317">
        <v>0</v>
      </c>
      <c r="H781" s="30">
        <f>ROUND(F781*AE781,2)</f>
        <v>0</v>
      </c>
      <c r="I781" s="30">
        <f>J781-H781</f>
        <v>0</v>
      </c>
      <c r="J781" s="30">
        <f>ROUND(F781*G781,2)</f>
        <v>0</v>
      </c>
      <c r="K781" s="30">
        <v>3.8280000000000002E-2</v>
      </c>
      <c r="L781" s="30">
        <f>F781*K781</f>
        <v>7.6560000000000003E-2</v>
      </c>
      <c r="M781" s="31" t="s">
        <v>2292</v>
      </c>
      <c r="N781" s="31" t="s">
        <v>59</v>
      </c>
      <c r="O781" s="30">
        <f>IF(N781="5",I781,0)</f>
        <v>0</v>
      </c>
      <c r="Z781" s="30">
        <f>IF(AD781=0,J781,0)</f>
        <v>0</v>
      </c>
      <c r="AA781" s="30">
        <f>IF(AD781=15,J781,0)</f>
        <v>0</v>
      </c>
      <c r="AB781" s="30">
        <f>IF(AD781=21,J781,0)</f>
        <v>0</v>
      </c>
      <c r="AD781" s="32">
        <v>21</v>
      </c>
      <c r="AE781" s="32">
        <f>G781*0.877792075647468</f>
        <v>0</v>
      </c>
      <c r="AF781" s="32">
        <f>G781*(1-0.877792075647468)</f>
        <v>0</v>
      </c>
      <c r="AM781" s="32">
        <f>F781*AE781</f>
        <v>0</v>
      </c>
      <c r="AN781" s="32">
        <f>F781*AF781</f>
        <v>0</v>
      </c>
      <c r="AO781" s="33" t="s">
        <v>532</v>
      </c>
      <c r="AP781" s="33" t="s">
        <v>533</v>
      </c>
      <c r="AQ781" s="21" t="s">
        <v>543</v>
      </c>
    </row>
    <row r="782" spans="1:43" x14ac:dyDescent="0.25">
      <c r="A782" s="26"/>
      <c r="B782" s="27" t="s">
        <v>541</v>
      </c>
      <c r="C782" s="27" t="s">
        <v>73</v>
      </c>
      <c r="D782" s="338" t="s">
        <v>74</v>
      </c>
      <c r="E782" s="339"/>
      <c r="F782" s="339"/>
      <c r="G782" s="339"/>
      <c r="H782" s="28">
        <f>SUM(H783:H783)</f>
        <v>0</v>
      </c>
      <c r="I782" s="28">
        <f>SUM(I783:I783)</f>
        <v>0</v>
      </c>
      <c r="J782" s="28">
        <f>H782+I782</f>
        <v>0</v>
      </c>
      <c r="K782" s="21"/>
      <c r="L782" s="28">
        <f>SUM(L783:L783)</f>
        <v>0.18836999999999998</v>
      </c>
      <c r="M782" s="21"/>
      <c r="P782" s="28">
        <f>IF(Q782="PR",J782,SUM(O783:O783))</f>
        <v>0</v>
      </c>
      <c r="Q782" s="21" t="s">
        <v>75</v>
      </c>
      <c r="R782" s="28">
        <f>IF(Q782="HS",H782,0)</f>
        <v>0</v>
      </c>
      <c r="S782" s="28">
        <f>IF(Q782="HS",I782-P782,0)</f>
        <v>0</v>
      </c>
      <c r="T782" s="28">
        <f>IF(Q782="PS",H782,0)</f>
        <v>0</v>
      </c>
      <c r="U782" s="28">
        <f>IF(Q782="PS",I782-P782,0)</f>
        <v>0</v>
      </c>
      <c r="V782" s="28">
        <f>IF(Q782="MP",H782,0)</f>
        <v>0</v>
      </c>
      <c r="W782" s="28">
        <f>IF(Q782="MP",I782-P782,0)</f>
        <v>0</v>
      </c>
      <c r="X782" s="28">
        <f>IF(Q782="OM",H782,0)</f>
        <v>0</v>
      </c>
      <c r="Y782" s="21" t="s">
        <v>541</v>
      </c>
      <c r="AI782" s="28">
        <f>SUM(Z783:Z783)</f>
        <v>0</v>
      </c>
      <c r="AJ782" s="28">
        <f>SUM(AA783:AA783)</f>
        <v>0</v>
      </c>
      <c r="AK782" s="28">
        <f>SUM(AB783:AB783)</f>
        <v>0</v>
      </c>
    </row>
    <row r="783" spans="1:43" x14ac:dyDescent="0.25">
      <c r="A783" s="29" t="s">
        <v>547</v>
      </c>
      <c r="B783" s="29" t="s">
        <v>541</v>
      </c>
      <c r="C783" s="29" t="s">
        <v>77</v>
      </c>
      <c r="D783" s="29" t="s">
        <v>2277</v>
      </c>
      <c r="E783" s="29" t="s">
        <v>58</v>
      </c>
      <c r="F783" s="30">
        <v>11.7</v>
      </c>
      <c r="G783" s="317">
        <v>0</v>
      </c>
      <c r="H783" s="30">
        <f>ROUND(F783*AE783,2)</f>
        <v>0</v>
      </c>
      <c r="I783" s="30">
        <f>J783-H783</f>
        <v>0</v>
      </c>
      <c r="J783" s="30">
        <f>ROUND(F783*G783,2)</f>
        <v>0</v>
      </c>
      <c r="K783" s="30">
        <v>1.61E-2</v>
      </c>
      <c r="L783" s="30">
        <f>F783*K783</f>
        <v>0.18836999999999998</v>
      </c>
      <c r="M783" s="31" t="s">
        <v>2292</v>
      </c>
      <c r="N783" s="31" t="s">
        <v>59</v>
      </c>
      <c r="O783" s="30">
        <f>IF(N783="5",I783,0)</f>
        <v>0</v>
      </c>
      <c r="Z783" s="30">
        <f>IF(AD783=0,J783,0)</f>
        <v>0</v>
      </c>
      <c r="AA783" s="30">
        <f>IF(AD783=15,J783,0)</f>
        <v>0</v>
      </c>
      <c r="AB783" s="30">
        <f>IF(AD783=21,J783,0)</f>
        <v>0</v>
      </c>
      <c r="AD783" s="32">
        <v>21</v>
      </c>
      <c r="AE783" s="32">
        <f>G783*0.787221324717286</f>
        <v>0</v>
      </c>
      <c r="AF783" s="32">
        <f>G783*(1-0.787221324717286)</f>
        <v>0</v>
      </c>
      <c r="AM783" s="32">
        <f>F783*AE783</f>
        <v>0</v>
      </c>
      <c r="AN783" s="32">
        <f>F783*AF783</f>
        <v>0</v>
      </c>
      <c r="AO783" s="33" t="s">
        <v>78</v>
      </c>
      <c r="AP783" s="33" t="s">
        <v>79</v>
      </c>
      <c r="AQ783" s="21" t="s">
        <v>543</v>
      </c>
    </row>
    <row r="784" spans="1:43" ht="12.75" customHeight="1" x14ac:dyDescent="0.25">
      <c r="C784" s="34" t="s">
        <v>63</v>
      </c>
      <c r="D784" s="340" t="s">
        <v>2280</v>
      </c>
      <c r="E784" s="341"/>
      <c r="F784" s="341"/>
      <c r="G784" s="341"/>
      <c r="H784" s="341"/>
      <c r="I784" s="341"/>
      <c r="J784" s="341"/>
      <c r="K784" s="341"/>
      <c r="L784" s="341"/>
      <c r="M784" s="341"/>
    </row>
    <row r="785" spans="1:43" x14ac:dyDescent="0.25">
      <c r="A785" s="26"/>
      <c r="B785" s="27" t="s">
        <v>541</v>
      </c>
      <c r="C785" s="27" t="s">
        <v>189</v>
      </c>
      <c r="D785" s="338" t="s">
        <v>190</v>
      </c>
      <c r="E785" s="339"/>
      <c r="F785" s="339"/>
      <c r="G785" s="339"/>
      <c r="H785" s="28">
        <f>SUM(H786:H789)</f>
        <v>0</v>
      </c>
      <c r="I785" s="28">
        <f>SUM(I786:I789)</f>
        <v>0</v>
      </c>
      <c r="J785" s="28">
        <f>H785+I785</f>
        <v>0</v>
      </c>
      <c r="K785" s="21"/>
      <c r="L785" s="28">
        <f>SUM(L786:L789)</f>
        <v>8.5912580000000016</v>
      </c>
      <c r="M785" s="21"/>
      <c r="P785" s="28">
        <f>IF(Q785="PR",J785,SUM(O786:O789))</f>
        <v>0</v>
      </c>
      <c r="Q785" s="21" t="s">
        <v>75</v>
      </c>
      <c r="R785" s="28">
        <f>IF(Q785="HS",H785,0)</f>
        <v>0</v>
      </c>
      <c r="S785" s="28">
        <f>IF(Q785="HS",I785-P785,0)</f>
        <v>0</v>
      </c>
      <c r="T785" s="28">
        <f>IF(Q785="PS",H785,0)</f>
        <v>0</v>
      </c>
      <c r="U785" s="28">
        <f>IF(Q785="PS",I785-P785,0)</f>
        <v>0</v>
      </c>
      <c r="V785" s="28">
        <f>IF(Q785="MP",H785,0)</f>
        <v>0</v>
      </c>
      <c r="W785" s="28">
        <f>IF(Q785="MP",I785-P785,0)</f>
        <v>0</v>
      </c>
      <c r="X785" s="28">
        <f>IF(Q785="OM",H785,0)</f>
        <v>0</v>
      </c>
      <c r="Y785" s="21" t="s">
        <v>541</v>
      </c>
      <c r="AI785" s="28">
        <f>SUM(Z786:Z789)</f>
        <v>0</v>
      </c>
      <c r="AJ785" s="28">
        <f>SUM(AA786:AA789)</f>
        <v>0</v>
      </c>
      <c r="AK785" s="28">
        <f>SUM(AB786:AB789)</f>
        <v>0</v>
      </c>
    </row>
    <row r="786" spans="1:43" x14ac:dyDescent="0.25">
      <c r="A786" s="29" t="s">
        <v>548</v>
      </c>
      <c r="B786" s="29" t="s">
        <v>541</v>
      </c>
      <c r="C786" s="29" t="s">
        <v>259</v>
      </c>
      <c r="D786" s="29" t="s">
        <v>260</v>
      </c>
      <c r="E786" s="29" t="s">
        <v>58</v>
      </c>
      <c r="F786" s="30">
        <v>44.5</v>
      </c>
      <c r="G786" s="317">
        <v>0</v>
      </c>
      <c r="H786" s="30">
        <f>ROUND(F786*AE786,2)</f>
        <v>0</v>
      </c>
      <c r="I786" s="30">
        <f>J786-H786</f>
        <v>0</v>
      </c>
      <c r="J786" s="30">
        <f>ROUND(F786*G786,2)</f>
        <v>0</v>
      </c>
      <c r="K786" s="30">
        <v>0.16428000000000001</v>
      </c>
      <c r="L786" s="30">
        <f>F786*K786</f>
        <v>7.3104600000000008</v>
      </c>
      <c r="M786" s="31" t="s">
        <v>2292</v>
      </c>
      <c r="N786" s="31" t="s">
        <v>59</v>
      </c>
      <c r="O786" s="30">
        <f>IF(N786="5",I786,0)</f>
        <v>0</v>
      </c>
      <c r="Z786" s="30">
        <f>IF(AD786=0,J786,0)</f>
        <v>0</v>
      </c>
      <c r="AA786" s="30">
        <f>IF(AD786=15,J786,0)</f>
        <v>0</v>
      </c>
      <c r="AB786" s="30">
        <f>IF(AD786=21,J786,0)</f>
        <v>0</v>
      </c>
      <c r="AD786" s="32">
        <v>21</v>
      </c>
      <c r="AE786" s="32">
        <f>G786*0.406311844340531</f>
        <v>0</v>
      </c>
      <c r="AF786" s="32">
        <f>G786*(1-0.406311844340531)</f>
        <v>0</v>
      </c>
      <c r="AM786" s="32">
        <f>F786*AE786</f>
        <v>0</v>
      </c>
      <c r="AN786" s="32">
        <f>F786*AF786</f>
        <v>0</v>
      </c>
      <c r="AO786" s="33" t="s">
        <v>194</v>
      </c>
      <c r="AP786" s="33" t="s">
        <v>92</v>
      </c>
      <c r="AQ786" s="21" t="s">
        <v>543</v>
      </c>
    </row>
    <row r="787" spans="1:43" x14ac:dyDescent="0.25">
      <c r="A787" s="29" t="s">
        <v>549</v>
      </c>
      <c r="B787" s="29" t="s">
        <v>541</v>
      </c>
      <c r="C787" s="29" t="s">
        <v>444</v>
      </c>
      <c r="D787" s="29" t="s">
        <v>2289</v>
      </c>
      <c r="E787" s="29" t="s">
        <v>58</v>
      </c>
      <c r="F787" s="30">
        <v>44.5</v>
      </c>
      <c r="G787" s="317">
        <v>0</v>
      </c>
      <c r="H787" s="30">
        <f>ROUND(F787*AE787,2)</f>
        <v>0</v>
      </c>
      <c r="I787" s="30">
        <f>J787-H787</f>
        <v>0</v>
      </c>
      <c r="J787" s="30">
        <f>ROUND(F787*G787,2)</f>
        <v>0</v>
      </c>
      <c r="K787" s="30">
        <v>2.2790000000000001E-2</v>
      </c>
      <c r="L787" s="30">
        <f>F787*K787</f>
        <v>1.0141550000000001</v>
      </c>
      <c r="M787" s="31" t="s">
        <v>2292</v>
      </c>
      <c r="N787" s="31" t="s">
        <v>59</v>
      </c>
      <c r="O787" s="30">
        <f>IF(N787="5",I787,0)</f>
        <v>0</v>
      </c>
      <c r="Z787" s="30">
        <f>IF(AD787=0,J787,0)</f>
        <v>0</v>
      </c>
      <c r="AA787" s="30">
        <f>IF(AD787=15,J787,0)</f>
        <v>0</v>
      </c>
      <c r="AB787" s="30">
        <f>IF(AD787=21,J787,0)</f>
        <v>0</v>
      </c>
      <c r="AD787" s="32">
        <v>21</v>
      </c>
      <c r="AE787" s="32">
        <f>G787*0.579484228260688</f>
        <v>0</v>
      </c>
      <c r="AF787" s="32">
        <f>G787*(1-0.579484228260688)</f>
        <v>0</v>
      </c>
      <c r="AM787" s="32">
        <f>F787*AE787</f>
        <v>0</v>
      </c>
      <c r="AN787" s="32">
        <f>F787*AF787</f>
        <v>0</v>
      </c>
      <c r="AO787" s="33" t="s">
        <v>194</v>
      </c>
      <c r="AP787" s="33" t="s">
        <v>92</v>
      </c>
      <c r="AQ787" s="21" t="s">
        <v>543</v>
      </c>
    </row>
    <row r="788" spans="1:43" ht="25.7" customHeight="1" x14ac:dyDescent="0.25">
      <c r="C788" s="34" t="s">
        <v>63</v>
      </c>
      <c r="D788" s="340" t="s">
        <v>2284</v>
      </c>
      <c r="E788" s="341"/>
      <c r="F788" s="341"/>
      <c r="G788" s="341"/>
      <c r="H788" s="341"/>
      <c r="I788" s="341"/>
      <c r="J788" s="341"/>
      <c r="K788" s="341"/>
      <c r="L788" s="341"/>
      <c r="M788" s="341"/>
    </row>
    <row r="789" spans="1:43" x14ac:dyDescent="0.25">
      <c r="A789" s="29" t="s">
        <v>550</v>
      </c>
      <c r="B789" s="29" t="s">
        <v>541</v>
      </c>
      <c r="C789" s="29" t="s">
        <v>444</v>
      </c>
      <c r="D789" s="29" t="s">
        <v>2290</v>
      </c>
      <c r="E789" s="29" t="s">
        <v>58</v>
      </c>
      <c r="F789" s="30">
        <v>11.7</v>
      </c>
      <c r="G789" s="317">
        <v>0</v>
      </c>
      <c r="H789" s="30">
        <f>ROUND(F789*AE789,2)</f>
        <v>0</v>
      </c>
      <c r="I789" s="30">
        <f>J789-H789</f>
        <v>0</v>
      </c>
      <c r="J789" s="30">
        <f>ROUND(F789*G789,2)</f>
        <v>0</v>
      </c>
      <c r="K789" s="30">
        <v>2.2790000000000001E-2</v>
      </c>
      <c r="L789" s="30">
        <f>F789*K789</f>
        <v>0.26664300000000002</v>
      </c>
      <c r="M789" s="31" t="s">
        <v>2292</v>
      </c>
      <c r="N789" s="31" t="s">
        <v>59</v>
      </c>
      <c r="O789" s="30">
        <f>IF(N789="5",I789,0)</f>
        <v>0</v>
      </c>
      <c r="Z789" s="30">
        <f>IF(AD789=0,J789,0)</f>
        <v>0</v>
      </c>
      <c r="AA789" s="30">
        <f>IF(AD789=15,J789,0)</f>
        <v>0</v>
      </c>
      <c r="AB789" s="30">
        <f>IF(AD789=21,J789,0)</f>
        <v>0</v>
      </c>
      <c r="AD789" s="32">
        <v>21</v>
      </c>
      <c r="AE789" s="32">
        <f>G789*0.579484228260688</f>
        <v>0</v>
      </c>
      <c r="AF789" s="32">
        <f>G789*(1-0.579484228260688)</f>
        <v>0</v>
      </c>
      <c r="AM789" s="32">
        <f>F789*AE789</f>
        <v>0</v>
      </c>
      <c r="AN789" s="32">
        <f>F789*AF789</f>
        <v>0</v>
      </c>
      <c r="AO789" s="33" t="s">
        <v>194</v>
      </c>
      <c r="AP789" s="33" t="s">
        <v>92</v>
      </c>
      <c r="AQ789" s="21" t="s">
        <v>543</v>
      </c>
    </row>
    <row r="790" spans="1:43" ht="25.7" customHeight="1" x14ac:dyDescent="0.25">
      <c r="C790" s="34" t="s">
        <v>63</v>
      </c>
      <c r="D790" s="340" t="s">
        <v>2284</v>
      </c>
      <c r="E790" s="341"/>
      <c r="F790" s="341"/>
      <c r="G790" s="341"/>
      <c r="H790" s="341"/>
      <c r="I790" s="341"/>
      <c r="J790" s="341"/>
      <c r="K790" s="341"/>
      <c r="L790" s="341"/>
      <c r="M790" s="341"/>
    </row>
    <row r="791" spans="1:43" x14ac:dyDescent="0.25">
      <c r="A791" s="26"/>
      <c r="B791" s="27" t="s">
        <v>541</v>
      </c>
      <c r="C791" s="27" t="s">
        <v>86</v>
      </c>
      <c r="D791" s="338" t="s">
        <v>87</v>
      </c>
      <c r="E791" s="339"/>
      <c r="F791" s="339"/>
      <c r="G791" s="339"/>
      <c r="H791" s="28">
        <f>SUM(H792:H792)</f>
        <v>0</v>
      </c>
      <c r="I791" s="28">
        <f>SUM(I792:I792)</f>
        <v>0</v>
      </c>
      <c r="J791" s="28">
        <f>H791+I791</f>
        <v>0</v>
      </c>
      <c r="K791" s="21"/>
      <c r="L791" s="28">
        <f>SUM(L792:L792)</f>
        <v>2.16E-3</v>
      </c>
      <c r="M791" s="21"/>
      <c r="P791" s="28">
        <f>IF(Q791="PR",J791,SUM(O792:O792))</f>
        <v>0</v>
      </c>
      <c r="Q791" s="21" t="s">
        <v>75</v>
      </c>
      <c r="R791" s="28">
        <f>IF(Q791="HS",H791,0)</f>
        <v>0</v>
      </c>
      <c r="S791" s="28">
        <f>IF(Q791="HS",I791-P791,0)</f>
        <v>0</v>
      </c>
      <c r="T791" s="28">
        <f>IF(Q791="PS",H791,0)</f>
        <v>0</v>
      </c>
      <c r="U791" s="28">
        <f>IF(Q791="PS",I791-P791,0)</f>
        <v>0</v>
      </c>
      <c r="V791" s="28">
        <f>IF(Q791="MP",H791,0)</f>
        <v>0</v>
      </c>
      <c r="W791" s="28">
        <f>IF(Q791="MP",I791-P791,0)</f>
        <v>0</v>
      </c>
      <c r="X791" s="28">
        <f>IF(Q791="OM",H791,0)</f>
        <v>0</v>
      </c>
      <c r="Y791" s="21" t="s">
        <v>541</v>
      </c>
      <c r="AI791" s="28">
        <f>SUM(Z792:Z792)</f>
        <v>0</v>
      </c>
      <c r="AJ791" s="28">
        <f>SUM(AA792:AA792)</f>
        <v>0</v>
      </c>
      <c r="AK791" s="28">
        <f>SUM(AB792:AB792)</f>
        <v>0</v>
      </c>
    </row>
    <row r="792" spans="1:43" x14ac:dyDescent="0.25">
      <c r="A792" s="29" t="s">
        <v>551</v>
      </c>
      <c r="B792" s="29" t="s">
        <v>541</v>
      </c>
      <c r="C792" s="29" t="s">
        <v>89</v>
      </c>
      <c r="D792" s="29" t="s">
        <v>90</v>
      </c>
      <c r="E792" s="29" t="s">
        <v>58</v>
      </c>
      <c r="F792" s="30">
        <v>8</v>
      </c>
      <c r="G792" s="317">
        <v>0</v>
      </c>
      <c r="H792" s="30">
        <f>ROUND(F792*AE792,2)</f>
        <v>0</v>
      </c>
      <c r="I792" s="30">
        <f>J792-H792</f>
        <v>0</v>
      </c>
      <c r="J792" s="30">
        <f>ROUND(F792*G792,2)</f>
        <v>0</v>
      </c>
      <c r="K792" s="30">
        <v>2.7E-4</v>
      </c>
      <c r="L792" s="30">
        <f>F792*K792</f>
        <v>2.16E-3</v>
      </c>
      <c r="M792" s="31" t="s">
        <v>2292</v>
      </c>
      <c r="N792" s="31" t="s">
        <v>59</v>
      </c>
      <c r="O792" s="30">
        <f>IF(N792="5",I792,0)</f>
        <v>0</v>
      </c>
      <c r="Z792" s="30">
        <f>IF(AD792=0,J792,0)</f>
        <v>0</v>
      </c>
      <c r="AA792" s="30">
        <f>IF(AD792=15,J792,0)</f>
        <v>0</v>
      </c>
      <c r="AB792" s="30">
        <f>IF(AD792=21,J792,0)</f>
        <v>0</v>
      </c>
      <c r="AD792" s="32">
        <v>21</v>
      </c>
      <c r="AE792" s="32">
        <f>G792*0.186098187625859</f>
        <v>0</v>
      </c>
      <c r="AF792" s="32">
        <f>G792*(1-0.186098187625859)</f>
        <v>0</v>
      </c>
      <c r="AM792" s="32">
        <f>F792*AE792</f>
        <v>0</v>
      </c>
      <c r="AN792" s="32">
        <f>F792*AF792</f>
        <v>0</v>
      </c>
      <c r="AO792" s="33" t="s">
        <v>91</v>
      </c>
      <c r="AP792" s="33" t="s">
        <v>92</v>
      </c>
      <c r="AQ792" s="21" t="s">
        <v>543</v>
      </c>
    </row>
    <row r="793" spans="1:43" x14ac:dyDescent="0.25">
      <c r="A793" s="26"/>
      <c r="B793" s="27" t="s">
        <v>541</v>
      </c>
      <c r="C793" s="27" t="s">
        <v>93</v>
      </c>
      <c r="D793" s="338" t="s">
        <v>94</v>
      </c>
      <c r="E793" s="339"/>
      <c r="F793" s="339"/>
      <c r="G793" s="339"/>
      <c r="H793" s="28">
        <f>SUM(H794:H794)</f>
        <v>0</v>
      </c>
      <c r="I793" s="28">
        <f>SUM(I794:I794)</f>
        <v>0</v>
      </c>
      <c r="J793" s="28">
        <f>H793+I793</f>
        <v>0</v>
      </c>
      <c r="K793" s="21"/>
      <c r="L793" s="28">
        <f>SUM(L794:L794)</f>
        <v>1.8005E-2</v>
      </c>
      <c r="M793" s="21"/>
      <c r="P793" s="28">
        <f>IF(Q793="PR",J793,SUM(O794:O794))</f>
        <v>0</v>
      </c>
      <c r="Q793" s="21" t="s">
        <v>75</v>
      </c>
      <c r="R793" s="28">
        <f>IF(Q793="HS",H793,0)</f>
        <v>0</v>
      </c>
      <c r="S793" s="28">
        <f>IF(Q793="HS",I793-P793,0)</f>
        <v>0</v>
      </c>
      <c r="T793" s="28">
        <f>IF(Q793="PS",H793,0)</f>
        <v>0</v>
      </c>
      <c r="U793" s="28">
        <f>IF(Q793="PS",I793-P793,0)</f>
        <v>0</v>
      </c>
      <c r="V793" s="28">
        <f>IF(Q793="MP",H793,0)</f>
        <v>0</v>
      </c>
      <c r="W793" s="28">
        <f>IF(Q793="MP",I793-P793,0)</f>
        <v>0</v>
      </c>
      <c r="X793" s="28">
        <f>IF(Q793="OM",H793,0)</f>
        <v>0</v>
      </c>
      <c r="Y793" s="21" t="s">
        <v>541</v>
      </c>
      <c r="AI793" s="28">
        <f>SUM(Z794:Z794)</f>
        <v>0</v>
      </c>
      <c r="AJ793" s="28">
        <f>SUM(AA794:AA794)</f>
        <v>0</v>
      </c>
      <c r="AK793" s="28">
        <f>SUM(AB794:AB794)</f>
        <v>0</v>
      </c>
    </row>
    <row r="794" spans="1:43" x14ac:dyDescent="0.25">
      <c r="A794" s="29" t="s">
        <v>552</v>
      </c>
      <c r="B794" s="29" t="s">
        <v>541</v>
      </c>
      <c r="C794" s="29" t="s">
        <v>96</v>
      </c>
      <c r="D794" s="29" t="s">
        <v>97</v>
      </c>
      <c r="E794" s="29" t="s">
        <v>58</v>
      </c>
      <c r="F794" s="30">
        <v>27.7</v>
      </c>
      <c r="G794" s="317">
        <v>0</v>
      </c>
      <c r="H794" s="30">
        <f>ROUND(F794*AE794,2)</f>
        <v>0</v>
      </c>
      <c r="I794" s="30">
        <f>J794-H794</f>
        <v>0</v>
      </c>
      <c r="J794" s="30">
        <f>ROUND(F794*G794,2)</f>
        <v>0</v>
      </c>
      <c r="K794" s="30">
        <v>6.4999999999999997E-4</v>
      </c>
      <c r="L794" s="30">
        <f>F794*K794</f>
        <v>1.8005E-2</v>
      </c>
      <c r="M794" s="31" t="s">
        <v>2292</v>
      </c>
      <c r="N794" s="31" t="s">
        <v>59</v>
      </c>
      <c r="O794" s="30">
        <f>IF(N794="5",I794,0)</f>
        <v>0</v>
      </c>
      <c r="Z794" s="30">
        <f>IF(AD794=0,J794,0)</f>
        <v>0</v>
      </c>
      <c r="AA794" s="30">
        <f>IF(AD794=15,J794,0)</f>
        <v>0</v>
      </c>
      <c r="AB794" s="30">
        <f>IF(AD794=21,J794,0)</f>
        <v>0</v>
      </c>
      <c r="AD794" s="32">
        <v>21</v>
      </c>
      <c r="AE794" s="32">
        <f>G794*0.333747476316198</f>
        <v>0</v>
      </c>
      <c r="AF794" s="32">
        <f>G794*(1-0.333747476316198)</f>
        <v>0</v>
      </c>
      <c r="AM794" s="32">
        <f>F794*AE794</f>
        <v>0</v>
      </c>
      <c r="AN794" s="32">
        <f>F794*AF794</f>
        <v>0</v>
      </c>
      <c r="AO794" s="33" t="s">
        <v>98</v>
      </c>
      <c r="AP794" s="33" t="s">
        <v>92</v>
      </c>
      <c r="AQ794" s="21" t="s">
        <v>543</v>
      </c>
    </row>
    <row r="795" spans="1:43" x14ac:dyDescent="0.25">
      <c r="A795" s="26"/>
      <c r="B795" s="27" t="s">
        <v>541</v>
      </c>
      <c r="C795" s="27" t="s">
        <v>99</v>
      </c>
      <c r="D795" s="338" t="s">
        <v>100</v>
      </c>
      <c r="E795" s="339"/>
      <c r="F795" s="339"/>
      <c r="G795" s="339"/>
      <c r="H795" s="28">
        <f>SUM(H796:H796)</f>
        <v>0</v>
      </c>
      <c r="I795" s="28">
        <f>SUM(I796:I796)</f>
        <v>0</v>
      </c>
      <c r="J795" s="28">
        <f>H795+I795</f>
        <v>0</v>
      </c>
      <c r="K795" s="21"/>
      <c r="L795" s="28">
        <f>SUM(L796:L796)</f>
        <v>0</v>
      </c>
      <c r="M795" s="21"/>
      <c r="P795" s="28">
        <f>IF(Q795="PR",J795,SUM(O796:O796))</f>
        <v>0</v>
      </c>
      <c r="Q795" s="21" t="s">
        <v>54</v>
      </c>
      <c r="R795" s="28">
        <f>IF(Q795="HS",H795,0)</f>
        <v>0</v>
      </c>
      <c r="S795" s="28">
        <f>IF(Q795="HS",I795-P795,0)</f>
        <v>0</v>
      </c>
      <c r="T795" s="28">
        <f>IF(Q795="PS",H795,0)</f>
        <v>0</v>
      </c>
      <c r="U795" s="28">
        <f>IF(Q795="PS",I795-P795,0)</f>
        <v>0</v>
      </c>
      <c r="V795" s="28">
        <f>IF(Q795="MP",H795,0)</f>
        <v>0</v>
      </c>
      <c r="W795" s="28">
        <f>IF(Q795="MP",I795-P795,0)</f>
        <v>0</v>
      </c>
      <c r="X795" s="28">
        <f>IF(Q795="OM",H795,0)</f>
        <v>0</v>
      </c>
      <c r="Y795" s="21" t="s">
        <v>541</v>
      </c>
      <c r="AI795" s="28">
        <f>SUM(Z796:Z796)</f>
        <v>0</v>
      </c>
      <c r="AJ795" s="28">
        <f>SUM(AA796:AA796)</f>
        <v>0</v>
      </c>
      <c r="AK795" s="28">
        <f>SUM(AB796:AB796)</f>
        <v>0</v>
      </c>
    </row>
    <row r="796" spans="1:43" x14ac:dyDescent="0.25">
      <c r="A796" s="29" t="s">
        <v>553</v>
      </c>
      <c r="B796" s="29" t="s">
        <v>541</v>
      </c>
      <c r="C796" s="29" t="s">
        <v>102</v>
      </c>
      <c r="D796" s="29" t="s">
        <v>103</v>
      </c>
      <c r="E796" s="29" t="s">
        <v>104</v>
      </c>
      <c r="F796" s="30">
        <v>2.4</v>
      </c>
      <c r="G796" s="317">
        <v>0</v>
      </c>
      <c r="H796" s="30">
        <f>ROUND(F796*AE796,2)</f>
        <v>0</v>
      </c>
      <c r="I796" s="30">
        <f>J796-H796</f>
        <v>0</v>
      </c>
      <c r="J796" s="30">
        <f>ROUND(F796*G796,2)</f>
        <v>0</v>
      </c>
      <c r="K796" s="30">
        <v>0</v>
      </c>
      <c r="L796" s="30">
        <f>F796*K796</f>
        <v>0</v>
      </c>
      <c r="M796" s="31" t="s">
        <v>2292</v>
      </c>
      <c r="N796" s="31" t="s">
        <v>55</v>
      </c>
      <c r="O796" s="30">
        <f>IF(N796="5",I796,0)</f>
        <v>0</v>
      </c>
      <c r="Z796" s="30">
        <f>IF(AD796=0,J796,0)</f>
        <v>0</v>
      </c>
      <c r="AA796" s="30">
        <f>IF(AD796=15,J796,0)</f>
        <v>0</v>
      </c>
      <c r="AB796" s="30">
        <f>IF(AD796=21,J796,0)</f>
        <v>0</v>
      </c>
      <c r="AD796" s="32">
        <v>21</v>
      </c>
      <c r="AE796" s="32">
        <f>G796*0</f>
        <v>0</v>
      </c>
      <c r="AF796" s="32">
        <f>G796*(1-0)</f>
        <v>0</v>
      </c>
      <c r="AM796" s="32">
        <f>F796*AE796</f>
        <v>0</v>
      </c>
      <c r="AN796" s="32">
        <f>F796*AF796</f>
        <v>0</v>
      </c>
      <c r="AO796" s="33" t="s">
        <v>105</v>
      </c>
      <c r="AP796" s="33" t="s">
        <v>106</v>
      </c>
      <c r="AQ796" s="21" t="s">
        <v>543</v>
      </c>
    </row>
    <row r="797" spans="1:43" x14ac:dyDescent="0.25">
      <c r="C797" s="34" t="s">
        <v>63</v>
      </c>
      <c r="D797" s="340" t="s">
        <v>107</v>
      </c>
      <c r="E797" s="341"/>
      <c r="F797" s="341"/>
      <c r="G797" s="341"/>
      <c r="H797" s="341"/>
      <c r="I797" s="341"/>
      <c r="J797" s="341"/>
      <c r="K797" s="341"/>
      <c r="L797" s="341"/>
      <c r="M797" s="341"/>
    </row>
    <row r="798" spans="1:43" x14ac:dyDescent="0.25">
      <c r="A798" s="26"/>
      <c r="B798" s="27" t="s">
        <v>554</v>
      </c>
      <c r="C798" s="27"/>
      <c r="D798" s="338" t="s">
        <v>554</v>
      </c>
      <c r="E798" s="339"/>
      <c r="F798" s="339"/>
      <c r="G798" s="339"/>
      <c r="H798" s="28">
        <f>H799+H801+H808+H810+H812+H815+H817+H822+H824+H826</f>
        <v>0</v>
      </c>
      <c r="I798" s="28">
        <f>I799+I801+I808+I810+I812+I815+I817+I822+I824+I826</f>
        <v>0</v>
      </c>
      <c r="J798" s="28">
        <f>H798+I798</f>
        <v>0</v>
      </c>
      <c r="K798" s="21"/>
      <c r="L798" s="28">
        <f>L799+L801+L808+L810+L812+L815+L817+L822+L824+L826</f>
        <v>3.6842893999999999</v>
      </c>
      <c r="M798" s="21"/>
    </row>
    <row r="799" spans="1:43" x14ac:dyDescent="0.25">
      <c r="A799" s="26"/>
      <c r="B799" s="27" t="s">
        <v>554</v>
      </c>
      <c r="C799" s="27" t="s">
        <v>166</v>
      </c>
      <c r="D799" s="338" t="s">
        <v>167</v>
      </c>
      <c r="E799" s="339"/>
      <c r="F799" s="339"/>
      <c r="G799" s="339"/>
      <c r="H799" s="28">
        <f>SUM(H800:H800)</f>
        <v>0</v>
      </c>
      <c r="I799" s="28">
        <f>SUM(I800:I800)</f>
        <v>0</v>
      </c>
      <c r="J799" s="28">
        <f>H799+I799</f>
        <v>0</v>
      </c>
      <c r="K799" s="21"/>
      <c r="L799" s="28">
        <f>SUM(L800:L800)</f>
        <v>5.04E-2</v>
      </c>
      <c r="M799" s="21"/>
      <c r="P799" s="28">
        <f>IF(Q799="PR",J799,SUM(O800:O800))</f>
        <v>0</v>
      </c>
      <c r="Q799" s="21" t="s">
        <v>54</v>
      </c>
      <c r="R799" s="28">
        <f>IF(Q799="HS",H799,0)</f>
        <v>0</v>
      </c>
      <c r="S799" s="28">
        <f>IF(Q799="HS",I799-P799,0)</f>
        <v>0</v>
      </c>
      <c r="T799" s="28">
        <f>IF(Q799="PS",H799,0)</f>
        <v>0</v>
      </c>
      <c r="U799" s="28">
        <f>IF(Q799="PS",I799-P799,0)</f>
        <v>0</v>
      </c>
      <c r="V799" s="28">
        <f>IF(Q799="MP",H799,0)</f>
        <v>0</v>
      </c>
      <c r="W799" s="28">
        <f>IF(Q799="MP",I799-P799,0)</f>
        <v>0</v>
      </c>
      <c r="X799" s="28">
        <f>IF(Q799="OM",H799,0)</f>
        <v>0</v>
      </c>
      <c r="Y799" s="21" t="s">
        <v>554</v>
      </c>
      <c r="AI799" s="28">
        <f>SUM(Z800:Z800)</f>
        <v>0</v>
      </c>
      <c r="AJ799" s="28">
        <f>SUM(AA800:AA800)</f>
        <v>0</v>
      </c>
      <c r="AK799" s="28">
        <f>SUM(AB800:AB800)</f>
        <v>0</v>
      </c>
    </row>
    <row r="800" spans="1:43" x14ac:dyDescent="0.25">
      <c r="A800" s="29" t="s">
        <v>555</v>
      </c>
      <c r="B800" s="29" t="s">
        <v>554</v>
      </c>
      <c r="C800" s="29" t="s">
        <v>169</v>
      </c>
      <c r="D800" s="29" t="s">
        <v>170</v>
      </c>
      <c r="E800" s="29" t="s">
        <v>58</v>
      </c>
      <c r="F800" s="30">
        <v>4.2</v>
      </c>
      <c r="G800" s="317">
        <v>0</v>
      </c>
      <c r="H800" s="30">
        <f>ROUND(F800*AE800,2)</f>
        <v>0</v>
      </c>
      <c r="I800" s="30">
        <f>J800-H800</f>
        <v>0</v>
      </c>
      <c r="J800" s="30">
        <f>ROUND(F800*G800,2)</f>
        <v>0</v>
      </c>
      <c r="K800" s="30">
        <v>1.2E-2</v>
      </c>
      <c r="L800" s="30">
        <f>F800*K800</f>
        <v>5.04E-2</v>
      </c>
      <c r="M800" s="31"/>
      <c r="N800" s="31" t="s">
        <v>55</v>
      </c>
      <c r="O800" s="30">
        <f>IF(N800="5",I800,0)</f>
        <v>0</v>
      </c>
      <c r="Z800" s="30">
        <f>IF(AD800=0,J800,0)</f>
        <v>0</v>
      </c>
      <c r="AA800" s="30">
        <f>IF(AD800=15,J800,0)</f>
        <v>0</v>
      </c>
      <c r="AB800" s="30">
        <f>IF(AD800=21,J800,0)</f>
        <v>0</v>
      </c>
      <c r="AD800" s="32">
        <v>21</v>
      </c>
      <c r="AE800" s="32">
        <f>G800*0.381443298969072</f>
        <v>0</v>
      </c>
      <c r="AF800" s="32">
        <f>G800*(1-0.381443298969072)</f>
        <v>0</v>
      </c>
      <c r="AM800" s="32">
        <f>F800*AE800</f>
        <v>0</v>
      </c>
      <c r="AN800" s="32">
        <f>F800*AF800</f>
        <v>0</v>
      </c>
      <c r="AO800" s="33" t="s">
        <v>171</v>
      </c>
      <c r="AP800" s="33" t="s">
        <v>171</v>
      </c>
      <c r="AQ800" s="21" t="s">
        <v>556</v>
      </c>
    </row>
    <row r="801" spans="1:43" x14ac:dyDescent="0.25">
      <c r="A801" s="26"/>
      <c r="B801" s="27" t="s">
        <v>554</v>
      </c>
      <c r="C801" s="27" t="s">
        <v>52</v>
      </c>
      <c r="D801" s="338" t="s">
        <v>53</v>
      </c>
      <c r="E801" s="339"/>
      <c r="F801" s="339"/>
      <c r="G801" s="339"/>
      <c r="H801" s="28">
        <f>SUM(H802:H806)</f>
        <v>0</v>
      </c>
      <c r="I801" s="28">
        <f>SUM(I802:I806)</f>
        <v>0</v>
      </c>
      <c r="J801" s="28">
        <f>H801+I801</f>
        <v>0</v>
      </c>
      <c r="K801" s="21"/>
      <c r="L801" s="28">
        <f>SUM(L802:L806)</f>
        <v>1.4027677000000001</v>
      </c>
      <c r="M801" s="21"/>
      <c r="P801" s="28">
        <f>IF(Q801="PR",J801,SUM(O802:O806))</f>
        <v>0</v>
      </c>
      <c r="Q801" s="21" t="s">
        <v>54</v>
      </c>
      <c r="R801" s="28">
        <f>IF(Q801="HS",H801,0)</f>
        <v>0</v>
      </c>
      <c r="S801" s="28">
        <f>IF(Q801="HS",I801-P801,0)</f>
        <v>0</v>
      </c>
      <c r="T801" s="28">
        <f>IF(Q801="PS",H801,0)</f>
        <v>0</v>
      </c>
      <c r="U801" s="28">
        <f>IF(Q801="PS",I801-P801,0)</f>
        <v>0</v>
      </c>
      <c r="V801" s="28">
        <f>IF(Q801="MP",H801,0)</f>
        <v>0</v>
      </c>
      <c r="W801" s="28">
        <f>IF(Q801="MP",I801-P801,0)</f>
        <v>0</v>
      </c>
      <c r="X801" s="28">
        <f>IF(Q801="OM",H801,0)</f>
        <v>0</v>
      </c>
      <c r="Y801" s="21" t="s">
        <v>554</v>
      </c>
      <c r="AI801" s="28">
        <f>SUM(Z802:Z806)</f>
        <v>0</v>
      </c>
      <c r="AJ801" s="28">
        <f>SUM(AA802:AA806)</f>
        <v>0</v>
      </c>
      <c r="AK801" s="28">
        <f>SUM(AB802:AB806)</f>
        <v>0</v>
      </c>
    </row>
    <row r="802" spans="1:43" x14ac:dyDescent="0.25">
      <c r="A802" s="29" t="s">
        <v>557</v>
      </c>
      <c r="B802" s="29" t="s">
        <v>554</v>
      </c>
      <c r="C802" s="29" t="s">
        <v>56</v>
      </c>
      <c r="D802" s="29" t="s">
        <v>57</v>
      </c>
      <c r="E802" s="29" t="s">
        <v>58</v>
      </c>
      <c r="F802" s="30">
        <v>62.87</v>
      </c>
      <c r="G802" s="317">
        <v>0</v>
      </c>
      <c r="H802" s="30">
        <f>ROUND(F802*AE802,2)</f>
        <v>0</v>
      </c>
      <c r="I802" s="30">
        <f>J802-H802</f>
        <v>0</v>
      </c>
      <c r="J802" s="30">
        <f>ROUND(F802*G802,2)</f>
        <v>0</v>
      </c>
      <c r="K802" s="30">
        <v>1.001E-2</v>
      </c>
      <c r="L802" s="30">
        <f>F802*K802</f>
        <v>0.62932869999999996</v>
      </c>
      <c r="M802" s="31" t="s">
        <v>2292</v>
      </c>
      <c r="N802" s="31" t="s">
        <v>59</v>
      </c>
      <c r="O802" s="30">
        <f>IF(N802="5",I802,0)</f>
        <v>0</v>
      </c>
      <c r="Z802" s="30">
        <f>IF(AD802=0,J802,0)</f>
        <v>0</v>
      </c>
      <c r="AA802" s="30">
        <f>IF(AD802=15,J802,0)</f>
        <v>0</v>
      </c>
      <c r="AB802" s="30">
        <f>IF(AD802=21,J802,0)</f>
        <v>0</v>
      </c>
      <c r="AD802" s="32">
        <v>21</v>
      </c>
      <c r="AE802" s="32">
        <f>G802*0.0756575801052128</f>
        <v>0</v>
      </c>
      <c r="AF802" s="32">
        <f>G802*(1-0.0756575801052128)</f>
        <v>0</v>
      </c>
      <c r="AM802" s="32">
        <f>F802*AE802</f>
        <v>0</v>
      </c>
      <c r="AN802" s="32">
        <f>F802*AF802</f>
        <v>0</v>
      </c>
      <c r="AO802" s="33" t="s">
        <v>60</v>
      </c>
      <c r="AP802" s="33" t="s">
        <v>61</v>
      </c>
      <c r="AQ802" s="21" t="s">
        <v>556</v>
      </c>
    </row>
    <row r="803" spans="1:43" ht="25.7" customHeight="1" x14ac:dyDescent="0.25">
      <c r="C803" s="34" t="s">
        <v>63</v>
      </c>
      <c r="D803" s="340" t="s">
        <v>64</v>
      </c>
      <c r="E803" s="341"/>
      <c r="F803" s="341"/>
      <c r="G803" s="341"/>
      <c r="H803" s="341"/>
      <c r="I803" s="341"/>
      <c r="J803" s="341"/>
      <c r="K803" s="341"/>
      <c r="L803" s="341"/>
      <c r="M803" s="341"/>
    </row>
    <row r="804" spans="1:43" x14ac:dyDescent="0.25">
      <c r="A804" s="29" t="s">
        <v>558</v>
      </c>
      <c r="B804" s="29" t="s">
        <v>554</v>
      </c>
      <c r="C804" s="29" t="s">
        <v>156</v>
      </c>
      <c r="D804" s="29" t="s">
        <v>2279</v>
      </c>
      <c r="E804" s="29" t="s">
        <v>58</v>
      </c>
      <c r="F804" s="30">
        <v>29.7</v>
      </c>
      <c r="G804" s="317">
        <v>0</v>
      </c>
      <c r="H804" s="30">
        <f>ROUND(F804*AE804,2)</f>
        <v>0</v>
      </c>
      <c r="I804" s="30">
        <f>J804-H804</f>
        <v>0</v>
      </c>
      <c r="J804" s="30">
        <f>ROUND(F804*G804,2)</f>
        <v>0</v>
      </c>
      <c r="K804" s="30">
        <v>2.0310000000000002E-2</v>
      </c>
      <c r="L804" s="30">
        <f>F804*K804</f>
        <v>0.60320700000000005</v>
      </c>
      <c r="M804" s="31" t="s">
        <v>2292</v>
      </c>
      <c r="N804" s="31" t="s">
        <v>55</v>
      </c>
      <c r="O804" s="30">
        <f>IF(N804="5",I804,0)</f>
        <v>0</v>
      </c>
      <c r="Z804" s="30">
        <f>IF(AD804=0,J804,0)</f>
        <v>0</v>
      </c>
      <c r="AA804" s="30">
        <f>IF(AD804=15,J804,0)</f>
        <v>0</v>
      </c>
      <c r="AB804" s="30">
        <f>IF(AD804=21,J804,0)</f>
        <v>0</v>
      </c>
      <c r="AD804" s="32">
        <v>21</v>
      </c>
      <c r="AE804" s="32">
        <f>G804*0.423217647685695</f>
        <v>0</v>
      </c>
      <c r="AF804" s="32">
        <f>G804*(1-0.423217647685695)</f>
        <v>0</v>
      </c>
      <c r="AM804" s="32">
        <f>F804*AE804</f>
        <v>0</v>
      </c>
      <c r="AN804" s="32">
        <f>F804*AF804</f>
        <v>0</v>
      </c>
      <c r="AO804" s="33" t="s">
        <v>60</v>
      </c>
      <c r="AP804" s="33" t="s">
        <v>61</v>
      </c>
      <c r="AQ804" s="21" t="s">
        <v>556</v>
      </c>
    </row>
    <row r="805" spans="1:43" ht="25.7" customHeight="1" x14ac:dyDescent="0.25">
      <c r="C805" s="34" t="s">
        <v>63</v>
      </c>
      <c r="D805" s="340" t="s">
        <v>157</v>
      </c>
      <c r="E805" s="341"/>
      <c r="F805" s="341"/>
      <c r="G805" s="341"/>
      <c r="H805" s="341"/>
      <c r="I805" s="341"/>
      <c r="J805" s="341"/>
      <c r="K805" s="341"/>
      <c r="L805" s="341"/>
      <c r="M805" s="341"/>
    </row>
    <row r="806" spans="1:43" x14ac:dyDescent="0.25">
      <c r="A806" s="29" t="s">
        <v>559</v>
      </c>
      <c r="B806" s="29" t="s">
        <v>554</v>
      </c>
      <c r="C806" s="29" t="s">
        <v>66</v>
      </c>
      <c r="D806" s="29" t="s">
        <v>67</v>
      </c>
      <c r="E806" s="29" t="s">
        <v>58</v>
      </c>
      <c r="F806" s="30">
        <v>17.3</v>
      </c>
      <c r="G806" s="317">
        <v>0</v>
      </c>
      <c r="H806" s="30">
        <f>ROUND(F806*AE806,2)</f>
        <v>0</v>
      </c>
      <c r="I806" s="30">
        <f>J806-H806</f>
        <v>0</v>
      </c>
      <c r="J806" s="30">
        <f>ROUND(F806*G806,2)</f>
        <v>0</v>
      </c>
      <c r="K806" s="30">
        <v>9.8399999999999998E-3</v>
      </c>
      <c r="L806" s="30">
        <f>F806*K806</f>
        <v>0.17023199999999999</v>
      </c>
      <c r="M806" s="31" t="s">
        <v>2292</v>
      </c>
      <c r="N806" s="31" t="s">
        <v>59</v>
      </c>
      <c r="O806" s="30">
        <f>IF(N806="5",I806,0)</f>
        <v>0</v>
      </c>
      <c r="Z806" s="30">
        <f>IF(AD806=0,J806,0)</f>
        <v>0</v>
      </c>
      <c r="AA806" s="30">
        <f>IF(AD806=15,J806,0)</f>
        <v>0</v>
      </c>
      <c r="AB806" s="30">
        <f>IF(AD806=21,J806,0)</f>
        <v>0</v>
      </c>
      <c r="AD806" s="32">
        <v>21</v>
      </c>
      <c r="AE806" s="32">
        <f>G806*0.160304682766381</f>
        <v>0</v>
      </c>
      <c r="AF806" s="32">
        <f>G806*(1-0.160304682766381)</f>
        <v>0</v>
      </c>
      <c r="AM806" s="32">
        <f>F806*AE806</f>
        <v>0</v>
      </c>
      <c r="AN806" s="32">
        <f>F806*AF806</f>
        <v>0</v>
      </c>
      <c r="AO806" s="33" t="s">
        <v>60</v>
      </c>
      <c r="AP806" s="33" t="s">
        <v>61</v>
      </c>
      <c r="AQ806" s="21" t="s">
        <v>556</v>
      </c>
    </row>
    <row r="807" spans="1:43" ht="25.7" customHeight="1" x14ac:dyDescent="0.25">
      <c r="C807" s="34" t="s">
        <v>63</v>
      </c>
      <c r="D807" s="340" t="s">
        <v>64</v>
      </c>
      <c r="E807" s="341"/>
      <c r="F807" s="341"/>
      <c r="G807" s="341"/>
      <c r="H807" s="341"/>
      <c r="I807" s="341"/>
      <c r="J807" s="341"/>
      <c r="K807" s="341"/>
      <c r="L807" s="341"/>
      <c r="M807" s="341"/>
    </row>
    <row r="808" spans="1:43" x14ac:dyDescent="0.25">
      <c r="A808" s="26"/>
      <c r="B808" s="27" t="s">
        <v>554</v>
      </c>
      <c r="C808" s="27" t="s">
        <v>68</v>
      </c>
      <c r="D808" s="338" t="s">
        <v>69</v>
      </c>
      <c r="E808" s="339"/>
      <c r="F808" s="339"/>
      <c r="G808" s="339"/>
      <c r="H808" s="28">
        <f>SUM(H809:H809)</f>
        <v>0</v>
      </c>
      <c r="I808" s="28">
        <f>SUM(I809:I809)</f>
        <v>0</v>
      </c>
      <c r="J808" s="28">
        <f>H808+I808</f>
        <v>0</v>
      </c>
      <c r="K808" s="21"/>
      <c r="L808" s="28">
        <f>SUM(L809:L809)</f>
        <v>1.0715600000000001</v>
      </c>
      <c r="M808" s="21"/>
      <c r="P808" s="28">
        <f>IF(Q808="PR",J808,SUM(O809:O809))</f>
        <v>0</v>
      </c>
      <c r="Q808" s="21" t="s">
        <v>54</v>
      </c>
      <c r="R808" s="28">
        <f>IF(Q808="HS",H808,0)</f>
        <v>0</v>
      </c>
      <c r="S808" s="28">
        <f>IF(Q808="HS",I808-P808,0)</f>
        <v>0</v>
      </c>
      <c r="T808" s="28">
        <f>IF(Q808="PS",H808,0)</f>
        <v>0</v>
      </c>
      <c r="U808" s="28">
        <f>IF(Q808="PS",I808-P808,0)</f>
        <v>0</v>
      </c>
      <c r="V808" s="28">
        <f>IF(Q808="MP",H808,0)</f>
        <v>0</v>
      </c>
      <c r="W808" s="28">
        <f>IF(Q808="MP",I808-P808,0)</f>
        <v>0</v>
      </c>
      <c r="X808" s="28">
        <f>IF(Q808="OM",H808,0)</f>
        <v>0</v>
      </c>
      <c r="Y808" s="21" t="s">
        <v>554</v>
      </c>
      <c r="AI808" s="28">
        <f>SUM(Z809:Z809)</f>
        <v>0</v>
      </c>
      <c r="AJ808" s="28">
        <f>SUM(AA809:AA809)</f>
        <v>0</v>
      </c>
      <c r="AK808" s="28">
        <f>SUM(AB809:AB809)</f>
        <v>0</v>
      </c>
    </row>
    <row r="809" spans="1:43" x14ac:dyDescent="0.25">
      <c r="A809" s="29" t="s">
        <v>560</v>
      </c>
      <c r="B809" s="29" t="s">
        <v>554</v>
      </c>
      <c r="C809" s="29" t="s">
        <v>70</v>
      </c>
      <c r="D809" s="29" t="s">
        <v>71</v>
      </c>
      <c r="E809" s="29" t="s">
        <v>58</v>
      </c>
      <c r="F809" s="30">
        <v>21.5</v>
      </c>
      <c r="G809" s="317">
        <v>0</v>
      </c>
      <c r="H809" s="30">
        <f>ROUND(F809*AE809,2)</f>
        <v>0</v>
      </c>
      <c r="I809" s="30">
        <f>J809-H809</f>
        <v>0</v>
      </c>
      <c r="J809" s="30">
        <f>ROUND(F809*G809,2)</f>
        <v>0</v>
      </c>
      <c r="K809" s="30">
        <v>4.9840000000000002E-2</v>
      </c>
      <c r="L809" s="30">
        <f>F809*K809</f>
        <v>1.0715600000000001</v>
      </c>
      <c r="M809" s="31" t="s">
        <v>2292</v>
      </c>
      <c r="N809" s="31" t="s">
        <v>59</v>
      </c>
      <c r="O809" s="30">
        <f>IF(N809="5",I809,0)</f>
        <v>0</v>
      </c>
      <c r="Z809" s="30">
        <f>IF(AD809=0,J809,0)</f>
        <v>0</v>
      </c>
      <c r="AA809" s="30">
        <f>IF(AD809=15,J809,0)</f>
        <v>0</v>
      </c>
      <c r="AB809" s="30">
        <f>IF(AD809=21,J809,0)</f>
        <v>0</v>
      </c>
      <c r="AD809" s="32">
        <v>21</v>
      </c>
      <c r="AE809" s="32">
        <f>G809*0.411768721414431</f>
        <v>0</v>
      </c>
      <c r="AF809" s="32">
        <f>G809*(1-0.411768721414431)</f>
        <v>0</v>
      </c>
      <c r="AM809" s="32">
        <f>F809*AE809</f>
        <v>0</v>
      </c>
      <c r="AN809" s="32">
        <f>F809*AF809</f>
        <v>0</v>
      </c>
      <c r="AO809" s="33" t="s">
        <v>72</v>
      </c>
      <c r="AP809" s="33" t="s">
        <v>61</v>
      </c>
      <c r="AQ809" s="21" t="s">
        <v>556</v>
      </c>
    </row>
    <row r="810" spans="1:43" x14ac:dyDescent="0.25">
      <c r="A810" s="26"/>
      <c r="B810" s="27" t="s">
        <v>554</v>
      </c>
      <c r="C810" s="27" t="s">
        <v>527</v>
      </c>
      <c r="D810" s="338" t="s">
        <v>528</v>
      </c>
      <c r="E810" s="339"/>
      <c r="F810" s="339"/>
      <c r="G810" s="339"/>
      <c r="H810" s="28">
        <f>SUM(H811:H811)</f>
        <v>0</v>
      </c>
      <c r="I810" s="28">
        <f>SUM(I811:I811)</f>
        <v>0</v>
      </c>
      <c r="J810" s="28">
        <f>H810+I810</f>
        <v>0</v>
      </c>
      <c r="K810" s="21"/>
      <c r="L810" s="28">
        <f>SUM(L811:L811)</f>
        <v>3.8280000000000002E-2</v>
      </c>
      <c r="M810" s="21"/>
      <c r="P810" s="28">
        <f>IF(Q810="PR",J810,SUM(O811:O811))</f>
        <v>0</v>
      </c>
      <c r="Q810" s="21" t="s">
        <v>75</v>
      </c>
      <c r="R810" s="28">
        <f>IF(Q810="HS",H810,0)</f>
        <v>0</v>
      </c>
      <c r="S810" s="28">
        <f>IF(Q810="HS",I810-P810,0)</f>
        <v>0</v>
      </c>
      <c r="T810" s="28">
        <f>IF(Q810="PS",H810,0)</f>
        <v>0</v>
      </c>
      <c r="U810" s="28">
        <f>IF(Q810="PS",I810-P810,0)</f>
        <v>0</v>
      </c>
      <c r="V810" s="28">
        <f>IF(Q810="MP",H810,0)</f>
        <v>0</v>
      </c>
      <c r="W810" s="28">
        <f>IF(Q810="MP",I810-P810,0)</f>
        <v>0</v>
      </c>
      <c r="X810" s="28">
        <f>IF(Q810="OM",H810,0)</f>
        <v>0</v>
      </c>
      <c r="Y810" s="21" t="s">
        <v>554</v>
      </c>
      <c r="AI810" s="28">
        <f>SUM(Z811:Z811)</f>
        <v>0</v>
      </c>
      <c r="AJ810" s="28">
        <f>SUM(AA811:AA811)</f>
        <v>0</v>
      </c>
      <c r="AK810" s="28">
        <f>SUM(AB811:AB811)</f>
        <v>0</v>
      </c>
    </row>
    <row r="811" spans="1:43" x14ac:dyDescent="0.25">
      <c r="A811" s="29" t="s">
        <v>561</v>
      </c>
      <c r="B811" s="29" t="s">
        <v>554</v>
      </c>
      <c r="C811" s="29" t="s">
        <v>530</v>
      </c>
      <c r="D811" s="29" t="s">
        <v>531</v>
      </c>
      <c r="E811" s="29" t="s">
        <v>113</v>
      </c>
      <c r="F811" s="30">
        <v>1</v>
      </c>
      <c r="G811" s="317">
        <v>0</v>
      </c>
      <c r="H811" s="30">
        <f>ROUND(F811*AE811,2)</f>
        <v>0</v>
      </c>
      <c r="I811" s="30">
        <f>J811-H811</f>
        <v>0</v>
      </c>
      <c r="J811" s="30">
        <f>ROUND(F811*G811,2)</f>
        <v>0</v>
      </c>
      <c r="K811" s="30">
        <v>3.8280000000000002E-2</v>
      </c>
      <c r="L811" s="30">
        <f>F811*K811</f>
        <v>3.8280000000000002E-2</v>
      </c>
      <c r="M811" s="31" t="s">
        <v>2292</v>
      </c>
      <c r="N811" s="31" t="s">
        <v>59</v>
      </c>
      <c r="O811" s="30">
        <f>IF(N811="5",I811,0)</f>
        <v>0</v>
      </c>
      <c r="Z811" s="30">
        <f>IF(AD811=0,J811,0)</f>
        <v>0</v>
      </c>
      <c r="AA811" s="30">
        <f>IF(AD811=15,J811,0)</f>
        <v>0</v>
      </c>
      <c r="AB811" s="30">
        <f>IF(AD811=21,J811,0)</f>
        <v>0</v>
      </c>
      <c r="AD811" s="32">
        <v>21</v>
      </c>
      <c r="AE811" s="32">
        <f>G811*0.877792075647468</f>
        <v>0</v>
      </c>
      <c r="AF811" s="32">
        <f>G811*(1-0.877792075647468)</f>
        <v>0</v>
      </c>
      <c r="AM811" s="32">
        <f>F811*AE811</f>
        <v>0</v>
      </c>
      <c r="AN811" s="32">
        <f>F811*AF811</f>
        <v>0</v>
      </c>
      <c r="AO811" s="33" t="s">
        <v>532</v>
      </c>
      <c r="AP811" s="33" t="s">
        <v>533</v>
      </c>
      <c r="AQ811" s="21" t="s">
        <v>556</v>
      </c>
    </row>
    <row r="812" spans="1:43" x14ac:dyDescent="0.25">
      <c r="A812" s="26"/>
      <c r="B812" s="27" t="s">
        <v>554</v>
      </c>
      <c r="C812" s="27" t="s">
        <v>73</v>
      </c>
      <c r="D812" s="338" t="s">
        <v>74</v>
      </c>
      <c r="E812" s="339"/>
      <c r="F812" s="339"/>
      <c r="G812" s="339"/>
      <c r="H812" s="28">
        <f>SUM(H813:H813)</f>
        <v>0</v>
      </c>
      <c r="I812" s="28">
        <f>SUM(I813:I813)</f>
        <v>0</v>
      </c>
      <c r="J812" s="28">
        <f>H812+I812</f>
        <v>0</v>
      </c>
      <c r="K812" s="21"/>
      <c r="L812" s="28">
        <f>SUM(L813:L813)</f>
        <v>0.34615000000000001</v>
      </c>
      <c r="M812" s="21"/>
      <c r="P812" s="28">
        <f>IF(Q812="PR",J812,SUM(O813:O813))</f>
        <v>0</v>
      </c>
      <c r="Q812" s="21" t="s">
        <v>75</v>
      </c>
      <c r="R812" s="28">
        <f>IF(Q812="HS",H812,0)</f>
        <v>0</v>
      </c>
      <c r="S812" s="28">
        <f>IF(Q812="HS",I812-P812,0)</f>
        <v>0</v>
      </c>
      <c r="T812" s="28">
        <f>IF(Q812="PS",H812,0)</f>
        <v>0</v>
      </c>
      <c r="U812" s="28">
        <f>IF(Q812="PS",I812-P812,0)</f>
        <v>0</v>
      </c>
      <c r="V812" s="28">
        <f>IF(Q812="MP",H812,0)</f>
        <v>0</v>
      </c>
      <c r="W812" s="28">
        <f>IF(Q812="MP",I812-P812,0)</f>
        <v>0</v>
      </c>
      <c r="X812" s="28">
        <f>IF(Q812="OM",H812,0)</f>
        <v>0</v>
      </c>
      <c r="Y812" s="21" t="s">
        <v>554</v>
      </c>
      <c r="AI812" s="28">
        <f>SUM(Z813:Z813)</f>
        <v>0</v>
      </c>
      <c r="AJ812" s="28">
        <f>SUM(AA813:AA813)</f>
        <v>0</v>
      </c>
      <c r="AK812" s="28">
        <f>SUM(AB813:AB813)</f>
        <v>0</v>
      </c>
    </row>
    <row r="813" spans="1:43" x14ac:dyDescent="0.25">
      <c r="A813" s="29" t="s">
        <v>562</v>
      </c>
      <c r="B813" s="29" t="s">
        <v>554</v>
      </c>
      <c r="C813" s="29" t="s">
        <v>77</v>
      </c>
      <c r="D813" s="29" t="s">
        <v>2278</v>
      </c>
      <c r="E813" s="29" t="s">
        <v>58</v>
      </c>
      <c r="F813" s="30">
        <v>21.5</v>
      </c>
      <c r="G813" s="317">
        <v>0</v>
      </c>
      <c r="H813" s="30">
        <f>ROUND(F813*AE813,2)</f>
        <v>0</v>
      </c>
      <c r="I813" s="30">
        <f>J813-H813</f>
        <v>0</v>
      </c>
      <c r="J813" s="30">
        <f>ROUND(F813*G813,2)</f>
        <v>0</v>
      </c>
      <c r="K813" s="30">
        <v>1.61E-2</v>
      </c>
      <c r="L813" s="30">
        <f>F813*K813</f>
        <v>0.34615000000000001</v>
      </c>
      <c r="M813" s="31" t="s">
        <v>2292</v>
      </c>
      <c r="N813" s="31" t="s">
        <v>59</v>
      </c>
      <c r="O813" s="30">
        <f>IF(N813="5",I813,0)</f>
        <v>0</v>
      </c>
      <c r="Z813" s="30">
        <f>IF(AD813=0,J813,0)</f>
        <v>0</v>
      </c>
      <c r="AA813" s="30">
        <f>IF(AD813=15,J813,0)</f>
        <v>0</v>
      </c>
      <c r="AB813" s="30">
        <f>IF(AD813=21,J813,0)</f>
        <v>0</v>
      </c>
      <c r="AD813" s="32">
        <v>21</v>
      </c>
      <c r="AE813" s="32">
        <f>G813*0.787221324717286</f>
        <v>0</v>
      </c>
      <c r="AF813" s="32">
        <f>G813*(1-0.787221324717286)</f>
        <v>0</v>
      </c>
      <c r="AM813" s="32">
        <f>F813*AE813</f>
        <v>0</v>
      </c>
      <c r="AN813" s="32">
        <f>F813*AF813</f>
        <v>0</v>
      </c>
      <c r="AO813" s="33" t="s">
        <v>78</v>
      </c>
      <c r="AP813" s="33" t="s">
        <v>79</v>
      </c>
      <c r="AQ813" s="21" t="s">
        <v>556</v>
      </c>
    </row>
    <row r="814" spans="1:43" ht="12.75" customHeight="1" x14ac:dyDescent="0.25">
      <c r="C814" s="34" t="s">
        <v>63</v>
      </c>
      <c r="D814" s="340" t="s">
        <v>2280</v>
      </c>
      <c r="E814" s="341"/>
      <c r="F814" s="341"/>
      <c r="G814" s="341"/>
      <c r="H814" s="341"/>
      <c r="I814" s="341"/>
      <c r="J814" s="341"/>
      <c r="K814" s="341"/>
      <c r="L814" s="341"/>
      <c r="M814" s="341"/>
    </row>
    <row r="815" spans="1:43" x14ac:dyDescent="0.25">
      <c r="A815" s="26"/>
      <c r="B815" s="27" t="s">
        <v>554</v>
      </c>
      <c r="C815" s="27" t="s">
        <v>80</v>
      </c>
      <c r="D815" s="338" t="s">
        <v>81</v>
      </c>
      <c r="E815" s="339"/>
      <c r="F815" s="339"/>
      <c r="G815" s="339"/>
      <c r="H815" s="28">
        <f>SUM(H816:H816)</f>
        <v>0</v>
      </c>
      <c r="I815" s="28">
        <f>SUM(I816:I816)</f>
        <v>0</v>
      </c>
      <c r="J815" s="28">
        <f>H815+I815</f>
        <v>0</v>
      </c>
      <c r="K815" s="21"/>
      <c r="L815" s="28">
        <f>SUM(L816:L816)</f>
        <v>7.0238000000000009E-2</v>
      </c>
      <c r="M815" s="21"/>
      <c r="P815" s="28">
        <f>IF(Q815="PR",J815,SUM(O816:O816))</f>
        <v>0</v>
      </c>
      <c r="Q815" s="21" t="s">
        <v>75</v>
      </c>
      <c r="R815" s="28">
        <f>IF(Q815="HS",H815,0)</f>
        <v>0</v>
      </c>
      <c r="S815" s="28">
        <f>IF(Q815="HS",I815-P815,0)</f>
        <v>0</v>
      </c>
      <c r="T815" s="28">
        <f>IF(Q815="PS",H815,0)</f>
        <v>0</v>
      </c>
      <c r="U815" s="28">
        <f>IF(Q815="PS",I815-P815,0)</f>
        <v>0</v>
      </c>
      <c r="V815" s="28">
        <f>IF(Q815="MP",H815,0)</f>
        <v>0</v>
      </c>
      <c r="W815" s="28">
        <f>IF(Q815="MP",I815-P815,0)</f>
        <v>0</v>
      </c>
      <c r="X815" s="28">
        <f>IF(Q815="OM",H815,0)</f>
        <v>0</v>
      </c>
      <c r="Y815" s="21" t="s">
        <v>554</v>
      </c>
      <c r="AI815" s="28">
        <f>SUM(Z816:Z816)</f>
        <v>0</v>
      </c>
      <c r="AJ815" s="28">
        <f>SUM(AA816:AA816)</f>
        <v>0</v>
      </c>
      <c r="AK815" s="28">
        <f>SUM(AB816:AB816)</f>
        <v>0</v>
      </c>
    </row>
    <row r="816" spans="1:43" x14ac:dyDescent="0.25">
      <c r="A816" s="29" t="s">
        <v>563</v>
      </c>
      <c r="B816" s="29" t="s">
        <v>554</v>
      </c>
      <c r="C816" s="29" t="s">
        <v>83</v>
      </c>
      <c r="D816" s="29" t="s">
        <v>84</v>
      </c>
      <c r="E816" s="29" t="s">
        <v>58</v>
      </c>
      <c r="F816" s="30">
        <v>17.3</v>
      </c>
      <c r="G816" s="317">
        <v>0</v>
      </c>
      <c r="H816" s="30">
        <f>ROUND(F816*AE816,2)</f>
        <v>0</v>
      </c>
      <c r="I816" s="30">
        <f>J816-H816</f>
        <v>0</v>
      </c>
      <c r="J816" s="30">
        <f>ROUND(F816*G816,2)</f>
        <v>0</v>
      </c>
      <c r="K816" s="30">
        <v>4.0600000000000002E-3</v>
      </c>
      <c r="L816" s="30">
        <f>F816*K816</f>
        <v>7.0238000000000009E-2</v>
      </c>
      <c r="M816" s="31" t="s">
        <v>2292</v>
      </c>
      <c r="N816" s="31" t="s">
        <v>59</v>
      </c>
      <c r="O816" s="30">
        <f>IF(N816="5",I816,0)</f>
        <v>0</v>
      </c>
      <c r="Z816" s="30">
        <f>IF(AD816=0,J816,0)</f>
        <v>0</v>
      </c>
      <c r="AA816" s="30">
        <f>IF(AD816=15,J816,0)</f>
        <v>0</v>
      </c>
      <c r="AB816" s="30">
        <f>IF(AD816=21,J816,0)</f>
        <v>0</v>
      </c>
      <c r="AD816" s="32">
        <v>21</v>
      </c>
      <c r="AE816" s="32">
        <f>G816*0.67230605738576</f>
        <v>0</v>
      </c>
      <c r="AF816" s="32">
        <f>G816*(1-0.67230605738576)</f>
        <v>0</v>
      </c>
      <c r="AM816" s="32">
        <f>F816*AE816</f>
        <v>0</v>
      </c>
      <c r="AN816" s="32">
        <f>F816*AF816</f>
        <v>0</v>
      </c>
      <c r="AO816" s="33" t="s">
        <v>85</v>
      </c>
      <c r="AP816" s="33" t="s">
        <v>79</v>
      </c>
      <c r="AQ816" s="21" t="s">
        <v>556</v>
      </c>
    </row>
    <row r="817" spans="1:43" x14ac:dyDescent="0.25">
      <c r="A817" s="26"/>
      <c r="B817" s="27" t="s">
        <v>554</v>
      </c>
      <c r="C817" s="27" t="s">
        <v>189</v>
      </c>
      <c r="D817" s="338" t="s">
        <v>190</v>
      </c>
      <c r="E817" s="339"/>
      <c r="F817" s="339"/>
      <c r="G817" s="339"/>
      <c r="H817" s="28">
        <f>SUM(H818:H820)</f>
        <v>0</v>
      </c>
      <c r="I817" s="28">
        <f>SUM(I818:I820)</f>
        <v>0</v>
      </c>
      <c r="J817" s="28">
        <f>H817+I817</f>
        <v>0</v>
      </c>
      <c r="K817" s="21"/>
      <c r="L817" s="28">
        <f>SUM(L818:L820)</f>
        <v>0.6445012</v>
      </c>
      <c r="M817" s="21"/>
      <c r="P817" s="28">
        <f>IF(Q817="PR",J817,SUM(O818:O820))</f>
        <v>0</v>
      </c>
      <c r="Q817" s="21" t="s">
        <v>75</v>
      </c>
      <c r="R817" s="28">
        <f>IF(Q817="HS",H817,0)</f>
        <v>0</v>
      </c>
      <c r="S817" s="28">
        <f>IF(Q817="HS",I817-P817,0)</f>
        <v>0</v>
      </c>
      <c r="T817" s="28">
        <f>IF(Q817="PS",H817,0)</f>
        <v>0</v>
      </c>
      <c r="U817" s="28">
        <f>IF(Q817="PS",I817-P817,0)</f>
        <v>0</v>
      </c>
      <c r="V817" s="28">
        <f>IF(Q817="MP",H817,0)</f>
        <v>0</v>
      </c>
      <c r="W817" s="28">
        <f>IF(Q817="MP",I817-P817,0)</f>
        <v>0</v>
      </c>
      <c r="X817" s="28">
        <f>IF(Q817="OM",H817,0)</f>
        <v>0</v>
      </c>
      <c r="Y817" s="21" t="s">
        <v>554</v>
      </c>
      <c r="AI817" s="28">
        <f>SUM(Z818:Z820)</f>
        <v>0</v>
      </c>
      <c r="AJ817" s="28">
        <f>SUM(AA818:AA820)</f>
        <v>0</v>
      </c>
      <c r="AK817" s="28">
        <f>SUM(AB818:AB820)</f>
        <v>0</v>
      </c>
    </row>
    <row r="818" spans="1:43" x14ac:dyDescent="0.25">
      <c r="A818" s="29" t="s">
        <v>564</v>
      </c>
      <c r="B818" s="29" t="s">
        <v>554</v>
      </c>
      <c r="C818" s="29" t="s">
        <v>444</v>
      </c>
      <c r="D818" s="29" t="s">
        <v>2289</v>
      </c>
      <c r="E818" s="29" t="s">
        <v>58</v>
      </c>
      <c r="F818" s="30">
        <v>24.08</v>
      </c>
      <c r="G818" s="317">
        <v>0</v>
      </c>
      <c r="H818" s="30">
        <f>ROUND(F818*AE818,2)</f>
        <v>0</v>
      </c>
      <c r="I818" s="30">
        <f>J818-H818</f>
        <v>0</v>
      </c>
      <c r="J818" s="30">
        <f>ROUND(F818*G818,2)</f>
        <v>0</v>
      </c>
      <c r="K818" s="30">
        <v>2.2790000000000001E-2</v>
      </c>
      <c r="L818" s="30">
        <f>F818*K818</f>
        <v>0.54878320000000003</v>
      </c>
      <c r="M818" s="31" t="s">
        <v>2292</v>
      </c>
      <c r="N818" s="31" t="s">
        <v>59</v>
      </c>
      <c r="O818" s="30">
        <f>IF(N818="5",I818,0)</f>
        <v>0</v>
      </c>
      <c r="Z818" s="30">
        <f>IF(AD818=0,J818,0)</f>
        <v>0</v>
      </c>
      <c r="AA818" s="30">
        <f>IF(AD818=15,J818,0)</f>
        <v>0</v>
      </c>
      <c r="AB818" s="30">
        <f>IF(AD818=21,J818,0)</f>
        <v>0</v>
      </c>
      <c r="AD818" s="32">
        <v>21</v>
      </c>
      <c r="AE818" s="32">
        <f>G818*0.579484228260688</f>
        <v>0</v>
      </c>
      <c r="AF818" s="32">
        <f>G818*(1-0.579484228260688)</f>
        <v>0</v>
      </c>
      <c r="AM818" s="32">
        <f>F818*AE818</f>
        <v>0</v>
      </c>
      <c r="AN818" s="32">
        <f>F818*AF818</f>
        <v>0</v>
      </c>
      <c r="AO818" s="33" t="s">
        <v>194</v>
      </c>
      <c r="AP818" s="33" t="s">
        <v>92</v>
      </c>
      <c r="AQ818" s="21" t="s">
        <v>556</v>
      </c>
    </row>
    <row r="819" spans="1:43" ht="25.7" customHeight="1" x14ac:dyDescent="0.25">
      <c r="C819" s="34" t="s">
        <v>63</v>
      </c>
      <c r="D819" s="340" t="s">
        <v>2284</v>
      </c>
      <c r="E819" s="341"/>
      <c r="F819" s="341"/>
      <c r="G819" s="341"/>
      <c r="H819" s="341"/>
      <c r="I819" s="341"/>
      <c r="J819" s="341"/>
      <c r="K819" s="341"/>
      <c r="L819" s="341"/>
      <c r="M819" s="341"/>
    </row>
    <row r="820" spans="1:43" x14ac:dyDescent="0.25">
      <c r="A820" s="29" t="s">
        <v>565</v>
      </c>
      <c r="B820" s="29" t="s">
        <v>554</v>
      </c>
      <c r="C820" s="29" t="s">
        <v>444</v>
      </c>
      <c r="D820" s="29" t="s">
        <v>2290</v>
      </c>
      <c r="E820" s="29" t="s">
        <v>58</v>
      </c>
      <c r="F820" s="30">
        <v>4.2</v>
      </c>
      <c r="G820" s="317">
        <v>0</v>
      </c>
      <c r="H820" s="30">
        <f>ROUND(F820*AE820,2)</f>
        <v>0</v>
      </c>
      <c r="I820" s="30">
        <f>J820-H820</f>
        <v>0</v>
      </c>
      <c r="J820" s="30">
        <f>ROUND(F820*G820,2)</f>
        <v>0</v>
      </c>
      <c r="K820" s="30">
        <v>2.2790000000000001E-2</v>
      </c>
      <c r="L820" s="30">
        <f>F820*K820</f>
        <v>9.5718000000000011E-2</v>
      </c>
      <c r="M820" s="31" t="s">
        <v>2292</v>
      </c>
      <c r="N820" s="31" t="s">
        <v>59</v>
      </c>
      <c r="O820" s="30">
        <f>IF(N820="5",I820,0)</f>
        <v>0</v>
      </c>
      <c r="Z820" s="30">
        <f>IF(AD820=0,J820,0)</f>
        <v>0</v>
      </c>
      <c r="AA820" s="30">
        <f>IF(AD820=15,J820,0)</f>
        <v>0</v>
      </c>
      <c r="AB820" s="30">
        <f>IF(AD820=21,J820,0)</f>
        <v>0</v>
      </c>
      <c r="AD820" s="32">
        <v>21</v>
      </c>
      <c r="AE820" s="32">
        <f>G820*0.579484228260688</f>
        <v>0</v>
      </c>
      <c r="AF820" s="32">
        <f>G820*(1-0.579484228260688)</f>
        <v>0</v>
      </c>
      <c r="AM820" s="32">
        <f>F820*AE820</f>
        <v>0</v>
      </c>
      <c r="AN820" s="32">
        <f>F820*AF820</f>
        <v>0</v>
      </c>
      <c r="AO820" s="33" t="s">
        <v>194</v>
      </c>
      <c r="AP820" s="33" t="s">
        <v>92</v>
      </c>
      <c r="AQ820" s="21" t="s">
        <v>556</v>
      </c>
    </row>
    <row r="821" spans="1:43" ht="25.7" customHeight="1" x14ac:dyDescent="0.25">
      <c r="C821" s="34" t="s">
        <v>63</v>
      </c>
      <c r="D821" s="340" t="s">
        <v>2284</v>
      </c>
      <c r="E821" s="341"/>
      <c r="F821" s="341"/>
      <c r="G821" s="341"/>
      <c r="H821" s="341"/>
      <c r="I821" s="341"/>
      <c r="J821" s="341"/>
      <c r="K821" s="341"/>
      <c r="L821" s="341"/>
      <c r="M821" s="341"/>
    </row>
    <row r="822" spans="1:43" x14ac:dyDescent="0.25">
      <c r="A822" s="26"/>
      <c r="B822" s="27" t="s">
        <v>554</v>
      </c>
      <c r="C822" s="27" t="s">
        <v>86</v>
      </c>
      <c r="D822" s="338" t="s">
        <v>87</v>
      </c>
      <c r="E822" s="339"/>
      <c r="F822" s="339"/>
      <c r="G822" s="339"/>
      <c r="H822" s="28">
        <f>SUM(H823:H823)</f>
        <v>0</v>
      </c>
      <c r="I822" s="28">
        <f>SUM(I823:I823)</f>
        <v>0</v>
      </c>
      <c r="J822" s="28">
        <f>H822+I822</f>
        <v>0</v>
      </c>
      <c r="K822" s="21"/>
      <c r="L822" s="28">
        <f>SUM(L823:L823)</f>
        <v>1.08E-3</v>
      </c>
      <c r="M822" s="21"/>
      <c r="P822" s="28">
        <f>IF(Q822="PR",J822,SUM(O823:O823))</f>
        <v>0</v>
      </c>
      <c r="Q822" s="21" t="s">
        <v>75</v>
      </c>
      <c r="R822" s="28">
        <f>IF(Q822="HS",H822,0)</f>
        <v>0</v>
      </c>
      <c r="S822" s="28">
        <f>IF(Q822="HS",I822-P822,0)</f>
        <v>0</v>
      </c>
      <c r="T822" s="28">
        <f>IF(Q822="PS",H822,0)</f>
        <v>0</v>
      </c>
      <c r="U822" s="28">
        <f>IF(Q822="PS",I822-P822,0)</f>
        <v>0</v>
      </c>
      <c r="V822" s="28">
        <f>IF(Q822="MP",H822,0)</f>
        <v>0</v>
      </c>
      <c r="W822" s="28">
        <f>IF(Q822="MP",I822-P822,0)</f>
        <v>0</v>
      </c>
      <c r="X822" s="28">
        <f>IF(Q822="OM",H822,0)</f>
        <v>0</v>
      </c>
      <c r="Y822" s="21" t="s">
        <v>554</v>
      </c>
      <c r="AI822" s="28">
        <f>SUM(Z823:Z823)</f>
        <v>0</v>
      </c>
      <c r="AJ822" s="28">
        <f>SUM(AA823:AA823)</f>
        <v>0</v>
      </c>
      <c r="AK822" s="28">
        <f>SUM(AB823:AB823)</f>
        <v>0</v>
      </c>
    </row>
    <row r="823" spans="1:43" x14ac:dyDescent="0.25">
      <c r="A823" s="29" t="s">
        <v>566</v>
      </c>
      <c r="B823" s="29" t="s">
        <v>554</v>
      </c>
      <c r="C823" s="29" t="s">
        <v>89</v>
      </c>
      <c r="D823" s="29" t="s">
        <v>90</v>
      </c>
      <c r="E823" s="29" t="s">
        <v>58</v>
      </c>
      <c r="F823" s="30">
        <v>4</v>
      </c>
      <c r="G823" s="317">
        <v>0</v>
      </c>
      <c r="H823" s="30">
        <f>ROUND(F823*AE823,2)</f>
        <v>0</v>
      </c>
      <c r="I823" s="30">
        <f>J823-H823</f>
        <v>0</v>
      </c>
      <c r="J823" s="30">
        <f>ROUND(F823*G823,2)</f>
        <v>0</v>
      </c>
      <c r="K823" s="30">
        <v>2.7E-4</v>
      </c>
      <c r="L823" s="30">
        <f>F823*K823</f>
        <v>1.08E-3</v>
      </c>
      <c r="M823" s="31" t="s">
        <v>2292</v>
      </c>
      <c r="N823" s="31" t="s">
        <v>59</v>
      </c>
      <c r="O823" s="30">
        <f>IF(N823="5",I823,0)</f>
        <v>0</v>
      </c>
      <c r="Z823" s="30">
        <f>IF(AD823=0,J823,0)</f>
        <v>0</v>
      </c>
      <c r="AA823" s="30">
        <f>IF(AD823=15,J823,0)</f>
        <v>0</v>
      </c>
      <c r="AB823" s="30">
        <f>IF(AD823=21,J823,0)</f>
        <v>0</v>
      </c>
      <c r="AD823" s="32">
        <v>21</v>
      </c>
      <c r="AE823" s="32">
        <f>G823*0.186098187625859</f>
        <v>0</v>
      </c>
      <c r="AF823" s="32">
        <f>G823*(1-0.186098187625859)</f>
        <v>0</v>
      </c>
      <c r="AM823" s="32">
        <f>F823*AE823</f>
        <v>0</v>
      </c>
      <c r="AN823" s="32">
        <f>F823*AF823</f>
        <v>0</v>
      </c>
      <c r="AO823" s="33" t="s">
        <v>91</v>
      </c>
      <c r="AP823" s="33" t="s">
        <v>92</v>
      </c>
      <c r="AQ823" s="21" t="s">
        <v>556</v>
      </c>
    </row>
    <row r="824" spans="1:43" x14ac:dyDescent="0.25">
      <c r="A824" s="26"/>
      <c r="B824" s="27" t="s">
        <v>554</v>
      </c>
      <c r="C824" s="27" t="s">
        <v>93</v>
      </c>
      <c r="D824" s="338" t="s">
        <v>94</v>
      </c>
      <c r="E824" s="339"/>
      <c r="F824" s="339"/>
      <c r="G824" s="339"/>
      <c r="H824" s="28">
        <f>SUM(H825:H825)</f>
        <v>0</v>
      </c>
      <c r="I824" s="28">
        <f>SUM(I825:I825)</f>
        <v>0</v>
      </c>
      <c r="J824" s="28">
        <f>H824+I824</f>
        <v>0</v>
      </c>
      <c r="K824" s="21"/>
      <c r="L824" s="28">
        <f>SUM(L825:L825)</f>
        <v>5.9312499999999997E-2</v>
      </c>
      <c r="M824" s="21"/>
      <c r="P824" s="28">
        <f>IF(Q824="PR",J824,SUM(O825:O825))</f>
        <v>0</v>
      </c>
      <c r="Q824" s="21" t="s">
        <v>75</v>
      </c>
      <c r="R824" s="28">
        <f>IF(Q824="HS",H824,0)</f>
        <v>0</v>
      </c>
      <c r="S824" s="28">
        <f>IF(Q824="HS",I824-P824,0)</f>
        <v>0</v>
      </c>
      <c r="T824" s="28">
        <f>IF(Q824="PS",H824,0)</f>
        <v>0</v>
      </c>
      <c r="U824" s="28">
        <f>IF(Q824="PS",I824-P824,0)</f>
        <v>0</v>
      </c>
      <c r="V824" s="28">
        <f>IF(Q824="MP",H824,0)</f>
        <v>0</v>
      </c>
      <c r="W824" s="28">
        <f>IF(Q824="MP",I824-P824,0)</f>
        <v>0</v>
      </c>
      <c r="X824" s="28">
        <f>IF(Q824="OM",H824,0)</f>
        <v>0</v>
      </c>
      <c r="Y824" s="21" t="s">
        <v>554</v>
      </c>
      <c r="AI824" s="28">
        <f>SUM(Z825:Z825)</f>
        <v>0</v>
      </c>
      <c r="AJ824" s="28">
        <f>SUM(AA825:AA825)</f>
        <v>0</v>
      </c>
      <c r="AK824" s="28">
        <f>SUM(AB825:AB825)</f>
        <v>0</v>
      </c>
    </row>
    <row r="825" spans="1:43" x14ac:dyDescent="0.25">
      <c r="A825" s="29" t="s">
        <v>567</v>
      </c>
      <c r="B825" s="29" t="s">
        <v>554</v>
      </c>
      <c r="C825" s="29" t="s">
        <v>96</v>
      </c>
      <c r="D825" s="29" t="s">
        <v>97</v>
      </c>
      <c r="E825" s="29" t="s">
        <v>58</v>
      </c>
      <c r="F825" s="30">
        <v>91.25</v>
      </c>
      <c r="G825" s="317">
        <v>0</v>
      </c>
      <c r="H825" s="30">
        <f>ROUND(F825*AE825,2)</f>
        <v>0</v>
      </c>
      <c r="I825" s="30">
        <f>J825-H825</f>
        <v>0</v>
      </c>
      <c r="J825" s="30">
        <f>ROUND(F825*G825,2)</f>
        <v>0</v>
      </c>
      <c r="K825" s="30">
        <v>6.4999999999999997E-4</v>
      </c>
      <c r="L825" s="30">
        <f>F825*K825</f>
        <v>5.9312499999999997E-2</v>
      </c>
      <c r="M825" s="31" t="s">
        <v>2292</v>
      </c>
      <c r="N825" s="31" t="s">
        <v>59</v>
      </c>
      <c r="O825" s="30">
        <f>IF(N825="5",I825,0)</f>
        <v>0</v>
      </c>
      <c r="Z825" s="30">
        <f>IF(AD825=0,J825,0)</f>
        <v>0</v>
      </c>
      <c r="AA825" s="30">
        <f>IF(AD825=15,J825,0)</f>
        <v>0</v>
      </c>
      <c r="AB825" s="30">
        <f>IF(AD825=21,J825,0)</f>
        <v>0</v>
      </c>
      <c r="AD825" s="32">
        <v>21</v>
      </c>
      <c r="AE825" s="32">
        <f>G825*0.333747476316198</f>
        <v>0</v>
      </c>
      <c r="AF825" s="32">
        <f>G825*(1-0.333747476316198)</f>
        <v>0</v>
      </c>
      <c r="AM825" s="32">
        <f>F825*AE825</f>
        <v>0</v>
      </c>
      <c r="AN825" s="32">
        <f>F825*AF825</f>
        <v>0</v>
      </c>
      <c r="AO825" s="33" t="s">
        <v>98</v>
      </c>
      <c r="AP825" s="33" t="s">
        <v>92</v>
      </c>
      <c r="AQ825" s="21" t="s">
        <v>556</v>
      </c>
    </row>
    <row r="826" spans="1:43" x14ac:dyDescent="0.25">
      <c r="A826" s="26"/>
      <c r="B826" s="27" t="s">
        <v>554</v>
      </c>
      <c r="C826" s="27" t="s">
        <v>99</v>
      </c>
      <c r="D826" s="338" t="s">
        <v>100</v>
      </c>
      <c r="E826" s="339"/>
      <c r="F826" s="339"/>
      <c r="G826" s="339"/>
      <c r="H826" s="28">
        <f>SUM(H827:H827)</f>
        <v>0</v>
      </c>
      <c r="I826" s="28">
        <f>SUM(I827:I827)</f>
        <v>0</v>
      </c>
      <c r="J826" s="28">
        <f>H826+I826</f>
        <v>0</v>
      </c>
      <c r="K826" s="21"/>
      <c r="L826" s="28">
        <f>SUM(L827:L827)</f>
        <v>0</v>
      </c>
      <c r="M826" s="21"/>
      <c r="P826" s="28">
        <f>IF(Q826="PR",J826,SUM(O827:O827))</f>
        <v>0</v>
      </c>
      <c r="Q826" s="21" t="s">
        <v>54</v>
      </c>
      <c r="R826" s="28">
        <f>IF(Q826="HS",H826,0)</f>
        <v>0</v>
      </c>
      <c r="S826" s="28">
        <f>IF(Q826="HS",I826-P826,0)</f>
        <v>0</v>
      </c>
      <c r="T826" s="28">
        <f>IF(Q826="PS",H826,0)</f>
        <v>0</v>
      </c>
      <c r="U826" s="28">
        <f>IF(Q826="PS",I826-P826,0)</f>
        <v>0</v>
      </c>
      <c r="V826" s="28">
        <f>IF(Q826="MP",H826,0)</f>
        <v>0</v>
      </c>
      <c r="W826" s="28">
        <f>IF(Q826="MP",I826-P826,0)</f>
        <v>0</v>
      </c>
      <c r="X826" s="28">
        <f>IF(Q826="OM",H826,0)</f>
        <v>0</v>
      </c>
      <c r="Y826" s="21" t="s">
        <v>554</v>
      </c>
      <c r="AI826" s="28">
        <f>SUM(Z827:Z827)</f>
        <v>0</v>
      </c>
      <c r="AJ826" s="28">
        <f>SUM(AA827:AA827)</f>
        <v>0</v>
      </c>
      <c r="AK826" s="28">
        <f>SUM(AB827:AB827)</f>
        <v>0</v>
      </c>
    </row>
    <row r="827" spans="1:43" x14ac:dyDescent="0.25">
      <c r="A827" s="29" t="s">
        <v>568</v>
      </c>
      <c r="B827" s="29" t="s">
        <v>554</v>
      </c>
      <c r="C827" s="29" t="s">
        <v>102</v>
      </c>
      <c r="D827" s="29" t="s">
        <v>103</v>
      </c>
      <c r="E827" s="29" t="s">
        <v>104</v>
      </c>
      <c r="F827" s="30">
        <v>3.6</v>
      </c>
      <c r="G827" s="317">
        <v>0</v>
      </c>
      <c r="H827" s="30">
        <f>ROUND(F827*AE827,2)</f>
        <v>0</v>
      </c>
      <c r="I827" s="30">
        <f>J827-H827</f>
        <v>0</v>
      </c>
      <c r="J827" s="30">
        <f>ROUND(F827*G827,2)</f>
        <v>0</v>
      </c>
      <c r="K827" s="30">
        <v>0</v>
      </c>
      <c r="L827" s="30">
        <f>F827*K827</f>
        <v>0</v>
      </c>
      <c r="M827" s="31" t="s">
        <v>2292</v>
      </c>
      <c r="N827" s="31" t="s">
        <v>55</v>
      </c>
      <c r="O827" s="30">
        <f>IF(N827="5",I827,0)</f>
        <v>0</v>
      </c>
      <c r="Z827" s="30">
        <f>IF(AD827=0,J827,0)</f>
        <v>0</v>
      </c>
      <c r="AA827" s="30">
        <f>IF(AD827=15,J827,0)</f>
        <v>0</v>
      </c>
      <c r="AB827" s="30">
        <f>IF(AD827=21,J827,0)</f>
        <v>0</v>
      </c>
      <c r="AD827" s="32">
        <v>21</v>
      </c>
      <c r="AE827" s="32">
        <f>G827*0</f>
        <v>0</v>
      </c>
      <c r="AF827" s="32">
        <f>G827*(1-0)</f>
        <v>0</v>
      </c>
      <c r="AM827" s="32">
        <f>F827*AE827</f>
        <v>0</v>
      </c>
      <c r="AN827" s="32">
        <f>F827*AF827</f>
        <v>0</v>
      </c>
      <c r="AO827" s="33" t="s">
        <v>105</v>
      </c>
      <c r="AP827" s="33" t="s">
        <v>106</v>
      </c>
      <c r="AQ827" s="21" t="s">
        <v>556</v>
      </c>
    </row>
    <row r="828" spans="1:43" x14ac:dyDescent="0.25">
      <c r="C828" s="34" t="s">
        <v>63</v>
      </c>
      <c r="D828" s="340" t="s">
        <v>107</v>
      </c>
      <c r="E828" s="341"/>
      <c r="F828" s="341"/>
      <c r="G828" s="341"/>
      <c r="H828" s="341"/>
      <c r="I828" s="341"/>
      <c r="J828" s="341"/>
      <c r="K828" s="341"/>
      <c r="L828" s="341"/>
      <c r="M828" s="341"/>
    </row>
    <row r="829" spans="1:43" x14ac:dyDescent="0.25">
      <c r="A829" s="26"/>
      <c r="B829" s="27" t="s">
        <v>569</v>
      </c>
      <c r="C829" s="27"/>
      <c r="D829" s="338" t="s">
        <v>569</v>
      </c>
      <c r="E829" s="339"/>
      <c r="F829" s="339"/>
      <c r="G829" s="339"/>
      <c r="H829" s="28">
        <f>H830+H835+H837+H839+H841+H843</f>
        <v>0</v>
      </c>
      <c r="I829" s="28">
        <f>I830+I835+I837+I839+I841+I843</f>
        <v>0</v>
      </c>
      <c r="J829" s="28">
        <f>H829+I829</f>
        <v>0</v>
      </c>
      <c r="K829" s="21"/>
      <c r="L829" s="28">
        <f>L830+L835+L837+L839+L841+L843</f>
        <v>1.2072117</v>
      </c>
      <c r="M829" s="21"/>
    </row>
    <row r="830" spans="1:43" x14ac:dyDescent="0.25">
      <c r="A830" s="26"/>
      <c r="B830" s="27" t="s">
        <v>569</v>
      </c>
      <c r="C830" s="27" t="s">
        <v>52</v>
      </c>
      <c r="D830" s="338" t="s">
        <v>53</v>
      </c>
      <c r="E830" s="339"/>
      <c r="F830" s="339"/>
      <c r="G830" s="339"/>
      <c r="H830" s="28">
        <f>SUM(H831:H833)</f>
        <v>0</v>
      </c>
      <c r="I830" s="28">
        <f>SUM(I831:I833)</f>
        <v>0</v>
      </c>
      <c r="J830" s="28">
        <f>H830+I830</f>
        <v>0</v>
      </c>
      <c r="K830" s="21"/>
      <c r="L830" s="28">
        <f>SUM(L831:L833)</f>
        <v>0.56053920000000002</v>
      </c>
      <c r="M830" s="21"/>
      <c r="P830" s="28">
        <f>IF(Q830="PR",J830,SUM(O831:O833))</f>
        <v>0</v>
      </c>
      <c r="Q830" s="21" t="s">
        <v>54</v>
      </c>
      <c r="R830" s="28">
        <f>IF(Q830="HS",H830,0)</f>
        <v>0</v>
      </c>
      <c r="S830" s="28">
        <f>IF(Q830="HS",I830-P830,0)</f>
        <v>0</v>
      </c>
      <c r="T830" s="28">
        <f>IF(Q830="PS",H830,0)</f>
        <v>0</v>
      </c>
      <c r="U830" s="28">
        <f>IF(Q830="PS",I830-P830,0)</f>
        <v>0</v>
      </c>
      <c r="V830" s="28">
        <f>IF(Q830="MP",H830,0)</f>
        <v>0</v>
      </c>
      <c r="W830" s="28">
        <f>IF(Q830="MP",I830-P830,0)</f>
        <v>0</v>
      </c>
      <c r="X830" s="28">
        <f>IF(Q830="OM",H830,0)</f>
        <v>0</v>
      </c>
      <c r="Y830" s="21" t="s">
        <v>569</v>
      </c>
      <c r="AI830" s="28">
        <f>SUM(Z831:Z833)</f>
        <v>0</v>
      </c>
      <c r="AJ830" s="28">
        <f>SUM(AA831:AA833)</f>
        <v>0</v>
      </c>
      <c r="AK830" s="28">
        <f>SUM(AB831:AB833)</f>
        <v>0</v>
      </c>
    </row>
    <row r="831" spans="1:43" x14ac:dyDescent="0.25">
      <c r="A831" s="29" t="s">
        <v>570</v>
      </c>
      <c r="B831" s="29" t="s">
        <v>569</v>
      </c>
      <c r="C831" s="29" t="s">
        <v>66</v>
      </c>
      <c r="D831" s="29" t="s">
        <v>67</v>
      </c>
      <c r="E831" s="29" t="s">
        <v>58</v>
      </c>
      <c r="F831" s="30">
        <v>11.31</v>
      </c>
      <c r="G831" s="317">
        <v>0</v>
      </c>
      <c r="H831" s="30">
        <f>ROUND(F831*AE831,2)</f>
        <v>0</v>
      </c>
      <c r="I831" s="30">
        <f>J831-H831</f>
        <v>0</v>
      </c>
      <c r="J831" s="30">
        <f>ROUND(F831*G831,2)</f>
        <v>0</v>
      </c>
      <c r="K831" s="30">
        <v>9.8399999999999998E-3</v>
      </c>
      <c r="L831" s="30">
        <f>F831*K831</f>
        <v>0.1112904</v>
      </c>
      <c r="M831" s="31" t="s">
        <v>2292</v>
      </c>
      <c r="N831" s="31" t="s">
        <v>59</v>
      </c>
      <c r="O831" s="30">
        <f>IF(N831="5",I831,0)</f>
        <v>0</v>
      </c>
      <c r="Z831" s="30">
        <f>IF(AD831=0,J831,0)</f>
        <v>0</v>
      </c>
      <c r="AA831" s="30">
        <f>IF(AD831=15,J831,0)</f>
        <v>0</v>
      </c>
      <c r="AB831" s="30">
        <f>IF(AD831=21,J831,0)</f>
        <v>0</v>
      </c>
      <c r="AD831" s="32">
        <v>21</v>
      </c>
      <c r="AE831" s="32">
        <f>G831*0.160304682766381</f>
        <v>0</v>
      </c>
      <c r="AF831" s="32">
        <f>G831*(1-0.160304682766381)</f>
        <v>0</v>
      </c>
      <c r="AM831" s="32">
        <f>F831*AE831</f>
        <v>0</v>
      </c>
      <c r="AN831" s="32">
        <f>F831*AF831</f>
        <v>0</v>
      </c>
      <c r="AO831" s="33" t="s">
        <v>60</v>
      </c>
      <c r="AP831" s="33" t="s">
        <v>61</v>
      </c>
      <c r="AQ831" s="21" t="s">
        <v>571</v>
      </c>
    </row>
    <row r="832" spans="1:43" ht="25.7" customHeight="1" x14ac:dyDescent="0.25">
      <c r="C832" s="34" t="s">
        <v>63</v>
      </c>
      <c r="D832" s="340" t="s">
        <v>64</v>
      </c>
      <c r="E832" s="341"/>
      <c r="F832" s="341"/>
      <c r="G832" s="341"/>
      <c r="H832" s="341"/>
      <c r="I832" s="341"/>
      <c r="J832" s="341"/>
      <c r="K832" s="341"/>
      <c r="L832" s="341"/>
      <c r="M832" s="341"/>
    </row>
    <row r="833" spans="1:43" x14ac:dyDescent="0.25">
      <c r="A833" s="29" t="s">
        <v>572</v>
      </c>
      <c r="B833" s="29" t="s">
        <v>569</v>
      </c>
      <c r="C833" s="29" t="s">
        <v>56</v>
      </c>
      <c r="D833" s="29" t="s">
        <v>57</v>
      </c>
      <c r="E833" s="29" t="s">
        <v>58</v>
      </c>
      <c r="F833" s="30">
        <v>44.88</v>
      </c>
      <c r="G833" s="317">
        <v>0</v>
      </c>
      <c r="H833" s="30">
        <f>ROUND(F833*AE833,2)</f>
        <v>0</v>
      </c>
      <c r="I833" s="30">
        <f>J833-H833</f>
        <v>0</v>
      </c>
      <c r="J833" s="30">
        <f>ROUND(F833*G833,2)</f>
        <v>0</v>
      </c>
      <c r="K833" s="30">
        <v>1.001E-2</v>
      </c>
      <c r="L833" s="30">
        <f>F833*K833</f>
        <v>0.4492488</v>
      </c>
      <c r="M833" s="31" t="s">
        <v>2292</v>
      </c>
      <c r="N833" s="31" t="s">
        <v>59</v>
      </c>
      <c r="O833" s="30">
        <f>IF(N833="5",I833,0)</f>
        <v>0</v>
      </c>
      <c r="Z833" s="30">
        <f>IF(AD833=0,J833,0)</f>
        <v>0</v>
      </c>
      <c r="AA833" s="30">
        <f>IF(AD833=15,J833,0)</f>
        <v>0</v>
      </c>
      <c r="AB833" s="30">
        <f>IF(AD833=21,J833,0)</f>
        <v>0</v>
      </c>
      <c r="AD833" s="32">
        <v>21</v>
      </c>
      <c r="AE833" s="32">
        <f>G833*0.0756575801052128</f>
        <v>0</v>
      </c>
      <c r="AF833" s="32">
        <f>G833*(1-0.0756575801052128)</f>
        <v>0</v>
      </c>
      <c r="AM833" s="32">
        <f>F833*AE833</f>
        <v>0</v>
      </c>
      <c r="AN833" s="32">
        <f>F833*AF833</f>
        <v>0</v>
      </c>
      <c r="AO833" s="33" t="s">
        <v>60</v>
      </c>
      <c r="AP833" s="33" t="s">
        <v>61</v>
      </c>
      <c r="AQ833" s="21" t="s">
        <v>571</v>
      </c>
    </row>
    <row r="834" spans="1:43" ht="25.7" customHeight="1" x14ac:dyDescent="0.25">
      <c r="C834" s="34" t="s">
        <v>63</v>
      </c>
      <c r="D834" s="340" t="s">
        <v>64</v>
      </c>
      <c r="E834" s="341"/>
      <c r="F834" s="341"/>
      <c r="G834" s="341"/>
      <c r="H834" s="341"/>
      <c r="I834" s="341"/>
      <c r="J834" s="341"/>
      <c r="K834" s="341"/>
      <c r="L834" s="341"/>
      <c r="M834" s="341"/>
    </row>
    <row r="835" spans="1:43" x14ac:dyDescent="0.25">
      <c r="A835" s="26"/>
      <c r="B835" s="27" t="s">
        <v>569</v>
      </c>
      <c r="C835" s="27" t="s">
        <v>68</v>
      </c>
      <c r="D835" s="338" t="s">
        <v>69</v>
      </c>
      <c r="E835" s="339"/>
      <c r="F835" s="339"/>
      <c r="G835" s="339"/>
      <c r="H835" s="28">
        <f>SUM(H836:H836)</f>
        <v>0</v>
      </c>
      <c r="I835" s="28">
        <f>SUM(I836:I836)</f>
        <v>0</v>
      </c>
      <c r="J835" s="28">
        <f>H835+I835</f>
        <v>0</v>
      </c>
      <c r="K835" s="21"/>
      <c r="L835" s="28">
        <f>SUM(L836:L836)</f>
        <v>0.56369040000000004</v>
      </c>
      <c r="M835" s="21"/>
      <c r="P835" s="28">
        <f>IF(Q835="PR",J835,SUM(O836:O836))</f>
        <v>0</v>
      </c>
      <c r="Q835" s="21" t="s">
        <v>54</v>
      </c>
      <c r="R835" s="28">
        <f>IF(Q835="HS",H835,0)</f>
        <v>0</v>
      </c>
      <c r="S835" s="28">
        <f>IF(Q835="HS",I835-P835,0)</f>
        <v>0</v>
      </c>
      <c r="T835" s="28">
        <f>IF(Q835="PS",H835,0)</f>
        <v>0</v>
      </c>
      <c r="U835" s="28">
        <f>IF(Q835="PS",I835-P835,0)</f>
        <v>0</v>
      </c>
      <c r="V835" s="28">
        <f>IF(Q835="MP",H835,0)</f>
        <v>0</v>
      </c>
      <c r="W835" s="28">
        <f>IF(Q835="MP",I835-P835,0)</f>
        <v>0</v>
      </c>
      <c r="X835" s="28">
        <f>IF(Q835="OM",H835,0)</f>
        <v>0</v>
      </c>
      <c r="Y835" s="21" t="s">
        <v>569</v>
      </c>
      <c r="AI835" s="28">
        <f>SUM(Z836:Z836)</f>
        <v>0</v>
      </c>
      <c r="AJ835" s="28">
        <f>SUM(AA836:AA836)</f>
        <v>0</v>
      </c>
      <c r="AK835" s="28">
        <f>SUM(AB836:AB836)</f>
        <v>0</v>
      </c>
    </row>
    <row r="836" spans="1:43" x14ac:dyDescent="0.25">
      <c r="A836" s="29" t="s">
        <v>573</v>
      </c>
      <c r="B836" s="29" t="s">
        <v>569</v>
      </c>
      <c r="C836" s="29" t="s">
        <v>70</v>
      </c>
      <c r="D836" s="29" t="s">
        <v>71</v>
      </c>
      <c r="E836" s="29" t="s">
        <v>58</v>
      </c>
      <c r="F836" s="30">
        <v>11.31</v>
      </c>
      <c r="G836" s="317">
        <v>0</v>
      </c>
      <c r="H836" s="30">
        <f>ROUND(F836*AE836,2)</f>
        <v>0</v>
      </c>
      <c r="I836" s="30">
        <f>J836-H836</f>
        <v>0</v>
      </c>
      <c r="J836" s="30">
        <f>ROUND(F836*G836,2)</f>
        <v>0</v>
      </c>
      <c r="K836" s="30">
        <v>4.9840000000000002E-2</v>
      </c>
      <c r="L836" s="30">
        <f>F836*K836</f>
        <v>0.56369040000000004</v>
      </c>
      <c r="M836" s="31" t="s">
        <v>2292</v>
      </c>
      <c r="N836" s="31" t="s">
        <v>59</v>
      </c>
      <c r="O836" s="30">
        <f>IF(N836="5",I836,0)</f>
        <v>0</v>
      </c>
      <c r="Z836" s="30">
        <f>IF(AD836=0,J836,0)</f>
        <v>0</v>
      </c>
      <c r="AA836" s="30">
        <f>IF(AD836=15,J836,0)</f>
        <v>0</v>
      </c>
      <c r="AB836" s="30">
        <f>IF(AD836=21,J836,0)</f>
        <v>0</v>
      </c>
      <c r="AD836" s="32">
        <v>21</v>
      </c>
      <c r="AE836" s="32">
        <f>G836*0.411768721414431</f>
        <v>0</v>
      </c>
      <c r="AF836" s="32">
        <f>G836*(1-0.411768721414431)</f>
        <v>0</v>
      </c>
      <c r="AM836" s="32">
        <f>F836*AE836</f>
        <v>0</v>
      </c>
      <c r="AN836" s="32">
        <f>F836*AF836</f>
        <v>0</v>
      </c>
      <c r="AO836" s="33" t="s">
        <v>72</v>
      </c>
      <c r="AP836" s="33" t="s">
        <v>61</v>
      </c>
      <c r="AQ836" s="21" t="s">
        <v>571</v>
      </c>
    </row>
    <row r="837" spans="1:43" x14ac:dyDescent="0.25">
      <c r="A837" s="26"/>
      <c r="B837" s="27" t="s">
        <v>569</v>
      </c>
      <c r="C837" s="27" t="s">
        <v>80</v>
      </c>
      <c r="D837" s="338" t="s">
        <v>81</v>
      </c>
      <c r="E837" s="339"/>
      <c r="F837" s="339"/>
      <c r="G837" s="339"/>
      <c r="H837" s="28">
        <f>SUM(H838:H838)</f>
        <v>0</v>
      </c>
      <c r="I837" s="28">
        <f>SUM(I838:I838)</f>
        <v>0</v>
      </c>
      <c r="J837" s="28">
        <f>H837+I837</f>
        <v>0</v>
      </c>
      <c r="K837" s="21"/>
      <c r="L837" s="28">
        <f>SUM(L838:L838)</f>
        <v>4.5918600000000004E-2</v>
      </c>
      <c r="M837" s="21"/>
      <c r="P837" s="28">
        <f>IF(Q837="PR",J837,SUM(O838:O838))</f>
        <v>0</v>
      </c>
      <c r="Q837" s="21" t="s">
        <v>75</v>
      </c>
      <c r="R837" s="28">
        <f>IF(Q837="HS",H837,0)</f>
        <v>0</v>
      </c>
      <c r="S837" s="28">
        <f>IF(Q837="HS",I837-P837,0)</f>
        <v>0</v>
      </c>
      <c r="T837" s="28">
        <f>IF(Q837="PS",H837,0)</f>
        <v>0</v>
      </c>
      <c r="U837" s="28">
        <f>IF(Q837="PS",I837-P837,0)</f>
        <v>0</v>
      </c>
      <c r="V837" s="28">
        <f>IF(Q837="MP",H837,0)</f>
        <v>0</v>
      </c>
      <c r="W837" s="28">
        <f>IF(Q837="MP",I837-P837,0)</f>
        <v>0</v>
      </c>
      <c r="X837" s="28">
        <f>IF(Q837="OM",H837,0)</f>
        <v>0</v>
      </c>
      <c r="Y837" s="21" t="s">
        <v>569</v>
      </c>
      <c r="AI837" s="28">
        <f>SUM(Z838:Z838)</f>
        <v>0</v>
      </c>
      <c r="AJ837" s="28">
        <f>SUM(AA838:AA838)</f>
        <v>0</v>
      </c>
      <c r="AK837" s="28">
        <f>SUM(AB838:AB838)</f>
        <v>0</v>
      </c>
    </row>
    <row r="838" spans="1:43" x14ac:dyDescent="0.25">
      <c r="A838" s="29" t="s">
        <v>574</v>
      </c>
      <c r="B838" s="29" t="s">
        <v>569</v>
      </c>
      <c r="C838" s="29" t="s">
        <v>83</v>
      </c>
      <c r="D838" s="29" t="s">
        <v>84</v>
      </c>
      <c r="E838" s="29" t="s">
        <v>58</v>
      </c>
      <c r="F838" s="30">
        <v>11.31</v>
      </c>
      <c r="G838" s="317">
        <v>0</v>
      </c>
      <c r="H838" s="30">
        <f>ROUND(F838*AE838,2)</f>
        <v>0</v>
      </c>
      <c r="I838" s="30">
        <f>J838-H838</f>
        <v>0</v>
      </c>
      <c r="J838" s="30">
        <f>ROUND(F838*G838,2)</f>
        <v>0</v>
      </c>
      <c r="K838" s="30">
        <v>4.0600000000000002E-3</v>
      </c>
      <c r="L838" s="30">
        <f>F838*K838</f>
        <v>4.5918600000000004E-2</v>
      </c>
      <c r="M838" s="31" t="s">
        <v>2292</v>
      </c>
      <c r="N838" s="31" t="s">
        <v>59</v>
      </c>
      <c r="O838" s="30">
        <f>IF(N838="5",I838,0)</f>
        <v>0</v>
      </c>
      <c r="Z838" s="30">
        <f>IF(AD838=0,J838,0)</f>
        <v>0</v>
      </c>
      <c r="AA838" s="30">
        <f>IF(AD838=15,J838,0)</f>
        <v>0</v>
      </c>
      <c r="AB838" s="30">
        <f>IF(AD838=21,J838,0)</f>
        <v>0</v>
      </c>
      <c r="AD838" s="32">
        <v>21</v>
      </c>
      <c r="AE838" s="32">
        <f>G838*0.67230605738576</f>
        <v>0</v>
      </c>
      <c r="AF838" s="32">
        <f>G838*(1-0.67230605738576)</f>
        <v>0</v>
      </c>
      <c r="AM838" s="32">
        <f>F838*AE838</f>
        <v>0</v>
      </c>
      <c r="AN838" s="32">
        <f>F838*AF838</f>
        <v>0</v>
      </c>
      <c r="AO838" s="33" t="s">
        <v>85</v>
      </c>
      <c r="AP838" s="33" t="s">
        <v>79</v>
      </c>
      <c r="AQ838" s="21" t="s">
        <v>571</v>
      </c>
    </row>
    <row r="839" spans="1:43" x14ac:dyDescent="0.25">
      <c r="A839" s="26"/>
      <c r="B839" s="27" t="s">
        <v>569</v>
      </c>
      <c r="C839" s="27" t="s">
        <v>86</v>
      </c>
      <c r="D839" s="338" t="s">
        <v>87</v>
      </c>
      <c r="E839" s="339"/>
      <c r="F839" s="339"/>
      <c r="G839" s="339"/>
      <c r="H839" s="28">
        <f>SUM(H840:H840)</f>
        <v>0</v>
      </c>
      <c r="I839" s="28">
        <f>SUM(I840:I840)</f>
        <v>0</v>
      </c>
      <c r="J839" s="28">
        <f>H839+I839</f>
        <v>0</v>
      </c>
      <c r="K839" s="21"/>
      <c r="L839" s="28">
        <f>SUM(L840:L840)</f>
        <v>5.4000000000000001E-4</v>
      </c>
      <c r="M839" s="21"/>
      <c r="P839" s="28">
        <f>IF(Q839="PR",J839,SUM(O840:O840))</f>
        <v>0</v>
      </c>
      <c r="Q839" s="21" t="s">
        <v>75</v>
      </c>
      <c r="R839" s="28">
        <f>IF(Q839="HS",H839,0)</f>
        <v>0</v>
      </c>
      <c r="S839" s="28">
        <f>IF(Q839="HS",I839-P839,0)</f>
        <v>0</v>
      </c>
      <c r="T839" s="28">
        <f>IF(Q839="PS",H839,0)</f>
        <v>0</v>
      </c>
      <c r="U839" s="28">
        <f>IF(Q839="PS",I839-P839,0)</f>
        <v>0</v>
      </c>
      <c r="V839" s="28">
        <f>IF(Q839="MP",H839,0)</f>
        <v>0</v>
      </c>
      <c r="W839" s="28">
        <f>IF(Q839="MP",I839-P839,0)</f>
        <v>0</v>
      </c>
      <c r="X839" s="28">
        <f>IF(Q839="OM",H839,0)</f>
        <v>0</v>
      </c>
      <c r="Y839" s="21" t="s">
        <v>569</v>
      </c>
      <c r="AI839" s="28">
        <f>SUM(Z840:Z840)</f>
        <v>0</v>
      </c>
      <c r="AJ839" s="28">
        <f>SUM(AA840:AA840)</f>
        <v>0</v>
      </c>
      <c r="AK839" s="28">
        <f>SUM(AB840:AB840)</f>
        <v>0</v>
      </c>
    </row>
    <row r="840" spans="1:43" x14ac:dyDescent="0.25">
      <c r="A840" s="29" t="s">
        <v>575</v>
      </c>
      <c r="B840" s="29" t="s">
        <v>569</v>
      </c>
      <c r="C840" s="29" t="s">
        <v>89</v>
      </c>
      <c r="D840" s="29" t="s">
        <v>90</v>
      </c>
      <c r="E840" s="29" t="s">
        <v>58</v>
      </c>
      <c r="F840" s="30">
        <v>2</v>
      </c>
      <c r="G840" s="317">
        <v>0</v>
      </c>
      <c r="H840" s="30">
        <f>ROUND(F840*AE840,2)</f>
        <v>0</v>
      </c>
      <c r="I840" s="30">
        <f>J840-H840</f>
        <v>0</v>
      </c>
      <c r="J840" s="30">
        <f>ROUND(F840*G840,2)</f>
        <v>0</v>
      </c>
      <c r="K840" s="30">
        <v>2.7E-4</v>
      </c>
      <c r="L840" s="30">
        <f>F840*K840</f>
        <v>5.4000000000000001E-4</v>
      </c>
      <c r="M840" s="31" t="s">
        <v>2292</v>
      </c>
      <c r="N840" s="31" t="s">
        <v>59</v>
      </c>
      <c r="O840" s="30">
        <f>IF(N840="5",I840,0)</f>
        <v>0</v>
      </c>
      <c r="Z840" s="30">
        <f>IF(AD840=0,J840,0)</f>
        <v>0</v>
      </c>
      <c r="AA840" s="30">
        <f>IF(AD840=15,J840,0)</f>
        <v>0</v>
      </c>
      <c r="AB840" s="30">
        <f>IF(AD840=21,J840,0)</f>
        <v>0</v>
      </c>
      <c r="AD840" s="32">
        <v>21</v>
      </c>
      <c r="AE840" s="32">
        <f>G840*0.186098187625859</f>
        <v>0</v>
      </c>
      <c r="AF840" s="32">
        <f>G840*(1-0.186098187625859)</f>
        <v>0</v>
      </c>
      <c r="AM840" s="32">
        <f>F840*AE840</f>
        <v>0</v>
      </c>
      <c r="AN840" s="32">
        <f>F840*AF840</f>
        <v>0</v>
      </c>
      <c r="AO840" s="33" t="s">
        <v>91</v>
      </c>
      <c r="AP840" s="33" t="s">
        <v>92</v>
      </c>
      <c r="AQ840" s="21" t="s">
        <v>571</v>
      </c>
    </row>
    <row r="841" spans="1:43" x14ac:dyDescent="0.25">
      <c r="A841" s="26"/>
      <c r="B841" s="27" t="s">
        <v>569</v>
      </c>
      <c r="C841" s="27" t="s">
        <v>93</v>
      </c>
      <c r="D841" s="338" t="s">
        <v>94</v>
      </c>
      <c r="E841" s="339"/>
      <c r="F841" s="339"/>
      <c r="G841" s="339"/>
      <c r="H841" s="28">
        <f>SUM(H842:H842)</f>
        <v>0</v>
      </c>
      <c r="I841" s="28">
        <f>SUM(I842:I842)</f>
        <v>0</v>
      </c>
      <c r="J841" s="28">
        <f>H841+I841</f>
        <v>0</v>
      </c>
      <c r="K841" s="21"/>
      <c r="L841" s="28">
        <f>SUM(L842:L842)</f>
        <v>3.6523499999999993E-2</v>
      </c>
      <c r="M841" s="21"/>
      <c r="P841" s="28">
        <f>IF(Q841="PR",J841,SUM(O842:O842))</f>
        <v>0</v>
      </c>
      <c r="Q841" s="21" t="s">
        <v>75</v>
      </c>
      <c r="R841" s="28">
        <f>IF(Q841="HS",H841,0)</f>
        <v>0</v>
      </c>
      <c r="S841" s="28">
        <f>IF(Q841="HS",I841-P841,0)</f>
        <v>0</v>
      </c>
      <c r="T841" s="28">
        <f>IF(Q841="PS",H841,0)</f>
        <v>0</v>
      </c>
      <c r="U841" s="28">
        <f>IF(Q841="PS",I841-P841,0)</f>
        <v>0</v>
      </c>
      <c r="V841" s="28">
        <f>IF(Q841="MP",H841,0)</f>
        <v>0</v>
      </c>
      <c r="W841" s="28">
        <f>IF(Q841="MP",I841-P841,0)</f>
        <v>0</v>
      </c>
      <c r="X841" s="28">
        <f>IF(Q841="OM",H841,0)</f>
        <v>0</v>
      </c>
      <c r="Y841" s="21" t="s">
        <v>569</v>
      </c>
      <c r="AI841" s="28">
        <f>SUM(Z842:Z842)</f>
        <v>0</v>
      </c>
      <c r="AJ841" s="28">
        <f>SUM(AA842:AA842)</f>
        <v>0</v>
      </c>
      <c r="AK841" s="28">
        <f>SUM(AB842:AB842)</f>
        <v>0</v>
      </c>
    </row>
    <row r="842" spans="1:43" x14ac:dyDescent="0.25">
      <c r="A842" s="29" t="s">
        <v>576</v>
      </c>
      <c r="B842" s="29" t="s">
        <v>569</v>
      </c>
      <c r="C842" s="29" t="s">
        <v>96</v>
      </c>
      <c r="D842" s="29" t="s">
        <v>97</v>
      </c>
      <c r="E842" s="29" t="s">
        <v>58</v>
      </c>
      <c r="F842" s="30">
        <v>56.19</v>
      </c>
      <c r="G842" s="317">
        <v>0</v>
      </c>
      <c r="H842" s="30">
        <f>ROUND(F842*AE842,2)</f>
        <v>0</v>
      </c>
      <c r="I842" s="30">
        <f>J842-H842</f>
        <v>0</v>
      </c>
      <c r="J842" s="30">
        <f>ROUND(F842*G842,2)</f>
        <v>0</v>
      </c>
      <c r="K842" s="30">
        <v>6.4999999999999997E-4</v>
      </c>
      <c r="L842" s="30">
        <f>F842*K842</f>
        <v>3.6523499999999993E-2</v>
      </c>
      <c r="M842" s="31" t="s">
        <v>2292</v>
      </c>
      <c r="N842" s="31" t="s">
        <v>59</v>
      </c>
      <c r="O842" s="30">
        <f>IF(N842="5",I842,0)</f>
        <v>0</v>
      </c>
      <c r="Z842" s="30">
        <f>IF(AD842=0,J842,0)</f>
        <v>0</v>
      </c>
      <c r="AA842" s="30">
        <f>IF(AD842=15,J842,0)</f>
        <v>0</v>
      </c>
      <c r="AB842" s="30">
        <f>IF(AD842=21,J842,0)</f>
        <v>0</v>
      </c>
      <c r="AD842" s="32">
        <v>21</v>
      </c>
      <c r="AE842" s="32">
        <f>G842*0.333747476316198</f>
        <v>0</v>
      </c>
      <c r="AF842" s="32">
        <f>G842*(1-0.333747476316198)</f>
        <v>0</v>
      </c>
      <c r="AM842" s="32">
        <f>F842*AE842</f>
        <v>0</v>
      </c>
      <c r="AN842" s="32">
        <f>F842*AF842</f>
        <v>0</v>
      </c>
      <c r="AO842" s="33" t="s">
        <v>98</v>
      </c>
      <c r="AP842" s="33" t="s">
        <v>92</v>
      </c>
      <c r="AQ842" s="21" t="s">
        <v>571</v>
      </c>
    </row>
    <row r="843" spans="1:43" x14ac:dyDescent="0.25">
      <c r="A843" s="26"/>
      <c r="B843" s="27" t="s">
        <v>569</v>
      </c>
      <c r="C843" s="27" t="s">
        <v>99</v>
      </c>
      <c r="D843" s="338" t="s">
        <v>100</v>
      </c>
      <c r="E843" s="339"/>
      <c r="F843" s="339"/>
      <c r="G843" s="339"/>
      <c r="H843" s="28">
        <f>SUM(H844:H844)</f>
        <v>0</v>
      </c>
      <c r="I843" s="28">
        <f>SUM(I844:I844)</f>
        <v>0</v>
      </c>
      <c r="J843" s="28">
        <f>H843+I843</f>
        <v>0</v>
      </c>
      <c r="K843" s="21"/>
      <c r="L843" s="28">
        <f>SUM(L844:L844)</f>
        <v>0</v>
      </c>
      <c r="M843" s="21"/>
      <c r="P843" s="28">
        <f>IF(Q843="PR",J843,SUM(O844:O844))</f>
        <v>0</v>
      </c>
      <c r="Q843" s="21" t="s">
        <v>54</v>
      </c>
      <c r="R843" s="28">
        <f>IF(Q843="HS",H843,0)</f>
        <v>0</v>
      </c>
      <c r="S843" s="28">
        <f>IF(Q843="HS",I843-P843,0)</f>
        <v>0</v>
      </c>
      <c r="T843" s="28">
        <f>IF(Q843="PS",H843,0)</f>
        <v>0</v>
      </c>
      <c r="U843" s="28">
        <f>IF(Q843="PS",I843-P843,0)</f>
        <v>0</v>
      </c>
      <c r="V843" s="28">
        <f>IF(Q843="MP",H843,0)</f>
        <v>0</v>
      </c>
      <c r="W843" s="28">
        <f>IF(Q843="MP",I843-P843,0)</f>
        <v>0</v>
      </c>
      <c r="X843" s="28">
        <f>IF(Q843="OM",H843,0)</f>
        <v>0</v>
      </c>
      <c r="Y843" s="21" t="s">
        <v>569</v>
      </c>
      <c r="AI843" s="28">
        <f>SUM(Z844:Z844)</f>
        <v>0</v>
      </c>
      <c r="AJ843" s="28">
        <f>SUM(AA844:AA844)</f>
        <v>0</v>
      </c>
      <c r="AK843" s="28">
        <f>SUM(AB844:AB844)</f>
        <v>0</v>
      </c>
    </row>
    <row r="844" spans="1:43" x14ac:dyDescent="0.25">
      <c r="A844" s="29" t="s">
        <v>577</v>
      </c>
      <c r="B844" s="29" t="s">
        <v>569</v>
      </c>
      <c r="C844" s="29" t="s">
        <v>102</v>
      </c>
      <c r="D844" s="29" t="s">
        <v>103</v>
      </c>
      <c r="E844" s="29" t="s">
        <v>104</v>
      </c>
      <c r="F844" s="30">
        <v>2.4</v>
      </c>
      <c r="G844" s="317">
        <v>0</v>
      </c>
      <c r="H844" s="30">
        <f>ROUND(F844*AE844,2)</f>
        <v>0</v>
      </c>
      <c r="I844" s="30">
        <f>J844-H844</f>
        <v>0</v>
      </c>
      <c r="J844" s="30">
        <f>ROUND(F844*G844,2)</f>
        <v>0</v>
      </c>
      <c r="K844" s="30">
        <v>0</v>
      </c>
      <c r="L844" s="30">
        <f>F844*K844</f>
        <v>0</v>
      </c>
      <c r="M844" s="31" t="s">
        <v>2292</v>
      </c>
      <c r="N844" s="31" t="s">
        <v>55</v>
      </c>
      <c r="O844" s="30">
        <f>IF(N844="5",I844,0)</f>
        <v>0</v>
      </c>
      <c r="Z844" s="30">
        <f>IF(AD844=0,J844,0)</f>
        <v>0</v>
      </c>
      <c r="AA844" s="30">
        <f>IF(AD844=15,J844,0)</f>
        <v>0</v>
      </c>
      <c r="AB844" s="30">
        <f>IF(AD844=21,J844,0)</f>
        <v>0</v>
      </c>
      <c r="AD844" s="32">
        <v>21</v>
      </c>
      <c r="AE844" s="32">
        <f>G844*0</f>
        <v>0</v>
      </c>
      <c r="AF844" s="32">
        <f>G844*(1-0)</f>
        <v>0</v>
      </c>
      <c r="AM844" s="32">
        <f>F844*AE844</f>
        <v>0</v>
      </c>
      <c r="AN844" s="32">
        <f>F844*AF844</f>
        <v>0</v>
      </c>
      <c r="AO844" s="33" t="s">
        <v>105</v>
      </c>
      <c r="AP844" s="33" t="s">
        <v>106</v>
      </c>
      <c r="AQ844" s="21" t="s">
        <v>571</v>
      </c>
    </row>
    <row r="845" spans="1:43" x14ac:dyDescent="0.25">
      <c r="C845" s="34" t="s">
        <v>63</v>
      </c>
      <c r="D845" s="340" t="s">
        <v>107</v>
      </c>
      <c r="E845" s="341"/>
      <c r="F845" s="341"/>
      <c r="G845" s="341"/>
      <c r="H845" s="341"/>
      <c r="I845" s="341"/>
      <c r="J845" s="341"/>
      <c r="K845" s="341"/>
      <c r="L845" s="341"/>
      <c r="M845" s="341"/>
    </row>
    <row r="846" spans="1:43" x14ac:dyDescent="0.25">
      <c r="A846" s="26"/>
      <c r="B846" s="27" t="s">
        <v>578</v>
      </c>
      <c r="C846" s="27"/>
      <c r="D846" s="338" t="s">
        <v>578</v>
      </c>
      <c r="E846" s="339"/>
      <c r="F846" s="339"/>
      <c r="G846" s="339"/>
      <c r="H846" s="28">
        <f>H847+H852+H854+H856+H858+H860</f>
        <v>0</v>
      </c>
      <c r="I846" s="28">
        <f>I847+I852+I854+I856+I858+I860</f>
        <v>0</v>
      </c>
      <c r="J846" s="28">
        <f>H846+I846</f>
        <v>0</v>
      </c>
      <c r="K846" s="21"/>
      <c r="L846" s="28">
        <f>L847+L852+L854+L856+L858+L860</f>
        <v>1.2072117</v>
      </c>
      <c r="M846" s="21"/>
    </row>
    <row r="847" spans="1:43" x14ac:dyDescent="0.25">
      <c r="A847" s="26"/>
      <c r="B847" s="27" t="s">
        <v>578</v>
      </c>
      <c r="C847" s="27" t="s">
        <v>52</v>
      </c>
      <c r="D847" s="338" t="s">
        <v>53</v>
      </c>
      <c r="E847" s="339"/>
      <c r="F847" s="339"/>
      <c r="G847" s="339"/>
      <c r="H847" s="28">
        <f>SUM(H848:H850)</f>
        <v>0</v>
      </c>
      <c r="I847" s="28">
        <f>SUM(I848:I850)</f>
        <v>0</v>
      </c>
      <c r="J847" s="28">
        <f>H847+I847</f>
        <v>0</v>
      </c>
      <c r="K847" s="21"/>
      <c r="L847" s="28">
        <f>SUM(L848:L850)</f>
        <v>0.56053920000000002</v>
      </c>
      <c r="M847" s="21"/>
      <c r="P847" s="28">
        <f>IF(Q847="PR",J847,SUM(O848:O850))</f>
        <v>0</v>
      </c>
      <c r="Q847" s="21" t="s">
        <v>54</v>
      </c>
      <c r="R847" s="28">
        <f>IF(Q847="HS",H847,0)</f>
        <v>0</v>
      </c>
      <c r="S847" s="28">
        <f>IF(Q847="HS",I847-P847,0)</f>
        <v>0</v>
      </c>
      <c r="T847" s="28">
        <f>IF(Q847="PS",H847,0)</f>
        <v>0</v>
      </c>
      <c r="U847" s="28">
        <f>IF(Q847="PS",I847-P847,0)</f>
        <v>0</v>
      </c>
      <c r="V847" s="28">
        <f>IF(Q847="MP",H847,0)</f>
        <v>0</v>
      </c>
      <c r="W847" s="28">
        <f>IF(Q847="MP",I847-P847,0)</f>
        <v>0</v>
      </c>
      <c r="X847" s="28">
        <f>IF(Q847="OM",H847,0)</f>
        <v>0</v>
      </c>
      <c r="Y847" s="21" t="s">
        <v>578</v>
      </c>
      <c r="AI847" s="28">
        <f>SUM(Z848:Z850)</f>
        <v>0</v>
      </c>
      <c r="AJ847" s="28">
        <f>SUM(AA848:AA850)</f>
        <v>0</v>
      </c>
      <c r="AK847" s="28">
        <f>SUM(AB848:AB850)</f>
        <v>0</v>
      </c>
    </row>
    <row r="848" spans="1:43" x14ac:dyDescent="0.25">
      <c r="A848" s="29" t="s">
        <v>579</v>
      </c>
      <c r="B848" s="29" t="s">
        <v>578</v>
      </c>
      <c r="C848" s="29" t="s">
        <v>66</v>
      </c>
      <c r="D848" s="29" t="s">
        <v>67</v>
      </c>
      <c r="E848" s="29" t="s">
        <v>58</v>
      </c>
      <c r="F848" s="30">
        <v>11.31</v>
      </c>
      <c r="G848" s="317">
        <v>0</v>
      </c>
      <c r="H848" s="30">
        <f>ROUND(F848*AE848,2)</f>
        <v>0</v>
      </c>
      <c r="I848" s="30">
        <f>J848-H848</f>
        <v>0</v>
      </c>
      <c r="J848" s="30">
        <f>ROUND(F848*G848,2)</f>
        <v>0</v>
      </c>
      <c r="K848" s="30">
        <v>9.8399999999999998E-3</v>
      </c>
      <c r="L848" s="30">
        <f>F848*K848</f>
        <v>0.1112904</v>
      </c>
      <c r="M848" s="31" t="s">
        <v>2292</v>
      </c>
      <c r="N848" s="31" t="s">
        <v>59</v>
      </c>
      <c r="O848" s="30">
        <f>IF(N848="5",I848,0)</f>
        <v>0</v>
      </c>
      <c r="Z848" s="30">
        <f>IF(AD848=0,J848,0)</f>
        <v>0</v>
      </c>
      <c r="AA848" s="30">
        <f>IF(AD848=15,J848,0)</f>
        <v>0</v>
      </c>
      <c r="AB848" s="30">
        <f>IF(AD848=21,J848,0)</f>
        <v>0</v>
      </c>
      <c r="AD848" s="32">
        <v>21</v>
      </c>
      <c r="AE848" s="32">
        <f>G848*0.160304682766381</f>
        <v>0</v>
      </c>
      <c r="AF848" s="32">
        <f>G848*(1-0.160304682766381)</f>
        <v>0</v>
      </c>
      <c r="AM848" s="32">
        <f>F848*AE848</f>
        <v>0</v>
      </c>
      <c r="AN848" s="32">
        <f>F848*AF848</f>
        <v>0</v>
      </c>
      <c r="AO848" s="33" t="s">
        <v>60</v>
      </c>
      <c r="AP848" s="33" t="s">
        <v>61</v>
      </c>
      <c r="AQ848" s="21" t="s">
        <v>580</v>
      </c>
    </row>
    <row r="849" spans="1:43" ht="25.7" customHeight="1" x14ac:dyDescent="0.25">
      <c r="C849" s="34" t="s">
        <v>63</v>
      </c>
      <c r="D849" s="340" t="s">
        <v>64</v>
      </c>
      <c r="E849" s="341"/>
      <c r="F849" s="341"/>
      <c r="G849" s="341"/>
      <c r="H849" s="341"/>
      <c r="I849" s="341"/>
      <c r="J849" s="341"/>
      <c r="K849" s="341"/>
      <c r="L849" s="341"/>
      <c r="M849" s="341"/>
    </row>
    <row r="850" spans="1:43" x14ac:dyDescent="0.25">
      <c r="A850" s="29" t="s">
        <v>581</v>
      </c>
      <c r="B850" s="29" t="s">
        <v>578</v>
      </c>
      <c r="C850" s="29" t="s">
        <v>56</v>
      </c>
      <c r="D850" s="29" t="s">
        <v>57</v>
      </c>
      <c r="E850" s="29" t="s">
        <v>58</v>
      </c>
      <c r="F850" s="30">
        <v>44.88</v>
      </c>
      <c r="G850" s="317">
        <v>0</v>
      </c>
      <c r="H850" s="30">
        <f>ROUND(F850*AE850,2)</f>
        <v>0</v>
      </c>
      <c r="I850" s="30">
        <f>J850-H850</f>
        <v>0</v>
      </c>
      <c r="J850" s="30">
        <f>ROUND(F850*G850,2)</f>
        <v>0</v>
      </c>
      <c r="K850" s="30">
        <v>1.001E-2</v>
      </c>
      <c r="L850" s="30">
        <f>F850*K850</f>
        <v>0.4492488</v>
      </c>
      <c r="M850" s="31" t="s">
        <v>2292</v>
      </c>
      <c r="N850" s="31" t="s">
        <v>59</v>
      </c>
      <c r="O850" s="30">
        <f>IF(N850="5",I850,0)</f>
        <v>0</v>
      </c>
      <c r="Z850" s="30">
        <f>IF(AD850=0,J850,0)</f>
        <v>0</v>
      </c>
      <c r="AA850" s="30">
        <f>IF(AD850=15,J850,0)</f>
        <v>0</v>
      </c>
      <c r="AB850" s="30">
        <f>IF(AD850=21,J850,0)</f>
        <v>0</v>
      </c>
      <c r="AD850" s="32">
        <v>21</v>
      </c>
      <c r="AE850" s="32">
        <f>G850*0.0756575801052128</f>
        <v>0</v>
      </c>
      <c r="AF850" s="32">
        <f>G850*(1-0.0756575801052128)</f>
        <v>0</v>
      </c>
      <c r="AM850" s="32">
        <f>F850*AE850</f>
        <v>0</v>
      </c>
      <c r="AN850" s="32">
        <f>F850*AF850</f>
        <v>0</v>
      </c>
      <c r="AO850" s="33" t="s">
        <v>60</v>
      </c>
      <c r="AP850" s="33" t="s">
        <v>61</v>
      </c>
      <c r="AQ850" s="21" t="s">
        <v>580</v>
      </c>
    </row>
    <row r="851" spans="1:43" ht="25.7" customHeight="1" x14ac:dyDescent="0.25">
      <c r="C851" s="34" t="s">
        <v>63</v>
      </c>
      <c r="D851" s="340" t="s">
        <v>64</v>
      </c>
      <c r="E851" s="341"/>
      <c r="F851" s="341"/>
      <c r="G851" s="341"/>
      <c r="H851" s="341"/>
      <c r="I851" s="341"/>
      <c r="J851" s="341"/>
      <c r="K851" s="341"/>
      <c r="L851" s="341"/>
      <c r="M851" s="341"/>
    </row>
    <row r="852" spans="1:43" x14ac:dyDescent="0.25">
      <c r="A852" s="26"/>
      <c r="B852" s="27" t="s">
        <v>578</v>
      </c>
      <c r="C852" s="27" t="s">
        <v>68</v>
      </c>
      <c r="D852" s="338" t="s">
        <v>69</v>
      </c>
      <c r="E852" s="339"/>
      <c r="F852" s="339"/>
      <c r="G852" s="339"/>
      <c r="H852" s="28">
        <f>SUM(H853:H853)</f>
        <v>0</v>
      </c>
      <c r="I852" s="28">
        <f>SUM(I853:I853)</f>
        <v>0</v>
      </c>
      <c r="J852" s="28">
        <f>H852+I852</f>
        <v>0</v>
      </c>
      <c r="K852" s="21"/>
      <c r="L852" s="28">
        <f>SUM(L853:L853)</f>
        <v>0.56369040000000004</v>
      </c>
      <c r="M852" s="21"/>
      <c r="P852" s="28">
        <f>IF(Q852="PR",J852,SUM(O853:O853))</f>
        <v>0</v>
      </c>
      <c r="Q852" s="21" t="s">
        <v>54</v>
      </c>
      <c r="R852" s="28">
        <f>IF(Q852="HS",H852,0)</f>
        <v>0</v>
      </c>
      <c r="S852" s="28">
        <f>IF(Q852="HS",I852-P852,0)</f>
        <v>0</v>
      </c>
      <c r="T852" s="28">
        <f>IF(Q852="PS",H852,0)</f>
        <v>0</v>
      </c>
      <c r="U852" s="28">
        <f>IF(Q852="PS",I852-P852,0)</f>
        <v>0</v>
      </c>
      <c r="V852" s="28">
        <f>IF(Q852="MP",H852,0)</f>
        <v>0</v>
      </c>
      <c r="W852" s="28">
        <f>IF(Q852="MP",I852-P852,0)</f>
        <v>0</v>
      </c>
      <c r="X852" s="28">
        <f>IF(Q852="OM",H852,0)</f>
        <v>0</v>
      </c>
      <c r="Y852" s="21" t="s">
        <v>578</v>
      </c>
      <c r="AI852" s="28">
        <f>SUM(Z853:Z853)</f>
        <v>0</v>
      </c>
      <c r="AJ852" s="28">
        <f>SUM(AA853:AA853)</f>
        <v>0</v>
      </c>
      <c r="AK852" s="28">
        <f>SUM(AB853:AB853)</f>
        <v>0</v>
      </c>
    </row>
    <row r="853" spans="1:43" x14ac:dyDescent="0.25">
      <c r="A853" s="29" t="s">
        <v>582</v>
      </c>
      <c r="B853" s="29" t="s">
        <v>578</v>
      </c>
      <c r="C853" s="29" t="s">
        <v>70</v>
      </c>
      <c r="D853" s="29" t="s">
        <v>71</v>
      </c>
      <c r="E853" s="29" t="s">
        <v>58</v>
      </c>
      <c r="F853" s="30">
        <v>11.31</v>
      </c>
      <c r="G853" s="317">
        <v>0</v>
      </c>
      <c r="H853" s="30">
        <f>ROUND(F853*AE853,2)</f>
        <v>0</v>
      </c>
      <c r="I853" s="30">
        <f>J853-H853</f>
        <v>0</v>
      </c>
      <c r="J853" s="30">
        <f>ROUND(F853*G853,2)</f>
        <v>0</v>
      </c>
      <c r="K853" s="30">
        <v>4.9840000000000002E-2</v>
      </c>
      <c r="L853" s="30">
        <f>F853*K853</f>
        <v>0.56369040000000004</v>
      </c>
      <c r="M853" s="31" t="s">
        <v>2292</v>
      </c>
      <c r="N853" s="31" t="s">
        <v>59</v>
      </c>
      <c r="O853" s="30">
        <f>IF(N853="5",I853,0)</f>
        <v>0</v>
      </c>
      <c r="Z853" s="30">
        <f>IF(AD853=0,J853,0)</f>
        <v>0</v>
      </c>
      <c r="AA853" s="30">
        <f>IF(AD853=15,J853,0)</f>
        <v>0</v>
      </c>
      <c r="AB853" s="30">
        <f>IF(AD853=21,J853,0)</f>
        <v>0</v>
      </c>
      <c r="AD853" s="32">
        <v>21</v>
      </c>
      <c r="AE853" s="32">
        <f>G853*0.411768721414431</f>
        <v>0</v>
      </c>
      <c r="AF853" s="32">
        <f>G853*(1-0.411768721414431)</f>
        <v>0</v>
      </c>
      <c r="AM853" s="32">
        <f>F853*AE853</f>
        <v>0</v>
      </c>
      <c r="AN853" s="32">
        <f>F853*AF853</f>
        <v>0</v>
      </c>
      <c r="AO853" s="33" t="s">
        <v>72</v>
      </c>
      <c r="AP853" s="33" t="s">
        <v>61</v>
      </c>
      <c r="AQ853" s="21" t="s">
        <v>580</v>
      </c>
    </row>
    <row r="854" spans="1:43" x14ac:dyDescent="0.25">
      <c r="A854" s="26"/>
      <c r="B854" s="27" t="s">
        <v>578</v>
      </c>
      <c r="C854" s="27" t="s">
        <v>80</v>
      </c>
      <c r="D854" s="338" t="s">
        <v>81</v>
      </c>
      <c r="E854" s="339"/>
      <c r="F854" s="339"/>
      <c r="G854" s="339"/>
      <c r="H854" s="28">
        <f>SUM(H855:H855)</f>
        <v>0</v>
      </c>
      <c r="I854" s="28">
        <f>SUM(I855:I855)</f>
        <v>0</v>
      </c>
      <c r="J854" s="28">
        <f>H854+I854</f>
        <v>0</v>
      </c>
      <c r="K854" s="21"/>
      <c r="L854" s="28">
        <f>SUM(L855:L855)</f>
        <v>4.5918600000000004E-2</v>
      </c>
      <c r="M854" s="21"/>
      <c r="P854" s="28">
        <f>IF(Q854="PR",J854,SUM(O855:O855))</f>
        <v>0</v>
      </c>
      <c r="Q854" s="21" t="s">
        <v>75</v>
      </c>
      <c r="R854" s="28">
        <f>IF(Q854="HS",H854,0)</f>
        <v>0</v>
      </c>
      <c r="S854" s="28">
        <f>IF(Q854="HS",I854-P854,0)</f>
        <v>0</v>
      </c>
      <c r="T854" s="28">
        <f>IF(Q854="PS",H854,0)</f>
        <v>0</v>
      </c>
      <c r="U854" s="28">
        <f>IF(Q854="PS",I854-P854,0)</f>
        <v>0</v>
      </c>
      <c r="V854" s="28">
        <f>IF(Q854="MP",H854,0)</f>
        <v>0</v>
      </c>
      <c r="W854" s="28">
        <f>IF(Q854="MP",I854-P854,0)</f>
        <v>0</v>
      </c>
      <c r="X854" s="28">
        <f>IF(Q854="OM",H854,0)</f>
        <v>0</v>
      </c>
      <c r="Y854" s="21" t="s">
        <v>578</v>
      </c>
      <c r="AI854" s="28">
        <f>SUM(Z855:Z855)</f>
        <v>0</v>
      </c>
      <c r="AJ854" s="28">
        <f>SUM(AA855:AA855)</f>
        <v>0</v>
      </c>
      <c r="AK854" s="28">
        <f>SUM(AB855:AB855)</f>
        <v>0</v>
      </c>
    </row>
    <row r="855" spans="1:43" x14ac:dyDescent="0.25">
      <c r="A855" s="29" t="s">
        <v>583</v>
      </c>
      <c r="B855" s="29" t="s">
        <v>578</v>
      </c>
      <c r="C855" s="29" t="s">
        <v>83</v>
      </c>
      <c r="D855" s="29" t="s">
        <v>84</v>
      </c>
      <c r="E855" s="29" t="s">
        <v>58</v>
      </c>
      <c r="F855" s="30">
        <v>11.31</v>
      </c>
      <c r="G855" s="317">
        <v>0</v>
      </c>
      <c r="H855" s="30">
        <f>ROUND(F855*AE855,2)</f>
        <v>0</v>
      </c>
      <c r="I855" s="30">
        <f>J855-H855</f>
        <v>0</v>
      </c>
      <c r="J855" s="30">
        <f>ROUND(F855*G855,2)</f>
        <v>0</v>
      </c>
      <c r="K855" s="30">
        <v>4.0600000000000002E-3</v>
      </c>
      <c r="L855" s="30">
        <f>F855*K855</f>
        <v>4.5918600000000004E-2</v>
      </c>
      <c r="M855" s="31" t="s">
        <v>2292</v>
      </c>
      <c r="N855" s="31" t="s">
        <v>59</v>
      </c>
      <c r="O855" s="30">
        <f>IF(N855="5",I855,0)</f>
        <v>0</v>
      </c>
      <c r="Z855" s="30">
        <f>IF(AD855=0,J855,0)</f>
        <v>0</v>
      </c>
      <c r="AA855" s="30">
        <f>IF(AD855=15,J855,0)</f>
        <v>0</v>
      </c>
      <c r="AB855" s="30">
        <f>IF(AD855=21,J855,0)</f>
        <v>0</v>
      </c>
      <c r="AD855" s="32">
        <v>21</v>
      </c>
      <c r="AE855" s="32">
        <f>G855*0.67230605738576</f>
        <v>0</v>
      </c>
      <c r="AF855" s="32">
        <f>G855*(1-0.67230605738576)</f>
        <v>0</v>
      </c>
      <c r="AM855" s="32">
        <f>F855*AE855</f>
        <v>0</v>
      </c>
      <c r="AN855" s="32">
        <f>F855*AF855</f>
        <v>0</v>
      </c>
      <c r="AO855" s="33" t="s">
        <v>85</v>
      </c>
      <c r="AP855" s="33" t="s">
        <v>79</v>
      </c>
      <c r="AQ855" s="21" t="s">
        <v>580</v>
      </c>
    </row>
    <row r="856" spans="1:43" x14ac:dyDescent="0.25">
      <c r="A856" s="26"/>
      <c r="B856" s="27" t="s">
        <v>578</v>
      </c>
      <c r="C856" s="27" t="s">
        <v>86</v>
      </c>
      <c r="D856" s="338" t="s">
        <v>87</v>
      </c>
      <c r="E856" s="339"/>
      <c r="F856" s="339"/>
      <c r="G856" s="339"/>
      <c r="H856" s="28">
        <f>SUM(H857:H857)</f>
        <v>0</v>
      </c>
      <c r="I856" s="28">
        <f>SUM(I857:I857)</f>
        <v>0</v>
      </c>
      <c r="J856" s="28">
        <f>H856+I856</f>
        <v>0</v>
      </c>
      <c r="K856" s="21"/>
      <c r="L856" s="28">
        <f>SUM(L857:L857)</f>
        <v>5.4000000000000001E-4</v>
      </c>
      <c r="M856" s="21"/>
      <c r="P856" s="28">
        <f>IF(Q856="PR",J856,SUM(O857:O857))</f>
        <v>0</v>
      </c>
      <c r="Q856" s="21" t="s">
        <v>75</v>
      </c>
      <c r="R856" s="28">
        <f>IF(Q856="HS",H856,0)</f>
        <v>0</v>
      </c>
      <c r="S856" s="28">
        <f>IF(Q856="HS",I856-P856,0)</f>
        <v>0</v>
      </c>
      <c r="T856" s="28">
        <f>IF(Q856="PS",H856,0)</f>
        <v>0</v>
      </c>
      <c r="U856" s="28">
        <f>IF(Q856="PS",I856-P856,0)</f>
        <v>0</v>
      </c>
      <c r="V856" s="28">
        <f>IF(Q856="MP",H856,0)</f>
        <v>0</v>
      </c>
      <c r="W856" s="28">
        <f>IF(Q856="MP",I856-P856,0)</f>
        <v>0</v>
      </c>
      <c r="X856" s="28">
        <f>IF(Q856="OM",H856,0)</f>
        <v>0</v>
      </c>
      <c r="Y856" s="21" t="s">
        <v>578</v>
      </c>
      <c r="AI856" s="28">
        <f>SUM(Z857:Z857)</f>
        <v>0</v>
      </c>
      <c r="AJ856" s="28">
        <f>SUM(AA857:AA857)</f>
        <v>0</v>
      </c>
      <c r="AK856" s="28">
        <f>SUM(AB857:AB857)</f>
        <v>0</v>
      </c>
    </row>
    <row r="857" spans="1:43" x14ac:dyDescent="0.25">
      <c r="A857" s="29" t="s">
        <v>584</v>
      </c>
      <c r="B857" s="29" t="s">
        <v>578</v>
      </c>
      <c r="C857" s="29" t="s">
        <v>89</v>
      </c>
      <c r="D857" s="29" t="s">
        <v>90</v>
      </c>
      <c r="E857" s="29" t="s">
        <v>58</v>
      </c>
      <c r="F857" s="30">
        <v>2</v>
      </c>
      <c r="G857" s="317">
        <v>0</v>
      </c>
      <c r="H857" s="30">
        <f>ROUND(F857*AE857,2)</f>
        <v>0</v>
      </c>
      <c r="I857" s="30">
        <f>J857-H857</f>
        <v>0</v>
      </c>
      <c r="J857" s="30">
        <f>ROUND(F857*G857,2)</f>
        <v>0</v>
      </c>
      <c r="K857" s="30">
        <v>2.7E-4</v>
      </c>
      <c r="L857" s="30">
        <f>F857*K857</f>
        <v>5.4000000000000001E-4</v>
      </c>
      <c r="M857" s="31" t="s">
        <v>2292</v>
      </c>
      <c r="N857" s="31" t="s">
        <v>59</v>
      </c>
      <c r="O857" s="30">
        <f>IF(N857="5",I857,0)</f>
        <v>0</v>
      </c>
      <c r="Z857" s="30">
        <f>IF(AD857=0,J857,0)</f>
        <v>0</v>
      </c>
      <c r="AA857" s="30">
        <f>IF(AD857=15,J857,0)</f>
        <v>0</v>
      </c>
      <c r="AB857" s="30">
        <f>IF(AD857=21,J857,0)</f>
        <v>0</v>
      </c>
      <c r="AD857" s="32">
        <v>21</v>
      </c>
      <c r="AE857" s="32">
        <f>G857*0.186098187625859</f>
        <v>0</v>
      </c>
      <c r="AF857" s="32">
        <f>G857*(1-0.186098187625859)</f>
        <v>0</v>
      </c>
      <c r="AM857" s="32">
        <f>F857*AE857</f>
        <v>0</v>
      </c>
      <c r="AN857" s="32">
        <f>F857*AF857</f>
        <v>0</v>
      </c>
      <c r="AO857" s="33" t="s">
        <v>91</v>
      </c>
      <c r="AP857" s="33" t="s">
        <v>92</v>
      </c>
      <c r="AQ857" s="21" t="s">
        <v>580</v>
      </c>
    </row>
    <row r="858" spans="1:43" x14ac:dyDescent="0.25">
      <c r="A858" s="26"/>
      <c r="B858" s="27" t="s">
        <v>578</v>
      </c>
      <c r="C858" s="27" t="s">
        <v>93</v>
      </c>
      <c r="D858" s="338" t="s">
        <v>94</v>
      </c>
      <c r="E858" s="339"/>
      <c r="F858" s="339"/>
      <c r="G858" s="339"/>
      <c r="H858" s="28">
        <f>SUM(H859:H859)</f>
        <v>0</v>
      </c>
      <c r="I858" s="28">
        <f>SUM(I859:I859)</f>
        <v>0</v>
      </c>
      <c r="J858" s="28">
        <f>H858+I858</f>
        <v>0</v>
      </c>
      <c r="K858" s="21"/>
      <c r="L858" s="28">
        <f>SUM(L859:L859)</f>
        <v>3.6523499999999993E-2</v>
      </c>
      <c r="M858" s="21"/>
      <c r="P858" s="28">
        <f>IF(Q858="PR",J858,SUM(O859:O859))</f>
        <v>0</v>
      </c>
      <c r="Q858" s="21" t="s">
        <v>75</v>
      </c>
      <c r="R858" s="28">
        <f>IF(Q858="HS",H858,0)</f>
        <v>0</v>
      </c>
      <c r="S858" s="28">
        <f>IF(Q858="HS",I858-P858,0)</f>
        <v>0</v>
      </c>
      <c r="T858" s="28">
        <f>IF(Q858="PS",H858,0)</f>
        <v>0</v>
      </c>
      <c r="U858" s="28">
        <f>IF(Q858="PS",I858-P858,0)</f>
        <v>0</v>
      </c>
      <c r="V858" s="28">
        <f>IF(Q858="MP",H858,0)</f>
        <v>0</v>
      </c>
      <c r="W858" s="28">
        <f>IF(Q858="MP",I858-P858,0)</f>
        <v>0</v>
      </c>
      <c r="X858" s="28">
        <f>IF(Q858="OM",H858,0)</f>
        <v>0</v>
      </c>
      <c r="Y858" s="21" t="s">
        <v>578</v>
      </c>
      <c r="AI858" s="28">
        <f>SUM(Z859:Z859)</f>
        <v>0</v>
      </c>
      <c r="AJ858" s="28">
        <f>SUM(AA859:AA859)</f>
        <v>0</v>
      </c>
      <c r="AK858" s="28">
        <f>SUM(AB859:AB859)</f>
        <v>0</v>
      </c>
    </row>
    <row r="859" spans="1:43" x14ac:dyDescent="0.25">
      <c r="A859" s="29" t="s">
        <v>585</v>
      </c>
      <c r="B859" s="29" t="s">
        <v>578</v>
      </c>
      <c r="C859" s="29" t="s">
        <v>96</v>
      </c>
      <c r="D859" s="29" t="s">
        <v>97</v>
      </c>
      <c r="E859" s="29" t="s">
        <v>58</v>
      </c>
      <c r="F859" s="30">
        <v>56.19</v>
      </c>
      <c r="G859" s="317">
        <v>0</v>
      </c>
      <c r="H859" s="30">
        <f>ROUND(F859*AE859,2)</f>
        <v>0</v>
      </c>
      <c r="I859" s="30">
        <f>J859-H859</f>
        <v>0</v>
      </c>
      <c r="J859" s="30">
        <f>ROUND(F859*G859,2)</f>
        <v>0</v>
      </c>
      <c r="K859" s="30">
        <v>6.4999999999999997E-4</v>
      </c>
      <c r="L859" s="30">
        <f>F859*K859</f>
        <v>3.6523499999999993E-2</v>
      </c>
      <c r="M859" s="31" t="s">
        <v>2292</v>
      </c>
      <c r="N859" s="31" t="s">
        <v>59</v>
      </c>
      <c r="O859" s="30">
        <f>IF(N859="5",I859,0)</f>
        <v>0</v>
      </c>
      <c r="Z859" s="30">
        <f>IF(AD859=0,J859,0)</f>
        <v>0</v>
      </c>
      <c r="AA859" s="30">
        <f>IF(AD859=15,J859,0)</f>
        <v>0</v>
      </c>
      <c r="AB859" s="30">
        <f>IF(AD859=21,J859,0)</f>
        <v>0</v>
      </c>
      <c r="AD859" s="32">
        <v>21</v>
      </c>
      <c r="AE859" s="32">
        <f>G859*0.333747476316198</f>
        <v>0</v>
      </c>
      <c r="AF859" s="32">
        <f>G859*(1-0.333747476316198)</f>
        <v>0</v>
      </c>
      <c r="AM859" s="32">
        <f>F859*AE859</f>
        <v>0</v>
      </c>
      <c r="AN859" s="32">
        <f>F859*AF859</f>
        <v>0</v>
      </c>
      <c r="AO859" s="33" t="s">
        <v>98</v>
      </c>
      <c r="AP859" s="33" t="s">
        <v>92</v>
      </c>
      <c r="AQ859" s="21" t="s">
        <v>580</v>
      </c>
    </row>
    <row r="860" spans="1:43" x14ac:dyDescent="0.25">
      <c r="A860" s="26"/>
      <c r="B860" s="27" t="s">
        <v>578</v>
      </c>
      <c r="C860" s="27" t="s">
        <v>99</v>
      </c>
      <c r="D860" s="338" t="s">
        <v>100</v>
      </c>
      <c r="E860" s="339"/>
      <c r="F860" s="339"/>
      <c r="G860" s="339"/>
      <c r="H860" s="28">
        <f>SUM(H861:H861)</f>
        <v>0</v>
      </c>
      <c r="I860" s="28">
        <f>SUM(I861:I861)</f>
        <v>0</v>
      </c>
      <c r="J860" s="28">
        <f>H860+I860</f>
        <v>0</v>
      </c>
      <c r="K860" s="21"/>
      <c r="L860" s="28">
        <f>SUM(L861:L861)</f>
        <v>0</v>
      </c>
      <c r="M860" s="21"/>
      <c r="P860" s="28">
        <f>IF(Q860="PR",J860,SUM(O861:O861))</f>
        <v>0</v>
      </c>
      <c r="Q860" s="21" t="s">
        <v>54</v>
      </c>
      <c r="R860" s="28">
        <f>IF(Q860="HS",H860,0)</f>
        <v>0</v>
      </c>
      <c r="S860" s="28">
        <f>IF(Q860="HS",I860-P860,0)</f>
        <v>0</v>
      </c>
      <c r="T860" s="28">
        <f>IF(Q860="PS",H860,0)</f>
        <v>0</v>
      </c>
      <c r="U860" s="28">
        <f>IF(Q860="PS",I860-P860,0)</f>
        <v>0</v>
      </c>
      <c r="V860" s="28">
        <f>IF(Q860="MP",H860,0)</f>
        <v>0</v>
      </c>
      <c r="W860" s="28">
        <f>IF(Q860="MP",I860-P860,0)</f>
        <v>0</v>
      </c>
      <c r="X860" s="28">
        <f>IF(Q860="OM",H860,0)</f>
        <v>0</v>
      </c>
      <c r="Y860" s="21" t="s">
        <v>578</v>
      </c>
      <c r="AI860" s="28">
        <f>SUM(Z861:Z861)</f>
        <v>0</v>
      </c>
      <c r="AJ860" s="28">
        <f>SUM(AA861:AA861)</f>
        <v>0</v>
      </c>
      <c r="AK860" s="28">
        <f>SUM(AB861:AB861)</f>
        <v>0</v>
      </c>
    </row>
    <row r="861" spans="1:43" x14ac:dyDescent="0.25">
      <c r="A861" s="29" t="s">
        <v>586</v>
      </c>
      <c r="B861" s="29" t="s">
        <v>578</v>
      </c>
      <c r="C861" s="29" t="s">
        <v>102</v>
      </c>
      <c r="D861" s="29" t="s">
        <v>103</v>
      </c>
      <c r="E861" s="29" t="s">
        <v>104</v>
      </c>
      <c r="F861" s="30">
        <v>2.4</v>
      </c>
      <c r="G861" s="317">
        <v>0</v>
      </c>
      <c r="H861" s="30">
        <f>ROUND(F861*AE861,2)</f>
        <v>0</v>
      </c>
      <c r="I861" s="30">
        <f>J861-H861</f>
        <v>0</v>
      </c>
      <c r="J861" s="30">
        <f>ROUND(F861*G861,2)</f>
        <v>0</v>
      </c>
      <c r="K861" s="30">
        <v>0</v>
      </c>
      <c r="L861" s="30">
        <f>F861*K861</f>
        <v>0</v>
      </c>
      <c r="M861" s="31" t="s">
        <v>2292</v>
      </c>
      <c r="N861" s="31" t="s">
        <v>55</v>
      </c>
      <c r="O861" s="30">
        <f>IF(N861="5",I861,0)</f>
        <v>0</v>
      </c>
      <c r="Z861" s="30">
        <f>IF(AD861=0,J861,0)</f>
        <v>0</v>
      </c>
      <c r="AA861" s="30">
        <f>IF(AD861=15,J861,0)</f>
        <v>0</v>
      </c>
      <c r="AB861" s="30">
        <f>IF(AD861=21,J861,0)</f>
        <v>0</v>
      </c>
      <c r="AD861" s="32">
        <v>21</v>
      </c>
      <c r="AE861" s="32">
        <f>G861*0</f>
        <v>0</v>
      </c>
      <c r="AF861" s="32">
        <f>G861*(1-0)</f>
        <v>0</v>
      </c>
      <c r="AM861" s="32">
        <f>F861*AE861</f>
        <v>0</v>
      </c>
      <c r="AN861" s="32">
        <f>F861*AF861</f>
        <v>0</v>
      </c>
      <c r="AO861" s="33" t="s">
        <v>105</v>
      </c>
      <c r="AP861" s="33" t="s">
        <v>106</v>
      </c>
      <c r="AQ861" s="21" t="s">
        <v>580</v>
      </c>
    </row>
    <row r="862" spans="1:43" x14ac:dyDescent="0.25">
      <c r="C862" s="34" t="s">
        <v>63</v>
      </c>
      <c r="D862" s="340" t="s">
        <v>107</v>
      </c>
      <c r="E862" s="341"/>
      <c r="F862" s="341"/>
      <c r="G862" s="341"/>
      <c r="H862" s="341"/>
      <c r="I862" s="341"/>
      <c r="J862" s="341"/>
      <c r="K862" s="341"/>
      <c r="L862" s="341"/>
      <c r="M862" s="341"/>
    </row>
    <row r="863" spans="1:43" x14ac:dyDescent="0.25">
      <c r="A863" s="26"/>
      <c r="B863" s="27" t="s">
        <v>587</v>
      </c>
      <c r="C863" s="27"/>
      <c r="D863" s="338" t="s">
        <v>587</v>
      </c>
      <c r="E863" s="339"/>
      <c r="F863" s="339"/>
      <c r="G863" s="339"/>
      <c r="H863" s="28">
        <f>H864+H871+H873+H875+H877+H879</f>
        <v>0</v>
      </c>
      <c r="I863" s="28">
        <f>I864+I871+I873+I875+I877+I879</f>
        <v>0</v>
      </c>
      <c r="J863" s="28">
        <f>H863+I863</f>
        <v>0</v>
      </c>
      <c r="K863" s="21"/>
      <c r="L863" s="28">
        <f>L864+L871+L873+L875+L877+L879</f>
        <v>3.1406396999999999</v>
      </c>
      <c r="M863" s="21"/>
    </row>
    <row r="864" spans="1:43" x14ac:dyDescent="0.25">
      <c r="A864" s="26"/>
      <c r="B864" s="27" t="s">
        <v>587</v>
      </c>
      <c r="C864" s="27" t="s">
        <v>52</v>
      </c>
      <c r="D864" s="338" t="s">
        <v>53</v>
      </c>
      <c r="E864" s="339"/>
      <c r="F864" s="339"/>
      <c r="G864" s="339"/>
      <c r="H864" s="28">
        <f>SUM(H865:H869)</f>
        <v>0</v>
      </c>
      <c r="I864" s="28">
        <f>SUM(I865:I869)</f>
        <v>0</v>
      </c>
      <c r="J864" s="28">
        <f>H864+I864</f>
        <v>0</v>
      </c>
      <c r="K864" s="21"/>
      <c r="L864" s="28">
        <f>SUM(L865:L869)</f>
        <v>1.1915667000000001</v>
      </c>
      <c r="M864" s="21"/>
      <c r="P864" s="28">
        <f>IF(Q864="PR",J864,SUM(O865:O869))</f>
        <v>0</v>
      </c>
      <c r="Q864" s="21" t="s">
        <v>54</v>
      </c>
      <c r="R864" s="28">
        <f>IF(Q864="HS",H864,0)</f>
        <v>0</v>
      </c>
      <c r="S864" s="28">
        <f>IF(Q864="HS",I864-P864,0)</f>
        <v>0</v>
      </c>
      <c r="T864" s="28">
        <f>IF(Q864="PS",H864,0)</f>
        <v>0</v>
      </c>
      <c r="U864" s="28">
        <f>IF(Q864="PS",I864-P864,0)</f>
        <v>0</v>
      </c>
      <c r="V864" s="28">
        <f>IF(Q864="MP",H864,0)</f>
        <v>0</v>
      </c>
      <c r="W864" s="28">
        <f>IF(Q864="MP",I864-P864,0)</f>
        <v>0</v>
      </c>
      <c r="X864" s="28">
        <f>IF(Q864="OM",H864,0)</f>
        <v>0</v>
      </c>
      <c r="Y864" s="21" t="s">
        <v>587</v>
      </c>
      <c r="AI864" s="28">
        <f>SUM(Z865:Z869)</f>
        <v>0</v>
      </c>
      <c r="AJ864" s="28">
        <f>SUM(AA865:AA869)</f>
        <v>0</v>
      </c>
      <c r="AK864" s="28">
        <f>SUM(AB865:AB869)</f>
        <v>0</v>
      </c>
    </row>
    <row r="865" spans="1:43" x14ac:dyDescent="0.25">
      <c r="A865" s="29" t="s">
        <v>588</v>
      </c>
      <c r="B865" s="29" t="s">
        <v>587</v>
      </c>
      <c r="C865" s="29" t="s">
        <v>156</v>
      </c>
      <c r="D865" s="29" t="s">
        <v>2281</v>
      </c>
      <c r="E865" s="29" t="s">
        <v>58</v>
      </c>
      <c r="F865" s="30">
        <v>3.75</v>
      </c>
      <c r="G865" s="317">
        <v>0</v>
      </c>
      <c r="H865" s="30">
        <f>ROUND(F865*AE865,2)</f>
        <v>0</v>
      </c>
      <c r="I865" s="30">
        <f>J865-H865</f>
        <v>0</v>
      </c>
      <c r="J865" s="30">
        <f>ROUND(F865*G865,2)</f>
        <v>0</v>
      </c>
      <c r="K865" s="30">
        <v>2.0310000000000002E-2</v>
      </c>
      <c r="L865" s="30">
        <f>F865*K865</f>
        <v>7.6162500000000008E-2</v>
      </c>
      <c r="M865" s="31" t="s">
        <v>2292</v>
      </c>
      <c r="N865" s="31" t="s">
        <v>55</v>
      </c>
      <c r="O865" s="30">
        <f>IF(N865="5",I865,0)</f>
        <v>0</v>
      </c>
      <c r="Z865" s="30">
        <f>IF(AD865=0,J865,0)</f>
        <v>0</v>
      </c>
      <c r="AA865" s="30">
        <f>IF(AD865=15,J865,0)</f>
        <v>0</v>
      </c>
      <c r="AB865" s="30">
        <f>IF(AD865=21,J865,0)</f>
        <v>0</v>
      </c>
      <c r="AD865" s="32">
        <v>21</v>
      </c>
      <c r="AE865" s="32">
        <f>G865*0.423217647685695</f>
        <v>0</v>
      </c>
      <c r="AF865" s="32">
        <f>G865*(1-0.423217647685695)</f>
        <v>0</v>
      </c>
      <c r="AM865" s="32">
        <f>F865*AE865</f>
        <v>0</v>
      </c>
      <c r="AN865" s="32">
        <f>F865*AF865</f>
        <v>0</v>
      </c>
      <c r="AO865" s="33" t="s">
        <v>60</v>
      </c>
      <c r="AP865" s="33" t="s">
        <v>61</v>
      </c>
      <c r="AQ865" s="21" t="s">
        <v>589</v>
      </c>
    </row>
    <row r="866" spans="1:43" ht="25.7" customHeight="1" x14ac:dyDescent="0.25">
      <c r="C866" s="34" t="s">
        <v>63</v>
      </c>
      <c r="D866" s="340" t="s">
        <v>157</v>
      </c>
      <c r="E866" s="341"/>
      <c r="F866" s="341"/>
      <c r="G866" s="341"/>
      <c r="H866" s="341"/>
      <c r="I866" s="341"/>
      <c r="J866" s="341"/>
      <c r="K866" s="341"/>
      <c r="L866" s="341"/>
      <c r="M866" s="341"/>
    </row>
    <row r="867" spans="1:43" x14ac:dyDescent="0.25">
      <c r="A867" s="29" t="s">
        <v>590</v>
      </c>
      <c r="B867" s="29" t="s">
        <v>587</v>
      </c>
      <c r="C867" s="29" t="s">
        <v>66</v>
      </c>
      <c r="D867" s="29" t="s">
        <v>67</v>
      </c>
      <c r="E867" s="29" t="s">
        <v>58</v>
      </c>
      <c r="F867" s="30">
        <v>34.799999999999997</v>
      </c>
      <c r="G867" s="317">
        <v>0</v>
      </c>
      <c r="H867" s="30">
        <f>ROUND(F867*AE867,2)</f>
        <v>0</v>
      </c>
      <c r="I867" s="30">
        <f>J867-H867</f>
        <v>0</v>
      </c>
      <c r="J867" s="30">
        <f>ROUND(F867*G867,2)</f>
        <v>0</v>
      </c>
      <c r="K867" s="30">
        <v>9.8399999999999998E-3</v>
      </c>
      <c r="L867" s="30">
        <f>F867*K867</f>
        <v>0.34243199999999996</v>
      </c>
      <c r="M867" s="31" t="s">
        <v>2292</v>
      </c>
      <c r="N867" s="31" t="s">
        <v>59</v>
      </c>
      <c r="O867" s="30">
        <f>IF(N867="5",I867,0)</f>
        <v>0</v>
      </c>
      <c r="Z867" s="30">
        <f>IF(AD867=0,J867,0)</f>
        <v>0</v>
      </c>
      <c r="AA867" s="30">
        <f>IF(AD867=15,J867,0)</f>
        <v>0</v>
      </c>
      <c r="AB867" s="30">
        <f>IF(AD867=21,J867,0)</f>
        <v>0</v>
      </c>
      <c r="AD867" s="32">
        <v>21</v>
      </c>
      <c r="AE867" s="32">
        <f>G867*0.160304682766381</f>
        <v>0</v>
      </c>
      <c r="AF867" s="32">
        <f>G867*(1-0.160304682766381)</f>
        <v>0</v>
      </c>
      <c r="AM867" s="32">
        <f>F867*AE867</f>
        <v>0</v>
      </c>
      <c r="AN867" s="32">
        <f>F867*AF867</f>
        <v>0</v>
      </c>
      <c r="AO867" s="33" t="s">
        <v>60</v>
      </c>
      <c r="AP867" s="33" t="s">
        <v>61</v>
      </c>
      <c r="AQ867" s="21" t="s">
        <v>589</v>
      </c>
    </row>
    <row r="868" spans="1:43" ht="25.7" customHeight="1" x14ac:dyDescent="0.25">
      <c r="C868" s="34" t="s">
        <v>63</v>
      </c>
      <c r="D868" s="340">
        <v>0</v>
      </c>
      <c r="E868" s="341"/>
      <c r="F868" s="341"/>
      <c r="G868" s="341"/>
      <c r="H868" s="341"/>
      <c r="I868" s="341"/>
      <c r="J868" s="341"/>
      <c r="K868" s="341"/>
      <c r="L868" s="341"/>
      <c r="M868" s="341"/>
    </row>
    <row r="869" spans="1:43" x14ac:dyDescent="0.25">
      <c r="A869" s="29" t="s">
        <v>591</v>
      </c>
      <c r="B869" s="29" t="s">
        <v>587</v>
      </c>
      <c r="C869" s="29" t="s">
        <v>56</v>
      </c>
      <c r="D869" s="29" t="s">
        <v>57</v>
      </c>
      <c r="E869" s="29" t="s">
        <v>58</v>
      </c>
      <c r="F869" s="30">
        <v>77.22</v>
      </c>
      <c r="G869" s="317">
        <v>0</v>
      </c>
      <c r="H869" s="30">
        <f>ROUND(F869*AE869,2)</f>
        <v>0</v>
      </c>
      <c r="I869" s="30">
        <f>J869-H869</f>
        <v>0</v>
      </c>
      <c r="J869" s="30">
        <f>ROUND(F869*G869,2)</f>
        <v>0</v>
      </c>
      <c r="K869" s="30">
        <v>1.001E-2</v>
      </c>
      <c r="L869" s="30">
        <f>F869*K869</f>
        <v>0.7729722</v>
      </c>
      <c r="M869" s="31" t="s">
        <v>2292</v>
      </c>
      <c r="N869" s="31" t="s">
        <v>59</v>
      </c>
      <c r="O869" s="30">
        <f>IF(N869="5",I869,0)</f>
        <v>0</v>
      </c>
      <c r="Z869" s="30">
        <f>IF(AD869=0,J869,0)</f>
        <v>0</v>
      </c>
      <c r="AA869" s="30">
        <f>IF(AD869=15,J869,0)</f>
        <v>0</v>
      </c>
      <c r="AB869" s="30">
        <f>IF(AD869=21,J869,0)</f>
        <v>0</v>
      </c>
      <c r="AD869" s="32">
        <v>21</v>
      </c>
      <c r="AE869" s="32">
        <f>G869*0.0756575801052128</f>
        <v>0</v>
      </c>
      <c r="AF869" s="32">
        <f>G869*(1-0.0756575801052128)</f>
        <v>0</v>
      </c>
      <c r="AM869" s="32">
        <f>F869*AE869</f>
        <v>0</v>
      </c>
      <c r="AN869" s="32">
        <f>F869*AF869</f>
        <v>0</v>
      </c>
      <c r="AO869" s="33" t="s">
        <v>60</v>
      </c>
      <c r="AP869" s="33" t="s">
        <v>61</v>
      </c>
      <c r="AQ869" s="21" t="s">
        <v>589</v>
      </c>
    </row>
    <row r="870" spans="1:43" ht="25.7" customHeight="1" x14ac:dyDescent="0.25">
      <c r="C870" s="34" t="s">
        <v>63</v>
      </c>
      <c r="D870" s="340" t="s">
        <v>64</v>
      </c>
      <c r="E870" s="341"/>
      <c r="F870" s="341"/>
      <c r="G870" s="341"/>
      <c r="H870" s="341"/>
      <c r="I870" s="341"/>
      <c r="J870" s="341"/>
      <c r="K870" s="341"/>
      <c r="L870" s="341"/>
      <c r="M870" s="341"/>
    </row>
    <row r="871" spans="1:43" x14ac:dyDescent="0.25">
      <c r="A871" s="26"/>
      <c r="B871" s="27" t="s">
        <v>587</v>
      </c>
      <c r="C871" s="27" t="s">
        <v>68</v>
      </c>
      <c r="D871" s="338" t="s">
        <v>69</v>
      </c>
      <c r="E871" s="339"/>
      <c r="F871" s="339"/>
      <c r="G871" s="339"/>
      <c r="H871" s="28">
        <f>SUM(H872:H872)</f>
        <v>0</v>
      </c>
      <c r="I871" s="28">
        <f>SUM(I872:I872)</f>
        <v>0</v>
      </c>
      <c r="J871" s="28">
        <f>H871+I871</f>
        <v>0</v>
      </c>
      <c r="K871" s="21"/>
      <c r="L871" s="28">
        <f>SUM(L872:L872)</f>
        <v>1.734432</v>
      </c>
      <c r="M871" s="21"/>
      <c r="P871" s="28">
        <f>IF(Q871="PR",J871,SUM(O872:O872))</f>
        <v>0</v>
      </c>
      <c r="Q871" s="21" t="s">
        <v>54</v>
      </c>
      <c r="R871" s="28">
        <f>IF(Q871="HS",H871,0)</f>
        <v>0</v>
      </c>
      <c r="S871" s="28">
        <f>IF(Q871="HS",I871-P871,0)</f>
        <v>0</v>
      </c>
      <c r="T871" s="28">
        <f>IF(Q871="PS",H871,0)</f>
        <v>0</v>
      </c>
      <c r="U871" s="28">
        <f>IF(Q871="PS",I871-P871,0)</f>
        <v>0</v>
      </c>
      <c r="V871" s="28">
        <f>IF(Q871="MP",H871,0)</f>
        <v>0</v>
      </c>
      <c r="W871" s="28">
        <f>IF(Q871="MP",I871-P871,0)</f>
        <v>0</v>
      </c>
      <c r="X871" s="28">
        <f>IF(Q871="OM",H871,0)</f>
        <v>0</v>
      </c>
      <c r="Y871" s="21" t="s">
        <v>587</v>
      </c>
      <c r="AI871" s="28">
        <f>SUM(Z872:Z872)</f>
        <v>0</v>
      </c>
      <c r="AJ871" s="28">
        <f>SUM(AA872:AA872)</f>
        <v>0</v>
      </c>
      <c r="AK871" s="28">
        <f>SUM(AB872:AB872)</f>
        <v>0</v>
      </c>
    </row>
    <row r="872" spans="1:43" x14ac:dyDescent="0.25">
      <c r="A872" s="29" t="s">
        <v>592</v>
      </c>
      <c r="B872" s="29" t="s">
        <v>587</v>
      </c>
      <c r="C872" s="29" t="s">
        <v>70</v>
      </c>
      <c r="D872" s="29" t="s">
        <v>71</v>
      </c>
      <c r="E872" s="29" t="s">
        <v>58</v>
      </c>
      <c r="F872" s="30">
        <v>34.799999999999997</v>
      </c>
      <c r="G872" s="317">
        <v>0</v>
      </c>
      <c r="H872" s="30">
        <f>ROUND(F872*AE872,2)</f>
        <v>0</v>
      </c>
      <c r="I872" s="30">
        <f>J872-H872</f>
        <v>0</v>
      </c>
      <c r="J872" s="30">
        <f>ROUND(F872*G872,2)</f>
        <v>0</v>
      </c>
      <c r="K872" s="30">
        <v>4.9840000000000002E-2</v>
      </c>
      <c r="L872" s="30">
        <f>F872*K872</f>
        <v>1.734432</v>
      </c>
      <c r="M872" s="31" t="s">
        <v>2292</v>
      </c>
      <c r="N872" s="31" t="s">
        <v>59</v>
      </c>
      <c r="O872" s="30">
        <f>IF(N872="5",I872,0)</f>
        <v>0</v>
      </c>
      <c r="Z872" s="30">
        <f>IF(AD872=0,J872,0)</f>
        <v>0</v>
      </c>
      <c r="AA872" s="30">
        <f>IF(AD872=15,J872,0)</f>
        <v>0</v>
      </c>
      <c r="AB872" s="30">
        <f>IF(AD872=21,J872,0)</f>
        <v>0</v>
      </c>
      <c r="AD872" s="32">
        <v>21</v>
      </c>
      <c r="AE872" s="32">
        <f>G872*0.411768721414431</f>
        <v>0</v>
      </c>
      <c r="AF872" s="32">
        <f>G872*(1-0.411768721414431)</f>
        <v>0</v>
      </c>
      <c r="AM872" s="32">
        <f>F872*AE872</f>
        <v>0</v>
      </c>
      <c r="AN872" s="32">
        <f>F872*AF872</f>
        <v>0</v>
      </c>
      <c r="AO872" s="33" t="s">
        <v>72</v>
      </c>
      <c r="AP872" s="33" t="s">
        <v>61</v>
      </c>
      <c r="AQ872" s="21" t="s">
        <v>589</v>
      </c>
    </row>
    <row r="873" spans="1:43" x14ac:dyDescent="0.25">
      <c r="A873" s="26"/>
      <c r="B873" s="27" t="s">
        <v>587</v>
      </c>
      <c r="C873" s="27" t="s">
        <v>80</v>
      </c>
      <c r="D873" s="338" t="s">
        <v>81</v>
      </c>
      <c r="E873" s="339"/>
      <c r="F873" s="339"/>
      <c r="G873" s="339"/>
      <c r="H873" s="28">
        <f>SUM(H874:H874)</f>
        <v>0</v>
      </c>
      <c r="I873" s="28">
        <f>SUM(I874:I874)</f>
        <v>0</v>
      </c>
      <c r="J873" s="28">
        <f>H873+I873</f>
        <v>0</v>
      </c>
      <c r="K873" s="21"/>
      <c r="L873" s="28">
        <f>SUM(L874:L874)</f>
        <v>0.141288</v>
      </c>
      <c r="M873" s="21"/>
      <c r="P873" s="28">
        <f>IF(Q873="PR",J873,SUM(O874:O874))</f>
        <v>0</v>
      </c>
      <c r="Q873" s="21" t="s">
        <v>75</v>
      </c>
      <c r="R873" s="28">
        <f>IF(Q873="HS",H873,0)</f>
        <v>0</v>
      </c>
      <c r="S873" s="28">
        <f>IF(Q873="HS",I873-P873,0)</f>
        <v>0</v>
      </c>
      <c r="T873" s="28">
        <f>IF(Q873="PS",H873,0)</f>
        <v>0</v>
      </c>
      <c r="U873" s="28">
        <f>IF(Q873="PS",I873-P873,0)</f>
        <v>0</v>
      </c>
      <c r="V873" s="28">
        <f>IF(Q873="MP",H873,0)</f>
        <v>0</v>
      </c>
      <c r="W873" s="28">
        <f>IF(Q873="MP",I873-P873,0)</f>
        <v>0</v>
      </c>
      <c r="X873" s="28">
        <f>IF(Q873="OM",H873,0)</f>
        <v>0</v>
      </c>
      <c r="Y873" s="21" t="s">
        <v>587</v>
      </c>
      <c r="AI873" s="28">
        <f>SUM(Z874:Z874)</f>
        <v>0</v>
      </c>
      <c r="AJ873" s="28">
        <f>SUM(AA874:AA874)</f>
        <v>0</v>
      </c>
      <c r="AK873" s="28">
        <f>SUM(AB874:AB874)</f>
        <v>0</v>
      </c>
    </row>
    <row r="874" spans="1:43" x14ac:dyDescent="0.25">
      <c r="A874" s="29" t="s">
        <v>593</v>
      </c>
      <c r="B874" s="29" t="s">
        <v>587</v>
      </c>
      <c r="C874" s="29" t="s">
        <v>83</v>
      </c>
      <c r="D874" s="29" t="s">
        <v>84</v>
      </c>
      <c r="E874" s="29" t="s">
        <v>58</v>
      </c>
      <c r="F874" s="30">
        <v>34.799999999999997</v>
      </c>
      <c r="G874" s="317">
        <v>0</v>
      </c>
      <c r="H874" s="30">
        <f>ROUND(F874*AE874,2)</f>
        <v>0</v>
      </c>
      <c r="I874" s="30">
        <f>J874-H874</f>
        <v>0</v>
      </c>
      <c r="J874" s="30">
        <f>ROUND(F874*G874,2)</f>
        <v>0</v>
      </c>
      <c r="K874" s="30">
        <v>4.0600000000000002E-3</v>
      </c>
      <c r="L874" s="30">
        <f>F874*K874</f>
        <v>0.141288</v>
      </c>
      <c r="M874" s="31" t="s">
        <v>2292</v>
      </c>
      <c r="N874" s="31" t="s">
        <v>59</v>
      </c>
      <c r="O874" s="30">
        <f>IF(N874="5",I874,0)</f>
        <v>0</v>
      </c>
      <c r="Z874" s="30">
        <f>IF(AD874=0,J874,0)</f>
        <v>0</v>
      </c>
      <c r="AA874" s="30">
        <f>IF(AD874=15,J874,0)</f>
        <v>0</v>
      </c>
      <c r="AB874" s="30">
        <f>IF(AD874=21,J874,0)</f>
        <v>0</v>
      </c>
      <c r="AD874" s="32">
        <v>21</v>
      </c>
      <c r="AE874" s="32">
        <f>G874*0.67230605738576</f>
        <v>0</v>
      </c>
      <c r="AF874" s="32">
        <f>G874*(1-0.67230605738576)</f>
        <v>0</v>
      </c>
      <c r="AM874" s="32">
        <f>F874*AE874</f>
        <v>0</v>
      </c>
      <c r="AN874" s="32">
        <f>F874*AF874</f>
        <v>0</v>
      </c>
      <c r="AO874" s="33" t="s">
        <v>85</v>
      </c>
      <c r="AP874" s="33" t="s">
        <v>79</v>
      </c>
      <c r="AQ874" s="21" t="s">
        <v>589</v>
      </c>
    </row>
    <row r="875" spans="1:43" x14ac:dyDescent="0.25">
      <c r="A875" s="26"/>
      <c r="B875" s="27" t="s">
        <v>587</v>
      </c>
      <c r="C875" s="27" t="s">
        <v>86</v>
      </c>
      <c r="D875" s="338" t="s">
        <v>87</v>
      </c>
      <c r="E875" s="339"/>
      <c r="F875" s="339"/>
      <c r="G875" s="339"/>
      <c r="H875" s="28">
        <f>SUM(H876:H876)</f>
        <v>0</v>
      </c>
      <c r="I875" s="28">
        <f>SUM(I876:I876)</f>
        <v>0</v>
      </c>
      <c r="J875" s="28">
        <f>H875+I875</f>
        <v>0</v>
      </c>
      <c r="K875" s="21"/>
      <c r="L875" s="28">
        <f>SUM(L876:L876)</f>
        <v>5.4000000000000001E-4</v>
      </c>
      <c r="M875" s="21"/>
      <c r="P875" s="28">
        <f>IF(Q875="PR",J875,SUM(O876:O876))</f>
        <v>0</v>
      </c>
      <c r="Q875" s="21" t="s">
        <v>75</v>
      </c>
      <c r="R875" s="28">
        <f>IF(Q875="HS",H875,0)</f>
        <v>0</v>
      </c>
      <c r="S875" s="28">
        <f>IF(Q875="HS",I875-P875,0)</f>
        <v>0</v>
      </c>
      <c r="T875" s="28">
        <f>IF(Q875="PS",H875,0)</f>
        <v>0</v>
      </c>
      <c r="U875" s="28">
        <f>IF(Q875="PS",I875-P875,0)</f>
        <v>0</v>
      </c>
      <c r="V875" s="28">
        <f>IF(Q875="MP",H875,0)</f>
        <v>0</v>
      </c>
      <c r="W875" s="28">
        <f>IF(Q875="MP",I875-P875,0)</f>
        <v>0</v>
      </c>
      <c r="X875" s="28">
        <f>IF(Q875="OM",H875,0)</f>
        <v>0</v>
      </c>
      <c r="Y875" s="21" t="s">
        <v>587</v>
      </c>
      <c r="AI875" s="28">
        <f>SUM(Z876:Z876)</f>
        <v>0</v>
      </c>
      <c r="AJ875" s="28">
        <f>SUM(AA876:AA876)</f>
        <v>0</v>
      </c>
      <c r="AK875" s="28">
        <f>SUM(AB876:AB876)</f>
        <v>0</v>
      </c>
    </row>
    <row r="876" spans="1:43" x14ac:dyDescent="0.25">
      <c r="A876" s="29" t="s">
        <v>594</v>
      </c>
      <c r="B876" s="29" t="s">
        <v>587</v>
      </c>
      <c r="C876" s="29" t="s">
        <v>89</v>
      </c>
      <c r="D876" s="29" t="s">
        <v>90</v>
      </c>
      <c r="E876" s="29" t="s">
        <v>58</v>
      </c>
      <c r="F876" s="30">
        <v>2</v>
      </c>
      <c r="G876" s="317">
        <v>0</v>
      </c>
      <c r="H876" s="30">
        <f>ROUND(F876*AE876,2)</f>
        <v>0</v>
      </c>
      <c r="I876" s="30">
        <f>J876-H876</f>
        <v>0</v>
      </c>
      <c r="J876" s="30">
        <f>ROUND(F876*G876,2)</f>
        <v>0</v>
      </c>
      <c r="K876" s="30">
        <v>2.7E-4</v>
      </c>
      <c r="L876" s="30">
        <f>F876*K876</f>
        <v>5.4000000000000001E-4</v>
      </c>
      <c r="M876" s="31" t="s">
        <v>2292</v>
      </c>
      <c r="N876" s="31" t="s">
        <v>59</v>
      </c>
      <c r="O876" s="30">
        <f>IF(N876="5",I876,0)</f>
        <v>0</v>
      </c>
      <c r="Z876" s="30">
        <f>IF(AD876=0,J876,0)</f>
        <v>0</v>
      </c>
      <c r="AA876" s="30">
        <f>IF(AD876=15,J876,0)</f>
        <v>0</v>
      </c>
      <c r="AB876" s="30">
        <f>IF(AD876=21,J876,0)</f>
        <v>0</v>
      </c>
      <c r="AD876" s="32">
        <v>21</v>
      </c>
      <c r="AE876" s="32">
        <f>G876*0.186098187625859</f>
        <v>0</v>
      </c>
      <c r="AF876" s="32">
        <f>G876*(1-0.186098187625859)</f>
        <v>0</v>
      </c>
      <c r="AM876" s="32">
        <f>F876*AE876</f>
        <v>0</v>
      </c>
      <c r="AN876" s="32">
        <f>F876*AF876</f>
        <v>0</v>
      </c>
      <c r="AO876" s="33" t="s">
        <v>91</v>
      </c>
      <c r="AP876" s="33" t="s">
        <v>92</v>
      </c>
      <c r="AQ876" s="21" t="s">
        <v>589</v>
      </c>
    </row>
    <row r="877" spans="1:43" x14ac:dyDescent="0.25">
      <c r="A877" s="26"/>
      <c r="B877" s="27" t="s">
        <v>587</v>
      </c>
      <c r="C877" s="27" t="s">
        <v>93</v>
      </c>
      <c r="D877" s="338" t="s">
        <v>94</v>
      </c>
      <c r="E877" s="339"/>
      <c r="F877" s="339"/>
      <c r="G877" s="339"/>
      <c r="H877" s="28">
        <f>SUM(H878:H878)</f>
        <v>0</v>
      </c>
      <c r="I877" s="28">
        <f>SUM(I878:I878)</f>
        <v>0</v>
      </c>
      <c r="J877" s="28">
        <f>H877+I877</f>
        <v>0</v>
      </c>
      <c r="K877" s="21"/>
      <c r="L877" s="28">
        <f>SUM(L878:L878)</f>
        <v>7.2812999999999989E-2</v>
      </c>
      <c r="M877" s="21"/>
      <c r="P877" s="28">
        <f>IF(Q877="PR",J877,SUM(O878:O878))</f>
        <v>0</v>
      </c>
      <c r="Q877" s="21" t="s">
        <v>75</v>
      </c>
      <c r="R877" s="28">
        <f>IF(Q877="HS",H877,0)</f>
        <v>0</v>
      </c>
      <c r="S877" s="28">
        <f>IF(Q877="HS",I877-P877,0)</f>
        <v>0</v>
      </c>
      <c r="T877" s="28">
        <f>IF(Q877="PS",H877,0)</f>
        <v>0</v>
      </c>
      <c r="U877" s="28">
        <f>IF(Q877="PS",I877-P877,0)</f>
        <v>0</v>
      </c>
      <c r="V877" s="28">
        <f>IF(Q877="MP",H877,0)</f>
        <v>0</v>
      </c>
      <c r="W877" s="28">
        <f>IF(Q877="MP",I877-P877,0)</f>
        <v>0</v>
      </c>
      <c r="X877" s="28">
        <f>IF(Q877="OM",H877,0)</f>
        <v>0</v>
      </c>
      <c r="Y877" s="21" t="s">
        <v>587</v>
      </c>
      <c r="AI877" s="28">
        <f>SUM(Z878:Z878)</f>
        <v>0</v>
      </c>
      <c r="AJ877" s="28">
        <f>SUM(AA878:AA878)</f>
        <v>0</v>
      </c>
      <c r="AK877" s="28">
        <f>SUM(AB878:AB878)</f>
        <v>0</v>
      </c>
    </row>
    <row r="878" spans="1:43" x14ac:dyDescent="0.25">
      <c r="A878" s="29" t="s">
        <v>595</v>
      </c>
      <c r="B878" s="29" t="s">
        <v>587</v>
      </c>
      <c r="C878" s="29" t="s">
        <v>96</v>
      </c>
      <c r="D878" s="29" t="s">
        <v>97</v>
      </c>
      <c r="E878" s="29" t="s">
        <v>58</v>
      </c>
      <c r="F878" s="30">
        <v>112.02</v>
      </c>
      <c r="G878" s="317">
        <v>0</v>
      </c>
      <c r="H878" s="30">
        <f>ROUND(F878*AE878,2)</f>
        <v>0</v>
      </c>
      <c r="I878" s="30">
        <f>J878-H878</f>
        <v>0</v>
      </c>
      <c r="J878" s="30">
        <f>ROUND(F878*G878,2)</f>
        <v>0</v>
      </c>
      <c r="K878" s="30">
        <v>6.4999999999999997E-4</v>
      </c>
      <c r="L878" s="30">
        <f>F878*K878</f>
        <v>7.2812999999999989E-2</v>
      </c>
      <c r="M878" s="31" t="s">
        <v>2292</v>
      </c>
      <c r="N878" s="31" t="s">
        <v>59</v>
      </c>
      <c r="O878" s="30">
        <f>IF(N878="5",I878,0)</f>
        <v>0</v>
      </c>
      <c r="Z878" s="30">
        <f>IF(AD878=0,J878,0)</f>
        <v>0</v>
      </c>
      <c r="AA878" s="30">
        <f>IF(AD878=15,J878,0)</f>
        <v>0</v>
      </c>
      <c r="AB878" s="30">
        <f>IF(AD878=21,J878,0)</f>
        <v>0</v>
      </c>
      <c r="AD878" s="32">
        <v>21</v>
      </c>
      <c r="AE878" s="32">
        <f>G878*0.333747476316198</f>
        <v>0</v>
      </c>
      <c r="AF878" s="32">
        <f>G878*(1-0.333747476316198)</f>
        <v>0</v>
      </c>
      <c r="AM878" s="32">
        <f>F878*AE878</f>
        <v>0</v>
      </c>
      <c r="AN878" s="32">
        <f>F878*AF878</f>
        <v>0</v>
      </c>
      <c r="AO878" s="33" t="s">
        <v>98</v>
      </c>
      <c r="AP878" s="33" t="s">
        <v>92</v>
      </c>
      <c r="AQ878" s="21" t="s">
        <v>589</v>
      </c>
    </row>
    <row r="879" spans="1:43" x14ac:dyDescent="0.25">
      <c r="A879" s="26"/>
      <c r="B879" s="27" t="s">
        <v>587</v>
      </c>
      <c r="C879" s="27" t="s">
        <v>99</v>
      </c>
      <c r="D879" s="338" t="s">
        <v>100</v>
      </c>
      <c r="E879" s="339"/>
      <c r="F879" s="339"/>
      <c r="G879" s="339"/>
      <c r="H879" s="28">
        <f>SUM(H880:H880)</f>
        <v>0</v>
      </c>
      <c r="I879" s="28">
        <f>SUM(I880:I880)</f>
        <v>0</v>
      </c>
      <c r="J879" s="28">
        <f>H879+I879</f>
        <v>0</v>
      </c>
      <c r="K879" s="21"/>
      <c r="L879" s="28">
        <f>SUM(L880:L880)</f>
        <v>0</v>
      </c>
      <c r="M879" s="21"/>
      <c r="P879" s="28">
        <f>IF(Q879="PR",J879,SUM(O880:O880))</f>
        <v>0</v>
      </c>
      <c r="Q879" s="21" t="s">
        <v>54</v>
      </c>
      <c r="R879" s="28">
        <f>IF(Q879="HS",H879,0)</f>
        <v>0</v>
      </c>
      <c r="S879" s="28">
        <f>IF(Q879="HS",I879-P879,0)</f>
        <v>0</v>
      </c>
      <c r="T879" s="28">
        <f>IF(Q879="PS",H879,0)</f>
        <v>0</v>
      </c>
      <c r="U879" s="28">
        <f>IF(Q879="PS",I879-P879,0)</f>
        <v>0</v>
      </c>
      <c r="V879" s="28">
        <f>IF(Q879="MP",H879,0)</f>
        <v>0</v>
      </c>
      <c r="W879" s="28">
        <f>IF(Q879="MP",I879-P879,0)</f>
        <v>0</v>
      </c>
      <c r="X879" s="28">
        <f>IF(Q879="OM",H879,0)</f>
        <v>0</v>
      </c>
      <c r="Y879" s="21" t="s">
        <v>587</v>
      </c>
      <c r="AI879" s="28">
        <f>SUM(Z880:Z880)</f>
        <v>0</v>
      </c>
      <c r="AJ879" s="28">
        <f>SUM(AA880:AA880)</f>
        <v>0</v>
      </c>
      <c r="AK879" s="28">
        <f>SUM(AB880:AB880)</f>
        <v>0</v>
      </c>
    </row>
    <row r="880" spans="1:43" x14ac:dyDescent="0.25">
      <c r="A880" s="29" t="s">
        <v>596</v>
      </c>
      <c r="B880" s="29" t="s">
        <v>587</v>
      </c>
      <c r="C880" s="29" t="s">
        <v>102</v>
      </c>
      <c r="D880" s="29" t="s">
        <v>103</v>
      </c>
      <c r="E880" s="29" t="s">
        <v>104</v>
      </c>
      <c r="F880" s="30">
        <v>4.8</v>
      </c>
      <c r="G880" s="317">
        <v>0</v>
      </c>
      <c r="H880" s="30">
        <f>ROUND(F880*AE880,2)</f>
        <v>0</v>
      </c>
      <c r="I880" s="30">
        <f>J880-H880</f>
        <v>0</v>
      </c>
      <c r="J880" s="30">
        <f>ROUND(F880*G880,2)</f>
        <v>0</v>
      </c>
      <c r="K880" s="30">
        <v>0</v>
      </c>
      <c r="L880" s="30">
        <f>F880*K880</f>
        <v>0</v>
      </c>
      <c r="M880" s="31" t="s">
        <v>2292</v>
      </c>
      <c r="N880" s="31" t="s">
        <v>55</v>
      </c>
      <c r="O880" s="30">
        <f>IF(N880="5",I880,0)</f>
        <v>0</v>
      </c>
      <c r="Z880" s="30">
        <f>IF(AD880=0,J880,0)</f>
        <v>0</v>
      </c>
      <c r="AA880" s="30">
        <f>IF(AD880=15,J880,0)</f>
        <v>0</v>
      </c>
      <c r="AB880" s="30">
        <f>IF(AD880=21,J880,0)</f>
        <v>0</v>
      </c>
      <c r="AD880" s="32">
        <v>21</v>
      </c>
      <c r="AE880" s="32">
        <f>G880*0</f>
        <v>0</v>
      </c>
      <c r="AF880" s="32">
        <f>G880*(1-0)</f>
        <v>0</v>
      </c>
      <c r="AM880" s="32">
        <f>F880*AE880</f>
        <v>0</v>
      </c>
      <c r="AN880" s="32">
        <f>F880*AF880</f>
        <v>0</v>
      </c>
      <c r="AO880" s="33" t="s">
        <v>105</v>
      </c>
      <c r="AP880" s="33" t="s">
        <v>106</v>
      </c>
      <c r="AQ880" s="21" t="s">
        <v>589</v>
      </c>
    </row>
    <row r="881" spans="1:43" x14ac:dyDescent="0.25">
      <c r="C881" s="34" t="s">
        <v>63</v>
      </c>
      <c r="D881" s="340" t="s">
        <v>107</v>
      </c>
      <c r="E881" s="341"/>
      <c r="F881" s="341"/>
      <c r="G881" s="341"/>
      <c r="H881" s="341"/>
      <c r="I881" s="341"/>
      <c r="J881" s="341"/>
      <c r="K881" s="341"/>
      <c r="L881" s="341"/>
      <c r="M881" s="341"/>
    </row>
    <row r="882" spans="1:43" x14ac:dyDescent="0.25">
      <c r="A882" s="26"/>
      <c r="B882" s="27" t="s">
        <v>597</v>
      </c>
      <c r="C882" s="27"/>
      <c r="D882" s="338" t="s">
        <v>597</v>
      </c>
      <c r="E882" s="339"/>
      <c r="F882" s="339"/>
      <c r="G882" s="339"/>
      <c r="H882" s="28">
        <f>H883+H885+H892+H894+H896+H899+H901+H906+H908+H910</f>
        <v>0</v>
      </c>
      <c r="I882" s="28">
        <f>I883+I885+I892+I894+I896+I899+I901+I906+I908+I910</f>
        <v>0</v>
      </c>
      <c r="J882" s="28">
        <f>H882+I882</f>
        <v>0</v>
      </c>
      <c r="K882" s="21"/>
      <c r="L882" s="28">
        <f>L883+L885+L892+L894+L896+L899+L901+L906+L908+L910</f>
        <v>4.5864047999999995</v>
      </c>
      <c r="M882" s="21"/>
    </row>
    <row r="883" spans="1:43" x14ac:dyDescent="0.25">
      <c r="A883" s="26"/>
      <c r="B883" s="27" t="s">
        <v>597</v>
      </c>
      <c r="C883" s="27" t="s">
        <v>166</v>
      </c>
      <c r="D883" s="338" t="s">
        <v>167</v>
      </c>
      <c r="E883" s="339"/>
      <c r="F883" s="339"/>
      <c r="G883" s="339"/>
      <c r="H883" s="28">
        <f>SUM(H884:H884)</f>
        <v>0</v>
      </c>
      <c r="I883" s="28">
        <f>SUM(I884:I884)</f>
        <v>0</v>
      </c>
      <c r="J883" s="28">
        <f>H883+I883</f>
        <v>0</v>
      </c>
      <c r="K883" s="21"/>
      <c r="L883" s="28">
        <f>SUM(L884:L884)</f>
        <v>5.04E-2</v>
      </c>
      <c r="M883" s="21"/>
      <c r="P883" s="28">
        <f>IF(Q883="PR",J883,SUM(O884:O884))</f>
        <v>0</v>
      </c>
      <c r="Q883" s="21" t="s">
        <v>54</v>
      </c>
      <c r="R883" s="28">
        <f>IF(Q883="HS",H883,0)</f>
        <v>0</v>
      </c>
      <c r="S883" s="28">
        <f>IF(Q883="HS",I883-P883,0)</f>
        <v>0</v>
      </c>
      <c r="T883" s="28">
        <f>IF(Q883="PS",H883,0)</f>
        <v>0</v>
      </c>
      <c r="U883" s="28">
        <f>IF(Q883="PS",I883-P883,0)</f>
        <v>0</v>
      </c>
      <c r="V883" s="28">
        <f>IF(Q883="MP",H883,0)</f>
        <v>0</v>
      </c>
      <c r="W883" s="28">
        <f>IF(Q883="MP",I883-P883,0)</f>
        <v>0</v>
      </c>
      <c r="X883" s="28">
        <f>IF(Q883="OM",H883,0)</f>
        <v>0</v>
      </c>
      <c r="Y883" s="21" t="s">
        <v>597</v>
      </c>
      <c r="AI883" s="28">
        <f>SUM(Z884:Z884)</f>
        <v>0</v>
      </c>
      <c r="AJ883" s="28">
        <f>SUM(AA884:AA884)</f>
        <v>0</v>
      </c>
      <c r="AK883" s="28">
        <f>SUM(AB884:AB884)</f>
        <v>0</v>
      </c>
    </row>
    <row r="884" spans="1:43" x14ac:dyDescent="0.25">
      <c r="A884" s="29" t="s">
        <v>598</v>
      </c>
      <c r="B884" s="29" t="s">
        <v>597</v>
      </c>
      <c r="C884" s="29" t="s">
        <v>169</v>
      </c>
      <c r="D884" s="29" t="s">
        <v>170</v>
      </c>
      <c r="E884" s="29" t="s">
        <v>58</v>
      </c>
      <c r="F884" s="30">
        <v>4.2</v>
      </c>
      <c r="G884" s="317">
        <v>0</v>
      </c>
      <c r="H884" s="30">
        <f>ROUND(F884*AE884,2)</f>
        <v>0</v>
      </c>
      <c r="I884" s="30">
        <f>J884-H884</f>
        <v>0</v>
      </c>
      <c r="J884" s="30">
        <f>ROUND(F884*G884,2)</f>
        <v>0</v>
      </c>
      <c r="K884" s="30">
        <v>1.2E-2</v>
      </c>
      <c r="L884" s="30">
        <f>F884*K884</f>
        <v>5.04E-2</v>
      </c>
      <c r="M884" s="31"/>
      <c r="N884" s="31" t="s">
        <v>55</v>
      </c>
      <c r="O884" s="30">
        <f>IF(N884="5",I884,0)</f>
        <v>0</v>
      </c>
      <c r="Z884" s="30">
        <f>IF(AD884=0,J884,0)</f>
        <v>0</v>
      </c>
      <c r="AA884" s="30">
        <f>IF(AD884=15,J884,0)</f>
        <v>0</v>
      </c>
      <c r="AB884" s="30">
        <f>IF(AD884=21,J884,0)</f>
        <v>0</v>
      </c>
      <c r="AD884" s="32">
        <v>21</v>
      </c>
      <c r="AE884" s="32">
        <f>G884*0.381443298969072</f>
        <v>0</v>
      </c>
      <c r="AF884" s="32">
        <f>G884*(1-0.381443298969072)</f>
        <v>0</v>
      </c>
      <c r="AM884" s="32">
        <f>F884*AE884</f>
        <v>0</v>
      </c>
      <c r="AN884" s="32">
        <f>F884*AF884</f>
        <v>0</v>
      </c>
      <c r="AO884" s="33" t="s">
        <v>171</v>
      </c>
      <c r="AP884" s="33" t="s">
        <v>171</v>
      </c>
      <c r="AQ884" s="21" t="s">
        <v>599</v>
      </c>
    </row>
    <row r="885" spans="1:43" x14ac:dyDescent="0.25">
      <c r="A885" s="26"/>
      <c r="B885" s="27" t="s">
        <v>597</v>
      </c>
      <c r="C885" s="27" t="s">
        <v>52</v>
      </c>
      <c r="D885" s="338" t="s">
        <v>53</v>
      </c>
      <c r="E885" s="339"/>
      <c r="F885" s="339"/>
      <c r="G885" s="339"/>
      <c r="H885" s="28">
        <f>SUM(H886:H890)</f>
        <v>0</v>
      </c>
      <c r="I885" s="28">
        <f>SUM(I886:I890)</f>
        <v>0</v>
      </c>
      <c r="J885" s="28">
        <f>H885+I885</f>
        <v>0</v>
      </c>
      <c r="K885" s="21"/>
      <c r="L885" s="28">
        <f>SUM(L886:L890)</f>
        <v>1.5459935999999999</v>
      </c>
      <c r="M885" s="21"/>
      <c r="P885" s="28">
        <f>IF(Q885="PR",J885,SUM(O886:O890))</f>
        <v>0</v>
      </c>
      <c r="Q885" s="21" t="s">
        <v>54</v>
      </c>
      <c r="R885" s="28">
        <f>IF(Q885="HS",H885,0)</f>
        <v>0</v>
      </c>
      <c r="S885" s="28">
        <f>IF(Q885="HS",I885-P885,0)</f>
        <v>0</v>
      </c>
      <c r="T885" s="28">
        <f>IF(Q885="PS",H885,0)</f>
        <v>0</v>
      </c>
      <c r="U885" s="28">
        <f>IF(Q885="PS",I885-P885,0)</f>
        <v>0</v>
      </c>
      <c r="V885" s="28">
        <f>IF(Q885="MP",H885,0)</f>
        <v>0</v>
      </c>
      <c r="W885" s="28">
        <f>IF(Q885="MP",I885-P885,0)</f>
        <v>0</v>
      </c>
      <c r="X885" s="28">
        <f>IF(Q885="OM",H885,0)</f>
        <v>0</v>
      </c>
      <c r="Y885" s="21" t="s">
        <v>597</v>
      </c>
      <c r="AI885" s="28">
        <f>SUM(Z886:Z890)</f>
        <v>0</v>
      </c>
      <c r="AJ885" s="28">
        <f>SUM(AA886:AA890)</f>
        <v>0</v>
      </c>
      <c r="AK885" s="28">
        <f>SUM(AB886:AB890)</f>
        <v>0</v>
      </c>
    </row>
    <row r="886" spans="1:43" x14ac:dyDescent="0.25">
      <c r="A886" s="29" t="s">
        <v>600</v>
      </c>
      <c r="B886" s="29" t="s">
        <v>597</v>
      </c>
      <c r="C886" s="29" t="s">
        <v>56</v>
      </c>
      <c r="D886" s="29" t="s">
        <v>57</v>
      </c>
      <c r="E886" s="29" t="s">
        <v>58</v>
      </c>
      <c r="F886" s="30">
        <v>66.66</v>
      </c>
      <c r="G886" s="317">
        <v>0</v>
      </c>
      <c r="H886" s="30">
        <f>ROUND(F886*AE886,2)</f>
        <v>0</v>
      </c>
      <c r="I886" s="30">
        <f>J886-H886</f>
        <v>0</v>
      </c>
      <c r="J886" s="30">
        <f>ROUND(F886*G886,2)</f>
        <v>0</v>
      </c>
      <c r="K886" s="30">
        <v>1.001E-2</v>
      </c>
      <c r="L886" s="30">
        <f>F886*K886</f>
        <v>0.66726659999999993</v>
      </c>
      <c r="M886" s="31" t="s">
        <v>2292</v>
      </c>
      <c r="N886" s="31" t="s">
        <v>59</v>
      </c>
      <c r="O886" s="30">
        <f>IF(N886="5",I886,0)</f>
        <v>0</v>
      </c>
      <c r="Z886" s="30">
        <f>IF(AD886=0,J886,0)</f>
        <v>0</v>
      </c>
      <c r="AA886" s="30">
        <f>IF(AD886=15,J886,0)</f>
        <v>0</v>
      </c>
      <c r="AB886" s="30">
        <f>IF(AD886=21,J886,0)</f>
        <v>0</v>
      </c>
      <c r="AD886" s="32">
        <v>21</v>
      </c>
      <c r="AE886" s="32">
        <f>G886*0.0756575801052128</f>
        <v>0</v>
      </c>
      <c r="AF886" s="32">
        <f>G886*(1-0.0756575801052128)</f>
        <v>0</v>
      </c>
      <c r="AM886" s="32">
        <f>F886*AE886</f>
        <v>0</v>
      </c>
      <c r="AN886" s="32">
        <f>F886*AF886</f>
        <v>0</v>
      </c>
      <c r="AO886" s="33" t="s">
        <v>60</v>
      </c>
      <c r="AP886" s="33" t="s">
        <v>61</v>
      </c>
      <c r="AQ886" s="21" t="s">
        <v>599</v>
      </c>
    </row>
    <row r="887" spans="1:43" ht="25.7" customHeight="1" x14ac:dyDescent="0.25">
      <c r="C887" s="34" t="s">
        <v>63</v>
      </c>
      <c r="D887" s="340" t="s">
        <v>64</v>
      </c>
      <c r="E887" s="341"/>
      <c r="F887" s="341"/>
      <c r="G887" s="341"/>
      <c r="H887" s="341"/>
      <c r="I887" s="341"/>
      <c r="J887" s="341"/>
      <c r="K887" s="341"/>
      <c r="L887" s="341"/>
      <c r="M887" s="341"/>
    </row>
    <row r="888" spans="1:43" x14ac:dyDescent="0.25">
      <c r="A888" s="29" t="s">
        <v>601</v>
      </c>
      <c r="B888" s="29" t="s">
        <v>597</v>
      </c>
      <c r="C888" s="29" t="s">
        <v>156</v>
      </c>
      <c r="D888" s="29" t="s">
        <v>2281</v>
      </c>
      <c r="E888" s="29" t="s">
        <v>58</v>
      </c>
      <c r="F888" s="30">
        <v>29.7</v>
      </c>
      <c r="G888" s="317">
        <v>0</v>
      </c>
      <c r="H888" s="30">
        <f>ROUND(F888*AE888,2)</f>
        <v>0</v>
      </c>
      <c r="I888" s="30">
        <f>J888-H888</f>
        <v>0</v>
      </c>
      <c r="J888" s="30">
        <f>ROUND(F888*G888,2)</f>
        <v>0</v>
      </c>
      <c r="K888" s="30">
        <v>2.0310000000000002E-2</v>
      </c>
      <c r="L888" s="30">
        <f>F888*K888</f>
        <v>0.60320700000000005</v>
      </c>
      <c r="M888" s="31" t="s">
        <v>2292</v>
      </c>
      <c r="N888" s="31" t="s">
        <v>55</v>
      </c>
      <c r="O888" s="30">
        <f>IF(N888="5",I888,0)</f>
        <v>0</v>
      </c>
      <c r="Z888" s="30">
        <f>IF(AD888=0,J888,0)</f>
        <v>0</v>
      </c>
      <c r="AA888" s="30">
        <f>IF(AD888=15,J888,0)</f>
        <v>0</v>
      </c>
      <c r="AB888" s="30">
        <f>IF(AD888=21,J888,0)</f>
        <v>0</v>
      </c>
      <c r="AD888" s="32">
        <v>21</v>
      </c>
      <c r="AE888" s="32">
        <f>G888*0.423217647685695</f>
        <v>0</v>
      </c>
      <c r="AF888" s="32">
        <f>G888*(1-0.423217647685695)</f>
        <v>0</v>
      </c>
      <c r="AM888" s="32">
        <f>F888*AE888</f>
        <v>0</v>
      </c>
      <c r="AN888" s="32">
        <f>F888*AF888</f>
        <v>0</v>
      </c>
      <c r="AO888" s="33" t="s">
        <v>60</v>
      </c>
      <c r="AP888" s="33" t="s">
        <v>61</v>
      </c>
      <c r="AQ888" s="21" t="s">
        <v>599</v>
      </c>
    </row>
    <row r="889" spans="1:43" ht="25.7" customHeight="1" x14ac:dyDescent="0.25">
      <c r="C889" s="34" t="s">
        <v>63</v>
      </c>
      <c r="D889" s="340" t="s">
        <v>157</v>
      </c>
      <c r="E889" s="341"/>
      <c r="F889" s="341"/>
      <c r="G889" s="341"/>
      <c r="H889" s="341"/>
      <c r="I889" s="341"/>
      <c r="J889" s="341"/>
      <c r="K889" s="341"/>
      <c r="L889" s="341"/>
      <c r="M889" s="341"/>
    </row>
    <row r="890" spans="1:43" x14ac:dyDescent="0.25">
      <c r="A890" s="29" t="s">
        <v>602</v>
      </c>
      <c r="B890" s="29" t="s">
        <v>597</v>
      </c>
      <c r="C890" s="29" t="s">
        <v>66</v>
      </c>
      <c r="D890" s="29" t="s">
        <v>67</v>
      </c>
      <c r="E890" s="29" t="s">
        <v>58</v>
      </c>
      <c r="F890" s="30">
        <v>28</v>
      </c>
      <c r="G890" s="317">
        <v>0</v>
      </c>
      <c r="H890" s="30">
        <f>ROUND(F890*AE890,2)</f>
        <v>0</v>
      </c>
      <c r="I890" s="30">
        <f>J890-H890</f>
        <v>0</v>
      </c>
      <c r="J890" s="30">
        <f>ROUND(F890*G890,2)</f>
        <v>0</v>
      </c>
      <c r="K890" s="30">
        <v>9.8399999999999998E-3</v>
      </c>
      <c r="L890" s="30">
        <f>F890*K890</f>
        <v>0.27551999999999999</v>
      </c>
      <c r="M890" s="31" t="s">
        <v>2292</v>
      </c>
      <c r="N890" s="31" t="s">
        <v>59</v>
      </c>
      <c r="O890" s="30">
        <f>IF(N890="5",I890,0)</f>
        <v>0</v>
      </c>
      <c r="Z890" s="30">
        <f>IF(AD890=0,J890,0)</f>
        <v>0</v>
      </c>
      <c r="AA890" s="30">
        <f>IF(AD890=15,J890,0)</f>
        <v>0</v>
      </c>
      <c r="AB890" s="30">
        <f>IF(AD890=21,J890,0)</f>
        <v>0</v>
      </c>
      <c r="AD890" s="32">
        <v>21</v>
      </c>
      <c r="AE890" s="32">
        <f>G890*0.160304682766381</f>
        <v>0</v>
      </c>
      <c r="AF890" s="32">
        <f>G890*(1-0.160304682766381)</f>
        <v>0</v>
      </c>
      <c r="AM890" s="32">
        <f>F890*AE890</f>
        <v>0</v>
      </c>
      <c r="AN890" s="32">
        <f>F890*AF890</f>
        <v>0</v>
      </c>
      <c r="AO890" s="33" t="s">
        <v>60</v>
      </c>
      <c r="AP890" s="33" t="s">
        <v>61</v>
      </c>
      <c r="AQ890" s="21" t="s">
        <v>599</v>
      </c>
    </row>
    <row r="891" spans="1:43" ht="25.7" customHeight="1" x14ac:dyDescent="0.25">
      <c r="C891" s="34" t="s">
        <v>63</v>
      </c>
      <c r="D891" s="340" t="s">
        <v>64</v>
      </c>
      <c r="E891" s="341"/>
      <c r="F891" s="341"/>
      <c r="G891" s="341"/>
      <c r="H891" s="341"/>
      <c r="I891" s="341"/>
      <c r="J891" s="341"/>
      <c r="K891" s="341"/>
      <c r="L891" s="341"/>
      <c r="M891" s="341"/>
    </row>
    <row r="892" spans="1:43" x14ac:dyDescent="0.25">
      <c r="A892" s="26"/>
      <c r="B892" s="27" t="s">
        <v>597</v>
      </c>
      <c r="C892" s="27" t="s">
        <v>68</v>
      </c>
      <c r="D892" s="338" t="s">
        <v>69</v>
      </c>
      <c r="E892" s="339"/>
      <c r="F892" s="339"/>
      <c r="G892" s="339"/>
      <c r="H892" s="28">
        <f>SUM(H893:H893)</f>
        <v>0</v>
      </c>
      <c r="I892" s="28">
        <f>SUM(I893:I893)</f>
        <v>0</v>
      </c>
      <c r="J892" s="28">
        <f>H892+I892</f>
        <v>0</v>
      </c>
      <c r="K892" s="21"/>
      <c r="L892" s="28">
        <f>SUM(L893:L893)</f>
        <v>1.6048480000000003</v>
      </c>
      <c r="M892" s="21"/>
      <c r="P892" s="28">
        <f>IF(Q892="PR",J892,SUM(O893:O893))</f>
        <v>0</v>
      </c>
      <c r="Q892" s="21" t="s">
        <v>54</v>
      </c>
      <c r="R892" s="28">
        <f>IF(Q892="HS",H892,0)</f>
        <v>0</v>
      </c>
      <c r="S892" s="28">
        <f>IF(Q892="HS",I892-P892,0)</f>
        <v>0</v>
      </c>
      <c r="T892" s="28">
        <f>IF(Q892="PS",H892,0)</f>
        <v>0</v>
      </c>
      <c r="U892" s="28">
        <f>IF(Q892="PS",I892-P892,0)</f>
        <v>0</v>
      </c>
      <c r="V892" s="28">
        <f>IF(Q892="MP",H892,0)</f>
        <v>0</v>
      </c>
      <c r="W892" s="28">
        <f>IF(Q892="MP",I892-P892,0)</f>
        <v>0</v>
      </c>
      <c r="X892" s="28">
        <f>IF(Q892="OM",H892,0)</f>
        <v>0</v>
      </c>
      <c r="Y892" s="21" t="s">
        <v>597</v>
      </c>
      <c r="AI892" s="28">
        <f>SUM(Z893:Z893)</f>
        <v>0</v>
      </c>
      <c r="AJ892" s="28">
        <f>SUM(AA893:AA893)</f>
        <v>0</v>
      </c>
      <c r="AK892" s="28">
        <f>SUM(AB893:AB893)</f>
        <v>0</v>
      </c>
    </row>
    <row r="893" spans="1:43" x14ac:dyDescent="0.25">
      <c r="A893" s="29" t="s">
        <v>603</v>
      </c>
      <c r="B893" s="29" t="s">
        <v>597</v>
      </c>
      <c r="C893" s="29" t="s">
        <v>70</v>
      </c>
      <c r="D893" s="29" t="s">
        <v>71</v>
      </c>
      <c r="E893" s="29" t="s">
        <v>58</v>
      </c>
      <c r="F893" s="30">
        <v>32.200000000000003</v>
      </c>
      <c r="G893" s="317">
        <v>0</v>
      </c>
      <c r="H893" s="30">
        <f>ROUND(F893*AE893,2)</f>
        <v>0</v>
      </c>
      <c r="I893" s="30">
        <f>J893-H893</f>
        <v>0</v>
      </c>
      <c r="J893" s="30">
        <f>ROUND(F893*G893,2)</f>
        <v>0</v>
      </c>
      <c r="K893" s="30">
        <v>4.9840000000000002E-2</v>
      </c>
      <c r="L893" s="30">
        <f>F893*K893</f>
        <v>1.6048480000000003</v>
      </c>
      <c r="M893" s="31" t="s">
        <v>2292</v>
      </c>
      <c r="N893" s="31" t="s">
        <v>59</v>
      </c>
      <c r="O893" s="30">
        <f>IF(N893="5",I893,0)</f>
        <v>0</v>
      </c>
      <c r="Z893" s="30">
        <f>IF(AD893=0,J893,0)</f>
        <v>0</v>
      </c>
      <c r="AA893" s="30">
        <f>IF(AD893=15,J893,0)</f>
        <v>0</v>
      </c>
      <c r="AB893" s="30">
        <f>IF(AD893=21,J893,0)</f>
        <v>0</v>
      </c>
      <c r="AD893" s="32">
        <v>21</v>
      </c>
      <c r="AE893" s="32">
        <f>G893*0.411768721414431</f>
        <v>0</v>
      </c>
      <c r="AF893" s="32">
        <f>G893*(1-0.411768721414431)</f>
        <v>0</v>
      </c>
      <c r="AM893" s="32">
        <f>F893*AE893</f>
        <v>0</v>
      </c>
      <c r="AN893" s="32">
        <f>F893*AF893</f>
        <v>0</v>
      </c>
      <c r="AO893" s="33" t="s">
        <v>72</v>
      </c>
      <c r="AP893" s="33" t="s">
        <v>61</v>
      </c>
      <c r="AQ893" s="21" t="s">
        <v>599</v>
      </c>
    </row>
    <row r="894" spans="1:43" x14ac:dyDescent="0.25">
      <c r="A894" s="26"/>
      <c r="B894" s="27" t="s">
        <v>597</v>
      </c>
      <c r="C894" s="27" t="s">
        <v>527</v>
      </c>
      <c r="D894" s="338" t="s">
        <v>528</v>
      </c>
      <c r="E894" s="339"/>
      <c r="F894" s="339"/>
      <c r="G894" s="339"/>
      <c r="H894" s="28">
        <f>SUM(H895:H895)</f>
        <v>0</v>
      </c>
      <c r="I894" s="28">
        <f>SUM(I895:I895)</f>
        <v>0</v>
      </c>
      <c r="J894" s="28">
        <f>H894+I894</f>
        <v>0</v>
      </c>
      <c r="K894" s="21"/>
      <c r="L894" s="28">
        <f>SUM(L895:L895)</f>
        <v>3.8280000000000002E-2</v>
      </c>
      <c r="M894" s="21"/>
      <c r="P894" s="28">
        <f>IF(Q894="PR",J894,SUM(O895:O895))</f>
        <v>0</v>
      </c>
      <c r="Q894" s="21" t="s">
        <v>75</v>
      </c>
      <c r="R894" s="28">
        <f>IF(Q894="HS",H894,0)</f>
        <v>0</v>
      </c>
      <c r="S894" s="28">
        <f>IF(Q894="HS",I894-P894,0)</f>
        <v>0</v>
      </c>
      <c r="T894" s="28">
        <f>IF(Q894="PS",H894,0)</f>
        <v>0</v>
      </c>
      <c r="U894" s="28">
        <f>IF(Q894="PS",I894-P894,0)</f>
        <v>0</v>
      </c>
      <c r="V894" s="28">
        <f>IF(Q894="MP",H894,0)</f>
        <v>0</v>
      </c>
      <c r="W894" s="28">
        <f>IF(Q894="MP",I894-P894,0)</f>
        <v>0</v>
      </c>
      <c r="X894" s="28">
        <f>IF(Q894="OM",H894,0)</f>
        <v>0</v>
      </c>
      <c r="Y894" s="21" t="s">
        <v>597</v>
      </c>
      <c r="AI894" s="28">
        <f>SUM(Z895:Z895)</f>
        <v>0</v>
      </c>
      <c r="AJ894" s="28">
        <f>SUM(AA895:AA895)</f>
        <v>0</v>
      </c>
      <c r="AK894" s="28">
        <f>SUM(AB895:AB895)</f>
        <v>0</v>
      </c>
    </row>
    <row r="895" spans="1:43" x14ac:dyDescent="0.25">
      <c r="A895" s="29" t="s">
        <v>604</v>
      </c>
      <c r="B895" s="29" t="s">
        <v>597</v>
      </c>
      <c r="C895" s="29" t="s">
        <v>530</v>
      </c>
      <c r="D895" s="29" t="s">
        <v>531</v>
      </c>
      <c r="E895" s="29" t="s">
        <v>113</v>
      </c>
      <c r="F895" s="30">
        <v>1</v>
      </c>
      <c r="G895" s="317">
        <v>0</v>
      </c>
      <c r="H895" s="30">
        <f>ROUND(F895*AE895,2)</f>
        <v>0</v>
      </c>
      <c r="I895" s="30">
        <f>J895-H895</f>
        <v>0</v>
      </c>
      <c r="J895" s="30">
        <f>ROUND(F895*G895,2)</f>
        <v>0</v>
      </c>
      <c r="K895" s="30">
        <v>3.8280000000000002E-2</v>
      </c>
      <c r="L895" s="30">
        <f>F895*K895</f>
        <v>3.8280000000000002E-2</v>
      </c>
      <c r="M895" s="31" t="s">
        <v>2292</v>
      </c>
      <c r="N895" s="31" t="s">
        <v>59</v>
      </c>
      <c r="O895" s="30">
        <f>IF(N895="5",I895,0)</f>
        <v>0</v>
      </c>
      <c r="Z895" s="30">
        <f>IF(AD895=0,J895,0)</f>
        <v>0</v>
      </c>
      <c r="AA895" s="30">
        <f>IF(AD895=15,J895,0)</f>
        <v>0</v>
      </c>
      <c r="AB895" s="30">
        <f>IF(AD895=21,J895,0)</f>
        <v>0</v>
      </c>
      <c r="AD895" s="32">
        <v>21</v>
      </c>
      <c r="AE895" s="32">
        <f>G895*0.877792075647468</f>
        <v>0</v>
      </c>
      <c r="AF895" s="32">
        <f>G895*(1-0.877792075647468)</f>
        <v>0</v>
      </c>
      <c r="AM895" s="32">
        <f>F895*AE895</f>
        <v>0</v>
      </c>
      <c r="AN895" s="32">
        <f>F895*AF895</f>
        <v>0</v>
      </c>
      <c r="AO895" s="33" t="s">
        <v>532</v>
      </c>
      <c r="AP895" s="33" t="s">
        <v>533</v>
      </c>
      <c r="AQ895" s="21" t="s">
        <v>599</v>
      </c>
    </row>
    <row r="896" spans="1:43" x14ac:dyDescent="0.25">
      <c r="A896" s="26"/>
      <c r="B896" s="27" t="s">
        <v>597</v>
      </c>
      <c r="C896" s="27" t="s">
        <v>73</v>
      </c>
      <c r="D896" s="338" t="s">
        <v>74</v>
      </c>
      <c r="E896" s="339"/>
      <c r="F896" s="339"/>
      <c r="G896" s="339"/>
      <c r="H896" s="28">
        <f>SUM(H897:H897)</f>
        <v>0</v>
      </c>
      <c r="I896" s="28">
        <f>SUM(I897:I897)</f>
        <v>0</v>
      </c>
      <c r="J896" s="28">
        <f>H896+I896</f>
        <v>0</v>
      </c>
      <c r="K896" s="21"/>
      <c r="L896" s="28">
        <f>SUM(L897:L897)</f>
        <v>0.51841999999999999</v>
      </c>
      <c r="M896" s="21"/>
      <c r="P896" s="28">
        <f>IF(Q896="PR",J896,SUM(O897:O897))</f>
        <v>0</v>
      </c>
      <c r="Q896" s="21" t="s">
        <v>75</v>
      </c>
      <c r="R896" s="28">
        <f>IF(Q896="HS",H896,0)</f>
        <v>0</v>
      </c>
      <c r="S896" s="28">
        <f>IF(Q896="HS",I896-P896,0)</f>
        <v>0</v>
      </c>
      <c r="T896" s="28">
        <f>IF(Q896="PS",H896,0)</f>
        <v>0</v>
      </c>
      <c r="U896" s="28">
        <f>IF(Q896="PS",I896-P896,0)</f>
        <v>0</v>
      </c>
      <c r="V896" s="28">
        <f>IF(Q896="MP",H896,0)</f>
        <v>0</v>
      </c>
      <c r="W896" s="28">
        <f>IF(Q896="MP",I896-P896,0)</f>
        <v>0</v>
      </c>
      <c r="X896" s="28">
        <f>IF(Q896="OM",H896,0)</f>
        <v>0</v>
      </c>
      <c r="Y896" s="21" t="s">
        <v>597</v>
      </c>
      <c r="AI896" s="28">
        <f>SUM(Z897:Z897)</f>
        <v>0</v>
      </c>
      <c r="AJ896" s="28">
        <f>SUM(AA897:AA897)</f>
        <v>0</v>
      </c>
      <c r="AK896" s="28">
        <f>SUM(AB897:AB897)</f>
        <v>0</v>
      </c>
    </row>
    <row r="897" spans="1:43" x14ac:dyDescent="0.25">
      <c r="A897" s="29" t="s">
        <v>605</v>
      </c>
      <c r="B897" s="29" t="s">
        <v>597</v>
      </c>
      <c r="C897" s="29" t="s">
        <v>77</v>
      </c>
      <c r="D897" s="29" t="s">
        <v>2278</v>
      </c>
      <c r="E897" s="29" t="s">
        <v>58</v>
      </c>
      <c r="F897" s="30">
        <v>32.200000000000003</v>
      </c>
      <c r="G897" s="317">
        <v>0</v>
      </c>
      <c r="H897" s="30">
        <f>ROUND(F897*AE897,2)</f>
        <v>0</v>
      </c>
      <c r="I897" s="30">
        <f>J897-H897</f>
        <v>0</v>
      </c>
      <c r="J897" s="30">
        <f>ROUND(F897*G897,2)</f>
        <v>0</v>
      </c>
      <c r="K897" s="30">
        <v>1.61E-2</v>
      </c>
      <c r="L897" s="30">
        <f>F897*K897</f>
        <v>0.51841999999999999</v>
      </c>
      <c r="M897" s="31" t="s">
        <v>2292</v>
      </c>
      <c r="N897" s="31" t="s">
        <v>59</v>
      </c>
      <c r="O897" s="30">
        <f>IF(N897="5",I897,0)</f>
        <v>0</v>
      </c>
      <c r="Z897" s="30">
        <f>IF(AD897=0,J897,0)</f>
        <v>0</v>
      </c>
      <c r="AA897" s="30">
        <f>IF(AD897=15,J897,0)</f>
        <v>0</v>
      </c>
      <c r="AB897" s="30">
        <f>IF(AD897=21,J897,0)</f>
        <v>0</v>
      </c>
      <c r="AD897" s="32">
        <v>21</v>
      </c>
      <c r="AE897" s="32">
        <f>G897*0.787221324717286</f>
        <v>0</v>
      </c>
      <c r="AF897" s="32">
        <f>G897*(1-0.787221324717286)</f>
        <v>0</v>
      </c>
      <c r="AM897" s="32">
        <f>F897*AE897</f>
        <v>0</v>
      </c>
      <c r="AN897" s="32">
        <f>F897*AF897</f>
        <v>0</v>
      </c>
      <c r="AO897" s="33" t="s">
        <v>78</v>
      </c>
      <c r="AP897" s="33" t="s">
        <v>79</v>
      </c>
      <c r="AQ897" s="21" t="s">
        <v>599</v>
      </c>
    </row>
    <row r="898" spans="1:43" ht="12.75" customHeight="1" x14ac:dyDescent="0.25">
      <c r="C898" s="34" t="s">
        <v>63</v>
      </c>
      <c r="D898" s="340" t="s">
        <v>2280</v>
      </c>
      <c r="E898" s="341"/>
      <c r="F898" s="341"/>
      <c r="G898" s="341"/>
      <c r="H898" s="341"/>
      <c r="I898" s="341"/>
      <c r="J898" s="341"/>
      <c r="K898" s="341"/>
      <c r="L898" s="341"/>
      <c r="M898" s="341"/>
    </row>
    <row r="899" spans="1:43" x14ac:dyDescent="0.25">
      <c r="A899" s="26"/>
      <c r="B899" s="27" t="s">
        <v>597</v>
      </c>
      <c r="C899" s="27" t="s">
        <v>80</v>
      </c>
      <c r="D899" s="338" t="s">
        <v>81</v>
      </c>
      <c r="E899" s="339"/>
      <c r="F899" s="339"/>
      <c r="G899" s="339"/>
      <c r="H899" s="28">
        <f>SUM(H900:H900)</f>
        <v>0</v>
      </c>
      <c r="I899" s="28">
        <f>SUM(I900:I900)</f>
        <v>0</v>
      </c>
      <c r="J899" s="28">
        <f>H899+I899</f>
        <v>0</v>
      </c>
      <c r="K899" s="21"/>
      <c r="L899" s="28">
        <f>SUM(L900:L900)</f>
        <v>0.11408600000000001</v>
      </c>
      <c r="M899" s="21"/>
      <c r="P899" s="28">
        <f>IF(Q899="PR",J899,SUM(O900:O900))</f>
        <v>0</v>
      </c>
      <c r="Q899" s="21" t="s">
        <v>75</v>
      </c>
      <c r="R899" s="28">
        <f>IF(Q899="HS",H899,0)</f>
        <v>0</v>
      </c>
      <c r="S899" s="28">
        <f>IF(Q899="HS",I899-P899,0)</f>
        <v>0</v>
      </c>
      <c r="T899" s="28">
        <f>IF(Q899="PS",H899,0)</f>
        <v>0</v>
      </c>
      <c r="U899" s="28">
        <f>IF(Q899="PS",I899-P899,0)</f>
        <v>0</v>
      </c>
      <c r="V899" s="28">
        <f>IF(Q899="MP",H899,0)</f>
        <v>0</v>
      </c>
      <c r="W899" s="28">
        <f>IF(Q899="MP",I899-P899,0)</f>
        <v>0</v>
      </c>
      <c r="X899" s="28">
        <f>IF(Q899="OM",H899,0)</f>
        <v>0</v>
      </c>
      <c r="Y899" s="21" t="s">
        <v>597</v>
      </c>
      <c r="AI899" s="28">
        <f>SUM(Z900:Z900)</f>
        <v>0</v>
      </c>
      <c r="AJ899" s="28">
        <f>SUM(AA900:AA900)</f>
        <v>0</v>
      </c>
      <c r="AK899" s="28">
        <f>SUM(AB900:AB900)</f>
        <v>0</v>
      </c>
    </row>
    <row r="900" spans="1:43" x14ac:dyDescent="0.25">
      <c r="A900" s="29" t="s">
        <v>606</v>
      </c>
      <c r="B900" s="29" t="s">
        <v>597</v>
      </c>
      <c r="C900" s="29" t="s">
        <v>83</v>
      </c>
      <c r="D900" s="29" t="s">
        <v>84</v>
      </c>
      <c r="E900" s="29" t="s">
        <v>58</v>
      </c>
      <c r="F900" s="30">
        <v>28.1</v>
      </c>
      <c r="G900" s="317">
        <v>0</v>
      </c>
      <c r="H900" s="30">
        <f>ROUND(F900*AE900,2)</f>
        <v>0</v>
      </c>
      <c r="I900" s="30">
        <f>J900-H900</f>
        <v>0</v>
      </c>
      <c r="J900" s="30">
        <f>ROUND(F900*G900,2)</f>
        <v>0</v>
      </c>
      <c r="K900" s="30">
        <v>4.0600000000000002E-3</v>
      </c>
      <c r="L900" s="30">
        <f>F900*K900</f>
        <v>0.11408600000000001</v>
      </c>
      <c r="M900" s="31" t="s">
        <v>2292</v>
      </c>
      <c r="N900" s="31" t="s">
        <v>59</v>
      </c>
      <c r="O900" s="30">
        <f>IF(N900="5",I900,0)</f>
        <v>0</v>
      </c>
      <c r="Z900" s="30">
        <f>IF(AD900=0,J900,0)</f>
        <v>0</v>
      </c>
      <c r="AA900" s="30">
        <f>IF(AD900=15,J900,0)</f>
        <v>0</v>
      </c>
      <c r="AB900" s="30">
        <f>IF(AD900=21,J900,0)</f>
        <v>0</v>
      </c>
      <c r="AD900" s="32">
        <v>21</v>
      </c>
      <c r="AE900" s="32">
        <f>G900*0.67230605738576</f>
        <v>0</v>
      </c>
      <c r="AF900" s="32">
        <f>G900*(1-0.67230605738576)</f>
        <v>0</v>
      </c>
      <c r="AM900" s="32">
        <f>F900*AE900</f>
        <v>0</v>
      </c>
      <c r="AN900" s="32">
        <f>F900*AF900</f>
        <v>0</v>
      </c>
      <c r="AO900" s="33" t="s">
        <v>85</v>
      </c>
      <c r="AP900" s="33" t="s">
        <v>79</v>
      </c>
      <c r="AQ900" s="21" t="s">
        <v>599</v>
      </c>
    </row>
    <row r="901" spans="1:43" x14ac:dyDescent="0.25">
      <c r="A901" s="26"/>
      <c r="B901" s="27" t="s">
        <v>597</v>
      </c>
      <c r="C901" s="27" t="s">
        <v>189</v>
      </c>
      <c r="D901" s="338" t="s">
        <v>190</v>
      </c>
      <c r="E901" s="339"/>
      <c r="F901" s="339"/>
      <c r="G901" s="339"/>
      <c r="H901" s="28">
        <f>SUM(H902:H904)</f>
        <v>0</v>
      </c>
      <c r="I901" s="28">
        <f>SUM(I902:I904)</f>
        <v>0</v>
      </c>
      <c r="J901" s="28">
        <f>H901+I901</f>
        <v>0</v>
      </c>
      <c r="K901" s="21"/>
      <c r="L901" s="28">
        <f>SUM(L902:L904)</f>
        <v>0.6445012</v>
      </c>
      <c r="M901" s="21"/>
      <c r="P901" s="28">
        <f>IF(Q901="PR",J901,SUM(O902:O904))</f>
        <v>0</v>
      </c>
      <c r="Q901" s="21" t="s">
        <v>75</v>
      </c>
      <c r="R901" s="28">
        <f>IF(Q901="HS",H901,0)</f>
        <v>0</v>
      </c>
      <c r="S901" s="28">
        <f>IF(Q901="HS",I901-P901,0)</f>
        <v>0</v>
      </c>
      <c r="T901" s="28">
        <f>IF(Q901="PS",H901,0)</f>
        <v>0</v>
      </c>
      <c r="U901" s="28">
        <f>IF(Q901="PS",I901-P901,0)</f>
        <v>0</v>
      </c>
      <c r="V901" s="28">
        <f>IF(Q901="MP",H901,0)</f>
        <v>0</v>
      </c>
      <c r="W901" s="28">
        <f>IF(Q901="MP",I901-P901,0)</f>
        <v>0</v>
      </c>
      <c r="X901" s="28">
        <f>IF(Q901="OM",H901,0)</f>
        <v>0</v>
      </c>
      <c r="Y901" s="21" t="s">
        <v>597</v>
      </c>
      <c r="AI901" s="28">
        <f>SUM(Z902:Z904)</f>
        <v>0</v>
      </c>
      <c r="AJ901" s="28">
        <f>SUM(AA902:AA904)</f>
        <v>0</v>
      </c>
      <c r="AK901" s="28">
        <f>SUM(AB902:AB904)</f>
        <v>0</v>
      </c>
    </row>
    <row r="902" spans="1:43" x14ac:dyDescent="0.25">
      <c r="A902" s="29" t="s">
        <v>607</v>
      </c>
      <c r="B902" s="29" t="s">
        <v>597</v>
      </c>
      <c r="C902" s="29" t="s">
        <v>444</v>
      </c>
      <c r="D902" s="29" t="s">
        <v>2287</v>
      </c>
      <c r="E902" s="29" t="s">
        <v>58</v>
      </c>
      <c r="F902" s="30">
        <v>24.08</v>
      </c>
      <c r="G902" s="317">
        <v>0</v>
      </c>
      <c r="H902" s="30">
        <f>ROUND(F902*AE902,2)</f>
        <v>0</v>
      </c>
      <c r="I902" s="30">
        <f>J902-H902</f>
        <v>0</v>
      </c>
      <c r="J902" s="30">
        <f>ROUND(F902*G902,2)</f>
        <v>0</v>
      </c>
      <c r="K902" s="30">
        <v>2.2790000000000001E-2</v>
      </c>
      <c r="L902" s="30">
        <f>F902*K902</f>
        <v>0.54878320000000003</v>
      </c>
      <c r="M902" s="31" t="s">
        <v>2292</v>
      </c>
      <c r="N902" s="31" t="s">
        <v>59</v>
      </c>
      <c r="O902" s="30">
        <f>IF(N902="5",I902,0)</f>
        <v>0</v>
      </c>
      <c r="Z902" s="30">
        <f>IF(AD902=0,J902,0)</f>
        <v>0</v>
      </c>
      <c r="AA902" s="30">
        <f>IF(AD902=15,J902,0)</f>
        <v>0</v>
      </c>
      <c r="AB902" s="30">
        <f>IF(AD902=21,J902,0)</f>
        <v>0</v>
      </c>
      <c r="AD902" s="32">
        <v>21</v>
      </c>
      <c r="AE902" s="32">
        <f>G902*0.579484228260688</f>
        <v>0</v>
      </c>
      <c r="AF902" s="32">
        <f>G902*(1-0.579484228260688)</f>
        <v>0</v>
      </c>
      <c r="AM902" s="32">
        <f>F902*AE902</f>
        <v>0</v>
      </c>
      <c r="AN902" s="32">
        <f>F902*AF902</f>
        <v>0</v>
      </c>
      <c r="AO902" s="33" t="s">
        <v>194</v>
      </c>
      <c r="AP902" s="33" t="s">
        <v>92</v>
      </c>
      <c r="AQ902" s="21" t="s">
        <v>599</v>
      </c>
    </row>
    <row r="903" spans="1:43" ht="25.7" customHeight="1" x14ac:dyDescent="0.25">
      <c r="C903" s="34" t="s">
        <v>63</v>
      </c>
      <c r="D903" s="340" t="s">
        <v>2284</v>
      </c>
      <c r="E903" s="341"/>
      <c r="F903" s="341"/>
      <c r="G903" s="341"/>
      <c r="H903" s="341"/>
      <c r="I903" s="341"/>
      <c r="J903" s="341"/>
      <c r="K903" s="341"/>
      <c r="L903" s="341"/>
      <c r="M903" s="341"/>
    </row>
    <row r="904" spans="1:43" x14ac:dyDescent="0.25">
      <c r="A904" s="29" t="s">
        <v>608</v>
      </c>
      <c r="B904" s="29" t="s">
        <v>597</v>
      </c>
      <c r="C904" s="29" t="s">
        <v>444</v>
      </c>
      <c r="D904" s="29" t="s">
        <v>2290</v>
      </c>
      <c r="E904" s="29" t="s">
        <v>58</v>
      </c>
      <c r="F904" s="30">
        <v>4.2</v>
      </c>
      <c r="G904" s="317">
        <v>0</v>
      </c>
      <c r="H904" s="30">
        <f>ROUND(F904*AE904,2)</f>
        <v>0</v>
      </c>
      <c r="I904" s="30">
        <f>J904-H904</f>
        <v>0</v>
      </c>
      <c r="J904" s="30">
        <f>ROUND(F904*G904,2)</f>
        <v>0</v>
      </c>
      <c r="K904" s="30">
        <v>2.2790000000000001E-2</v>
      </c>
      <c r="L904" s="30">
        <f>F904*K904</f>
        <v>9.5718000000000011E-2</v>
      </c>
      <c r="M904" s="31" t="s">
        <v>2292</v>
      </c>
      <c r="N904" s="31" t="s">
        <v>59</v>
      </c>
      <c r="O904" s="30">
        <f>IF(N904="5",I904,0)</f>
        <v>0</v>
      </c>
      <c r="Z904" s="30">
        <f>IF(AD904=0,J904,0)</f>
        <v>0</v>
      </c>
      <c r="AA904" s="30">
        <f>IF(AD904=15,J904,0)</f>
        <v>0</v>
      </c>
      <c r="AB904" s="30">
        <f>IF(AD904=21,J904,0)</f>
        <v>0</v>
      </c>
      <c r="AD904" s="32">
        <v>21</v>
      </c>
      <c r="AE904" s="32">
        <f>G904*0.579484228260688</f>
        <v>0</v>
      </c>
      <c r="AF904" s="32">
        <f>G904*(1-0.579484228260688)</f>
        <v>0</v>
      </c>
      <c r="AM904" s="32">
        <f>F904*AE904</f>
        <v>0</v>
      </c>
      <c r="AN904" s="32">
        <f>F904*AF904</f>
        <v>0</v>
      </c>
      <c r="AO904" s="33" t="s">
        <v>194</v>
      </c>
      <c r="AP904" s="33" t="s">
        <v>92</v>
      </c>
      <c r="AQ904" s="21" t="s">
        <v>599</v>
      </c>
    </row>
    <row r="905" spans="1:43" ht="25.7" customHeight="1" x14ac:dyDescent="0.25">
      <c r="C905" s="34" t="s">
        <v>63</v>
      </c>
      <c r="D905" s="340" t="s">
        <v>2284</v>
      </c>
      <c r="E905" s="341"/>
      <c r="F905" s="341"/>
      <c r="G905" s="341"/>
      <c r="H905" s="341"/>
      <c r="I905" s="341"/>
      <c r="J905" s="341"/>
      <c r="K905" s="341"/>
      <c r="L905" s="341"/>
      <c r="M905" s="341"/>
    </row>
    <row r="906" spans="1:43" x14ac:dyDescent="0.25">
      <c r="A906" s="26"/>
      <c r="B906" s="27" t="s">
        <v>597</v>
      </c>
      <c r="C906" s="27" t="s">
        <v>86</v>
      </c>
      <c r="D906" s="338" t="s">
        <v>87</v>
      </c>
      <c r="E906" s="339"/>
      <c r="F906" s="339"/>
      <c r="G906" s="339"/>
      <c r="H906" s="28">
        <f>SUM(H907:H907)</f>
        <v>0</v>
      </c>
      <c r="I906" s="28">
        <f>SUM(I907:I907)</f>
        <v>0</v>
      </c>
      <c r="J906" s="28">
        <f>H906+I906</f>
        <v>0</v>
      </c>
      <c r="K906" s="21"/>
      <c r="L906" s="28">
        <f>SUM(L907:L907)</f>
        <v>1.08E-3</v>
      </c>
      <c r="M906" s="21"/>
      <c r="P906" s="28">
        <f>IF(Q906="PR",J906,SUM(O907:O907))</f>
        <v>0</v>
      </c>
      <c r="Q906" s="21" t="s">
        <v>75</v>
      </c>
      <c r="R906" s="28">
        <f>IF(Q906="HS",H906,0)</f>
        <v>0</v>
      </c>
      <c r="S906" s="28">
        <f>IF(Q906="HS",I906-P906,0)</f>
        <v>0</v>
      </c>
      <c r="T906" s="28">
        <f>IF(Q906="PS",H906,0)</f>
        <v>0</v>
      </c>
      <c r="U906" s="28">
        <f>IF(Q906="PS",I906-P906,0)</f>
        <v>0</v>
      </c>
      <c r="V906" s="28">
        <f>IF(Q906="MP",H906,0)</f>
        <v>0</v>
      </c>
      <c r="W906" s="28">
        <f>IF(Q906="MP",I906-P906,0)</f>
        <v>0</v>
      </c>
      <c r="X906" s="28">
        <f>IF(Q906="OM",H906,0)</f>
        <v>0</v>
      </c>
      <c r="Y906" s="21" t="s">
        <v>597</v>
      </c>
      <c r="AI906" s="28">
        <f>SUM(Z907:Z907)</f>
        <v>0</v>
      </c>
      <c r="AJ906" s="28">
        <f>SUM(AA907:AA907)</f>
        <v>0</v>
      </c>
      <c r="AK906" s="28">
        <f>SUM(AB907:AB907)</f>
        <v>0</v>
      </c>
    </row>
    <row r="907" spans="1:43" x14ac:dyDescent="0.25">
      <c r="A907" s="29" t="s">
        <v>609</v>
      </c>
      <c r="B907" s="29" t="s">
        <v>597</v>
      </c>
      <c r="C907" s="29" t="s">
        <v>89</v>
      </c>
      <c r="D907" s="29" t="s">
        <v>90</v>
      </c>
      <c r="E907" s="29" t="s">
        <v>58</v>
      </c>
      <c r="F907" s="30">
        <v>4</v>
      </c>
      <c r="G907" s="317">
        <v>0</v>
      </c>
      <c r="H907" s="30">
        <f>ROUND(F907*AE907,2)</f>
        <v>0</v>
      </c>
      <c r="I907" s="30">
        <f>J907-H907</f>
        <v>0</v>
      </c>
      <c r="J907" s="30">
        <f>ROUND(F907*G907,2)</f>
        <v>0</v>
      </c>
      <c r="K907" s="30">
        <v>2.7E-4</v>
      </c>
      <c r="L907" s="30">
        <f>F907*K907</f>
        <v>1.08E-3</v>
      </c>
      <c r="M907" s="31" t="s">
        <v>2292</v>
      </c>
      <c r="N907" s="31" t="s">
        <v>59</v>
      </c>
      <c r="O907" s="30">
        <f>IF(N907="5",I907,0)</f>
        <v>0</v>
      </c>
      <c r="Z907" s="30">
        <f>IF(AD907=0,J907,0)</f>
        <v>0</v>
      </c>
      <c r="AA907" s="30">
        <f>IF(AD907=15,J907,0)</f>
        <v>0</v>
      </c>
      <c r="AB907" s="30">
        <f>IF(AD907=21,J907,0)</f>
        <v>0</v>
      </c>
      <c r="AD907" s="32">
        <v>21</v>
      </c>
      <c r="AE907" s="32">
        <f>G907*0.186098187625859</f>
        <v>0</v>
      </c>
      <c r="AF907" s="32">
        <f>G907*(1-0.186098187625859)</f>
        <v>0</v>
      </c>
      <c r="AM907" s="32">
        <f>F907*AE907</f>
        <v>0</v>
      </c>
      <c r="AN907" s="32">
        <f>F907*AF907</f>
        <v>0</v>
      </c>
      <c r="AO907" s="33" t="s">
        <v>91</v>
      </c>
      <c r="AP907" s="33" t="s">
        <v>92</v>
      </c>
      <c r="AQ907" s="21" t="s">
        <v>599</v>
      </c>
    </row>
    <row r="908" spans="1:43" x14ac:dyDescent="0.25">
      <c r="A908" s="26"/>
      <c r="B908" s="27" t="s">
        <v>597</v>
      </c>
      <c r="C908" s="27" t="s">
        <v>93</v>
      </c>
      <c r="D908" s="338" t="s">
        <v>94</v>
      </c>
      <c r="E908" s="339"/>
      <c r="F908" s="339"/>
      <c r="G908" s="339"/>
      <c r="H908" s="28">
        <f>SUM(H909:H909)</f>
        <v>0</v>
      </c>
      <c r="I908" s="28">
        <f>SUM(I909:I909)</f>
        <v>0</v>
      </c>
      <c r="J908" s="28">
        <f>H908+I908</f>
        <v>0</v>
      </c>
      <c r="K908" s="21"/>
      <c r="L908" s="28">
        <f>SUM(L909:L909)</f>
        <v>6.8795999999999996E-2</v>
      </c>
      <c r="M908" s="21"/>
      <c r="P908" s="28">
        <f>IF(Q908="PR",J908,SUM(O909:O909))</f>
        <v>0</v>
      </c>
      <c r="Q908" s="21" t="s">
        <v>75</v>
      </c>
      <c r="R908" s="28">
        <f>IF(Q908="HS",H908,0)</f>
        <v>0</v>
      </c>
      <c r="S908" s="28">
        <f>IF(Q908="HS",I908-P908,0)</f>
        <v>0</v>
      </c>
      <c r="T908" s="28">
        <f>IF(Q908="PS",H908,0)</f>
        <v>0</v>
      </c>
      <c r="U908" s="28">
        <f>IF(Q908="PS",I908-P908,0)</f>
        <v>0</v>
      </c>
      <c r="V908" s="28">
        <f>IF(Q908="MP",H908,0)</f>
        <v>0</v>
      </c>
      <c r="W908" s="28">
        <f>IF(Q908="MP",I908-P908,0)</f>
        <v>0</v>
      </c>
      <c r="X908" s="28">
        <f>IF(Q908="OM",H908,0)</f>
        <v>0</v>
      </c>
      <c r="Y908" s="21" t="s">
        <v>597</v>
      </c>
      <c r="AI908" s="28">
        <f>SUM(Z909:Z909)</f>
        <v>0</v>
      </c>
      <c r="AJ908" s="28">
        <f>SUM(AA909:AA909)</f>
        <v>0</v>
      </c>
      <c r="AK908" s="28">
        <f>SUM(AB909:AB909)</f>
        <v>0</v>
      </c>
    </row>
    <row r="909" spans="1:43" x14ac:dyDescent="0.25">
      <c r="A909" s="29" t="s">
        <v>610</v>
      </c>
      <c r="B909" s="29" t="s">
        <v>597</v>
      </c>
      <c r="C909" s="29" t="s">
        <v>96</v>
      </c>
      <c r="D909" s="29" t="s">
        <v>97</v>
      </c>
      <c r="E909" s="29" t="s">
        <v>58</v>
      </c>
      <c r="F909" s="30">
        <v>105.84</v>
      </c>
      <c r="G909" s="317">
        <v>0</v>
      </c>
      <c r="H909" s="30">
        <f>ROUND(F909*AE909,2)</f>
        <v>0</v>
      </c>
      <c r="I909" s="30">
        <f>J909-H909</f>
        <v>0</v>
      </c>
      <c r="J909" s="30">
        <f>ROUND(F909*G909,2)</f>
        <v>0</v>
      </c>
      <c r="K909" s="30">
        <v>6.4999999999999997E-4</v>
      </c>
      <c r="L909" s="30">
        <f>F909*K909</f>
        <v>6.8795999999999996E-2</v>
      </c>
      <c r="M909" s="31" t="s">
        <v>2292</v>
      </c>
      <c r="N909" s="31" t="s">
        <v>59</v>
      </c>
      <c r="O909" s="30">
        <f>IF(N909="5",I909,0)</f>
        <v>0</v>
      </c>
      <c r="Z909" s="30">
        <f>IF(AD909=0,J909,0)</f>
        <v>0</v>
      </c>
      <c r="AA909" s="30">
        <f>IF(AD909=15,J909,0)</f>
        <v>0</v>
      </c>
      <c r="AB909" s="30">
        <f>IF(AD909=21,J909,0)</f>
        <v>0</v>
      </c>
      <c r="AD909" s="32">
        <v>21</v>
      </c>
      <c r="AE909" s="32">
        <f>G909*0.333747476316198</f>
        <v>0</v>
      </c>
      <c r="AF909" s="32">
        <f>G909*(1-0.333747476316198)</f>
        <v>0</v>
      </c>
      <c r="AM909" s="32">
        <f>F909*AE909</f>
        <v>0</v>
      </c>
      <c r="AN909" s="32">
        <f>F909*AF909</f>
        <v>0</v>
      </c>
      <c r="AO909" s="33" t="s">
        <v>98</v>
      </c>
      <c r="AP909" s="33" t="s">
        <v>92</v>
      </c>
      <c r="AQ909" s="21" t="s">
        <v>599</v>
      </c>
    </row>
    <row r="910" spans="1:43" x14ac:dyDescent="0.25">
      <c r="A910" s="26"/>
      <c r="B910" s="27" t="s">
        <v>597</v>
      </c>
      <c r="C910" s="27" t="s">
        <v>99</v>
      </c>
      <c r="D910" s="338" t="s">
        <v>100</v>
      </c>
      <c r="E910" s="339"/>
      <c r="F910" s="339"/>
      <c r="G910" s="339"/>
      <c r="H910" s="28">
        <f>SUM(H911:H911)</f>
        <v>0</v>
      </c>
      <c r="I910" s="28">
        <f>SUM(I911:I911)</f>
        <v>0</v>
      </c>
      <c r="J910" s="28">
        <f>H910+I910</f>
        <v>0</v>
      </c>
      <c r="K910" s="21"/>
      <c r="L910" s="28">
        <f>SUM(L911:L911)</f>
        <v>0</v>
      </c>
      <c r="M910" s="21"/>
      <c r="P910" s="28">
        <f>IF(Q910="PR",J910,SUM(O911:O911))</f>
        <v>0</v>
      </c>
      <c r="Q910" s="21" t="s">
        <v>54</v>
      </c>
      <c r="R910" s="28">
        <f>IF(Q910="HS",H910,0)</f>
        <v>0</v>
      </c>
      <c r="S910" s="28">
        <f>IF(Q910="HS",I910-P910,0)</f>
        <v>0</v>
      </c>
      <c r="T910" s="28">
        <f>IF(Q910="PS",H910,0)</f>
        <v>0</v>
      </c>
      <c r="U910" s="28">
        <f>IF(Q910="PS",I910-P910,0)</f>
        <v>0</v>
      </c>
      <c r="V910" s="28">
        <f>IF(Q910="MP",H910,0)</f>
        <v>0</v>
      </c>
      <c r="W910" s="28">
        <f>IF(Q910="MP",I910-P910,0)</f>
        <v>0</v>
      </c>
      <c r="X910" s="28">
        <f>IF(Q910="OM",H910,0)</f>
        <v>0</v>
      </c>
      <c r="Y910" s="21" t="s">
        <v>597</v>
      </c>
      <c r="AI910" s="28">
        <f>SUM(Z911:Z911)</f>
        <v>0</v>
      </c>
      <c r="AJ910" s="28">
        <f>SUM(AA911:AA911)</f>
        <v>0</v>
      </c>
      <c r="AK910" s="28">
        <f>SUM(AB911:AB911)</f>
        <v>0</v>
      </c>
    </row>
    <row r="911" spans="1:43" x14ac:dyDescent="0.25">
      <c r="A911" s="29" t="s">
        <v>611</v>
      </c>
      <c r="B911" s="29" t="s">
        <v>597</v>
      </c>
      <c r="C911" s="29" t="s">
        <v>102</v>
      </c>
      <c r="D911" s="29" t="s">
        <v>103</v>
      </c>
      <c r="E911" s="29" t="s">
        <v>104</v>
      </c>
      <c r="F911" s="30">
        <v>3.6</v>
      </c>
      <c r="G911" s="317">
        <v>0</v>
      </c>
      <c r="H911" s="30">
        <f>ROUND(F911*AE911,2)</f>
        <v>0</v>
      </c>
      <c r="I911" s="30">
        <f>J911-H911</f>
        <v>0</v>
      </c>
      <c r="J911" s="30">
        <f>ROUND(F911*G911,2)</f>
        <v>0</v>
      </c>
      <c r="K911" s="30">
        <v>0</v>
      </c>
      <c r="L911" s="30">
        <f>F911*K911</f>
        <v>0</v>
      </c>
      <c r="M911" s="31" t="s">
        <v>2292</v>
      </c>
      <c r="N911" s="31" t="s">
        <v>55</v>
      </c>
      <c r="O911" s="30">
        <f>IF(N911="5",I911,0)</f>
        <v>0</v>
      </c>
      <c r="Z911" s="30">
        <f>IF(AD911=0,J911,0)</f>
        <v>0</v>
      </c>
      <c r="AA911" s="30">
        <f>IF(AD911=15,J911,0)</f>
        <v>0</v>
      </c>
      <c r="AB911" s="30">
        <f>IF(AD911=21,J911,0)</f>
        <v>0</v>
      </c>
      <c r="AD911" s="32">
        <v>21</v>
      </c>
      <c r="AE911" s="32">
        <f>G911*0</f>
        <v>0</v>
      </c>
      <c r="AF911" s="32">
        <f>G911*(1-0)</f>
        <v>0</v>
      </c>
      <c r="AM911" s="32">
        <f>F911*AE911</f>
        <v>0</v>
      </c>
      <c r="AN911" s="32">
        <f>F911*AF911</f>
        <v>0</v>
      </c>
      <c r="AO911" s="33" t="s">
        <v>105</v>
      </c>
      <c r="AP911" s="33" t="s">
        <v>106</v>
      </c>
      <c r="AQ911" s="21" t="s">
        <v>599</v>
      </c>
    </row>
    <row r="912" spans="1:43" x14ac:dyDescent="0.25">
      <c r="C912" s="34" t="s">
        <v>63</v>
      </c>
      <c r="D912" s="340" t="s">
        <v>107</v>
      </c>
      <c r="E912" s="341"/>
      <c r="F912" s="341"/>
      <c r="G912" s="341"/>
      <c r="H912" s="341"/>
      <c r="I912" s="341"/>
      <c r="J912" s="341"/>
      <c r="K912" s="341"/>
      <c r="L912" s="341"/>
      <c r="M912" s="341"/>
    </row>
    <row r="913" spans="1:43" x14ac:dyDescent="0.25">
      <c r="A913" s="26"/>
      <c r="B913" s="27" t="s">
        <v>612</v>
      </c>
      <c r="C913" s="27"/>
      <c r="D913" s="338" t="s">
        <v>612</v>
      </c>
      <c r="E913" s="339"/>
      <c r="F913" s="339"/>
      <c r="G913" s="339"/>
      <c r="H913" s="28">
        <f>H914+H916+H919+H921+H923+H926+H932+H934</f>
        <v>0</v>
      </c>
      <c r="I913" s="28">
        <f>I914+I916+I919+I921+I923+I926+I932+I934</f>
        <v>0</v>
      </c>
      <c r="J913" s="28">
        <f>H913+I913</f>
        <v>0</v>
      </c>
      <c r="K913" s="21"/>
      <c r="L913" s="28">
        <f>L914+L916+L919+L921+L923+L926+L932+L934</f>
        <v>16.005734500000003</v>
      </c>
      <c r="M913" s="21"/>
    </row>
    <row r="914" spans="1:43" x14ac:dyDescent="0.25">
      <c r="A914" s="26"/>
      <c r="B914" s="27" t="s">
        <v>612</v>
      </c>
      <c r="C914" s="27" t="s">
        <v>166</v>
      </c>
      <c r="D914" s="338" t="s">
        <v>167</v>
      </c>
      <c r="E914" s="339"/>
      <c r="F914" s="339"/>
      <c r="G914" s="339"/>
      <c r="H914" s="28">
        <f>SUM(H915:H915)</f>
        <v>0</v>
      </c>
      <c r="I914" s="28">
        <f>SUM(I915:I915)</f>
        <v>0</v>
      </c>
      <c r="J914" s="28">
        <f>H914+I914</f>
        <v>0</v>
      </c>
      <c r="K914" s="21"/>
      <c r="L914" s="28">
        <f>SUM(L915:L915)</f>
        <v>0.16800000000000001</v>
      </c>
      <c r="M914" s="21"/>
      <c r="P914" s="28">
        <f>IF(Q914="PR",J914,SUM(O915:O915))</f>
        <v>0</v>
      </c>
      <c r="Q914" s="21" t="s">
        <v>54</v>
      </c>
      <c r="R914" s="28">
        <f>IF(Q914="HS",H914,0)</f>
        <v>0</v>
      </c>
      <c r="S914" s="28">
        <f>IF(Q914="HS",I914-P914,0)</f>
        <v>0</v>
      </c>
      <c r="T914" s="28">
        <f>IF(Q914="PS",H914,0)</f>
        <v>0</v>
      </c>
      <c r="U914" s="28">
        <f>IF(Q914="PS",I914-P914,0)</f>
        <v>0</v>
      </c>
      <c r="V914" s="28">
        <f>IF(Q914="MP",H914,0)</f>
        <v>0</v>
      </c>
      <c r="W914" s="28">
        <f>IF(Q914="MP",I914-P914,0)</f>
        <v>0</v>
      </c>
      <c r="X914" s="28">
        <f>IF(Q914="OM",H914,0)</f>
        <v>0</v>
      </c>
      <c r="Y914" s="21" t="s">
        <v>612</v>
      </c>
      <c r="AI914" s="28">
        <f>SUM(Z915:Z915)</f>
        <v>0</v>
      </c>
      <c r="AJ914" s="28">
        <f>SUM(AA915:AA915)</f>
        <v>0</v>
      </c>
      <c r="AK914" s="28">
        <f>SUM(AB915:AB915)</f>
        <v>0</v>
      </c>
    </row>
    <row r="915" spans="1:43" x14ac:dyDescent="0.25">
      <c r="A915" s="29" t="s">
        <v>613</v>
      </c>
      <c r="B915" s="29" t="s">
        <v>612</v>
      </c>
      <c r="C915" s="29" t="s">
        <v>169</v>
      </c>
      <c r="D915" s="29" t="s">
        <v>170</v>
      </c>
      <c r="E915" s="29" t="s">
        <v>58</v>
      </c>
      <c r="F915" s="30">
        <v>14</v>
      </c>
      <c r="G915" s="317">
        <v>0</v>
      </c>
      <c r="H915" s="30">
        <f>ROUND(F915*AE915,2)</f>
        <v>0</v>
      </c>
      <c r="I915" s="30">
        <f>J915-H915</f>
        <v>0</v>
      </c>
      <c r="J915" s="30">
        <f>ROUND(F915*G915,2)</f>
        <v>0</v>
      </c>
      <c r="K915" s="30">
        <v>1.2E-2</v>
      </c>
      <c r="L915" s="30">
        <f>F915*K915</f>
        <v>0.16800000000000001</v>
      </c>
      <c r="M915" s="31"/>
      <c r="N915" s="31" t="s">
        <v>55</v>
      </c>
      <c r="O915" s="30">
        <f>IF(N915="5",I915,0)</f>
        <v>0</v>
      </c>
      <c r="Z915" s="30">
        <f>IF(AD915=0,J915,0)</f>
        <v>0</v>
      </c>
      <c r="AA915" s="30">
        <f>IF(AD915=15,J915,0)</f>
        <v>0</v>
      </c>
      <c r="AB915" s="30">
        <f>IF(AD915=21,J915,0)</f>
        <v>0</v>
      </c>
      <c r="AD915" s="32">
        <v>21</v>
      </c>
      <c r="AE915" s="32">
        <f>G915*0.381443298969072</f>
        <v>0</v>
      </c>
      <c r="AF915" s="32">
        <f>G915*(1-0.381443298969072)</f>
        <v>0</v>
      </c>
      <c r="AM915" s="32">
        <f>F915*AE915</f>
        <v>0</v>
      </c>
      <c r="AN915" s="32">
        <f>F915*AF915</f>
        <v>0</v>
      </c>
      <c r="AO915" s="33" t="s">
        <v>171</v>
      </c>
      <c r="AP915" s="33" t="s">
        <v>171</v>
      </c>
      <c r="AQ915" s="21" t="s">
        <v>614</v>
      </c>
    </row>
    <row r="916" spans="1:43" x14ac:dyDescent="0.25">
      <c r="A916" s="26"/>
      <c r="B916" s="27" t="s">
        <v>612</v>
      </c>
      <c r="C916" s="27" t="s">
        <v>52</v>
      </c>
      <c r="D916" s="338" t="s">
        <v>53</v>
      </c>
      <c r="E916" s="339"/>
      <c r="F916" s="339"/>
      <c r="G916" s="339"/>
      <c r="H916" s="28">
        <f>SUM(H917:H917)</f>
        <v>0</v>
      </c>
      <c r="I916" s="28">
        <f>SUM(I917:I917)</f>
        <v>0</v>
      </c>
      <c r="J916" s="28">
        <f>H916+I916</f>
        <v>0</v>
      </c>
      <c r="K916" s="21"/>
      <c r="L916" s="28">
        <f>SUM(L917:L917)</f>
        <v>0.24384359999999999</v>
      </c>
      <c r="M916" s="21"/>
      <c r="P916" s="28">
        <f>IF(Q916="PR",J916,SUM(O917:O917))</f>
        <v>0</v>
      </c>
      <c r="Q916" s="21" t="s">
        <v>54</v>
      </c>
      <c r="R916" s="28">
        <f>IF(Q916="HS",H916,0)</f>
        <v>0</v>
      </c>
      <c r="S916" s="28">
        <f>IF(Q916="HS",I916-P916,0)</f>
        <v>0</v>
      </c>
      <c r="T916" s="28">
        <f>IF(Q916="PS",H916,0)</f>
        <v>0</v>
      </c>
      <c r="U916" s="28">
        <f>IF(Q916="PS",I916-P916,0)</f>
        <v>0</v>
      </c>
      <c r="V916" s="28">
        <f>IF(Q916="MP",H916,0)</f>
        <v>0</v>
      </c>
      <c r="W916" s="28">
        <f>IF(Q916="MP",I916-P916,0)</f>
        <v>0</v>
      </c>
      <c r="X916" s="28">
        <f>IF(Q916="OM",H916,0)</f>
        <v>0</v>
      </c>
      <c r="Y916" s="21" t="s">
        <v>612</v>
      </c>
      <c r="AI916" s="28">
        <f>SUM(Z917:Z917)</f>
        <v>0</v>
      </c>
      <c r="AJ916" s="28">
        <f>SUM(AA917:AA917)</f>
        <v>0</v>
      </c>
      <c r="AK916" s="28">
        <f>SUM(AB917:AB917)</f>
        <v>0</v>
      </c>
    </row>
    <row r="917" spans="1:43" x14ac:dyDescent="0.25">
      <c r="A917" s="29" t="s">
        <v>615</v>
      </c>
      <c r="B917" s="29" t="s">
        <v>612</v>
      </c>
      <c r="C917" s="29" t="s">
        <v>56</v>
      </c>
      <c r="D917" s="29" t="s">
        <v>57</v>
      </c>
      <c r="E917" s="29" t="s">
        <v>58</v>
      </c>
      <c r="F917" s="30">
        <v>24.36</v>
      </c>
      <c r="G917" s="317">
        <v>0</v>
      </c>
      <c r="H917" s="30">
        <f>ROUND(F917*AE917,2)</f>
        <v>0</v>
      </c>
      <c r="I917" s="30">
        <f>J917-H917</f>
        <v>0</v>
      </c>
      <c r="J917" s="30">
        <f>ROUND(F917*G917,2)</f>
        <v>0</v>
      </c>
      <c r="K917" s="30">
        <v>1.001E-2</v>
      </c>
      <c r="L917" s="30">
        <f>F917*K917</f>
        <v>0.24384359999999999</v>
      </c>
      <c r="M917" s="31" t="s">
        <v>2292</v>
      </c>
      <c r="N917" s="31" t="s">
        <v>59</v>
      </c>
      <c r="O917" s="30">
        <f>IF(N917="5",I917,0)</f>
        <v>0</v>
      </c>
      <c r="Z917" s="30">
        <f>IF(AD917=0,J917,0)</f>
        <v>0</v>
      </c>
      <c r="AA917" s="30">
        <f>IF(AD917=15,J917,0)</f>
        <v>0</v>
      </c>
      <c r="AB917" s="30">
        <f>IF(AD917=21,J917,0)</f>
        <v>0</v>
      </c>
      <c r="AD917" s="32">
        <v>21</v>
      </c>
      <c r="AE917" s="32">
        <f>G917*0.0756575801052128</f>
        <v>0</v>
      </c>
      <c r="AF917" s="32">
        <f>G917*(1-0.0756575801052128)</f>
        <v>0</v>
      </c>
      <c r="AM917" s="32">
        <f>F917*AE917</f>
        <v>0</v>
      </c>
      <c r="AN917" s="32">
        <f>F917*AF917</f>
        <v>0</v>
      </c>
      <c r="AO917" s="33" t="s">
        <v>60</v>
      </c>
      <c r="AP917" s="33" t="s">
        <v>61</v>
      </c>
      <c r="AQ917" s="21" t="s">
        <v>614</v>
      </c>
    </row>
    <row r="918" spans="1:43" ht="25.7" customHeight="1" x14ac:dyDescent="0.25">
      <c r="C918" s="34" t="s">
        <v>63</v>
      </c>
      <c r="D918" s="340" t="s">
        <v>64</v>
      </c>
      <c r="E918" s="341"/>
      <c r="F918" s="341"/>
      <c r="G918" s="341"/>
      <c r="H918" s="341"/>
      <c r="I918" s="341"/>
      <c r="J918" s="341"/>
      <c r="K918" s="341"/>
      <c r="L918" s="341"/>
      <c r="M918" s="341"/>
    </row>
    <row r="919" spans="1:43" x14ac:dyDescent="0.25">
      <c r="A919" s="26"/>
      <c r="B919" s="27" t="s">
        <v>612</v>
      </c>
      <c r="C919" s="27" t="s">
        <v>68</v>
      </c>
      <c r="D919" s="338" t="s">
        <v>69</v>
      </c>
      <c r="E919" s="339"/>
      <c r="F919" s="339"/>
      <c r="G919" s="339"/>
      <c r="H919" s="28">
        <f>SUM(H920:H920)</f>
        <v>0</v>
      </c>
      <c r="I919" s="28">
        <f>SUM(I920:I920)</f>
        <v>0</v>
      </c>
      <c r="J919" s="28">
        <f>H919+I919</f>
        <v>0</v>
      </c>
      <c r="K919" s="21"/>
      <c r="L919" s="28">
        <f>SUM(L920:L920)</f>
        <v>0.85276240000000003</v>
      </c>
      <c r="M919" s="21"/>
      <c r="P919" s="28">
        <f>IF(Q919="PR",J919,SUM(O920:O920))</f>
        <v>0</v>
      </c>
      <c r="Q919" s="21" t="s">
        <v>54</v>
      </c>
      <c r="R919" s="28">
        <f>IF(Q919="HS",H919,0)</f>
        <v>0</v>
      </c>
      <c r="S919" s="28">
        <f>IF(Q919="HS",I919-P919,0)</f>
        <v>0</v>
      </c>
      <c r="T919" s="28">
        <f>IF(Q919="PS",H919,0)</f>
        <v>0</v>
      </c>
      <c r="U919" s="28">
        <f>IF(Q919="PS",I919-P919,0)</f>
        <v>0</v>
      </c>
      <c r="V919" s="28">
        <f>IF(Q919="MP",H919,0)</f>
        <v>0</v>
      </c>
      <c r="W919" s="28">
        <f>IF(Q919="MP",I919-P919,0)</f>
        <v>0</v>
      </c>
      <c r="X919" s="28">
        <f>IF(Q919="OM",H919,0)</f>
        <v>0</v>
      </c>
      <c r="Y919" s="21" t="s">
        <v>612</v>
      </c>
      <c r="AI919" s="28">
        <f>SUM(Z920:Z920)</f>
        <v>0</v>
      </c>
      <c r="AJ919" s="28">
        <f>SUM(AA920:AA920)</f>
        <v>0</v>
      </c>
      <c r="AK919" s="28">
        <f>SUM(AB920:AB920)</f>
        <v>0</v>
      </c>
    </row>
    <row r="920" spans="1:43" x14ac:dyDescent="0.25">
      <c r="A920" s="29" t="s">
        <v>616</v>
      </c>
      <c r="B920" s="29" t="s">
        <v>612</v>
      </c>
      <c r="C920" s="29" t="s">
        <v>70</v>
      </c>
      <c r="D920" s="29" t="s">
        <v>71</v>
      </c>
      <c r="E920" s="29" t="s">
        <v>58</v>
      </c>
      <c r="F920" s="30">
        <v>17.11</v>
      </c>
      <c r="G920" s="317">
        <v>0</v>
      </c>
      <c r="H920" s="30">
        <f>ROUND(F920*AE920,2)</f>
        <v>0</v>
      </c>
      <c r="I920" s="30">
        <f>J920-H920</f>
        <v>0</v>
      </c>
      <c r="J920" s="30">
        <f>ROUND(F920*G920,2)</f>
        <v>0</v>
      </c>
      <c r="K920" s="30">
        <v>4.9840000000000002E-2</v>
      </c>
      <c r="L920" s="30">
        <f>F920*K920</f>
        <v>0.85276240000000003</v>
      </c>
      <c r="M920" s="31" t="s">
        <v>2292</v>
      </c>
      <c r="N920" s="31" t="s">
        <v>59</v>
      </c>
      <c r="O920" s="30">
        <f>IF(N920="5",I920,0)</f>
        <v>0</v>
      </c>
      <c r="Z920" s="30">
        <f>IF(AD920=0,J920,0)</f>
        <v>0</v>
      </c>
      <c r="AA920" s="30">
        <f>IF(AD920=15,J920,0)</f>
        <v>0</v>
      </c>
      <c r="AB920" s="30">
        <f>IF(AD920=21,J920,0)</f>
        <v>0</v>
      </c>
      <c r="AD920" s="32">
        <v>21</v>
      </c>
      <c r="AE920" s="32">
        <f>G920*0.411768721414431</f>
        <v>0</v>
      </c>
      <c r="AF920" s="32">
        <f>G920*(1-0.411768721414431)</f>
        <v>0</v>
      </c>
      <c r="AM920" s="32">
        <f>F920*AE920</f>
        <v>0</v>
      </c>
      <c r="AN920" s="32">
        <f>F920*AF920</f>
        <v>0</v>
      </c>
      <c r="AO920" s="33" t="s">
        <v>72</v>
      </c>
      <c r="AP920" s="33" t="s">
        <v>61</v>
      </c>
      <c r="AQ920" s="21" t="s">
        <v>614</v>
      </c>
    </row>
    <row r="921" spans="1:43" x14ac:dyDescent="0.25">
      <c r="A921" s="26"/>
      <c r="B921" s="27" t="s">
        <v>612</v>
      </c>
      <c r="C921" s="27" t="s">
        <v>527</v>
      </c>
      <c r="D921" s="338" t="s">
        <v>528</v>
      </c>
      <c r="E921" s="339"/>
      <c r="F921" s="339"/>
      <c r="G921" s="339"/>
      <c r="H921" s="28">
        <f>SUM(H922:H922)</f>
        <v>0</v>
      </c>
      <c r="I921" s="28">
        <f>SUM(I922:I922)</f>
        <v>0</v>
      </c>
      <c r="J921" s="28">
        <f>H921+I921</f>
        <v>0</v>
      </c>
      <c r="K921" s="21"/>
      <c r="L921" s="28">
        <f>SUM(L922:L922)</f>
        <v>7.6560000000000003E-2</v>
      </c>
      <c r="M921" s="21"/>
      <c r="P921" s="28">
        <f>IF(Q921="PR",J921,SUM(O922:O922))</f>
        <v>0</v>
      </c>
      <c r="Q921" s="21" t="s">
        <v>75</v>
      </c>
      <c r="R921" s="28">
        <f>IF(Q921="HS",H921,0)</f>
        <v>0</v>
      </c>
      <c r="S921" s="28">
        <f>IF(Q921="HS",I921-P921,0)</f>
        <v>0</v>
      </c>
      <c r="T921" s="28">
        <f>IF(Q921="PS",H921,0)</f>
        <v>0</v>
      </c>
      <c r="U921" s="28">
        <f>IF(Q921="PS",I921-P921,0)</f>
        <v>0</v>
      </c>
      <c r="V921" s="28">
        <f>IF(Q921="MP",H921,0)</f>
        <v>0</v>
      </c>
      <c r="W921" s="28">
        <f>IF(Q921="MP",I921-P921,0)</f>
        <v>0</v>
      </c>
      <c r="X921" s="28">
        <f>IF(Q921="OM",H921,0)</f>
        <v>0</v>
      </c>
      <c r="Y921" s="21" t="s">
        <v>612</v>
      </c>
      <c r="AI921" s="28">
        <f>SUM(Z922:Z922)</f>
        <v>0</v>
      </c>
      <c r="AJ921" s="28">
        <f>SUM(AA922:AA922)</f>
        <v>0</v>
      </c>
      <c r="AK921" s="28">
        <f>SUM(AB922:AB922)</f>
        <v>0</v>
      </c>
    </row>
    <row r="922" spans="1:43" x14ac:dyDescent="0.25">
      <c r="A922" s="29" t="s">
        <v>617</v>
      </c>
      <c r="B922" s="29" t="s">
        <v>612</v>
      </c>
      <c r="C922" s="29" t="s">
        <v>530</v>
      </c>
      <c r="D922" s="29" t="s">
        <v>531</v>
      </c>
      <c r="E922" s="29" t="s">
        <v>113</v>
      </c>
      <c r="F922" s="30">
        <v>2</v>
      </c>
      <c r="G922" s="317">
        <v>0</v>
      </c>
      <c r="H922" s="30">
        <f>ROUND(F922*AE922,2)</f>
        <v>0</v>
      </c>
      <c r="I922" s="30">
        <f>J922-H922</f>
        <v>0</v>
      </c>
      <c r="J922" s="30">
        <f>ROUND(F922*G922,2)</f>
        <v>0</v>
      </c>
      <c r="K922" s="30">
        <v>3.8280000000000002E-2</v>
      </c>
      <c r="L922" s="30">
        <f>F922*K922</f>
        <v>7.6560000000000003E-2</v>
      </c>
      <c r="M922" s="31" t="s">
        <v>2292</v>
      </c>
      <c r="N922" s="31" t="s">
        <v>59</v>
      </c>
      <c r="O922" s="30">
        <f>IF(N922="5",I922,0)</f>
        <v>0</v>
      </c>
      <c r="Z922" s="30">
        <f>IF(AD922=0,J922,0)</f>
        <v>0</v>
      </c>
      <c r="AA922" s="30">
        <f>IF(AD922=15,J922,0)</f>
        <v>0</v>
      </c>
      <c r="AB922" s="30">
        <f>IF(AD922=21,J922,0)</f>
        <v>0</v>
      </c>
      <c r="AD922" s="32">
        <v>21</v>
      </c>
      <c r="AE922" s="32">
        <f>G922*0.877792075647468</f>
        <v>0</v>
      </c>
      <c r="AF922" s="32">
        <f>G922*(1-0.877792075647468)</f>
        <v>0</v>
      </c>
      <c r="AM922" s="32">
        <f>F922*AE922</f>
        <v>0</v>
      </c>
      <c r="AN922" s="32">
        <f>F922*AF922</f>
        <v>0</v>
      </c>
      <c r="AO922" s="33" t="s">
        <v>532</v>
      </c>
      <c r="AP922" s="33" t="s">
        <v>533</v>
      </c>
      <c r="AQ922" s="21" t="s">
        <v>614</v>
      </c>
    </row>
    <row r="923" spans="1:43" x14ac:dyDescent="0.25">
      <c r="A923" s="26"/>
      <c r="B923" s="27" t="s">
        <v>612</v>
      </c>
      <c r="C923" s="27" t="s">
        <v>73</v>
      </c>
      <c r="D923" s="338" t="s">
        <v>74</v>
      </c>
      <c r="E923" s="339"/>
      <c r="F923" s="339"/>
      <c r="G923" s="339"/>
      <c r="H923" s="28">
        <f>SUM(H924:H924)</f>
        <v>0</v>
      </c>
      <c r="I923" s="28">
        <f>SUM(I924:I924)</f>
        <v>0</v>
      </c>
      <c r="J923" s="28">
        <f>H923+I923</f>
        <v>0</v>
      </c>
      <c r="K923" s="21"/>
      <c r="L923" s="28">
        <f>SUM(L924:L924)</f>
        <v>0.27547099999999997</v>
      </c>
      <c r="M923" s="21"/>
      <c r="P923" s="28">
        <f>IF(Q923="PR",J923,SUM(O924:O924))</f>
        <v>0</v>
      </c>
      <c r="Q923" s="21" t="s">
        <v>75</v>
      </c>
      <c r="R923" s="28">
        <f>IF(Q923="HS",H923,0)</f>
        <v>0</v>
      </c>
      <c r="S923" s="28">
        <f>IF(Q923="HS",I923-P923,0)</f>
        <v>0</v>
      </c>
      <c r="T923" s="28">
        <f>IF(Q923="PS",H923,0)</f>
        <v>0</v>
      </c>
      <c r="U923" s="28">
        <f>IF(Q923="PS",I923-P923,0)</f>
        <v>0</v>
      </c>
      <c r="V923" s="28">
        <f>IF(Q923="MP",H923,0)</f>
        <v>0</v>
      </c>
      <c r="W923" s="28">
        <f>IF(Q923="MP",I923-P923,0)</f>
        <v>0</v>
      </c>
      <c r="X923" s="28">
        <f>IF(Q923="OM",H923,0)</f>
        <v>0</v>
      </c>
      <c r="Y923" s="21" t="s">
        <v>612</v>
      </c>
      <c r="AI923" s="28">
        <f>SUM(Z924:Z924)</f>
        <v>0</v>
      </c>
      <c r="AJ923" s="28">
        <f>SUM(AA924:AA924)</f>
        <v>0</v>
      </c>
      <c r="AK923" s="28">
        <f>SUM(AB924:AB924)</f>
        <v>0</v>
      </c>
    </row>
    <row r="924" spans="1:43" x14ac:dyDescent="0.25">
      <c r="A924" s="29" t="s">
        <v>618</v>
      </c>
      <c r="B924" s="29" t="s">
        <v>612</v>
      </c>
      <c r="C924" s="29" t="s">
        <v>77</v>
      </c>
      <c r="D924" s="29" t="s">
        <v>2278</v>
      </c>
      <c r="E924" s="29" t="s">
        <v>58</v>
      </c>
      <c r="F924" s="30">
        <v>17.11</v>
      </c>
      <c r="G924" s="317">
        <v>0</v>
      </c>
      <c r="H924" s="30">
        <f>ROUND(F924*AE924,2)</f>
        <v>0</v>
      </c>
      <c r="I924" s="30">
        <f>J924-H924</f>
        <v>0</v>
      </c>
      <c r="J924" s="30">
        <f>ROUND(F924*G924,2)</f>
        <v>0</v>
      </c>
      <c r="K924" s="30">
        <v>1.61E-2</v>
      </c>
      <c r="L924" s="30">
        <f>F924*K924</f>
        <v>0.27547099999999997</v>
      </c>
      <c r="M924" s="31" t="s">
        <v>2292</v>
      </c>
      <c r="N924" s="31" t="s">
        <v>59</v>
      </c>
      <c r="O924" s="30">
        <f>IF(N924="5",I924,0)</f>
        <v>0</v>
      </c>
      <c r="Z924" s="30">
        <f>IF(AD924=0,J924,0)</f>
        <v>0</v>
      </c>
      <c r="AA924" s="30">
        <f>IF(AD924=15,J924,0)</f>
        <v>0</v>
      </c>
      <c r="AB924" s="30">
        <f>IF(AD924=21,J924,0)</f>
        <v>0</v>
      </c>
      <c r="AD924" s="32">
        <v>21</v>
      </c>
      <c r="AE924" s="32">
        <f>G924*0.787221324717286</f>
        <v>0</v>
      </c>
      <c r="AF924" s="32">
        <f>G924*(1-0.787221324717286)</f>
        <v>0</v>
      </c>
      <c r="AM924" s="32">
        <f>F924*AE924</f>
        <v>0</v>
      </c>
      <c r="AN924" s="32">
        <f>F924*AF924</f>
        <v>0</v>
      </c>
      <c r="AO924" s="33" t="s">
        <v>78</v>
      </c>
      <c r="AP924" s="33" t="s">
        <v>79</v>
      </c>
      <c r="AQ924" s="21" t="s">
        <v>614</v>
      </c>
    </row>
    <row r="925" spans="1:43" ht="12.75" customHeight="1" x14ac:dyDescent="0.25">
      <c r="C925" s="34" t="s">
        <v>63</v>
      </c>
      <c r="D925" s="340" t="s">
        <v>2280</v>
      </c>
      <c r="E925" s="341"/>
      <c r="F925" s="341"/>
      <c r="G925" s="341"/>
      <c r="H925" s="341"/>
      <c r="I925" s="341"/>
      <c r="J925" s="341"/>
      <c r="K925" s="341"/>
      <c r="L925" s="341"/>
      <c r="M925" s="341"/>
    </row>
    <row r="926" spans="1:43" x14ac:dyDescent="0.25">
      <c r="A926" s="26"/>
      <c r="B926" s="27" t="s">
        <v>612</v>
      </c>
      <c r="C926" s="27" t="s">
        <v>189</v>
      </c>
      <c r="D926" s="338" t="s">
        <v>190</v>
      </c>
      <c r="E926" s="339"/>
      <c r="F926" s="339"/>
      <c r="G926" s="339"/>
      <c r="H926" s="28">
        <f>SUM(H927:H930)</f>
        <v>0</v>
      </c>
      <c r="I926" s="28">
        <f>SUM(I927:I930)</f>
        <v>0</v>
      </c>
      <c r="J926" s="28">
        <f>H926+I926</f>
        <v>0</v>
      </c>
      <c r="K926" s="21"/>
      <c r="L926" s="28">
        <f>SUM(L927:L930)</f>
        <v>14.358805</v>
      </c>
      <c r="M926" s="21"/>
      <c r="P926" s="28">
        <f>IF(Q926="PR",J926,SUM(O927:O930))</f>
        <v>0</v>
      </c>
      <c r="Q926" s="21" t="s">
        <v>75</v>
      </c>
      <c r="R926" s="28">
        <f>IF(Q926="HS",H926,0)</f>
        <v>0</v>
      </c>
      <c r="S926" s="28">
        <f>IF(Q926="HS",I926-P926,0)</f>
        <v>0</v>
      </c>
      <c r="T926" s="28">
        <f>IF(Q926="PS",H926,0)</f>
        <v>0</v>
      </c>
      <c r="U926" s="28">
        <f>IF(Q926="PS",I926-P926,0)</f>
        <v>0</v>
      </c>
      <c r="V926" s="28">
        <f>IF(Q926="MP",H926,0)</f>
        <v>0</v>
      </c>
      <c r="W926" s="28">
        <f>IF(Q926="MP",I926-P926,0)</f>
        <v>0</v>
      </c>
      <c r="X926" s="28">
        <f>IF(Q926="OM",H926,0)</f>
        <v>0</v>
      </c>
      <c r="Y926" s="21" t="s">
        <v>612</v>
      </c>
      <c r="AI926" s="28">
        <f>SUM(Z927:Z930)</f>
        <v>0</v>
      </c>
      <c r="AJ926" s="28">
        <f>SUM(AA927:AA930)</f>
        <v>0</v>
      </c>
      <c r="AK926" s="28">
        <f>SUM(AB927:AB930)</f>
        <v>0</v>
      </c>
    </row>
    <row r="927" spans="1:43" x14ac:dyDescent="0.25">
      <c r="A927" s="29" t="s">
        <v>619</v>
      </c>
      <c r="B927" s="29" t="s">
        <v>612</v>
      </c>
      <c r="C927" s="29" t="s">
        <v>259</v>
      </c>
      <c r="D927" s="29" t="s">
        <v>260</v>
      </c>
      <c r="E927" s="29" t="s">
        <v>58</v>
      </c>
      <c r="F927" s="30">
        <v>74.599999999999994</v>
      </c>
      <c r="G927" s="317">
        <v>0</v>
      </c>
      <c r="H927" s="30">
        <f>ROUND(F927*AE927,2)</f>
        <v>0</v>
      </c>
      <c r="I927" s="30">
        <f>J927-H927</f>
        <v>0</v>
      </c>
      <c r="J927" s="30">
        <f>ROUND(F927*G927,2)</f>
        <v>0</v>
      </c>
      <c r="K927" s="30">
        <v>0.16428000000000001</v>
      </c>
      <c r="L927" s="30">
        <f>F927*K927</f>
        <v>12.255288</v>
      </c>
      <c r="M927" s="31" t="s">
        <v>2292</v>
      </c>
      <c r="N927" s="31" t="s">
        <v>59</v>
      </c>
      <c r="O927" s="30">
        <f>IF(N927="5",I927,0)</f>
        <v>0</v>
      </c>
      <c r="Z927" s="30">
        <f>IF(AD927=0,J927,0)</f>
        <v>0</v>
      </c>
      <c r="AA927" s="30">
        <f>IF(AD927=15,J927,0)</f>
        <v>0</v>
      </c>
      <c r="AB927" s="30">
        <f>IF(AD927=21,J927,0)</f>
        <v>0</v>
      </c>
      <c r="AD927" s="32">
        <v>21</v>
      </c>
      <c r="AE927" s="32">
        <f>G927*0.406311844340531</f>
        <v>0</v>
      </c>
      <c r="AF927" s="32">
        <f>G927*(1-0.406311844340531)</f>
        <v>0</v>
      </c>
      <c r="AM927" s="32">
        <f>F927*AE927</f>
        <v>0</v>
      </c>
      <c r="AN927" s="32">
        <f>F927*AF927</f>
        <v>0</v>
      </c>
      <c r="AO927" s="33" t="s">
        <v>194</v>
      </c>
      <c r="AP927" s="33" t="s">
        <v>92</v>
      </c>
      <c r="AQ927" s="21" t="s">
        <v>614</v>
      </c>
    </row>
    <row r="928" spans="1:43" x14ac:dyDescent="0.25">
      <c r="A928" s="29" t="s">
        <v>620</v>
      </c>
      <c r="B928" s="29" t="s">
        <v>612</v>
      </c>
      <c r="C928" s="29" t="s">
        <v>444</v>
      </c>
      <c r="D928" s="29" t="s">
        <v>2285</v>
      </c>
      <c r="E928" s="29" t="s">
        <v>58</v>
      </c>
      <c r="F928" s="30">
        <v>74.599999999999994</v>
      </c>
      <c r="G928" s="317">
        <v>0</v>
      </c>
      <c r="H928" s="30">
        <f>ROUND(F928*AE928,2)</f>
        <v>0</v>
      </c>
      <c r="I928" s="30">
        <f>J928-H928</f>
        <v>0</v>
      </c>
      <c r="J928" s="30">
        <f>ROUND(F928*G928,2)</f>
        <v>0</v>
      </c>
      <c r="K928" s="30">
        <v>2.2790000000000001E-2</v>
      </c>
      <c r="L928" s="30">
        <f>F928*K928</f>
        <v>1.700134</v>
      </c>
      <c r="M928" s="31" t="s">
        <v>2292</v>
      </c>
      <c r="N928" s="31" t="s">
        <v>59</v>
      </c>
      <c r="O928" s="30">
        <f>IF(N928="5",I928,0)</f>
        <v>0</v>
      </c>
      <c r="Z928" s="30">
        <f>IF(AD928=0,J928,0)</f>
        <v>0</v>
      </c>
      <c r="AA928" s="30">
        <f>IF(AD928=15,J928,0)</f>
        <v>0</v>
      </c>
      <c r="AB928" s="30">
        <f>IF(AD928=21,J928,0)</f>
        <v>0</v>
      </c>
      <c r="AD928" s="32">
        <v>21</v>
      </c>
      <c r="AE928" s="32">
        <f>G928*0.579484228260688</f>
        <v>0</v>
      </c>
      <c r="AF928" s="32">
        <f>G928*(1-0.579484228260688)</f>
        <v>0</v>
      </c>
      <c r="AM928" s="32">
        <f>F928*AE928</f>
        <v>0</v>
      </c>
      <c r="AN928" s="32">
        <f>F928*AF928</f>
        <v>0</v>
      </c>
      <c r="AO928" s="33" t="s">
        <v>194</v>
      </c>
      <c r="AP928" s="33" t="s">
        <v>92</v>
      </c>
      <c r="AQ928" s="21" t="s">
        <v>614</v>
      </c>
    </row>
    <row r="929" spans="1:43" ht="25.7" customHeight="1" x14ac:dyDescent="0.25">
      <c r="C929" s="34" t="s">
        <v>63</v>
      </c>
      <c r="D929" s="340" t="s">
        <v>2284</v>
      </c>
      <c r="E929" s="341"/>
      <c r="F929" s="341"/>
      <c r="G929" s="341"/>
      <c r="H929" s="341"/>
      <c r="I929" s="341"/>
      <c r="J929" s="341"/>
      <c r="K929" s="341"/>
      <c r="L929" s="341"/>
      <c r="M929" s="341"/>
    </row>
    <row r="930" spans="1:43" x14ac:dyDescent="0.25">
      <c r="A930" s="29" t="s">
        <v>621</v>
      </c>
      <c r="B930" s="29" t="s">
        <v>612</v>
      </c>
      <c r="C930" s="29" t="s">
        <v>444</v>
      </c>
      <c r="D930" s="29" t="s">
        <v>2286</v>
      </c>
      <c r="E930" s="29" t="s">
        <v>58</v>
      </c>
      <c r="F930" s="30">
        <v>17.7</v>
      </c>
      <c r="G930" s="317">
        <v>0</v>
      </c>
      <c r="H930" s="30">
        <f>ROUND(F930*AE930,2)</f>
        <v>0</v>
      </c>
      <c r="I930" s="30">
        <f>J930-H930</f>
        <v>0</v>
      </c>
      <c r="J930" s="30">
        <f>ROUND(F930*G930,2)</f>
        <v>0</v>
      </c>
      <c r="K930" s="30">
        <v>2.2790000000000001E-2</v>
      </c>
      <c r="L930" s="30">
        <f>F930*K930</f>
        <v>0.40338299999999999</v>
      </c>
      <c r="M930" s="31" t="s">
        <v>2292</v>
      </c>
      <c r="N930" s="31" t="s">
        <v>59</v>
      </c>
      <c r="O930" s="30">
        <f>IF(N930="5",I930,0)</f>
        <v>0</v>
      </c>
      <c r="Z930" s="30">
        <f>IF(AD930=0,J930,0)</f>
        <v>0</v>
      </c>
      <c r="AA930" s="30">
        <f>IF(AD930=15,J930,0)</f>
        <v>0</v>
      </c>
      <c r="AB930" s="30">
        <f>IF(AD930=21,J930,0)</f>
        <v>0</v>
      </c>
      <c r="AD930" s="32">
        <v>21</v>
      </c>
      <c r="AE930" s="32">
        <f>G930*0.579484228260688</f>
        <v>0</v>
      </c>
      <c r="AF930" s="32">
        <f>G930*(1-0.579484228260688)</f>
        <v>0</v>
      </c>
      <c r="AM930" s="32">
        <f>F930*AE930</f>
        <v>0</v>
      </c>
      <c r="AN930" s="32">
        <f>F930*AF930</f>
        <v>0</v>
      </c>
      <c r="AO930" s="33" t="s">
        <v>194</v>
      </c>
      <c r="AP930" s="33" t="s">
        <v>92</v>
      </c>
      <c r="AQ930" s="21" t="s">
        <v>614</v>
      </c>
    </row>
    <row r="931" spans="1:43" ht="25.7" customHeight="1" x14ac:dyDescent="0.25">
      <c r="C931" s="34" t="s">
        <v>63</v>
      </c>
      <c r="D931" s="340" t="s">
        <v>2284</v>
      </c>
      <c r="E931" s="341"/>
      <c r="F931" s="341"/>
      <c r="G931" s="341"/>
      <c r="H931" s="341"/>
      <c r="I931" s="341"/>
      <c r="J931" s="341"/>
      <c r="K931" s="341"/>
      <c r="L931" s="341"/>
      <c r="M931" s="341"/>
    </row>
    <row r="932" spans="1:43" x14ac:dyDescent="0.25">
      <c r="A932" s="26"/>
      <c r="B932" s="27" t="s">
        <v>612</v>
      </c>
      <c r="C932" s="27" t="s">
        <v>86</v>
      </c>
      <c r="D932" s="338" t="s">
        <v>87</v>
      </c>
      <c r="E932" s="339"/>
      <c r="F932" s="339"/>
      <c r="G932" s="339"/>
      <c r="H932" s="28">
        <f>SUM(H933:H933)</f>
        <v>0</v>
      </c>
      <c r="I932" s="28">
        <f>SUM(I933:I933)</f>
        <v>0</v>
      </c>
      <c r="J932" s="28">
        <f>H932+I932</f>
        <v>0</v>
      </c>
      <c r="K932" s="21"/>
      <c r="L932" s="28">
        <f>SUM(L933:L933)</f>
        <v>2.7000000000000001E-3</v>
      </c>
      <c r="M932" s="21"/>
      <c r="P932" s="28">
        <f>IF(Q932="PR",J932,SUM(O933:O933))</f>
        <v>0</v>
      </c>
      <c r="Q932" s="21" t="s">
        <v>75</v>
      </c>
      <c r="R932" s="28">
        <f>IF(Q932="HS",H932,0)</f>
        <v>0</v>
      </c>
      <c r="S932" s="28">
        <f>IF(Q932="HS",I932-P932,0)</f>
        <v>0</v>
      </c>
      <c r="T932" s="28">
        <f>IF(Q932="PS",H932,0)</f>
        <v>0</v>
      </c>
      <c r="U932" s="28">
        <f>IF(Q932="PS",I932-P932,0)</f>
        <v>0</v>
      </c>
      <c r="V932" s="28">
        <f>IF(Q932="MP",H932,0)</f>
        <v>0</v>
      </c>
      <c r="W932" s="28">
        <f>IF(Q932="MP",I932-P932,0)</f>
        <v>0</v>
      </c>
      <c r="X932" s="28">
        <f>IF(Q932="OM",H932,0)</f>
        <v>0</v>
      </c>
      <c r="Y932" s="21" t="s">
        <v>612</v>
      </c>
      <c r="AI932" s="28">
        <f>SUM(Z933:Z933)</f>
        <v>0</v>
      </c>
      <c r="AJ932" s="28">
        <f>SUM(AA933:AA933)</f>
        <v>0</v>
      </c>
      <c r="AK932" s="28">
        <f>SUM(AB933:AB933)</f>
        <v>0</v>
      </c>
    </row>
    <row r="933" spans="1:43" x14ac:dyDescent="0.25">
      <c r="A933" s="29" t="s">
        <v>622</v>
      </c>
      <c r="B933" s="29" t="s">
        <v>612</v>
      </c>
      <c r="C933" s="29" t="s">
        <v>89</v>
      </c>
      <c r="D933" s="29" t="s">
        <v>90</v>
      </c>
      <c r="E933" s="29" t="s">
        <v>58</v>
      </c>
      <c r="F933" s="30">
        <v>10</v>
      </c>
      <c r="G933" s="317">
        <v>0</v>
      </c>
      <c r="H933" s="30">
        <f>ROUND(F933*AE933,2)</f>
        <v>0</v>
      </c>
      <c r="I933" s="30">
        <f>J933-H933</f>
        <v>0</v>
      </c>
      <c r="J933" s="30">
        <f>ROUND(F933*G933,2)</f>
        <v>0</v>
      </c>
      <c r="K933" s="30">
        <v>2.7E-4</v>
      </c>
      <c r="L933" s="30">
        <f>F933*K933</f>
        <v>2.7000000000000001E-3</v>
      </c>
      <c r="M933" s="31" t="s">
        <v>2292</v>
      </c>
      <c r="N933" s="31" t="s">
        <v>59</v>
      </c>
      <c r="O933" s="30">
        <f>IF(N933="5",I933,0)</f>
        <v>0</v>
      </c>
      <c r="Z933" s="30">
        <f>IF(AD933=0,J933,0)</f>
        <v>0</v>
      </c>
      <c r="AA933" s="30">
        <f>IF(AD933=15,J933,0)</f>
        <v>0</v>
      </c>
      <c r="AB933" s="30">
        <f>IF(AD933=21,J933,0)</f>
        <v>0</v>
      </c>
      <c r="AD933" s="32">
        <v>21</v>
      </c>
      <c r="AE933" s="32">
        <f>G933*0.186098187625859</f>
        <v>0</v>
      </c>
      <c r="AF933" s="32">
        <f>G933*(1-0.186098187625859)</f>
        <v>0</v>
      </c>
      <c r="AM933" s="32">
        <f>F933*AE933</f>
        <v>0</v>
      </c>
      <c r="AN933" s="32">
        <f>F933*AF933</f>
        <v>0</v>
      </c>
      <c r="AO933" s="33" t="s">
        <v>91</v>
      </c>
      <c r="AP933" s="33" t="s">
        <v>92</v>
      </c>
      <c r="AQ933" s="21" t="s">
        <v>614</v>
      </c>
    </row>
    <row r="934" spans="1:43" x14ac:dyDescent="0.25">
      <c r="A934" s="26"/>
      <c r="B934" s="27" t="s">
        <v>612</v>
      </c>
      <c r="C934" s="27" t="s">
        <v>93</v>
      </c>
      <c r="D934" s="338" t="s">
        <v>94</v>
      </c>
      <c r="E934" s="339"/>
      <c r="F934" s="339"/>
      <c r="G934" s="339"/>
      <c r="H934" s="28">
        <f>SUM(H935:H935)</f>
        <v>0</v>
      </c>
      <c r="I934" s="28">
        <f>SUM(I935:I935)</f>
        <v>0</v>
      </c>
      <c r="J934" s="28">
        <f>H934+I934</f>
        <v>0</v>
      </c>
      <c r="K934" s="21"/>
      <c r="L934" s="28">
        <f>SUM(L935:L935)</f>
        <v>2.7592499999999999E-2</v>
      </c>
      <c r="M934" s="21"/>
      <c r="P934" s="28">
        <f>IF(Q934="PR",J934,SUM(O935:O935))</f>
        <v>0</v>
      </c>
      <c r="Q934" s="21" t="s">
        <v>75</v>
      </c>
      <c r="R934" s="28">
        <f>IF(Q934="HS",H934,0)</f>
        <v>0</v>
      </c>
      <c r="S934" s="28">
        <f>IF(Q934="HS",I934-P934,0)</f>
        <v>0</v>
      </c>
      <c r="T934" s="28">
        <f>IF(Q934="PS",H934,0)</f>
        <v>0</v>
      </c>
      <c r="U934" s="28">
        <f>IF(Q934="PS",I934-P934,0)</f>
        <v>0</v>
      </c>
      <c r="V934" s="28">
        <f>IF(Q934="MP",H934,0)</f>
        <v>0</v>
      </c>
      <c r="W934" s="28">
        <f>IF(Q934="MP",I934-P934,0)</f>
        <v>0</v>
      </c>
      <c r="X934" s="28">
        <f>IF(Q934="OM",H934,0)</f>
        <v>0</v>
      </c>
      <c r="Y934" s="21" t="s">
        <v>612</v>
      </c>
      <c r="AI934" s="28">
        <f>SUM(Z935:Z935)</f>
        <v>0</v>
      </c>
      <c r="AJ934" s="28">
        <f>SUM(AA935:AA935)</f>
        <v>0</v>
      </c>
      <c r="AK934" s="28">
        <f>SUM(AB935:AB935)</f>
        <v>0</v>
      </c>
    </row>
    <row r="935" spans="1:43" x14ac:dyDescent="0.25">
      <c r="A935" s="29" t="s">
        <v>623</v>
      </c>
      <c r="B935" s="29" t="s">
        <v>612</v>
      </c>
      <c r="C935" s="29" t="s">
        <v>96</v>
      </c>
      <c r="D935" s="29" t="s">
        <v>97</v>
      </c>
      <c r="E935" s="29" t="s">
        <v>58</v>
      </c>
      <c r="F935" s="30">
        <v>42.45</v>
      </c>
      <c r="G935" s="317">
        <v>0</v>
      </c>
      <c r="H935" s="30">
        <f>ROUND(F935*AE935,2)</f>
        <v>0</v>
      </c>
      <c r="I935" s="30">
        <f>J935-H935</f>
        <v>0</v>
      </c>
      <c r="J935" s="30">
        <f>ROUND(F935*G935,2)</f>
        <v>0</v>
      </c>
      <c r="K935" s="30">
        <v>6.4999999999999997E-4</v>
      </c>
      <c r="L935" s="30">
        <f>F935*K935</f>
        <v>2.7592499999999999E-2</v>
      </c>
      <c r="M935" s="31" t="s">
        <v>2292</v>
      </c>
      <c r="N935" s="31" t="s">
        <v>59</v>
      </c>
      <c r="O935" s="30">
        <f>IF(N935="5",I935,0)</f>
        <v>0</v>
      </c>
      <c r="Z935" s="30">
        <f>IF(AD935=0,J935,0)</f>
        <v>0</v>
      </c>
      <c r="AA935" s="30">
        <f>IF(AD935=15,J935,0)</f>
        <v>0</v>
      </c>
      <c r="AB935" s="30">
        <f>IF(AD935=21,J935,0)</f>
        <v>0</v>
      </c>
      <c r="AD935" s="32">
        <v>21</v>
      </c>
      <c r="AE935" s="32">
        <f>G935*0.333747476316198</f>
        <v>0</v>
      </c>
      <c r="AF935" s="32">
        <f>G935*(1-0.333747476316198)</f>
        <v>0</v>
      </c>
      <c r="AM935" s="32">
        <f>F935*AE935</f>
        <v>0</v>
      </c>
      <c r="AN935" s="32">
        <f>F935*AF935</f>
        <v>0</v>
      </c>
      <c r="AO935" s="33" t="s">
        <v>98</v>
      </c>
      <c r="AP935" s="33" t="s">
        <v>92</v>
      </c>
      <c r="AQ935" s="21" t="s">
        <v>614</v>
      </c>
    </row>
    <row r="936" spans="1:43" x14ac:dyDescent="0.25">
      <c r="A936" s="26"/>
      <c r="B936" s="27" t="s">
        <v>624</v>
      </c>
      <c r="C936" s="27"/>
      <c r="D936" s="338" t="s">
        <v>624</v>
      </c>
      <c r="E936" s="339"/>
      <c r="F936" s="339"/>
      <c r="G936" s="339"/>
      <c r="H936" s="28">
        <f>H937+H944+H946+H948+H950+H952</f>
        <v>0</v>
      </c>
      <c r="I936" s="28">
        <f>I937+I944+I946+I948+I950+I952</f>
        <v>0</v>
      </c>
      <c r="J936" s="28">
        <f>H936+I936</f>
        <v>0</v>
      </c>
      <c r="K936" s="21"/>
      <c r="L936" s="28">
        <f>L937+L944+L946+L948+L950+L952</f>
        <v>2.7568397</v>
      </c>
      <c r="M936" s="21"/>
    </row>
    <row r="937" spans="1:43" x14ac:dyDescent="0.25">
      <c r="A937" s="26"/>
      <c r="B937" s="27" t="s">
        <v>624</v>
      </c>
      <c r="C937" s="27" t="s">
        <v>52</v>
      </c>
      <c r="D937" s="338" t="s">
        <v>53</v>
      </c>
      <c r="E937" s="339"/>
      <c r="F937" s="339"/>
      <c r="G937" s="339"/>
      <c r="H937" s="28">
        <f>SUM(H938:H942)</f>
        <v>0</v>
      </c>
      <c r="I937" s="28">
        <f>SUM(I938:I942)</f>
        <v>0</v>
      </c>
      <c r="J937" s="28">
        <f>H937+I937</f>
        <v>0</v>
      </c>
      <c r="K937" s="21"/>
      <c r="L937" s="28">
        <f>SUM(L938:L942)</f>
        <v>1.3204256999999999</v>
      </c>
      <c r="M937" s="21"/>
      <c r="P937" s="28">
        <f>IF(Q937="PR",J937,SUM(O938:O942))</f>
        <v>0</v>
      </c>
      <c r="Q937" s="21" t="s">
        <v>54</v>
      </c>
      <c r="R937" s="28">
        <f>IF(Q937="HS",H937,0)</f>
        <v>0</v>
      </c>
      <c r="S937" s="28">
        <f>IF(Q937="HS",I937-P937,0)</f>
        <v>0</v>
      </c>
      <c r="T937" s="28">
        <f>IF(Q937="PS",H937,0)</f>
        <v>0</v>
      </c>
      <c r="U937" s="28">
        <f>IF(Q937="PS",I937-P937,0)</f>
        <v>0</v>
      </c>
      <c r="V937" s="28">
        <f>IF(Q937="MP",H937,0)</f>
        <v>0</v>
      </c>
      <c r="W937" s="28">
        <f>IF(Q937="MP",I937-P937,0)</f>
        <v>0</v>
      </c>
      <c r="X937" s="28">
        <f>IF(Q937="OM",H937,0)</f>
        <v>0</v>
      </c>
      <c r="Y937" s="21" t="s">
        <v>624</v>
      </c>
      <c r="AI937" s="28">
        <f>SUM(Z938:Z942)</f>
        <v>0</v>
      </c>
      <c r="AJ937" s="28">
        <f>SUM(AA938:AA942)</f>
        <v>0</v>
      </c>
      <c r="AK937" s="28">
        <f>SUM(AB938:AB942)</f>
        <v>0</v>
      </c>
    </row>
    <row r="938" spans="1:43" x14ac:dyDescent="0.25">
      <c r="A938" s="29" t="s">
        <v>625</v>
      </c>
      <c r="B938" s="29" t="s">
        <v>624</v>
      </c>
      <c r="C938" s="29" t="s">
        <v>66</v>
      </c>
      <c r="D938" s="29" t="s">
        <v>67</v>
      </c>
      <c r="E938" s="29" t="s">
        <v>58</v>
      </c>
      <c r="F938" s="30">
        <v>25.52</v>
      </c>
      <c r="G938" s="317">
        <v>0</v>
      </c>
      <c r="H938" s="30">
        <f>ROUND(F938*AE938,2)</f>
        <v>0</v>
      </c>
      <c r="I938" s="30">
        <f>J938-H938</f>
        <v>0</v>
      </c>
      <c r="J938" s="30">
        <f>ROUND(F938*G938,2)</f>
        <v>0</v>
      </c>
      <c r="K938" s="30">
        <v>9.8399999999999998E-3</v>
      </c>
      <c r="L938" s="30">
        <f>F938*K938</f>
        <v>0.25111679999999997</v>
      </c>
      <c r="M938" s="31" t="s">
        <v>2292</v>
      </c>
      <c r="N938" s="31" t="s">
        <v>59</v>
      </c>
      <c r="O938" s="30">
        <f>IF(N938="5",I938,0)</f>
        <v>0</v>
      </c>
      <c r="Z938" s="30">
        <f>IF(AD938=0,J938,0)</f>
        <v>0</v>
      </c>
      <c r="AA938" s="30">
        <f>IF(AD938=15,J938,0)</f>
        <v>0</v>
      </c>
      <c r="AB938" s="30">
        <f>IF(AD938=21,J938,0)</f>
        <v>0</v>
      </c>
      <c r="AD938" s="32">
        <v>21</v>
      </c>
      <c r="AE938" s="32">
        <f>G938*0.160304682766381</f>
        <v>0</v>
      </c>
      <c r="AF938" s="32">
        <f>G938*(1-0.160304682766381)</f>
        <v>0</v>
      </c>
      <c r="AM938" s="32">
        <f>F938*AE938</f>
        <v>0</v>
      </c>
      <c r="AN938" s="32">
        <f>F938*AF938</f>
        <v>0</v>
      </c>
      <c r="AO938" s="33" t="s">
        <v>60</v>
      </c>
      <c r="AP938" s="33" t="s">
        <v>61</v>
      </c>
      <c r="AQ938" s="21" t="s">
        <v>626</v>
      </c>
    </row>
    <row r="939" spans="1:43" ht="25.7" customHeight="1" x14ac:dyDescent="0.25">
      <c r="C939" s="34" t="s">
        <v>63</v>
      </c>
      <c r="D939" s="340" t="s">
        <v>64</v>
      </c>
      <c r="E939" s="341"/>
      <c r="F939" s="341"/>
      <c r="G939" s="341"/>
      <c r="H939" s="341"/>
      <c r="I939" s="341"/>
      <c r="J939" s="341"/>
      <c r="K939" s="341"/>
      <c r="L939" s="341"/>
      <c r="M939" s="341"/>
    </row>
    <row r="940" spans="1:43" x14ac:dyDescent="0.25">
      <c r="A940" s="29" t="s">
        <v>627</v>
      </c>
      <c r="B940" s="29" t="s">
        <v>624</v>
      </c>
      <c r="C940" s="29" t="s">
        <v>56</v>
      </c>
      <c r="D940" s="29" t="s">
        <v>57</v>
      </c>
      <c r="E940" s="29" t="s">
        <v>58</v>
      </c>
      <c r="F940" s="30">
        <v>67.319999999999993</v>
      </c>
      <c r="G940" s="317">
        <v>0</v>
      </c>
      <c r="H940" s="30">
        <f>ROUND(F940*AE940,2)</f>
        <v>0</v>
      </c>
      <c r="I940" s="30">
        <f>J940-H940</f>
        <v>0</v>
      </c>
      <c r="J940" s="30">
        <f>ROUND(F940*G940,2)</f>
        <v>0</v>
      </c>
      <c r="K940" s="30">
        <v>1.001E-2</v>
      </c>
      <c r="L940" s="30">
        <f>F940*K940</f>
        <v>0.67387319999999995</v>
      </c>
      <c r="M940" s="31" t="s">
        <v>2292</v>
      </c>
      <c r="N940" s="31" t="s">
        <v>59</v>
      </c>
      <c r="O940" s="30">
        <f>IF(N940="5",I940,0)</f>
        <v>0</v>
      </c>
      <c r="Z940" s="30">
        <f>IF(AD940=0,J940,0)</f>
        <v>0</v>
      </c>
      <c r="AA940" s="30">
        <f>IF(AD940=15,J940,0)</f>
        <v>0</v>
      </c>
      <c r="AB940" s="30">
        <f>IF(AD940=21,J940,0)</f>
        <v>0</v>
      </c>
      <c r="AD940" s="32">
        <v>21</v>
      </c>
      <c r="AE940" s="32">
        <f>G940*0.0756575801052128</f>
        <v>0</v>
      </c>
      <c r="AF940" s="32">
        <f>G940*(1-0.0756575801052128)</f>
        <v>0</v>
      </c>
      <c r="AM940" s="32">
        <f>F940*AE940</f>
        <v>0</v>
      </c>
      <c r="AN940" s="32">
        <f>F940*AF940</f>
        <v>0</v>
      </c>
      <c r="AO940" s="33" t="s">
        <v>60</v>
      </c>
      <c r="AP940" s="33" t="s">
        <v>61</v>
      </c>
      <c r="AQ940" s="21" t="s">
        <v>626</v>
      </c>
    </row>
    <row r="941" spans="1:43" ht="25.7" customHeight="1" x14ac:dyDescent="0.25">
      <c r="C941" s="34" t="s">
        <v>63</v>
      </c>
      <c r="D941" s="340" t="s">
        <v>64</v>
      </c>
      <c r="E941" s="341"/>
      <c r="F941" s="341"/>
      <c r="G941" s="341"/>
      <c r="H941" s="341"/>
      <c r="I941" s="341"/>
      <c r="J941" s="341"/>
      <c r="K941" s="341"/>
      <c r="L941" s="341"/>
      <c r="M941" s="341"/>
    </row>
    <row r="942" spans="1:43" x14ac:dyDescent="0.25">
      <c r="A942" s="29" t="s">
        <v>628</v>
      </c>
      <c r="B942" s="29" t="s">
        <v>624</v>
      </c>
      <c r="C942" s="29" t="s">
        <v>156</v>
      </c>
      <c r="D942" s="29" t="s">
        <v>2279</v>
      </c>
      <c r="E942" s="29" t="s">
        <v>58</v>
      </c>
      <c r="F942" s="30">
        <v>19.47</v>
      </c>
      <c r="G942" s="317">
        <v>0</v>
      </c>
      <c r="H942" s="30">
        <f>ROUND(F942*AE942,2)</f>
        <v>0</v>
      </c>
      <c r="I942" s="30">
        <f>J942-H942</f>
        <v>0</v>
      </c>
      <c r="J942" s="30">
        <f>ROUND(F942*G942,2)</f>
        <v>0</v>
      </c>
      <c r="K942" s="30">
        <v>2.0310000000000002E-2</v>
      </c>
      <c r="L942" s="30">
        <f>F942*K942</f>
        <v>0.3954357</v>
      </c>
      <c r="M942" s="31" t="s">
        <v>2292</v>
      </c>
      <c r="N942" s="31" t="s">
        <v>55</v>
      </c>
      <c r="O942" s="30">
        <f>IF(N942="5",I942,0)</f>
        <v>0</v>
      </c>
      <c r="Z942" s="30">
        <f>IF(AD942=0,J942,0)</f>
        <v>0</v>
      </c>
      <c r="AA942" s="30">
        <f>IF(AD942=15,J942,0)</f>
        <v>0</v>
      </c>
      <c r="AB942" s="30">
        <f>IF(AD942=21,J942,0)</f>
        <v>0</v>
      </c>
      <c r="AD942" s="32">
        <v>21</v>
      </c>
      <c r="AE942" s="32">
        <f>G942*0.423217647685695</f>
        <v>0</v>
      </c>
      <c r="AF942" s="32">
        <f>G942*(1-0.423217647685695)</f>
        <v>0</v>
      </c>
      <c r="AM942" s="32">
        <f>F942*AE942</f>
        <v>0</v>
      </c>
      <c r="AN942" s="32">
        <f>F942*AF942</f>
        <v>0</v>
      </c>
      <c r="AO942" s="33" t="s">
        <v>60</v>
      </c>
      <c r="AP942" s="33" t="s">
        <v>61</v>
      </c>
      <c r="AQ942" s="21" t="s">
        <v>626</v>
      </c>
    </row>
    <row r="943" spans="1:43" ht="25.7" customHeight="1" x14ac:dyDescent="0.25">
      <c r="C943" s="34" t="s">
        <v>63</v>
      </c>
      <c r="D943" s="340" t="s">
        <v>157</v>
      </c>
      <c r="E943" s="341"/>
      <c r="F943" s="341"/>
      <c r="G943" s="341"/>
      <c r="H943" s="341"/>
      <c r="I943" s="341"/>
      <c r="J943" s="341"/>
      <c r="K943" s="341"/>
      <c r="L943" s="341"/>
      <c r="M943" s="341"/>
    </row>
    <row r="944" spans="1:43" x14ac:dyDescent="0.25">
      <c r="A944" s="26"/>
      <c r="B944" s="27" t="s">
        <v>624</v>
      </c>
      <c r="C944" s="27" t="s">
        <v>68</v>
      </c>
      <c r="D944" s="338" t="s">
        <v>69</v>
      </c>
      <c r="E944" s="339"/>
      <c r="F944" s="339"/>
      <c r="G944" s="339"/>
      <c r="H944" s="28">
        <f>SUM(H945:H945)</f>
        <v>0</v>
      </c>
      <c r="I944" s="28">
        <f>SUM(I945:I945)</f>
        <v>0</v>
      </c>
      <c r="J944" s="28">
        <f>H944+I944</f>
        <v>0</v>
      </c>
      <c r="K944" s="21"/>
      <c r="L944" s="28">
        <f>SUM(L945:L945)</f>
        <v>1.2719168000000001</v>
      </c>
      <c r="M944" s="21"/>
      <c r="P944" s="28">
        <f>IF(Q944="PR",J944,SUM(O945:O945))</f>
        <v>0</v>
      </c>
      <c r="Q944" s="21" t="s">
        <v>54</v>
      </c>
      <c r="R944" s="28">
        <f>IF(Q944="HS",H944,0)</f>
        <v>0</v>
      </c>
      <c r="S944" s="28">
        <f>IF(Q944="HS",I944-P944,0)</f>
        <v>0</v>
      </c>
      <c r="T944" s="28">
        <f>IF(Q944="PS",H944,0)</f>
        <v>0</v>
      </c>
      <c r="U944" s="28">
        <f>IF(Q944="PS",I944-P944,0)</f>
        <v>0</v>
      </c>
      <c r="V944" s="28">
        <f>IF(Q944="MP",H944,0)</f>
        <v>0</v>
      </c>
      <c r="W944" s="28">
        <f>IF(Q944="MP",I944-P944,0)</f>
        <v>0</v>
      </c>
      <c r="X944" s="28">
        <f>IF(Q944="OM",H944,0)</f>
        <v>0</v>
      </c>
      <c r="Y944" s="21" t="s">
        <v>624</v>
      </c>
      <c r="AI944" s="28">
        <f>SUM(Z945:Z945)</f>
        <v>0</v>
      </c>
      <c r="AJ944" s="28">
        <f>SUM(AA945:AA945)</f>
        <v>0</v>
      </c>
      <c r="AK944" s="28">
        <f>SUM(AB945:AB945)</f>
        <v>0</v>
      </c>
    </row>
    <row r="945" spans="1:43" x14ac:dyDescent="0.25">
      <c r="A945" s="29" t="s">
        <v>629</v>
      </c>
      <c r="B945" s="29" t="s">
        <v>624</v>
      </c>
      <c r="C945" s="29" t="s">
        <v>70</v>
      </c>
      <c r="D945" s="29" t="s">
        <v>71</v>
      </c>
      <c r="E945" s="29" t="s">
        <v>58</v>
      </c>
      <c r="F945" s="30">
        <v>25.52</v>
      </c>
      <c r="G945" s="317">
        <v>0</v>
      </c>
      <c r="H945" s="30">
        <f>ROUND(F945*AE945,2)</f>
        <v>0</v>
      </c>
      <c r="I945" s="30">
        <f>J945-H945</f>
        <v>0</v>
      </c>
      <c r="J945" s="30">
        <f>ROUND(F945*G945,2)</f>
        <v>0</v>
      </c>
      <c r="K945" s="30">
        <v>4.9840000000000002E-2</v>
      </c>
      <c r="L945" s="30">
        <f>F945*K945</f>
        <v>1.2719168000000001</v>
      </c>
      <c r="M945" s="31" t="s">
        <v>2292</v>
      </c>
      <c r="N945" s="31" t="s">
        <v>59</v>
      </c>
      <c r="O945" s="30">
        <f>IF(N945="5",I945,0)</f>
        <v>0</v>
      </c>
      <c r="Z945" s="30">
        <f>IF(AD945=0,J945,0)</f>
        <v>0</v>
      </c>
      <c r="AA945" s="30">
        <f>IF(AD945=15,J945,0)</f>
        <v>0</v>
      </c>
      <c r="AB945" s="30">
        <f>IF(AD945=21,J945,0)</f>
        <v>0</v>
      </c>
      <c r="AD945" s="32">
        <v>21</v>
      </c>
      <c r="AE945" s="32">
        <f>G945*0.411768721414431</f>
        <v>0</v>
      </c>
      <c r="AF945" s="32">
        <f>G945*(1-0.411768721414431)</f>
        <v>0</v>
      </c>
      <c r="AM945" s="32">
        <f>F945*AE945</f>
        <v>0</v>
      </c>
      <c r="AN945" s="32">
        <f>F945*AF945</f>
        <v>0</v>
      </c>
      <c r="AO945" s="33" t="s">
        <v>72</v>
      </c>
      <c r="AP945" s="33" t="s">
        <v>61</v>
      </c>
      <c r="AQ945" s="21" t="s">
        <v>626</v>
      </c>
    </row>
    <row r="946" spans="1:43" x14ac:dyDescent="0.25">
      <c r="A946" s="26"/>
      <c r="B946" s="27" t="s">
        <v>624</v>
      </c>
      <c r="C946" s="27" t="s">
        <v>80</v>
      </c>
      <c r="D946" s="338" t="s">
        <v>81</v>
      </c>
      <c r="E946" s="339"/>
      <c r="F946" s="339"/>
      <c r="G946" s="339"/>
      <c r="H946" s="28">
        <f>SUM(H947:H947)</f>
        <v>0</v>
      </c>
      <c r="I946" s="28">
        <f>SUM(I947:I947)</f>
        <v>0</v>
      </c>
      <c r="J946" s="28">
        <f>H946+I946</f>
        <v>0</v>
      </c>
      <c r="K946" s="21"/>
      <c r="L946" s="28">
        <f>SUM(L947:L947)</f>
        <v>0.1036112</v>
      </c>
      <c r="M946" s="21"/>
      <c r="P946" s="28">
        <f>IF(Q946="PR",J946,SUM(O947:O947))</f>
        <v>0</v>
      </c>
      <c r="Q946" s="21" t="s">
        <v>75</v>
      </c>
      <c r="R946" s="28">
        <f>IF(Q946="HS",H946,0)</f>
        <v>0</v>
      </c>
      <c r="S946" s="28">
        <f>IF(Q946="HS",I946-P946,0)</f>
        <v>0</v>
      </c>
      <c r="T946" s="28">
        <f>IF(Q946="PS",H946,0)</f>
        <v>0</v>
      </c>
      <c r="U946" s="28">
        <f>IF(Q946="PS",I946-P946,0)</f>
        <v>0</v>
      </c>
      <c r="V946" s="28">
        <f>IF(Q946="MP",H946,0)</f>
        <v>0</v>
      </c>
      <c r="W946" s="28">
        <f>IF(Q946="MP",I946-P946,0)</f>
        <v>0</v>
      </c>
      <c r="X946" s="28">
        <f>IF(Q946="OM",H946,0)</f>
        <v>0</v>
      </c>
      <c r="Y946" s="21" t="s">
        <v>624</v>
      </c>
      <c r="AI946" s="28">
        <f>SUM(Z947:Z947)</f>
        <v>0</v>
      </c>
      <c r="AJ946" s="28">
        <f>SUM(AA947:AA947)</f>
        <v>0</v>
      </c>
      <c r="AK946" s="28">
        <f>SUM(AB947:AB947)</f>
        <v>0</v>
      </c>
    </row>
    <row r="947" spans="1:43" x14ac:dyDescent="0.25">
      <c r="A947" s="29" t="s">
        <v>630</v>
      </c>
      <c r="B947" s="29" t="s">
        <v>624</v>
      </c>
      <c r="C947" s="29" t="s">
        <v>83</v>
      </c>
      <c r="D947" s="29" t="s">
        <v>84</v>
      </c>
      <c r="E947" s="29" t="s">
        <v>58</v>
      </c>
      <c r="F947" s="30">
        <v>25.52</v>
      </c>
      <c r="G947" s="317">
        <v>0</v>
      </c>
      <c r="H947" s="30">
        <f>ROUND(F947*AE947,2)</f>
        <v>0</v>
      </c>
      <c r="I947" s="30">
        <f>J947-H947</f>
        <v>0</v>
      </c>
      <c r="J947" s="30">
        <f>ROUND(F947*G947,2)</f>
        <v>0</v>
      </c>
      <c r="K947" s="30">
        <v>4.0600000000000002E-3</v>
      </c>
      <c r="L947" s="30">
        <f>F947*K947</f>
        <v>0.1036112</v>
      </c>
      <c r="M947" s="31" t="s">
        <v>2292</v>
      </c>
      <c r="N947" s="31" t="s">
        <v>59</v>
      </c>
      <c r="O947" s="30">
        <f>IF(N947="5",I947,0)</f>
        <v>0</v>
      </c>
      <c r="Z947" s="30">
        <f>IF(AD947=0,J947,0)</f>
        <v>0</v>
      </c>
      <c r="AA947" s="30">
        <f>IF(AD947=15,J947,0)</f>
        <v>0</v>
      </c>
      <c r="AB947" s="30">
        <f>IF(AD947=21,J947,0)</f>
        <v>0</v>
      </c>
      <c r="AD947" s="32">
        <v>21</v>
      </c>
      <c r="AE947" s="32">
        <f>G947*0.67230605738576</f>
        <v>0</v>
      </c>
      <c r="AF947" s="32">
        <f>G947*(1-0.67230605738576)</f>
        <v>0</v>
      </c>
      <c r="AM947" s="32">
        <f>F947*AE947</f>
        <v>0</v>
      </c>
      <c r="AN947" s="32">
        <f>F947*AF947</f>
        <v>0</v>
      </c>
      <c r="AO947" s="33" t="s">
        <v>85</v>
      </c>
      <c r="AP947" s="33" t="s">
        <v>79</v>
      </c>
      <c r="AQ947" s="21" t="s">
        <v>626</v>
      </c>
    </row>
    <row r="948" spans="1:43" x14ac:dyDescent="0.25">
      <c r="A948" s="26"/>
      <c r="B948" s="27" t="s">
        <v>624</v>
      </c>
      <c r="C948" s="27" t="s">
        <v>86</v>
      </c>
      <c r="D948" s="338" t="s">
        <v>87</v>
      </c>
      <c r="E948" s="339"/>
      <c r="F948" s="339"/>
      <c r="G948" s="339"/>
      <c r="H948" s="28">
        <f>SUM(H949:H949)</f>
        <v>0</v>
      </c>
      <c r="I948" s="28">
        <f>SUM(I949:I949)</f>
        <v>0</v>
      </c>
      <c r="J948" s="28">
        <f>H948+I948</f>
        <v>0</v>
      </c>
      <c r="K948" s="21"/>
      <c r="L948" s="28">
        <f>SUM(L949:L949)</f>
        <v>5.4000000000000001E-4</v>
      </c>
      <c r="M948" s="21"/>
      <c r="P948" s="28">
        <f>IF(Q948="PR",J948,SUM(O949:O949))</f>
        <v>0</v>
      </c>
      <c r="Q948" s="21" t="s">
        <v>75</v>
      </c>
      <c r="R948" s="28">
        <f>IF(Q948="HS",H948,0)</f>
        <v>0</v>
      </c>
      <c r="S948" s="28">
        <f>IF(Q948="HS",I948-P948,0)</f>
        <v>0</v>
      </c>
      <c r="T948" s="28">
        <f>IF(Q948="PS",H948,0)</f>
        <v>0</v>
      </c>
      <c r="U948" s="28">
        <f>IF(Q948="PS",I948-P948,0)</f>
        <v>0</v>
      </c>
      <c r="V948" s="28">
        <f>IF(Q948="MP",H948,0)</f>
        <v>0</v>
      </c>
      <c r="W948" s="28">
        <f>IF(Q948="MP",I948-P948,0)</f>
        <v>0</v>
      </c>
      <c r="X948" s="28">
        <f>IF(Q948="OM",H948,0)</f>
        <v>0</v>
      </c>
      <c r="Y948" s="21" t="s">
        <v>624</v>
      </c>
      <c r="AI948" s="28">
        <f>SUM(Z949:Z949)</f>
        <v>0</v>
      </c>
      <c r="AJ948" s="28">
        <f>SUM(AA949:AA949)</f>
        <v>0</v>
      </c>
      <c r="AK948" s="28">
        <f>SUM(AB949:AB949)</f>
        <v>0</v>
      </c>
    </row>
    <row r="949" spans="1:43" x14ac:dyDescent="0.25">
      <c r="A949" s="29" t="s">
        <v>631</v>
      </c>
      <c r="B949" s="29" t="s">
        <v>624</v>
      </c>
      <c r="C949" s="29" t="s">
        <v>89</v>
      </c>
      <c r="D949" s="29" t="s">
        <v>90</v>
      </c>
      <c r="E949" s="29" t="s">
        <v>58</v>
      </c>
      <c r="F949" s="30">
        <v>2</v>
      </c>
      <c r="G949" s="317">
        <v>0</v>
      </c>
      <c r="H949" s="30">
        <f>ROUND(F949*AE949,2)</f>
        <v>0</v>
      </c>
      <c r="I949" s="30">
        <f>J949-H949</f>
        <v>0</v>
      </c>
      <c r="J949" s="30">
        <f>ROUND(F949*G949,2)</f>
        <v>0</v>
      </c>
      <c r="K949" s="30">
        <v>2.7E-4</v>
      </c>
      <c r="L949" s="30">
        <f>F949*K949</f>
        <v>5.4000000000000001E-4</v>
      </c>
      <c r="M949" s="31" t="s">
        <v>2292</v>
      </c>
      <c r="N949" s="31" t="s">
        <v>59</v>
      </c>
      <c r="O949" s="30">
        <f>IF(N949="5",I949,0)</f>
        <v>0</v>
      </c>
      <c r="Z949" s="30">
        <f>IF(AD949=0,J949,0)</f>
        <v>0</v>
      </c>
      <c r="AA949" s="30">
        <f>IF(AD949=15,J949,0)</f>
        <v>0</v>
      </c>
      <c r="AB949" s="30">
        <f>IF(AD949=21,J949,0)</f>
        <v>0</v>
      </c>
      <c r="AD949" s="32">
        <v>21</v>
      </c>
      <c r="AE949" s="32">
        <f>G949*0.186098187625859</f>
        <v>0</v>
      </c>
      <c r="AF949" s="32">
        <f>G949*(1-0.186098187625859)</f>
        <v>0</v>
      </c>
      <c r="AM949" s="32">
        <f>F949*AE949</f>
        <v>0</v>
      </c>
      <c r="AN949" s="32">
        <f>F949*AF949</f>
        <v>0</v>
      </c>
      <c r="AO949" s="33" t="s">
        <v>91</v>
      </c>
      <c r="AP949" s="33" t="s">
        <v>92</v>
      </c>
      <c r="AQ949" s="21" t="s">
        <v>626</v>
      </c>
    </row>
    <row r="950" spans="1:43" x14ac:dyDescent="0.25">
      <c r="A950" s="26"/>
      <c r="B950" s="27" t="s">
        <v>624</v>
      </c>
      <c r="C950" s="27" t="s">
        <v>93</v>
      </c>
      <c r="D950" s="338" t="s">
        <v>94</v>
      </c>
      <c r="E950" s="339"/>
      <c r="F950" s="339"/>
      <c r="G950" s="339"/>
      <c r="H950" s="28">
        <f>SUM(H951:H951)</f>
        <v>0</v>
      </c>
      <c r="I950" s="28">
        <f>SUM(I951:I951)</f>
        <v>0</v>
      </c>
      <c r="J950" s="28">
        <f>H950+I950</f>
        <v>0</v>
      </c>
      <c r="K950" s="21"/>
      <c r="L950" s="28">
        <f>SUM(L951:L951)</f>
        <v>6.0345999999999997E-2</v>
      </c>
      <c r="M950" s="21"/>
      <c r="P950" s="28">
        <f>IF(Q950="PR",J950,SUM(O951:O951))</f>
        <v>0</v>
      </c>
      <c r="Q950" s="21" t="s">
        <v>75</v>
      </c>
      <c r="R950" s="28">
        <f>IF(Q950="HS",H950,0)</f>
        <v>0</v>
      </c>
      <c r="S950" s="28">
        <f>IF(Q950="HS",I950-P950,0)</f>
        <v>0</v>
      </c>
      <c r="T950" s="28">
        <f>IF(Q950="PS",H950,0)</f>
        <v>0</v>
      </c>
      <c r="U950" s="28">
        <f>IF(Q950="PS",I950-P950,0)</f>
        <v>0</v>
      </c>
      <c r="V950" s="28">
        <f>IF(Q950="MP",H950,0)</f>
        <v>0</v>
      </c>
      <c r="W950" s="28">
        <f>IF(Q950="MP",I950-P950,0)</f>
        <v>0</v>
      </c>
      <c r="X950" s="28">
        <f>IF(Q950="OM",H950,0)</f>
        <v>0</v>
      </c>
      <c r="Y950" s="21" t="s">
        <v>624</v>
      </c>
      <c r="AI950" s="28">
        <f>SUM(Z951:Z951)</f>
        <v>0</v>
      </c>
      <c r="AJ950" s="28">
        <f>SUM(AA951:AA951)</f>
        <v>0</v>
      </c>
      <c r="AK950" s="28">
        <f>SUM(AB951:AB951)</f>
        <v>0</v>
      </c>
    </row>
    <row r="951" spans="1:43" x14ac:dyDescent="0.25">
      <c r="A951" s="29" t="s">
        <v>632</v>
      </c>
      <c r="B951" s="29" t="s">
        <v>624</v>
      </c>
      <c r="C951" s="29" t="s">
        <v>96</v>
      </c>
      <c r="D951" s="29" t="s">
        <v>97</v>
      </c>
      <c r="E951" s="29" t="s">
        <v>58</v>
      </c>
      <c r="F951" s="30">
        <v>92.84</v>
      </c>
      <c r="G951" s="317">
        <v>0</v>
      </c>
      <c r="H951" s="30">
        <f>ROUND(F951*AE951,2)</f>
        <v>0</v>
      </c>
      <c r="I951" s="30">
        <f>J951-H951</f>
        <v>0</v>
      </c>
      <c r="J951" s="30">
        <f>ROUND(F951*G951,2)</f>
        <v>0</v>
      </c>
      <c r="K951" s="30">
        <v>6.4999999999999997E-4</v>
      </c>
      <c r="L951" s="30">
        <f>F951*K951</f>
        <v>6.0345999999999997E-2</v>
      </c>
      <c r="M951" s="31" t="s">
        <v>2292</v>
      </c>
      <c r="N951" s="31" t="s">
        <v>59</v>
      </c>
      <c r="O951" s="30">
        <f>IF(N951="5",I951,0)</f>
        <v>0</v>
      </c>
      <c r="Z951" s="30">
        <f>IF(AD951=0,J951,0)</f>
        <v>0</v>
      </c>
      <c r="AA951" s="30">
        <f>IF(AD951=15,J951,0)</f>
        <v>0</v>
      </c>
      <c r="AB951" s="30">
        <f>IF(AD951=21,J951,0)</f>
        <v>0</v>
      </c>
      <c r="AD951" s="32">
        <v>21</v>
      </c>
      <c r="AE951" s="32">
        <f>G951*0.333747476316198</f>
        <v>0</v>
      </c>
      <c r="AF951" s="32">
        <f>G951*(1-0.333747476316198)</f>
        <v>0</v>
      </c>
      <c r="AM951" s="32">
        <f>F951*AE951</f>
        <v>0</v>
      </c>
      <c r="AN951" s="32">
        <f>F951*AF951</f>
        <v>0</v>
      </c>
      <c r="AO951" s="33" t="s">
        <v>98</v>
      </c>
      <c r="AP951" s="33" t="s">
        <v>92</v>
      </c>
      <c r="AQ951" s="21" t="s">
        <v>626</v>
      </c>
    </row>
    <row r="952" spans="1:43" x14ac:dyDescent="0.25">
      <c r="A952" s="26"/>
      <c r="B952" s="27" t="s">
        <v>624</v>
      </c>
      <c r="C952" s="27" t="s">
        <v>99</v>
      </c>
      <c r="D952" s="338" t="s">
        <v>100</v>
      </c>
      <c r="E952" s="339"/>
      <c r="F952" s="339"/>
      <c r="G952" s="339"/>
      <c r="H952" s="28">
        <f>SUM(H953:H953)</f>
        <v>0</v>
      </c>
      <c r="I952" s="28">
        <f>SUM(I953:I953)</f>
        <v>0</v>
      </c>
      <c r="J952" s="28">
        <f>H952+I952</f>
        <v>0</v>
      </c>
      <c r="K952" s="21"/>
      <c r="L952" s="28">
        <f>SUM(L953:L953)</f>
        <v>0</v>
      </c>
      <c r="M952" s="21"/>
      <c r="P952" s="28">
        <f>IF(Q952="PR",J952,SUM(O953:O953))</f>
        <v>0</v>
      </c>
      <c r="Q952" s="21" t="s">
        <v>54</v>
      </c>
      <c r="R952" s="28">
        <f>IF(Q952="HS",H952,0)</f>
        <v>0</v>
      </c>
      <c r="S952" s="28">
        <f>IF(Q952="HS",I952-P952,0)</f>
        <v>0</v>
      </c>
      <c r="T952" s="28">
        <f>IF(Q952="PS",H952,0)</f>
        <v>0</v>
      </c>
      <c r="U952" s="28">
        <f>IF(Q952="PS",I952-P952,0)</f>
        <v>0</v>
      </c>
      <c r="V952" s="28">
        <f>IF(Q952="MP",H952,0)</f>
        <v>0</v>
      </c>
      <c r="W952" s="28">
        <f>IF(Q952="MP",I952-P952,0)</f>
        <v>0</v>
      </c>
      <c r="X952" s="28">
        <f>IF(Q952="OM",H952,0)</f>
        <v>0</v>
      </c>
      <c r="Y952" s="21" t="s">
        <v>624</v>
      </c>
      <c r="AI952" s="28">
        <f>SUM(Z953:Z953)</f>
        <v>0</v>
      </c>
      <c r="AJ952" s="28">
        <f>SUM(AA953:AA953)</f>
        <v>0</v>
      </c>
      <c r="AK952" s="28">
        <f>SUM(AB953:AB953)</f>
        <v>0</v>
      </c>
    </row>
    <row r="953" spans="1:43" x14ac:dyDescent="0.25">
      <c r="A953" s="29" t="s">
        <v>633</v>
      </c>
      <c r="B953" s="29" t="s">
        <v>624</v>
      </c>
      <c r="C953" s="29" t="s">
        <v>102</v>
      </c>
      <c r="D953" s="29" t="s">
        <v>103</v>
      </c>
      <c r="E953" s="29" t="s">
        <v>104</v>
      </c>
      <c r="F953" s="30">
        <v>3.6</v>
      </c>
      <c r="G953" s="317">
        <v>0</v>
      </c>
      <c r="H953" s="30">
        <f>ROUND(F953*AE953,2)</f>
        <v>0</v>
      </c>
      <c r="I953" s="30">
        <f>J953-H953</f>
        <v>0</v>
      </c>
      <c r="J953" s="30">
        <f>ROUND(F953*G953,2)</f>
        <v>0</v>
      </c>
      <c r="K953" s="30">
        <v>0</v>
      </c>
      <c r="L953" s="30">
        <f>F953*K953</f>
        <v>0</v>
      </c>
      <c r="M953" s="31" t="s">
        <v>2292</v>
      </c>
      <c r="N953" s="31" t="s">
        <v>55</v>
      </c>
      <c r="O953" s="30">
        <f>IF(N953="5",I953,0)</f>
        <v>0</v>
      </c>
      <c r="Z953" s="30">
        <f>IF(AD953=0,J953,0)</f>
        <v>0</v>
      </c>
      <c r="AA953" s="30">
        <f>IF(AD953=15,J953,0)</f>
        <v>0</v>
      </c>
      <c r="AB953" s="30">
        <f>IF(AD953=21,J953,0)</f>
        <v>0</v>
      </c>
      <c r="AD953" s="32">
        <v>21</v>
      </c>
      <c r="AE953" s="32">
        <f>G953*0</f>
        <v>0</v>
      </c>
      <c r="AF953" s="32">
        <f>G953*(1-0)</f>
        <v>0</v>
      </c>
      <c r="AM953" s="32">
        <f>F953*AE953</f>
        <v>0</v>
      </c>
      <c r="AN953" s="32">
        <f>F953*AF953</f>
        <v>0</v>
      </c>
      <c r="AO953" s="33" t="s">
        <v>105</v>
      </c>
      <c r="AP953" s="33" t="s">
        <v>106</v>
      </c>
      <c r="AQ953" s="21" t="s">
        <v>626</v>
      </c>
    </row>
    <row r="954" spans="1:43" x14ac:dyDescent="0.25">
      <c r="C954" s="34" t="s">
        <v>63</v>
      </c>
      <c r="D954" s="340" t="s">
        <v>107</v>
      </c>
      <c r="E954" s="341"/>
      <c r="F954" s="341"/>
      <c r="G954" s="341"/>
      <c r="H954" s="341"/>
      <c r="I954" s="341"/>
      <c r="J954" s="341"/>
      <c r="K954" s="341"/>
      <c r="L954" s="341"/>
      <c r="M954" s="341"/>
    </row>
    <row r="955" spans="1:43" x14ac:dyDescent="0.25">
      <c r="A955" s="26"/>
      <c r="B955" s="27" t="s">
        <v>634</v>
      </c>
      <c r="C955" s="27"/>
      <c r="D955" s="338" t="s">
        <v>634</v>
      </c>
      <c r="E955" s="339"/>
      <c r="F955" s="339"/>
      <c r="G955" s="339"/>
      <c r="H955" s="28">
        <f>H956+H958+H965+H967+H969+H972+H974+H979+H981+H983</f>
        <v>0</v>
      </c>
      <c r="I955" s="28">
        <f>I956+I958+I965+I967+I969+I972+I974+I979+I981+I983</f>
        <v>0</v>
      </c>
      <c r="J955" s="28">
        <f>H955+I955</f>
        <v>0</v>
      </c>
      <c r="K955" s="21"/>
      <c r="L955" s="28">
        <f>L956+L958+L965+L967+L969+L972+L974+L979+L981+L983</f>
        <v>3.9392837999999997</v>
      </c>
      <c r="M955" s="21"/>
    </row>
    <row r="956" spans="1:43" x14ac:dyDescent="0.25">
      <c r="A956" s="26"/>
      <c r="B956" s="27" t="s">
        <v>634</v>
      </c>
      <c r="C956" s="27" t="s">
        <v>166</v>
      </c>
      <c r="D956" s="338" t="s">
        <v>167</v>
      </c>
      <c r="E956" s="339"/>
      <c r="F956" s="339"/>
      <c r="G956" s="339"/>
      <c r="H956" s="28">
        <f>SUM(H957:H957)</f>
        <v>0</v>
      </c>
      <c r="I956" s="28">
        <f>SUM(I957:I957)</f>
        <v>0</v>
      </c>
      <c r="J956" s="28">
        <f>H956+I956</f>
        <v>0</v>
      </c>
      <c r="K956" s="21"/>
      <c r="L956" s="28">
        <f>SUM(L957:L957)</f>
        <v>5.04E-2</v>
      </c>
      <c r="M956" s="21"/>
      <c r="P956" s="28">
        <f>IF(Q956="PR",J956,SUM(O957:O957))</f>
        <v>0</v>
      </c>
      <c r="Q956" s="21" t="s">
        <v>54</v>
      </c>
      <c r="R956" s="28">
        <f>IF(Q956="HS",H956,0)</f>
        <v>0</v>
      </c>
      <c r="S956" s="28">
        <f>IF(Q956="HS",I956-P956,0)</f>
        <v>0</v>
      </c>
      <c r="T956" s="28">
        <f>IF(Q956="PS",H956,0)</f>
        <v>0</v>
      </c>
      <c r="U956" s="28">
        <f>IF(Q956="PS",I956-P956,0)</f>
        <v>0</v>
      </c>
      <c r="V956" s="28">
        <f>IF(Q956="MP",H956,0)</f>
        <v>0</v>
      </c>
      <c r="W956" s="28">
        <f>IF(Q956="MP",I956-P956,0)</f>
        <v>0</v>
      </c>
      <c r="X956" s="28">
        <f>IF(Q956="OM",H956,0)</f>
        <v>0</v>
      </c>
      <c r="Y956" s="21" t="s">
        <v>634</v>
      </c>
      <c r="AI956" s="28">
        <f>SUM(Z957:Z957)</f>
        <v>0</v>
      </c>
      <c r="AJ956" s="28">
        <f>SUM(AA957:AA957)</f>
        <v>0</v>
      </c>
      <c r="AK956" s="28">
        <f>SUM(AB957:AB957)</f>
        <v>0</v>
      </c>
    </row>
    <row r="957" spans="1:43" x14ac:dyDescent="0.25">
      <c r="A957" s="29" t="s">
        <v>635</v>
      </c>
      <c r="B957" s="29" t="s">
        <v>634</v>
      </c>
      <c r="C957" s="29" t="s">
        <v>169</v>
      </c>
      <c r="D957" s="29" t="s">
        <v>170</v>
      </c>
      <c r="E957" s="29" t="s">
        <v>58</v>
      </c>
      <c r="F957" s="30">
        <v>4.2</v>
      </c>
      <c r="G957" s="317">
        <v>0</v>
      </c>
      <c r="H957" s="30">
        <f>ROUND(F957*AE957,2)</f>
        <v>0</v>
      </c>
      <c r="I957" s="30">
        <f>J957-H957</f>
        <v>0</v>
      </c>
      <c r="J957" s="30">
        <f>ROUND(F957*G957,2)</f>
        <v>0</v>
      </c>
      <c r="K957" s="30">
        <v>1.2E-2</v>
      </c>
      <c r="L957" s="30">
        <f>F957*K957</f>
        <v>5.04E-2</v>
      </c>
      <c r="M957" s="31"/>
      <c r="N957" s="31" t="s">
        <v>55</v>
      </c>
      <c r="O957" s="30">
        <f>IF(N957="5",I957,0)</f>
        <v>0</v>
      </c>
      <c r="Z957" s="30">
        <f>IF(AD957=0,J957,0)</f>
        <v>0</v>
      </c>
      <c r="AA957" s="30">
        <f>IF(AD957=15,J957,0)</f>
        <v>0</v>
      </c>
      <c r="AB957" s="30">
        <f>IF(AD957=21,J957,0)</f>
        <v>0</v>
      </c>
      <c r="AD957" s="32">
        <v>21</v>
      </c>
      <c r="AE957" s="32">
        <f>G957*0.381443298969072</f>
        <v>0</v>
      </c>
      <c r="AF957" s="32">
        <f>G957*(1-0.381443298969072)</f>
        <v>0</v>
      </c>
      <c r="AM957" s="32">
        <f>F957*AE957</f>
        <v>0</v>
      </c>
      <c r="AN957" s="32">
        <f>F957*AF957</f>
        <v>0</v>
      </c>
      <c r="AO957" s="33" t="s">
        <v>171</v>
      </c>
      <c r="AP957" s="33" t="s">
        <v>171</v>
      </c>
      <c r="AQ957" s="21" t="s">
        <v>636</v>
      </c>
    </row>
    <row r="958" spans="1:43" x14ac:dyDescent="0.25">
      <c r="A958" s="26"/>
      <c r="B958" s="27" t="s">
        <v>634</v>
      </c>
      <c r="C958" s="27" t="s">
        <v>52</v>
      </c>
      <c r="D958" s="338" t="s">
        <v>53</v>
      </c>
      <c r="E958" s="339"/>
      <c r="F958" s="339"/>
      <c r="G958" s="339"/>
      <c r="H958" s="28">
        <f>SUM(H959:H963)</f>
        <v>0</v>
      </c>
      <c r="I958" s="28">
        <f>SUM(I959:I963)</f>
        <v>0</v>
      </c>
      <c r="J958" s="28">
        <f>H958+I958</f>
        <v>0</v>
      </c>
      <c r="K958" s="21"/>
      <c r="L958" s="28">
        <f>SUM(L959:L963)</f>
        <v>1.4672736</v>
      </c>
      <c r="M958" s="21"/>
      <c r="P958" s="28">
        <f>IF(Q958="PR",J958,SUM(O959:O963))</f>
        <v>0</v>
      </c>
      <c r="Q958" s="21" t="s">
        <v>54</v>
      </c>
      <c r="R958" s="28">
        <f>IF(Q958="HS",H958,0)</f>
        <v>0</v>
      </c>
      <c r="S958" s="28">
        <f>IF(Q958="HS",I958-P958,0)</f>
        <v>0</v>
      </c>
      <c r="T958" s="28">
        <f>IF(Q958="PS",H958,0)</f>
        <v>0</v>
      </c>
      <c r="U958" s="28">
        <f>IF(Q958="PS",I958-P958,0)</f>
        <v>0</v>
      </c>
      <c r="V958" s="28">
        <f>IF(Q958="MP",H958,0)</f>
        <v>0</v>
      </c>
      <c r="W958" s="28">
        <f>IF(Q958="MP",I958-P958,0)</f>
        <v>0</v>
      </c>
      <c r="X958" s="28">
        <f>IF(Q958="OM",H958,0)</f>
        <v>0</v>
      </c>
      <c r="Y958" s="21" t="s">
        <v>634</v>
      </c>
      <c r="AI958" s="28">
        <f>SUM(Z959:Z963)</f>
        <v>0</v>
      </c>
      <c r="AJ958" s="28">
        <f>SUM(AA959:AA963)</f>
        <v>0</v>
      </c>
      <c r="AK958" s="28">
        <f>SUM(AB959:AB963)</f>
        <v>0</v>
      </c>
    </row>
    <row r="959" spans="1:43" x14ac:dyDescent="0.25">
      <c r="A959" s="29" t="s">
        <v>637</v>
      </c>
      <c r="B959" s="29" t="s">
        <v>634</v>
      </c>
      <c r="C959" s="29" t="s">
        <v>56</v>
      </c>
      <c r="D959" s="29" t="s">
        <v>57</v>
      </c>
      <c r="E959" s="29" t="s">
        <v>58</v>
      </c>
      <c r="F959" s="30">
        <v>66.66</v>
      </c>
      <c r="G959" s="317">
        <v>0</v>
      </c>
      <c r="H959" s="30">
        <f>ROUND(F959*AE959,2)</f>
        <v>0</v>
      </c>
      <c r="I959" s="30">
        <f>J959-H959</f>
        <v>0</v>
      </c>
      <c r="J959" s="30">
        <f>ROUND(F959*G959,2)</f>
        <v>0</v>
      </c>
      <c r="K959" s="30">
        <v>1.001E-2</v>
      </c>
      <c r="L959" s="30">
        <f>F959*K959</f>
        <v>0.66726659999999993</v>
      </c>
      <c r="M959" s="31" t="s">
        <v>2292</v>
      </c>
      <c r="N959" s="31" t="s">
        <v>59</v>
      </c>
      <c r="O959" s="30">
        <f>IF(N959="5",I959,0)</f>
        <v>0</v>
      </c>
      <c r="Z959" s="30">
        <f>IF(AD959=0,J959,0)</f>
        <v>0</v>
      </c>
      <c r="AA959" s="30">
        <f>IF(AD959=15,J959,0)</f>
        <v>0</v>
      </c>
      <c r="AB959" s="30">
        <f>IF(AD959=21,J959,0)</f>
        <v>0</v>
      </c>
      <c r="AD959" s="32">
        <v>21</v>
      </c>
      <c r="AE959" s="32">
        <f>G959*0.0756575801052128</f>
        <v>0</v>
      </c>
      <c r="AF959" s="32">
        <f>G959*(1-0.0756575801052128)</f>
        <v>0</v>
      </c>
      <c r="AM959" s="32">
        <f>F959*AE959</f>
        <v>0</v>
      </c>
      <c r="AN959" s="32">
        <f>F959*AF959</f>
        <v>0</v>
      </c>
      <c r="AO959" s="33" t="s">
        <v>60</v>
      </c>
      <c r="AP959" s="33" t="s">
        <v>61</v>
      </c>
      <c r="AQ959" s="21" t="s">
        <v>636</v>
      </c>
    </row>
    <row r="960" spans="1:43" ht="25.7" customHeight="1" x14ac:dyDescent="0.25">
      <c r="C960" s="34" t="s">
        <v>63</v>
      </c>
      <c r="D960" s="340" t="s">
        <v>64</v>
      </c>
      <c r="E960" s="341"/>
      <c r="F960" s="341"/>
      <c r="G960" s="341"/>
      <c r="H960" s="341"/>
      <c r="I960" s="341"/>
      <c r="J960" s="341"/>
      <c r="K960" s="341"/>
      <c r="L960" s="341"/>
      <c r="M960" s="341"/>
    </row>
    <row r="961" spans="1:43" x14ac:dyDescent="0.25">
      <c r="A961" s="29" t="s">
        <v>638</v>
      </c>
      <c r="B961" s="29" t="s">
        <v>634</v>
      </c>
      <c r="C961" s="29" t="s">
        <v>156</v>
      </c>
      <c r="D961" s="29" t="s">
        <v>2281</v>
      </c>
      <c r="E961" s="29" t="s">
        <v>58</v>
      </c>
      <c r="F961" s="30">
        <v>29.7</v>
      </c>
      <c r="G961" s="317">
        <v>0</v>
      </c>
      <c r="H961" s="30">
        <f>ROUND(F961*AE961,2)</f>
        <v>0</v>
      </c>
      <c r="I961" s="30">
        <f>J961-H961</f>
        <v>0</v>
      </c>
      <c r="J961" s="30">
        <f>ROUND(F961*G961,2)</f>
        <v>0</v>
      </c>
      <c r="K961" s="30">
        <v>2.0310000000000002E-2</v>
      </c>
      <c r="L961" s="30">
        <f>F961*K961</f>
        <v>0.60320700000000005</v>
      </c>
      <c r="M961" s="31" t="s">
        <v>2292</v>
      </c>
      <c r="N961" s="31" t="s">
        <v>55</v>
      </c>
      <c r="O961" s="30">
        <f>IF(N961="5",I961,0)</f>
        <v>0</v>
      </c>
      <c r="Z961" s="30">
        <f>IF(AD961=0,J961,0)</f>
        <v>0</v>
      </c>
      <c r="AA961" s="30">
        <f>IF(AD961=15,J961,0)</f>
        <v>0</v>
      </c>
      <c r="AB961" s="30">
        <f>IF(AD961=21,J961,0)</f>
        <v>0</v>
      </c>
      <c r="AD961" s="32">
        <v>21</v>
      </c>
      <c r="AE961" s="32">
        <f>G961*0.423217647685695</f>
        <v>0</v>
      </c>
      <c r="AF961" s="32">
        <f>G961*(1-0.423217647685695)</f>
        <v>0</v>
      </c>
      <c r="AM961" s="32">
        <f>F961*AE961</f>
        <v>0</v>
      </c>
      <c r="AN961" s="32">
        <f>F961*AF961</f>
        <v>0</v>
      </c>
      <c r="AO961" s="33" t="s">
        <v>60</v>
      </c>
      <c r="AP961" s="33" t="s">
        <v>61</v>
      </c>
      <c r="AQ961" s="21" t="s">
        <v>636</v>
      </c>
    </row>
    <row r="962" spans="1:43" ht="25.7" customHeight="1" x14ac:dyDescent="0.25">
      <c r="C962" s="34" t="s">
        <v>63</v>
      </c>
      <c r="D962" s="340" t="s">
        <v>157</v>
      </c>
      <c r="E962" s="341"/>
      <c r="F962" s="341"/>
      <c r="G962" s="341"/>
      <c r="H962" s="341"/>
      <c r="I962" s="341"/>
      <c r="J962" s="341"/>
      <c r="K962" s="341"/>
      <c r="L962" s="341"/>
      <c r="M962" s="341"/>
    </row>
    <row r="963" spans="1:43" x14ac:dyDescent="0.25">
      <c r="A963" s="29" t="s">
        <v>639</v>
      </c>
      <c r="B963" s="29" t="s">
        <v>634</v>
      </c>
      <c r="C963" s="29" t="s">
        <v>66</v>
      </c>
      <c r="D963" s="29" t="s">
        <v>67</v>
      </c>
      <c r="E963" s="29" t="s">
        <v>58</v>
      </c>
      <c r="F963" s="30">
        <v>20</v>
      </c>
      <c r="G963" s="317">
        <v>0</v>
      </c>
      <c r="H963" s="30">
        <f>ROUND(F963*AE963,2)</f>
        <v>0</v>
      </c>
      <c r="I963" s="30">
        <f>J963-H963</f>
        <v>0</v>
      </c>
      <c r="J963" s="30">
        <f>ROUND(F963*G963,2)</f>
        <v>0</v>
      </c>
      <c r="K963" s="30">
        <v>9.8399999999999998E-3</v>
      </c>
      <c r="L963" s="30">
        <f>F963*K963</f>
        <v>0.1968</v>
      </c>
      <c r="M963" s="31" t="s">
        <v>2292</v>
      </c>
      <c r="N963" s="31" t="s">
        <v>59</v>
      </c>
      <c r="O963" s="30">
        <f>IF(N963="5",I963,0)</f>
        <v>0</v>
      </c>
      <c r="Z963" s="30">
        <f>IF(AD963=0,J963,0)</f>
        <v>0</v>
      </c>
      <c r="AA963" s="30">
        <f>IF(AD963=15,J963,0)</f>
        <v>0</v>
      </c>
      <c r="AB963" s="30">
        <f>IF(AD963=21,J963,0)</f>
        <v>0</v>
      </c>
      <c r="AD963" s="32">
        <v>21</v>
      </c>
      <c r="AE963" s="32">
        <f>G963*0.160304682766381</f>
        <v>0</v>
      </c>
      <c r="AF963" s="32">
        <f>G963*(1-0.160304682766381)</f>
        <v>0</v>
      </c>
      <c r="AM963" s="32">
        <f>F963*AE963</f>
        <v>0</v>
      </c>
      <c r="AN963" s="32">
        <f>F963*AF963</f>
        <v>0</v>
      </c>
      <c r="AO963" s="33" t="s">
        <v>60</v>
      </c>
      <c r="AP963" s="33" t="s">
        <v>61</v>
      </c>
      <c r="AQ963" s="21" t="s">
        <v>636</v>
      </c>
    </row>
    <row r="964" spans="1:43" ht="25.7" customHeight="1" x14ac:dyDescent="0.25">
      <c r="C964" s="34" t="s">
        <v>63</v>
      </c>
      <c r="D964" s="340" t="s">
        <v>64</v>
      </c>
      <c r="E964" s="341"/>
      <c r="F964" s="341"/>
      <c r="G964" s="341"/>
      <c r="H964" s="341"/>
      <c r="I964" s="341"/>
      <c r="J964" s="341"/>
      <c r="K964" s="341"/>
      <c r="L964" s="341"/>
      <c r="M964" s="341"/>
    </row>
    <row r="965" spans="1:43" x14ac:dyDescent="0.25">
      <c r="A965" s="26"/>
      <c r="B965" s="27" t="s">
        <v>634</v>
      </c>
      <c r="C965" s="27" t="s">
        <v>68</v>
      </c>
      <c r="D965" s="338" t="s">
        <v>69</v>
      </c>
      <c r="E965" s="339"/>
      <c r="F965" s="339"/>
      <c r="G965" s="339"/>
      <c r="H965" s="28">
        <f>SUM(H966:H966)</f>
        <v>0</v>
      </c>
      <c r="I965" s="28">
        <f>SUM(I966:I966)</f>
        <v>0</v>
      </c>
      <c r="J965" s="28">
        <f>H965+I965</f>
        <v>0</v>
      </c>
      <c r="K965" s="21"/>
      <c r="L965" s="28">
        <f>SUM(L966:L966)</f>
        <v>1.2061280000000001</v>
      </c>
      <c r="M965" s="21"/>
      <c r="P965" s="28">
        <f>IF(Q965="PR",J965,SUM(O966:O966))</f>
        <v>0</v>
      </c>
      <c r="Q965" s="21" t="s">
        <v>54</v>
      </c>
      <c r="R965" s="28">
        <f>IF(Q965="HS",H965,0)</f>
        <v>0</v>
      </c>
      <c r="S965" s="28">
        <f>IF(Q965="HS",I965-P965,0)</f>
        <v>0</v>
      </c>
      <c r="T965" s="28">
        <f>IF(Q965="PS",H965,0)</f>
        <v>0</v>
      </c>
      <c r="U965" s="28">
        <f>IF(Q965="PS",I965-P965,0)</f>
        <v>0</v>
      </c>
      <c r="V965" s="28">
        <f>IF(Q965="MP",H965,0)</f>
        <v>0</v>
      </c>
      <c r="W965" s="28">
        <f>IF(Q965="MP",I965-P965,0)</f>
        <v>0</v>
      </c>
      <c r="X965" s="28">
        <f>IF(Q965="OM",H965,0)</f>
        <v>0</v>
      </c>
      <c r="Y965" s="21" t="s">
        <v>634</v>
      </c>
      <c r="AI965" s="28">
        <f>SUM(Z966:Z966)</f>
        <v>0</v>
      </c>
      <c r="AJ965" s="28">
        <f>SUM(AA966:AA966)</f>
        <v>0</v>
      </c>
      <c r="AK965" s="28">
        <f>SUM(AB966:AB966)</f>
        <v>0</v>
      </c>
    </row>
    <row r="966" spans="1:43" x14ac:dyDescent="0.25">
      <c r="A966" s="29" t="s">
        <v>640</v>
      </c>
      <c r="B966" s="29" t="s">
        <v>634</v>
      </c>
      <c r="C966" s="29" t="s">
        <v>70</v>
      </c>
      <c r="D966" s="29" t="s">
        <v>71</v>
      </c>
      <c r="E966" s="29" t="s">
        <v>58</v>
      </c>
      <c r="F966" s="30">
        <v>24.2</v>
      </c>
      <c r="G966" s="317">
        <v>0</v>
      </c>
      <c r="H966" s="30">
        <f>ROUND(F966*AE966,2)</f>
        <v>0</v>
      </c>
      <c r="I966" s="30">
        <f>J966-H966</f>
        <v>0</v>
      </c>
      <c r="J966" s="30">
        <f>ROUND(F966*G966,2)</f>
        <v>0</v>
      </c>
      <c r="K966" s="30">
        <v>4.9840000000000002E-2</v>
      </c>
      <c r="L966" s="30">
        <f>F966*K966</f>
        <v>1.2061280000000001</v>
      </c>
      <c r="M966" s="31" t="s">
        <v>2292</v>
      </c>
      <c r="N966" s="31" t="s">
        <v>59</v>
      </c>
      <c r="O966" s="30">
        <f>IF(N966="5",I966,0)</f>
        <v>0</v>
      </c>
      <c r="Z966" s="30">
        <f>IF(AD966=0,J966,0)</f>
        <v>0</v>
      </c>
      <c r="AA966" s="30">
        <f>IF(AD966=15,J966,0)</f>
        <v>0</v>
      </c>
      <c r="AB966" s="30">
        <f>IF(AD966=21,J966,0)</f>
        <v>0</v>
      </c>
      <c r="AD966" s="32">
        <v>21</v>
      </c>
      <c r="AE966" s="32">
        <f>G966*0.411768721414431</f>
        <v>0</v>
      </c>
      <c r="AF966" s="32">
        <f>G966*(1-0.411768721414431)</f>
        <v>0</v>
      </c>
      <c r="AM966" s="32">
        <f>F966*AE966</f>
        <v>0</v>
      </c>
      <c r="AN966" s="32">
        <f>F966*AF966</f>
        <v>0</v>
      </c>
      <c r="AO966" s="33" t="s">
        <v>72</v>
      </c>
      <c r="AP966" s="33" t="s">
        <v>61</v>
      </c>
      <c r="AQ966" s="21" t="s">
        <v>636</v>
      </c>
    </row>
    <row r="967" spans="1:43" x14ac:dyDescent="0.25">
      <c r="A967" s="26"/>
      <c r="B967" s="27" t="s">
        <v>634</v>
      </c>
      <c r="C967" s="27" t="s">
        <v>527</v>
      </c>
      <c r="D967" s="338" t="s">
        <v>528</v>
      </c>
      <c r="E967" s="339"/>
      <c r="F967" s="339"/>
      <c r="G967" s="339"/>
      <c r="H967" s="28">
        <f>SUM(H968:H968)</f>
        <v>0</v>
      </c>
      <c r="I967" s="28">
        <f>SUM(I968:I968)</f>
        <v>0</v>
      </c>
      <c r="J967" s="28">
        <f>H967+I967</f>
        <v>0</v>
      </c>
      <c r="K967" s="21"/>
      <c r="L967" s="28">
        <f>SUM(L968:L968)</f>
        <v>3.8280000000000002E-2</v>
      </c>
      <c r="M967" s="21"/>
      <c r="P967" s="28">
        <f>IF(Q967="PR",J967,SUM(O968:O968))</f>
        <v>0</v>
      </c>
      <c r="Q967" s="21" t="s">
        <v>75</v>
      </c>
      <c r="R967" s="28">
        <f>IF(Q967="HS",H967,0)</f>
        <v>0</v>
      </c>
      <c r="S967" s="28">
        <f>IF(Q967="HS",I967-P967,0)</f>
        <v>0</v>
      </c>
      <c r="T967" s="28">
        <f>IF(Q967="PS",H967,0)</f>
        <v>0</v>
      </c>
      <c r="U967" s="28">
        <f>IF(Q967="PS",I967-P967,0)</f>
        <v>0</v>
      </c>
      <c r="V967" s="28">
        <f>IF(Q967="MP",H967,0)</f>
        <v>0</v>
      </c>
      <c r="W967" s="28">
        <f>IF(Q967="MP",I967-P967,0)</f>
        <v>0</v>
      </c>
      <c r="X967" s="28">
        <f>IF(Q967="OM",H967,0)</f>
        <v>0</v>
      </c>
      <c r="Y967" s="21" t="s">
        <v>634</v>
      </c>
      <c r="AI967" s="28">
        <f>SUM(Z968:Z968)</f>
        <v>0</v>
      </c>
      <c r="AJ967" s="28">
        <f>SUM(AA968:AA968)</f>
        <v>0</v>
      </c>
      <c r="AK967" s="28">
        <f>SUM(AB968:AB968)</f>
        <v>0</v>
      </c>
    </row>
    <row r="968" spans="1:43" x14ac:dyDescent="0.25">
      <c r="A968" s="29" t="s">
        <v>641</v>
      </c>
      <c r="B968" s="29" t="s">
        <v>634</v>
      </c>
      <c r="C968" s="29" t="s">
        <v>530</v>
      </c>
      <c r="D968" s="29" t="s">
        <v>531</v>
      </c>
      <c r="E968" s="29" t="s">
        <v>113</v>
      </c>
      <c r="F968" s="30">
        <v>1</v>
      </c>
      <c r="G968" s="317">
        <v>0</v>
      </c>
      <c r="H968" s="30">
        <f>ROUND(F968*AE968,2)</f>
        <v>0</v>
      </c>
      <c r="I968" s="30">
        <f>J968-H968</f>
        <v>0</v>
      </c>
      <c r="J968" s="30">
        <f>ROUND(F968*G968,2)</f>
        <v>0</v>
      </c>
      <c r="K968" s="30">
        <v>3.8280000000000002E-2</v>
      </c>
      <c r="L968" s="30">
        <f>F968*K968</f>
        <v>3.8280000000000002E-2</v>
      </c>
      <c r="M968" s="31" t="s">
        <v>2292</v>
      </c>
      <c r="N968" s="31" t="s">
        <v>59</v>
      </c>
      <c r="O968" s="30">
        <f>IF(N968="5",I968,0)</f>
        <v>0</v>
      </c>
      <c r="Z968" s="30">
        <f>IF(AD968=0,J968,0)</f>
        <v>0</v>
      </c>
      <c r="AA968" s="30">
        <f>IF(AD968=15,J968,0)</f>
        <v>0</v>
      </c>
      <c r="AB968" s="30">
        <f>IF(AD968=21,J968,0)</f>
        <v>0</v>
      </c>
      <c r="AD968" s="32">
        <v>21</v>
      </c>
      <c r="AE968" s="32">
        <f>G968*0.877792075647468</f>
        <v>0</v>
      </c>
      <c r="AF968" s="32">
        <f>G968*(1-0.877792075647468)</f>
        <v>0</v>
      </c>
      <c r="AM968" s="32">
        <f>F968*AE968</f>
        <v>0</v>
      </c>
      <c r="AN968" s="32">
        <f>F968*AF968</f>
        <v>0</v>
      </c>
      <c r="AO968" s="33" t="s">
        <v>532</v>
      </c>
      <c r="AP968" s="33" t="s">
        <v>533</v>
      </c>
      <c r="AQ968" s="21" t="s">
        <v>636</v>
      </c>
    </row>
    <row r="969" spans="1:43" x14ac:dyDescent="0.25">
      <c r="A969" s="26"/>
      <c r="B969" s="27" t="s">
        <v>634</v>
      </c>
      <c r="C969" s="27" t="s">
        <v>73</v>
      </c>
      <c r="D969" s="338" t="s">
        <v>74</v>
      </c>
      <c r="E969" s="339"/>
      <c r="F969" s="339"/>
      <c r="G969" s="339"/>
      <c r="H969" s="28">
        <f>SUM(H970:H970)</f>
        <v>0</v>
      </c>
      <c r="I969" s="28">
        <f>SUM(I970:I970)</f>
        <v>0</v>
      </c>
      <c r="J969" s="28">
        <f>H969+I969</f>
        <v>0</v>
      </c>
      <c r="K969" s="21"/>
      <c r="L969" s="28">
        <f>SUM(L970:L970)</f>
        <v>0.38961999999999997</v>
      </c>
      <c r="M969" s="21"/>
      <c r="P969" s="28">
        <f>IF(Q969="PR",J969,SUM(O970:O970))</f>
        <v>0</v>
      </c>
      <c r="Q969" s="21" t="s">
        <v>75</v>
      </c>
      <c r="R969" s="28">
        <f>IF(Q969="HS",H969,0)</f>
        <v>0</v>
      </c>
      <c r="S969" s="28">
        <f>IF(Q969="HS",I969-P969,0)</f>
        <v>0</v>
      </c>
      <c r="T969" s="28">
        <f>IF(Q969="PS",H969,0)</f>
        <v>0</v>
      </c>
      <c r="U969" s="28">
        <f>IF(Q969="PS",I969-P969,0)</f>
        <v>0</v>
      </c>
      <c r="V969" s="28">
        <f>IF(Q969="MP",H969,0)</f>
        <v>0</v>
      </c>
      <c r="W969" s="28">
        <f>IF(Q969="MP",I969-P969,0)</f>
        <v>0</v>
      </c>
      <c r="X969" s="28">
        <f>IF(Q969="OM",H969,0)</f>
        <v>0</v>
      </c>
      <c r="Y969" s="21" t="s">
        <v>634</v>
      </c>
      <c r="AI969" s="28">
        <f>SUM(Z970:Z970)</f>
        <v>0</v>
      </c>
      <c r="AJ969" s="28">
        <f>SUM(AA970:AA970)</f>
        <v>0</v>
      </c>
      <c r="AK969" s="28">
        <f>SUM(AB970:AB970)</f>
        <v>0</v>
      </c>
    </row>
    <row r="970" spans="1:43" x14ac:dyDescent="0.25">
      <c r="A970" s="29" t="s">
        <v>642</v>
      </c>
      <c r="B970" s="29" t="s">
        <v>634</v>
      </c>
      <c r="C970" s="29" t="s">
        <v>77</v>
      </c>
      <c r="D970" s="29" t="s">
        <v>2278</v>
      </c>
      <c r="E970" s="29" t="s">
        <v>58</v>
      </c>
      <c r="F970" s="30">
        <v>24.2</v>
      </c>
      <c r="G970" s="317">
        <v>0</v>
      </c>
      <c r="H970" s="30">
        <f>ROUND(F970*AE970,2)</f>
        <v>0</v>
      </c>
      <c r="I970" s="30">
        <f>J970-H970</f>
        <v>0</v>
      </c>
      <c r="J970" s="30">
        <f>ROUND(F970*G970,2)</f>
        <v>0</v>
      </c>
      <c r="K970" s="30">
        <v>1.61E-2</v>
      </c>
      <c r="L970" s="30">
        <f>F970*K970</f>
        <v>0.38961999999999997</v>
      </c>
      <c r="M970" s="31" t="s">
        <v>2292</v>
      </c>
      <c r="N970" s="31" t="s">
        <v>59</v>
      </c>
      <c r="O970" s="30">
        <f>IF(N970="5",I970,0)</f>
        <v>0</v>
      </c>
      <c r="Z970" s="30">
        <f>IF(AD970=0,J970,0)</f>
        <v>0</v>
      </c>
      <c r="AA970" s="30">
        <f>IF(AD970=15,J970,0)</f>
        <v>0</v>
      </c>
      <c r="AB970" s="30">
        <f>IF(AD970=21,J970,0)</f>
        <v>0</v>
      </c>
      <c r="AD970" s="32">
        <v>21</v>
      </c>
      <c r="AE970" s="32">
        <f>G970*0.787221324717286</f>
        <v>0</v>
      </c>
      <c r="AF970" s="32">
        <f>G970*(1-0.787221324717286)</f>
        <v>0</v>
      </c>
      <c r="AM970" s="32">
        <f>F970*AE970</f>
        <v>0</v>
      </c>
      <c r="AN970" s="32">
        <f>F970*AF970</f>
        <v>0</v>
      </c>
      <c r="AO970" s="33" t="s">
        <v>78</v>
      </c>
      <c r="AP970" s="33" t="s">
        <v>79</v>
      </c>
      <c r="AQ970" s="21" t="s">
        <v>636</v>
      </c>
    </row>
    <row r="971" spans="1:43" ht="12.75" customHeight="1" x14ac:dyDescent="0.25">
      <c r="C971" s="34" t="s">
        <v>63</v>
      </c>
      <c r="D971" s="340" t="s">
        <v>2280</v>
      </c>
      <c r="E971" s="341"/>
      <c r="F971" s="341"/>
      <c r="G971" s="341"/>
      <c r="H971" s="341"/>
      <c r="I971" s="341"/>
      <c r="J971" s="341"/>
      <c r="K971" s="341"/>
      <c r="L971" s="341"/>
      <c r="M971" s="341"/>
    </row>
    <row r="972" spans="1:43" x14ac:dyDescent="0.25">
      <c r="A972" s="26"/>
      <c r="B972" s="27" t="s">
        <v>634</v>
      </c>
      <c r="C972" s="27" t="s">
        <v>80</v>
      </c>
      <c r="D972" s="338" t="s">
        <v>81</v>
      </c>
      <c r="E972" s="339"/>
      <c r="F972" s="339"/>
      <c r="G972" s="339"/>
      <c r="H972" s="28">
        <f>SUM(H973:H973)</f>
        <v>0</v>
      </c>
      <c r="I972" s="28">
        <f>SUM(I973:I973)</f>
        <v>0</v>
      </c>
      <c r="J972" s="28">
        <f>H972+I972</f>
        <v>0</v>
      </c>
      <c r="K972" s="21"/>
      <c r="L972" s="28">
        <f>SUM(L973:L973)</f>
        <v>8.1200000000000008E-2</v>
      </c>
      <c r="M972" s="21"/>
      <c r="P972" s="28">
        <f>IF(Q972="PR",J972,SUM(O973:O973))</f>
        <v>0</v>
      </c>
      <c r="Q972" s="21" t="s">
        <v>75</v>
      </c>
      <c r="R972" s="28">
        <f>IF(Q972="HS",H972,0)</f>
        <v>0</v>
      </c>
      <c r="S972" s="28">
        <f>IF(Q972="HS",I972-P972,0)</f>
        <v>0</v>
      </c>
      <c r="T972" s="28">
        <f>IF(Q972="PS",H972,0)</f>
        <v>0</v>
      </c>
      <c r="U972" s="28">
        <f>IF(Q972="PS",I972-P972,0)</f>
        <v>0</v>
      </c>
      <c r="V972" s="28">
        <f>IF(Q972="MP",H972,0)</f>
        <v>0</v>
      </c>
      <c r="W972" s="28">
        <f>IF(Q972="MP",I972-P972,0)</f>
        <v>0</v>
      </c>
      <c r="X972" s="28">
        <f>IF(Q972="OM",H972,0)</f>
        <v>0</v>
      </c>
      <c r="Y972" s="21" t="s">
        <v>634</v>
      </c>
      <c r="AI972" s="28">
        <f>SUM(Z973:Z973)</f>
        <v>0</v>
      </c>
      <c r="AJ972" s="28">
        <f>SUM(AA973:AA973)</f>
        <v>0</v>
      </c>
      <c r="AK972" s="28">
        <f>SUM(AB973:AB973)</f>
        <v>0</v>
      </c>
    </row>
    <row r="973" spans="1:43" x14ac:dyDescent="0.25">
      <c r="A973" s="29" t="s">
        <v>643</v>
      </c>
      <c r="B973" s="29" t="s">
        <v>634</v>
      </c>
      <c r="C973" s="29" t="s">
        <v>83</v>
      </c>
      <c r="D973" s="29" t="s">
        <v>84</v>
      </c>
      <c r="E973" s="29" t="s">
        <v>58</v>
      </c>
      <c r="F973" s="30">
        <v>20</v>
      </c>
      <c r="G973" s="317">
        <v>0</v>
      </c>
      <c r="H973" s="30">
        <f>ROUND(F973*AE973,2)</f>
        <v>0</v>
      </c>
      <c r="I973" s="30">
        <f>J973-H973</f>
        <v>0</v>
      </c>
      <c r="J973" s="30">
        <f>ROUND(F973*G973,2)</f>
        <v>0</v>
      </c>
      <c r="K973" s="30">
        <v>4.0600000000000002E-3</v>
      </c>
      <c r="L973" s="30">
        <f>F973*K973</f>
        <v>8.1200000000000008E-2</v>
      </c>
      <c r="M973" s="31" t="s">
        <v>2292</v>
      </c>
      <c r="N973" s="31" t="s">
        <v>59</v>
      </c>
      <c r="O973" s="30">
        <f>IF(N973="5",I973,0)</f>
        <v>0</v>
      </c>
      <c r="Z973" s="30">
        <f>IF(AD973=0,J973,0)</f>
        <v>0</v>
      </c>
      <c r="AA973" s="30">
        <f>IF(AD973=15,J973,0)</f>
        <v>0</v>
      </c>
      <c r="AB973" s="30">
        <f>IF(AD973=21,J973,0)</f>
        <v>0</v>
      </c>
      <c r="AD973" s="32">
        <v>21</v>
      </c>
      <c r="AE973" s="32">
        <f>G973*0.67230605738576</f>
        <v>0</v>
      </c>
      <c r="AF973" s="32">
        <f>G973*(1-0.67230605738576)</f>
        <v>0</v>
      </c>
      <c r="AM973" s="32">
        <f>F973*AE973</f>
        <v>0</v>
      </c>
      <c r="AN973" s="32">
        <f>F973*AF973</f>
        <v>0</v>
      </c>
      <c r="AO973" s="33" t="s">
        <v>85</v>
      </c>
      <c r="AP973" s="33" t="s">
        <v>79</v>
      </c>
      <c r="AQ973" s="21" t="s">
        <v>636</v>
      </c>
    </row>
    <row r="974" spans="1:43" x14ac:dyDescent="0.25">
      <c r="A974" s="26"/>
      <c r="B974" s="27" t="s">
        <v>634</v>
      </c>
      <c r="C974" s="27" t="s">
        <v>189</v>
      </c>
      <c r="D974" s="338" t="s">
        <v>190</v>
      </c>
      <c r="E974" s="339"/>
      <c r="F974" s="339"/>
      <c r="G974" s="339"/>
      <c r="H974" s="28">
        <f>SUM(H975:H977)</f>
        <v>0</v>
      </c>
      <c r="I974" s="28">
        <f>SUM(I975:I977)</f>
        <v>0</v>
      </c>
      <c r="J974" s="28">
        <f>H974+I974</f>
        <v>0</v>
      </c>
      <c r="K974" s="21"/>
      <c r="L974" s="28">
        <f>SUM(L975:L977)</f>
        <v>0.6445012</v>
      </c>
      <c r="M974" s="21"/>
      <c r="P974" s="28">
        <f>IF(Q974="PR",J974,SUM(O975:O977))</f>
        <v>0</v>
      </c>
      <c r="Q974" s="21" t="s">
        <v>75</v>
      </c>
      <c r="R974" s="28">
        <f>IF(Q974="HS",H974,0)</f>
        <v>0</v>
      </c>
      <c r="S974" s="28">
        <f>IF(Q974="HS",I974-P974,0)</f>
        <v>0</v>
      </c>
      <c r="T974" s="28">
        <f>IF(Q974="PS",H974,0)</f>
        <v>0</v>
      </c>
      <c r="U974" s="28">
        <f>IF(Q974="PS",I974-P974,0)</f>
        <v>0</v>
      </c>
      <c r="V974" s="28">
        <f>IF(Q974="MP",H974,0)</f>
        <v>0</v>
      </c>
      <c r="W974" s="28">
        <f>IF(Q974="MP",I974-P974,0)</f>
        <v>0</v>
      </c>
      <c r="X974" s="28">
        <f>IF(Q974="OM",H974,0)</f>
        <v>0</v>
      </c>
      <c r="Y974" s="21" t="s">
        <v>634</v>
      </c>
      <c r="AI974" s="28">
        <f>SUM(Z975:Z977)</f>
        <v>0</v>
      </c>
      <c r="AJ974" s="28">
        <f>SUM(AA975:AA977)</f>
        <v>0</v>
      </c>
      <c r="AK974" s="28">
        <f>SUM(AB975:AB977)</f>
        <v>0</v>
      </c>
    </row>
    <row r="975" spans="1:43" x14ac:dyDescent="0.25">
      <c r="A975" s="29" t="s">
        <v>644</v>
      </c>
      <c r="B975" s="29" t="s">
        <v>634</v>
      </c>
      <c r="C975" s="29" t="s">
        <v>444</v>
      </c>
      <c r="D975" s="29" t="s">
        <v>2287</v>
      </c>
      <c r="E975" s="29" t="s">
        <v>58</v>
      </c>
      <c r="F975" s="30">
        <v>24.08</v>
      </c>
      <c r="G975" s="317">
        <v>0</v>
      </c>
      <c r="H975" s="30">
        <f>ROUND(F975*AE975,2)</f>
        <v>0</v>
      </c>
      <c r="I975" s="30">
        <f>J975-H975</f>
        <v>0</v>
      </c>
      <c r="J975" s="30">
        <f>ROUND(F975*G975,2)</f>
        <v>0</v>
      </c>
      <c r="K975" s="30">
        <v>2.2790000000000001E-2</v>
      </c>
      <c r="L975" s="30">
        <f>F975*K975</f>
        <v>0.54878320000000003</v>
      </c>
      <c r="M975" s="31" t="s">
        <v>2292</v>
      </c>
      <c r="N975" s="31" t="s">
        <v>59</v>
      </c>
      <c r="O975" s="30">
        <f>IF(N975="5",I975,0)</f>
        <v>0</v>
      </c>
      <c r="Z975" s="30">
        <f>IF(AD975=0,J975,0)</f>
        <v>0</v>
      </c>
      <c r="AA975" s="30">
        <f>IF(AD975=15,J975,0)</f>
        <v>0</v>
      </c>
      <c r="AB975" s="30">
        <f>IF(AD975=21,J975,0)</f>
        <v>0</v>
      </c>
      <c r="AD975" s="32">
        <v>21</v>
      </c>
      <c r="AE975" s="32">
        <f>G975*0.579484228260688</f>
        <v>0</v>
      </c>
      <c r="AF975" s="32">
        <f>G975*(1-0.579484228260688)</f>
        <v>0</v>
      </c>
      <c r="AM975" s="32">
        <f>F975*AE975</f>
        <v>0</v>
      </c>
      <c r="AN975" s="32">
        <f>F975*AF975</f>
        <v>0</v>
      </c>
      <c r="AO975" s="33" t="s">
        <v>194</v>
      </c>
      <c r="AP975" s="33" t="s">
        <v>92</v>
      </c>
      <c r="AQ975" s="21" t="s">
        <v>636</v>
      </c>
    </row>
    <row r="976" spans="1:43" ht="25.7" customHeight="1" x14ac:dyDescent="0.25">
      <c r="C976" s="34" t="s">
        <v>63</v>
      </c>
      <c r="D976" s="340" t="s">
        <v>2282</v>
      </c>
      <c r="E976" s="341"/>
      <c r="F976" s="341"/>
      <c r="G976" s="341"/>
      <c r="H976" s="341"/>
      <c r="I976" s="341"/>
      <c r="J976" s="341"/>
      <c r="K976" s="341"/>
      <c r="L976" s="341"/>
      <c r="M976" s="341"/>
    </row>
    <row r="977" spans="1:43" x14ac:dyDescent="0.25">
      <c r="A977" s="29" t="s">
        <v>645</v>
      </c>
      <c r="B977" s="29" t="s">
        <v>634</v>
      </c>
      <c r="C977" s="29" t="s">
        <v>444</v>
      </c>
      <c r="D977" s="29" t="s">
        <v>2286</v>
      </c>
      <c r="E977" s="29" t="s">
        <v>58</v>
      </c>
      <c r="F977" s="30">
        <v>4.2</v>
      </c>
      <c r="G977" s="317">
        <v>0</v>
      </c>
      <c r="H977" s="30">
        <f>ROUND(F977*AE977,2)</f>
        <v>0</v>
      </c>
      <c r="I977" s="30">
        <f>J977-H977</f>
        <v>0</v>
      </c>
      <c r="J977" s="30">
        <f>ROUND(F977*G977,2)</f>
        <v>0</v>
      </c>
      <c r="K977" s="30">
        <v>2.2790000000000001E-2</v>
      </c>
      <c r="L977" s="30">
        <f>F977*K977</f>
        <v>9.5718000000000011E-2</v>
      </c>
      <c r="M977" s="31" t="s">
        <v>2292</v>
      </c>
      <c r="N977" s="31" t="s">
        <v>59</v>
      </c>
      <c r="O977" s="30">
        <f>IF(N977="5",I977,0)</f>
        <v>0</v>
      </c>
      <c r="Z977" s="30">
        <f>IF(AD977=0,J977,0)</f>
        <v>0</v>
      </c>
      <c r="AA977" s="30">
        <f>IF(AD977=15,J977,0)</f>
        <v>0</v>
      </c>
      <c r="AB977" s="30">
        <f>IF(AD977=21,J977,0)</f>
        <v>0</v>
      </c>
      <c r="AD977" s="32">
        <v>21</v>
      </c>
      <c r="AE977" s="32">
        <f>G977*0.579484228260688</f>
        <v>0</v>
      </c>
      <c r="AF977" s="32">
        <f>G977*(1-0.579484228260688)</f>
        <v>0</v>
      </c>
      <c r="AM977" s="32">
        <f>F977*AE977</f>
        <v>0</v>
      </c>
      <c r="AN977" s="32">
        <f>F977*AF977</f>
        <v>0</v>
      </c>
      <c r="AO977" s="33" t="s">
        <v>194</v>
      </c>
      <c r="AP977" s="33" t="s">
        <v>92</v>
      </c>
      <c r="AQ977" s="21" t="s">
        <v>636</v>
      </c>
    </row>
    <row r="978" spans="1:43" ht="25.7" customHeight="1" x14ac:dyDescent="0.25">
      <c r="C978" s="34" t="s">
        <v>63</v>
      </c>
      <c r="D978" s="340" t="s">
        <v>2282</v>
      </c>
      <c r="E978" s="341"/>
      <c r="F978" s="341"/>
      <c r="G978" s="341"/>
      <c r="H978" s="341"/>
      <c r="I978" s="341"/>
      <c r="J978" s="341"/>
      <c r="K978" s="341"/>
      <c r="L978" s="341"/>
      <c r="M978" s="341"/>
    </row>
    <row r="979" spans="1:43" x14ac:dyDescent="0.25">
      <c r="A979" s="26"/>
      <c r="B979" s="27" t="s">
        <v>634</v>
      </c>
      <c r="C979" s="27" t="s">
        <v>86</v>
      </c>
      <c r="D979" s="338" t="s">
        <v>87</v>
      </c>
      <c r="E979" s="339"/>
      <c r="F979" s="339"/>
      <c r="G979" s="339"/>
      <c r="H979" s="28">
        <f>SUM(H980:H980)</f>
        <v>0</v>
      </c>
      <c r="I979" s="28">
        <f>SUM(I980:I980)</f>
        <v>0</v>
      </c>
      <c r="J979" s="28">
        <f>H979+I979</f>
        <v>0</v>
      </c>
      <c r="K979" s="21"/>
      <c r="L979" s="28">
        <f>SUM(L980:L980)</f>
        <v>1.08E-3</v>
      </c>
      <c r="M979" s="21"/>
      <c r="P979" s="28">
        <f>IF(Q979="PR",J979,SUM(O980:O980))</f>
        <v>0</v>
      </c>
      <c r="Q979" s="21" t="s">
        <v>75</v>
      </c>
      <c r="R979" s="28">
        <f>IF(Q979="HS",H979,0)</f>
        <v>0</v>
      </c>
      <c r="S979" s="28">
        <f>IF(Q979="HS",I979-P979,0)</f>
        <v>0</v>
      </c>
      <c r="T979" s="28">
        <f>IF(Q979="PS",H979,0)</f>
        <v>0</v>
      </c>
      <c r="U979" s="28">
        <f>IF(Q979="PS",I979-P979,0)</f>
        <v>0</v>
      </c>
      <c r="V979" s="28">
        <f>IF(Q979="MP",H979,0)</f>
        <v>0</v>
      </c>
      <c r="W979" s="28">
        <f>IF(Q979="MP",I979-P979,0)</f>
        <v>0</v>
      </c>
      <c r="X979" s="28">
        <f>IF(Q979="OM",H979,0)</f>
        <v>0</v>
      </c>
      <c r="Y979" s="21" t="s">
        <v>634</v>
      </c>
      <c r="AI979" s="28">
        <f>SUM(Z980:Z980)</f>
        <v>0</v>
      </c>
      <c r="AJ979" s="28">
        <f>SUM(AA980:AA980)</f>
        <v>0</v>
      </c>
      <c r="AK979" s="28">
        <f>SUM(AB980:AB980)</f>
        <v>0</v>
      </c>
    </row>
    <row r="980" spans="1:43" x14ac:dyDescent="0.25">
      <c r="A980" s="29" t="s">
        <v>646</v>
      </c>
      <c r="B980" s="29" t="s">
        <v>634</v>
      </c>
      <c r="C980" s="29" t="s">
        <v>89</v>
      </c>
      <c r="D980" s="29" t="s">
        <v>90</v>
      </c>
      <c r="E980" s="29" t="s">
        <v>58</v>
      </c>
      <c r="F980" s="30">
        <v>4</v>
      </c>
      <c r="G980" s="317">
        <v>0</v>
      </c>
      <c r="H980" s="30">
        <f>ROUND(F980*AE980,2)</f>
        <v>0</v>
      </c>
      <c r="I980" s="30">
        <f>J980-H980</f>
        <v>0</v>
      </c>
      <c r="J980" s="30">
        <f>ROUND(F980*G980,2)</f>
        <v>0</v>
      </c>
      <c r="K980" s="30">
        <v>2.7E-4</v>
      </c>
      <c r="L980" s="30">
        <f>F980*K980</f>
        <v>1.08E-3</v>
      </c>
      <c r="M980" s="31" t="s">
        <v>2292</v>
      </c>
      <c r="N980" s="31" t="s">
        <v>59</v>
      </c>
      <c r="O980" s="30">
        <f>IF(N980="5",I980,0)</f>
        <v>0</v>
      </c>
      <c r="Z980" s="30">
        <f>IF(AD980=0,J980,0)</f>
        <v>0</v>
      </c>
      <c r="AA980" s="30">
        <f>IF(AD980=15,J980,0)</f>
        <v>0</v>
      </c>
      <c r="AB980" s="30">
        <f>IF(AD980=21,J980,0)</f>
        <v>0</v>
      </c>
      <c r="AD980" s="32">
        <v>21</v>
      </c>
      <c r="AE980" s="32">
        <f>G980*0.186098187625859</f>
        <v>0</v>
      </c>
      <c r="AF980" s="32">
        <f>G980*(1-0.186098187625859)</f>
        <v>0</v>
      </c>
      <c r="AM980" s="32">
        <f>F980*AE980</f>
        <v>0</v>
      </c>
      <c r="AN980" s="32">
        <f>F980*AF980</f>
        <v>0</v>
      </c>
      <c r="AO980" s="33" t="s">
        <v>91</v>
      </c>
      <c r="AP980" s="33" t="s">
        <v>92</v>
      </c>
      <c r="AQ980" s="21" t="s">
        <v>636</v>
      </c>
    </row>
    <row r="981" spans="1:43" x14ac:dyDescent="0.25">
      <c r="A981" s="26"/>
      <c r="B981" s="27" t="s">
        <v>634</v>
      </c>
      <c r="C981" s="27" t="s">
        <v>93</v>
      </c>
      <c r="D981" s="338" t="s">
        <v>94</v>
      </c>
      <c r="E981" s="339"/>
      <c r="F981" s="339"/>
      <c r="G981" s="339"/>
      <c r="H981" s="28">
        <f>SUM(H982:H982)</f>
        <v>0</v>
      </c>
      <c r="I981" s="28">
        <f>SUM(I982:I982)</f>
        <v>0</v>
      </c>
      <c r="J981" s="28">
        <f>H981+I981</f>
        <v>0</v>
      </c>
      <c r="K981" s="21"/>
      <c r="L981" s="28">
        <f>SUM(L982:L982)</f>
        <v>6.0801000000000001E-2</v>
      </c>
      <c r="M981" s="21"/>
      <c r="P981" s="28">
        <f>IF(Q981="PR",J981,SUM(O982:O982))</f>
        <v>0</v>
      </c>
      <c r="Q981" s="21" t="s">
        <v>75</v>
      </c>
      <c r="R981" s="28">
        <f>IF(Q981="HS",H981,0)</f>
        <v>0</v>
      </c>
      <c r="S981" s="28">
        <f>IF(Q981="HS",I981-P981,0)</f>
        <v>0</v>
      </c>
      <c r="T981" s="28">
        <f>IF(Q981="PS",H981,0)</f>
        <v>0</v>
      </c>
      <c r="U981" s="28">
        <f>IF(Q981="PS",I981-P981,0)</f>
        <v>0</v>
      </c>
      <c r="V981" s="28">
        <f>IF(Q981="MP",H981,0)</f>
        <v>0</v>
      </c>
      <c r="W981" s="28">
        <f>IF(Q981="MP",I981-P981,0)</f>
        <v>0</v>
      </c>
      <c r="X981" s="28">
        <f>IF(Q981="OM",H981,0)</f>
        <v>0</v>
      </c>
      <c r="Y981" s="21" t="s">
        <v>634</v>
      </c>
      <c r="AI981" s="28">
        <f>SUM(Z982:Z982)</f>
        <v>0</v>
      </c>
      <c r="AJ981" s="28">
        <f>SUM(AA982:AA982)</f>
        <v>0</v>
      </c>
      <c r="AK981" s="28">
        <f>SUM(AB982:AB982)</f>
        <v>0</v>
      </c>
    </row>
    <row r="982" spans="1:43" x14ac:dyDescent="0.25">
      <c r="A982" s="29" t="s">
        <v>647</v>
      </c>
      <c r="B982" s="29" t="s">
        <v>634</v>
      </c>
      <c r="C982" s="29" t="s">
        <v>96</v>
      </c>
      <c r="D982" s="29" t="s">
        <v>97</v>
      </c>
      <c r="E982" s="29" t="s">
        <v>58</v>
      </c>
      <c r="F982" s="30">
        <v>93.54</v>
      </c>
      <c r="G982" s="317">
        <v>0</v>
      </c>
      <c r="H982" s="30">
        <f>ROUND(F982*AE982,2)</f>
        <v>0</v>
      </c>
      <c r="I982" s="30">
        <f>J982-H982</f>
        <v>0</v>
      </c>
      <c r="J982" s="30">
        <f>ROUND(F982*G982,2)</f>
        <v>0</v>
      </c>
      <c r="K982" s="30">
        <v>6.4999999999999997E-4</v>
      </c>
      <c r="L982" s="30">
        <f>F982*K982</f>
        <v>6.0801000000000001E-2</v>
      </c>
      <c r="M982" s="31" t="s">
        <v>2292</v>
      </c>
      <c r="N982" s="31" t="s">
        <v>59</v>
      </c>
      <c r="O982" s="30">
        <f>IF(N982="5",I982,0)</f>
        <v>0</v>
      </c>
      <c r="Z982" s="30">
        <f>IF(AD982=0,J982,0)</f>
        <v>0</v>
      </c>
      <c r="AA982" s="30">
        <f>IF(AD982=15,J982,0)</f>
        <v>0</v>
      </c>
      <c r="AB982" s="30">
        <f>IF(AD982=21,J982,0)</f>
        <v>0</v>
      </c>
      <c r="AD982" s="32">
        <v>21</v>
      </c>
      <c r="AE982" s="32">
        <f>G982*0.333747476316198</f>
        <v>0</v>
      </c>
      <c r="AF982" s="32">
        <f>G982*(1-0.333747476316198)</f>
        <v>0</v>
      </c>
      <c r="AM982" s="32">
        <f>F982*AE982</f>
        <v>0</v>
      </c>
      <c r="AN982" s="32">
        <f>F982*AF982</f>
        <v>0</v>
      </c>
      <c r="AO982" s="33" t="s">
        <v>98</v>
      </c>
      <c r="AP982" s="33" t="s">
        <v>92</v>
      </c>
      <c r="AQ982" s="21" t="s">
        <v>636</v>
      </c>
    </row>
    <row r="983" spans="1:43" x14ac:dyDescent="0.25">
      <c r="A983" s="26"/>
      <c r="B983" s="27" t="s">
        <v>634</v>
      </c>
      <c r="C983" s="27" t="s">
        <v>99</v>
      </c>
      <c r="D983" s="338" t="s">
        <v>100</v>
      </c>
      <c r="E983" s="339"/>
      <c r="F983" s="339"/>
      <c r="G983" s="339"/>
      <c r="H983" s="28">
        <f>SUM(H984:H984)</f>
        <v>0</v>
      </c>
      <c r="I983" s="28">
        <f>SUM(I984:I984)</f>
        <v>0</v>
      </c>
      <c r="J983" s="28">
        <f>H983+I983</f>
        <v>0</v>
      </c>
      <c r="K983" s="21"/>
      <c r="L983" s="28">
        <f>SUM(L984:L984)</f>
        <v>0</v>
      </c>
      <c r="M983" s="21"/>
      <c r="P983" s="28">
        <f>IF(Q983="PR",J983,SUM(O984:O984))</f>
        <v>0</v>
      </c>
      <c r="Q983" s="21" t="s">
        <v>54</v>
      </c>
      <c r="R983" s="28">
        <f>IF(Q983="HS",H983,0)</f>
        <v>0</v>
      </c>
      <c r="S983" s="28">
        <f>IF(Q983="HS",I983-P983,0)</f>
        <v>0</v>
      </c>
      <c r="T983" s="28">
        <f>IF(Q983="PS",H983,0)</f>
        <v>0</v>
      </c>
      <c r="U983" s="28">
        <f>IF(Q983="PS",I983-P983,0)</f>
        <v>0</v>
      </c>
      <c r="V983" s="28">
        <f>IF(Q983="MP",H983,0)</f>
        <v>0</v>
      </c>
      <c r="W983" s="28">
        <f>IF(Q983="MP",I983-P983,0)</f>
        <v>0</v>
      </c>
      <c r="X983" s="28">
        <f>IF(Q983="OM",H983,0)</f>
        <v>0</v>
      </c>
      <c r="Y983" s="21" t="s">
        <v>634</v>
      </c>
      <c r="AI983" s="28">
        <f>SUM(Z984:Z984)</f>
        <v>0</v>
      </c>
      <c r="AJ983" s="28">
        <f>SUM(AA984:AA984)</f>
        <v>0</v>
      </c>
      <c r="AK983" s="28">
        <f>SUM(AB984:AB984)</f>
        <v>0</v>
      </c>
    </row>
    <row r="984" spans="1:43" x14ac:dyDescent="0.25">
      <c r="A984" s="29" t="s">
        <v>648</v>
      </c>
      <c r="B984" s="29" t="s">
        <v>634</v>
      </c>
      <c r="C984" s="29" t="s">
        <v>102</v>
      </c>
      <c r="D984" s="29" t="s">
        <v>103</v>
      </c>
      <c r="E984" s="29" t="s">
        <v>104</v>
      </c>
      <c r="F984" s="30">
        <v>3.6</v>
      </c>
      <c r="G984" s="317">
        <v>0</v>
      </c>
      <c r="H984" s="30">
        <f>ROUND(F984*AE984,2)</f>
        <v>0</v>
      </c>
      <c r="I984" s="30">
        <f>J984-H984</f>
        <v>0</v>
      </c>
      <c r="J984" s="30">
        <f>ROUND(F984*G984,2)</f>
        <v>0</v>
      </c>
      <c r="K984" s="30">
        <v>0</v>
      </c>
      <c r="L984" s="30">
        <f>F984*K984</f>
        <v>0</v>
      </c>
      <c r="M984" s="31" t="s">
        <v>2292</v>
      </c>
      <c r="N984" s="31" t="s">
        <v>55</v>
      </c>
      <c r="O984" s="30">
        <f>IF(N984="5",I984,0)</f>
        <v>0</v>
      </c>
      <c r="Z984" s="30">
        <f>IF(AD984=0,J984,0)</f>
        <v>0</v>
      </c>
      <c r="AA984" s="30">
        <f>IF(AD984=15,J984,0)</f>
        <v>0</v>
      </c>
      <c r="AB984" s="30">
        <f>IF(AD984=21,J984,0)</f>
        <v>0</v>
      </c>
      <c r="AD984" s="32">
        <v>21</v>
      </c>
      <c r="AE984" s="32">
        <f>G984*0</f>
        <v>0</v>
      </c>
      <c r="AF984" s="32">
        <f>G984*(1-0)</f>
        <v>0</v>
      </c>
      <c r="AM984" s="32">
        <f>F984*AE984</f>
        <v>0</v>
      </c>
      <c r="AN984" s="32">
        <f>F984*AF984</f>
        <v>0</v>
      </c>
      <c r="AO984" s="33" t="s">
        <v>105</v>
      </c>
      <c r="AP984" s="33" t="s">
        <v>106</v>
      </c>
      <c r="AQ984" s="21" t="s">
        <v>636</v>
      </c>
    </row>
    <row r="985" spans="1:43" x14ac:dyDescent="0.25">
      <c r="C985" s="34" t="s">
        <v>63</v>
      </c>
      <c r="D985" s="340" t="s">
        <v>107</v>
      </c>
      <c r="E985" s="341"/>
      <c r="F985" s="341"/>
      <c r="G985" s="341"/>
      <c r="H985" s="341"/>
      <c r="I985" s="341"/>
      <c r="J985" s="341"/>
      <c r="K985" s="341"/>
      <c r="L985" s="341"/>
      <c r="M985" s="341"/>
    </row>
    <row r="986" spans="1:43" x14ac:dyDescent="0.25">
      <c r="A986" s="26"/>
      <c r="B986" s="27" t="s">
        <v>649</v>
      </c>
      <c r="C986" s="27"/>
      <c r="D986" s="338" t="s">
        <v>649</v>
      </c>
      <c r="E986" s="339"/>
      <c r="F986" s="339"/>
      <c r="G986" s="339"/>
      <c r="H986" s="28">
        <f>H987+H992+H994+H997+H999+H1001+H1003</f>
        <v>0</v>
      </c>
      <c r="I986" s="28">
        <f>I987+I992+I994+I997+I999+I1001+I1003</f>
        <v>0</v>
      </c>
      <c r="J986" s="28">
        <f>H986+I986</f>
        <v>0</v>
      </c>
      <c r="K986" s="21"/>
      <c r="L986" s="28">
        <f>L987+L992+L994+L997+L999+L1001+L1003</f>
        <v>1.4691672</v>
      </c>
      <c r="M986" s="21"/>
    </row>
    <row r="987" spans="1:43" x14ac:dyDescent="0.25">
      <c r="A987" s="26"/>
      <c r="B987" s="27" t="s">
        <v>649</v>
      </c>
      <c r="C987" s="27" t="s">
        <v>52</v>
      </c>
      <c r="D987" s="338" t="s">
        <v>53</v>
      </c>
      <c r="E987" s="339"/>
      <c r="F987" s="339"/>
      <c r="G987" s="339"/>
      <c r="H987" s="28">
        <f>SUM(H988:H990)</f>
        <v>0</v>
      </c>
      <c r="I987" s="28">
        <f>SUM(I988:I990)</f>
        <v>0</v>
      </c>
      <c r="J987" s="28">
        <f>H987+I987</f>
        <v>0</v>
      </c>
      <c r="K987" s="21"/>
      <c r="L987" s="28">
        <f>SUM(L988:L990)</f>
        <v>0.58754220000000001</v>
      </c>
      <c r="M987" s="21"/>
      <c r="P987" s="28">
        <f>IF(Q987="PR",J987,SUM(O988:O990))</f>
        <v>0</v>
      </c>
      <c r="Q987" s="21" t="s">
        <v>54</v>
      </c>
      <c r="R987" s="28">
        <f>IF(Q987="HS",H987,0)</f>
        <v>0</v>
      </c>
      <c r="S987" s="28">
        <f>IF(Q987="HS",I987-P987,0)</f>
        <v>0</v>
      </c>
      <c r="T987" s="28">
        <f>IF(Q987="PS",H987,0)</f>
        <v>0</v>
      </c>
      <c r="U987" s="28">
        <f>IF(Q987="PS",I987-P987,0)</f>
        <v>0</v>
      </c>
      <c r="V987" s="28">
        <f>IF(Q987="MP",H987,0)</f>
        <v>0</v>
      </c>
      <c r="W987" s="28">
        <f>IF(Q987="MP",I987-P987,0)</f>
        <v>0</v>
      </c>
      <c r="X987" s="28">
        <f>IF(Q987="OM",H987,0)</f>
        <v>0</v>
      </c>
      <c r="Y987" s="21" t="s">
        <v>649</v>
      </c>
      <c r="AI987" s="28">
        <f>SUM(Z988:Z990)</f>
        <v>0</v>
      </c>
      <c r="AJ987" s="28">
        <f>SUM(AA988:AA990)</f>
        <v>0</v>
      </c>
      <c r="AK987" s="28">
        <f>SUM(AB988:AB990)</f>
        <v>0</v>
      </c>
    </row>
    <row r="988" spans="1:43" x14ac:dyDescent="0.25">
      <c r="A988" s="29" t="s">
        <v>650</v>
      </c>
      <c r="B988" s="29" t="s">
        <v>649</v>
      </c>
      <c r="C988" s="29" t="s">
        <v>56</v>
      </c>
      <c r="D988" s="29" t="s">
        <v>57</v>
      </c>
      <c r="E988" s="29" t="s">
        <v>58</v>
      </c>
      <c r="F988" s="30">
        <v>46.86</v>
      </c>
      <c r="G988" s="317">
        <v>0</v>
      </c>
      <c r="H988" s="30">
        <f>ROUND(F988*AE988,2)</f>
        <v>0</v>
      </c>
      <c r="I988" s="30">
        <f>J988-H988</f>
        <v>0</v>
      </c>
      <c r="J988" s="30">
        <f>ROUND(F988*G988,2)</f>
        <v>0</v>
      </c>
      <c r="K988" s="30">
        <v>1.001E-2</v>
      </c>
      <c r="L988" s="30">
        <f>F988*K988</f>
        <v>0.4690686</v>
      </c>
      <c r="M988" s="31" t="s">
        <v>2292</v>
      </c>
      <c r="N988" s="31" t="s">
        <v>59</v>
      </c>
      <c r="O988" s="30">
        <f>IF(N988="5",I988,0)</f>
        <v>0</v>
      </c>
      <c r="Z988" s="30">
        <f>IF(AD988=0,J988,0)</f>
        <v>0</v>
      </c>
      <c r="AA988" s="30">
        <f>IF(AD988=15,J988,0)</f>
        <v>0</v>
      </c>
      <c r="AB988" s="30">
        <f>IF(AD988=21,J988,0)</f>
        <v>0</v>
      </c>
      <c r="AD988" s="32">
        <v>21</v>
      </c>
      <c r="AE988" s="32">
        <f>G988*0.0756575801052128</f>
        <v>0</v>
      </c>
      <c r="AF988" s="32">
        <f>G988*(1-0.0756575801052128)</f>
        <v>0</v>
      </c>
      <c r="AM988" s="32">
        <f>F988*AE988</f>
        <v>0</v>
      </c>
      <c r="AN988" s="32">
        <f>F988*AF988</f>
        <v>0</v>
      </c>
      <c r="AO988" s="33" t="s">
        <v>60</v>
      </c>
      <c r="AP988" s="33" t="s">
        <v>61</v>
      </c>
      <c r="AQ988" s="21" t="s">
        <v>651</v>
      </c>
    </row>
    <row r="989" spans="1:43" ht="25.7" customHeight="1" x14ac:dyDescent="0.25">
      <c r="C989" s="34" t="s">
        <v>63</v>
      </c>
      <c r="D989" s="340" t="s">
        <v>64</v>
      </c>
      <c r="E989" s="341"/>
      <c r="F989" s="341"/>
      <c r="G989" s="341"/>
      <c r="H989" s="341"/>
      <c r="I989" s="341"/>
      <c r="J989" s="341"/>
      <c r="K989" s="341"/>
      <c r="L989" s="341"/>
      <c r="M989" s="341"/>
    </row>
    <row r="990" spans="1:43" x14ac:dyDescent="0.25">
      <c r="A990" s="29" t="s">
        <v>652</v>
      </c>
      <c r="B990" s="29" t="s">
        <v>649</v>
      </c>
      <c r="C990" s="29" t="s">
        <v>66</v>
      </c>
      <c r="D990" s="29" t="s">
        <v>67</v>
      </c>
      <c r="E990" s="29" t="s">
        <v>58</v>
      </c>
      <c r="F990" s="30">
        <v>12.04</v>
      </c>
      <c r="G990" s="317">
        <v>0</v>
      </c>
      <c r="H990" s="30">
        <f>ROUND(F990*AE990,2)</f>
        <v>0</v>
      </c>
      <c r="I990" s="30">
        <f>J990-H990</f>
        <v>0</v>
      </c>
      <c r="J990" s="30">
        <f>ROUND(F990*G990,2)</f>
        <v>0</v>
      </c>
      <c r="K990" s="30">
        <v>9.8399999999999998E-3</v>
      </c>
      <c r="L990" s="30">
        <f>F990*K990</f>
        <v>0.11847359999999998</v>
      </c>
      <c r="M990" s="31" t="s">
        <v>2292</v>
      </c>
      <c r="N990" s="31" t="s">
        <v>59</v>
      </c>
      <c r="O990" s="30">
        <f>IF(N990="5",I990,0)</f>
        <v>0</v>
      </c>
      <c r="Z990" s="30">
        <f>IF(AD990=0,J990,0)</f>
        <v>0</v>
      </c>
      <c r="AA990" s="30">
        <f>IF(AD990=15,J990,0)</f>
        <v>0</v>
      </c>
      <c r="AB990" s="30">
        <f>IF(AD990=21,J990,0)</f>
        <v>0</v>
      </c>
      <c r="AD990" s="32">
        <v>21</v>
      </c>
      <c r="AE990" s="32">
        <f>G990*0.160304682766381</f>
        <v>0</v>
      </c>
      <c r="AF990" s="32">
        <f>G990*(1-0.160304682766381)</f>
        <v>0</v>
      </c>
      <c r="AM990" s="32">
        <f>F990*AE990</f>
        <v>0</v>
      </c>
      <c r="AN990" s="32">
        <f>F990*AF990</f>
        <v>0</v>
      </c>
      <c r="AO990" s="33" t="s">
        <v>60</v>
      </c>
      <c r="AP990" s="33" t="s">
        <v>61</v>
      </c>
      <c r="AQ990" s="21" t="s">
        <v>651</v>
      </c>
    </row>
    <row r="991" spans="1:43" ht="25.7" customHeight="1" x14ac:dyDescent="0.25">
      <c r="C991" s="34" t="s">
        <v>63</v>
      </c>
      <c r="D991" s="340" t="s">
        <v>64</v>
      </c>
      <c r="E991" s="341"/>
      <c r="F991" s="341"/>
      <c r="G991" s="341"/>
      <c r="H991" s="341"/>
      <c r="I991" s="341"/>
      <c r="J991" s="341"/>
      <c r="K991" s="341"/>
      <c r="L991" s="341"/>
      <c r="M991" s="341"/>
    </row>
    <row r="992" spans="1:43" x14ac:dyDescent="0.25">
      <c r="A992" s="26"/>
      <c r="B992" s="27" t="s">
        <v>649</v>
      </c>
      <c r="C992" s="27" t="s">
        <v>68</v>
      </c>
      <c r="D992" s="338" t="s">
        <v>69</v>
      </c>
      <c r="E992" s="339"/>
      <c r="F992" s="339"/>
      <c r="G992" s="339"/>
      <c r="H992" s="28">
        <f>SUM(H993:H993)</f>
        <v>0</v>
      </c>
      <c r="I992" s="28">
        <f>SUM(I993:I993)</f>
        <v>0</v>
      </c>
      <c r="J992" s="28">
        <f>H992+I992</f>
        <v>0</v>
      </c>
      <c r="K992" s="21"/>
      <c r="L992" s="28">
        <f>SUM(L993:L993)</f>
        <v>0.60007359999999998</v>
      </c>
      <c r="M992" s="21"/>
      <c r="P992" s="28">
        <f>IF(Q992="PR",J992,SUM(O993:O993))</f>
        <v>0</v>
      </c>
      <c r="Q992" s="21" t="s">
        <v>54</v>
      </c>
      <c r="R992" s="28">
        <f>IF(Q992="HS",H992,0)</f>
        <v>0</v>
      </c>
      <c r="S992" s="28">
        <f>IF(Q992="HS",I992-P992,0)</f>
        <v>0</v>
      </c>
      <c r="T992" s="28">
        <f>IF(Q992="PS",H992,0)</f>
        <v>0</v>
      </c>
      <c r="U992" s="28">
        <f>IF(Q992="PS",I992-P992,0)</f>
        <v>0</v>
      </c>
      <c r="V992" s="28">
        <f>IF(Q992="MP",H992,0)</f>
        <v>0</v>
      </c>
      <c r="W992" s="28">
        <f>IF(Q992="MP",I992-P992,0)</f>
        <v>0</v>
      </c>
      <c r="X992" s="28">
        <f>IF(Q992="OM",H992,0)</f>
        <v>0</v>
      </c>
      <c r="Y992" s="21" t="s">
        <v>649</v>
      </c>
      <c r="AI992" s="28">
        <f>SUM(Z993:Z993)</f>
        <v>0</v>
      </c>
      <c r="AJ992" s="28">
        <f>SUM(AA993:AA993)</f>
        <v>0</v>
      </c>
      <c r="AK992" s="28">
        <f>SUM(AB993:AB993)</f>
        <v>0</v>
      </c>
    </row>
    <row r="993" spans="1:43" x14ac:dyDescent="0.25">
      <c r="A993" s="29" t="s">
        <v>653</v>
      </c>
      <c r="B993" s="29" t="s">
        <v>649</v>
      </c>
      <c r="C993" s="29" t="s">
        <v>70</v>
      </c>
      <c r="D993" s="29" t="s">
        <v>71</v>
      </c>
      <c r="E993" s="29" t="s">
        <v>58</v>
      </c>
      <c r="F993" s="30">
        <v>12.04</v>
      </c>
      <c r="G993" s="317">
        <v>0</v>
      </c>
      <c r="H993" s="30">
        <f>ROUND(F993*AE993,2)</f>
        <v>0</v>
      </c>
      <c r="I993" s="30">
        <f>J993-H993</f>
        <v>0</v>
      </c>
      <c r="J993" s="30">
        <f>ROUND(F993*G993,2)</f>
        <v>0</v>
      </c>
      <c r="K993" s="30">
        <v>4.9840000000000002E-2</v>
      </c>
      <c r="L993" s="30">
        <f>F993*K993</f>
        <v>0.60007359999999998</v>
      </c>
      <c r="M993" s="31" t="s">
        <v>2292</v>
      </c>
      <c r="N993" s="31" t="s">
        <v>59</v>
      </c>
      <c r="O993" s="30">
        <f>IF(N993="5",I993,0)</f>
        <v>0</v>
      </c>
      <c r="Z993" s="30">
        <f>IF(AD993=0,J993,0)</f>
        <v>0</v>
      </c>
      <c r="AA993" s="30">
        <f>IF(AD993=15,J993,0)</f>
        <v>0</v>
      </c>
      <c r="AB993" s="30">
        <f>IF(AD993=21,J993,0)</f>
        <v>0</v>
      </c>
      <c r="AD993" s="32">
        <v>21</v>
      </c>
      <c r="AE993" s="32">
        <f>G993*0.411768721414431</f>
        <v>0</v>
      </c>
      <c r="AF993" s="32">
        <f>G993*(1-0.411768721414431)</f>
        <v>0</v>
      </c>
      <c r="AM993" s="32">
        <f>F993*AE993</f>
        <v>0</v>
      </c>
      <c r="AN993" s="32">
        <f>F993*AF993</f>
        <v>0</v>
      </c>
      <c r="AO993" s="33" t="s">
        <v>72</v>
      </c>
      <c r="AP993" s="33" t="s">
        <v>61</v>
      </c>
      <c r="AQ993" s="21" t="s">
        <v>651</v>
      </c>
    </row>
    <row r="994" spans="1:43" x14ac:dyDescent="0.25">
      <c r="A994" s="26"/>
      <c r="B994" s="27" t="s">
        <v>649</v>
      </c>
      <c r="C994" s="27" t="s">
        <v>73</v>
      </c>
      <c r="D994" s="338" t="s">
        <v>74</v>
      </c>
      <c r="E994" s="339"/>
      <c r="F994" s="339"/>
      <c r="G994" s="339"/>
      <c r="H994" s="28">
        <f>SUM(H995:H995)</f>
        <v>0</v>
      </c>
      <c r="I994" s="28">
        <f>SUM(I995:I995)</f>
        <v>0</v>
      </c>
      <c r="J994" s="28">
        <f>H994+I994</f>
        <v>0</v>
      </c>
      <c r="K994" s="21"/>
      <c r="L994" s="28">
        <f>SUM(L995:L995)</f>
        <v>0.19384399999999999</v>
      </c>
      <c r="M994" s="21"/>
      <c r="P994" s="28">
        <f>IF(Q994="PR",J994,SUM(O995:O995))</f>
        <v>0</v>
      </c>
      <c r="Q994" s="21" t="s">
        <v>75</v>
      </c>
      <c r="R994" s="28">
        <f>IF(Q994="HS",H994,0)</f>
        <v>0</v>
      </c>
      <c r="S994" s="28">
        <f>IF(Q994="HS",I994-P994,0)</f>
        <v>0</v>
      </c>
      <c r="T994" s="28">
        <f>IF(Q994="PS",H994,0)</f>
        <v>0</v>
      </c>
      <c r="U994" s="28">
        <f>IF(Q994="PS",I994-P994,0)</f>
        <v>0</v>
      </c>
      <c r="V994" s="28">
        <f>IF(Q994="MP",H994,0)</f>
        <v>0</v>
      </c>
      <c r="W994" s="28">
        <f>IF(Q994="MP",I994-P994,0)</f>
        <v>0</v>
      </c>
      <c r="X994" s="28">
        <f>IF(Q994="OM",H994,0)</f>
        <v>0</v>
      </c>
      <c r="Y994" s="21" t="s">
        <v>649</v>
      </c>
      <c r="AI994" s="28">
        <f>SUM(Z995:Z995)</f>
        <v>0</v>
      </c>
      <c r="AJ994" s="28">
        <f>SUM(AA995:AA995)</f>
        <v>0</v>
      </c>
      <c r="AK994" s="28">
        <f>SUM(AB995:AB995)</f>
        <v>0</v>
      </c>
    </row>
    <row r="995" spans="1:43" x14ac:dyDescent="0.25">
      <c r="A995" s="29" t="s">
        <v>654</v>
      </c>
      <c r="B995" s="29" t="s">
        <v>649</v>
      </c>
      <c r="C995" s="29" t="s">
        <v>77</v>
      </c>
      <c r="D995" s="29" t="s">
        <v>2278</v>
      </c>
      <c r="E995" s="29" t="s">
        <v>58</v>
      </c>
      <c r="F995" s="30">
        <v>12.04</v>
      </c>
      <c r="G995" s="317">
        <v>0</v>
      </c>
      <c r="H995" s="30">
        <f>ROUND(F995*AE995,2)</f>
        <v>0</v>
      </c>
      <c r="I995" s="30">
        <f>J995-H995</f>
        <v>0</v>
      </c>
      <c r="J995" s="30">
        <f>ROUND(F995*G995,2)</f>
        <v>0</v>
      </c>
      <c r="K995" s="30">
        <v>1.61E-2</v>
      </c>
      <c r="L995" s="30">
        <f>F995*K995</f>
        <v>0.19384399999999999</v>
      </c>
      <c r="M995" s="31" t="s">
        <v>2292</v>
      </c>
      <c r="N995" s="31" t="s">
        <v>59</v>
      </c>
      <c r="O995" s="30">
        <f>IF(N995="5",I995,0)</f>
        <v>0</v>
      </c>
      <c r="Z995" s="30">
        <f>IF(AD995=0,J995,0)</f>
        <v>0</v>
      </c>
      <c r="AA995" s="30">
        <f>IF(AD995=15,J995,0)</f>
        <v>0</v>
      </c>
      <c r="AB995" s="30">
        <f>IF(AD995=21,J995,0)</f>
        <v>0</v>
      </c>
      <c r="AD995" s="32">
        <v>21</v>
      </c>
      <c r="AE995" s="32">
        <f>G995*0.787221324717286</f>
        <v>0</v>
      </c>
      <c r="AF995" s="32">
        <f>G995*(1-0.787221324717286)</f>
        <v>0</v>
      </c>
      <c r="AM995" s="32">
        <f>F995*AE995</f>
        <v>0</v>
      </c>
      <c r="AN995" s="32">
        <f>F995*AF995</f>
        <v>0</v>
      </c>
      <c r="AO995" s="33" t="s">
        <v>78</v>
      </c>
      <c r="AP995" s="33" t="s">
        <v>79</v>
      </c>
      <c r="AQ995" s="21" t="s">
        <v>651</v>
      </c>
    </row>
    <row r="996" spans="1:43" ht="12.75" customHeight="1" x14ac:dyDescent="0.25">
      <c r="C996" s="34" t="s">
        <v>63</v>
      </c>
      <c r="D996" s="340" t="s">
        <v>2280</v>
      </c>
      <c r="E996" s="341"/>
      <c r="F996" s="341"/>
      <c r="G996" s="341"/>
      <c r="H996" s="341"/>
      <c r="I996" s="341"/>
      <c r="J996" s="341"/>
      <c r="K996" s="341"/>
      <c r="L996" s="341"/>
      <c r="M996" s="341"/>
    </row>
    <row r="997" spans="1:43" x14ac:dyDescent="0.25">
      <c r="A997" s="26"/>
      <c r="B997" s="27" t="s">
        <v>649</v>
      </c>
      <c r="C997" s="27" t="s">
        <v>80</v>
      </c>
      <c r="D997" s="338" t="s">
        <v>81</v>
      </c>
      <c r="E997" s="339"/>
      <c r="F997" s="339"/>
      <c r="G997" s="339"/>
      <c r="H997" s="28">
        <f>SUM(H998:H998)</f>
        <v>0</v>
      </c>
      <c r="I997" s="28">
        <f>SUM(I998:I998)</f>
        <v>0</v>
      </c>
      <c r="J997" s="28">
        <f>H997+I997</f>
        <v>0</v>
      </c>
      <c r="K997" s="21"/>
      <c r="L997" s="28">
        <f>SUM(L998:L998)</f>
        <v>4.8882399999999999E-2</v>
      </c>
      <c r="M997" s="21"/>
      <c r="P997" s="28">
        <f>IF(Q997="PR",J997,SUM(O998:O998))</f>
        <v>0</v>
      </c>
      <c r="Q997" s="21" t="s">
        <v>75</v>
      </c>
      <c r="R997" s="28">
        <f>IF(Q997="HS",H997,0)</f>
        <v>0</v>
      </c>
      <c r="S997" s="28">
        <f>IF(Q997="HS",I997-P997,0)</f>
        <v>0</v>
      </c>
      <c r="T997" s="28">
        <f>IF(Q997="PS",H997,0)</f>
        <v>0</v>
      </c>
      <c r="U997" s="28">
        <f>IF(Q997="PS",I997-P997,0)</f>
        <v>0</v>
      </c>
      <c r="V997" s="28">
        <f>IF(Q997="MP",H997,0)</f>
        <v>0</v>
      </c>
      <c r="W997" s="28">
        <f>IF(Q997="MP",I997-P997,0)</f>
        <v>0</v>
      </c>
      <c r="X997" s="28">
        <f>IF(Q997="OM",H997,0)</f>
        <v>0</v>
      </c>
      <c r="Y997" s="21" t="s">
        <v>649</v>
      </c>
      <c r="AI997" s="28">
        <f>SUM(Z998:Z998)</f>
        <v>0</v>
      </c>
      <c r="AJ997" s="28">
        <f>SUM(AA998:AA998)</f>
        <v>0</v>
      </c>
      <c r="AK997" s="28">
        <f>SUM(AB998:AB998)</f>
        <v>0</v>
      </c>
    </row>
    <row r="998" spans="1:43" x14ac:dyDescent="0.25">
      <c r="A998" s="29" t="s">
        <v>655</v>
      </c>
      <c r="B998" s="29" t="s">
        <v>649</v>
      </c>
      <c r="C998" s="29" t="s">
        <v>83</v>
      </c>
      <c r="D998" s="29" t="s">
        <v>84</v>
      </c>
      <c r="E998" s="29" t="s">
        <v>58</v>
      </c>
      <c r="F998" s="30">
        <v>12.04</v>
      </c>
      <c r="G998" s="317">
        <v>0</v>
      </c>
      <c r="H998" s="30">
        <f>ROUND(F998*AE998,2)</f>
        <v>0</v>
      </c>
      <c r="I998" s="30">
        <f>J998-H998</f>
        <v>0</v>
      </c>
      <c r="J998" s="30">
        <f>ROUND(F998*G998,2)</f>
        <v>0</v>
      </c>
      <c r="K998" s="30">
        <v>4.0600000000000002E-3</v>
      </c>
      <c r="L998" s="30">
        <f>F998*K998</f>
        <v>4.8882399999999999E-2</v>
      </c>
      <c r="M998" s="31" t="s">
        <v>2292</v>
      </c>
      <c r="N998" s="31" t="s">
        <v>59</v>
      </c>
      <c r="O998" s="30">
        <f>IF(N998="5",I998,0)</f>
        <v>0</v>
      </c>
      <c r="Z998" s="30">
        <f>IF(AD998=0,J998,0)</f>
        <v>0</v>
      </c>
      <c r="AA998" s="30">
        <f>IF(AD998=15,J998,0)</f>
        <v>0</v>
      </c>
      <c r="AB998" s="30">
        <f>IF(AD998=21,J998,0)</f>
        <v>0</v>
      </c>
      <c r="AD998" s="32">
        <v>21</v>
      </c>
      <c r="AE998" s="32">
        <f>G998*0.67230605738576</f>
        <v>0</v>
      </c>
      <c r="AF998" s="32">
        <f>G998*(1-0.67230605738576)</f>
        <v>0</v>
      </c>
      <c r="AM998" s="32">
        <f>F998*AE998</f>
        <v>0</v>
      </c>
      <c r="AN998" s="32">
        <f>F998*AF998</f>
        <v>0</v>
      </c>
      <c r="AO998" s="33" t="s">
        <v>85</v>
      </c>
      <c r="AP998" s="33" t="s">
        <v>79</v>
      </c>
      <c r="AQ998" s="21" t="s">
        <v>651</v>
      </c>
    </row>
    <row r="999" spans="1:43" x14ac:dyDescent="0.25">
      <c r="A999" s="26"/>
      <c r="B999" s="27" t="s">
        <v>649</v>
      </c>
      <c r="C999" s="27" t="s">
        <v>86</v>
      </c>
      <c r="D999" s="338" t="s">
        <v>87</v>
      </c>
      <c r="E999" s="339"/>
      <c r="F999" s="339"/>
      <c r="G999" s="339"/>
      <c r="H999" s="28">
        <f>SUM(H1000:H1000)</f>
        <v>0</v>
      </c>
      <c r="I999" s="28">
        <f>SUM(I1000:I1000)</f>
        <v>0</v>
      </c>
      <c r="J999" s="28">
        <f>H999+I999</f>
        <v>0</v>
      </c>
      <c r="K999" s="21"/>
      <c r="L999" s="28">
        <f>SUM(L1000:L1000)</f>
        <v>5.4000000000000001E-4</v>
      </c>
      <c r="M999" s="21"/>
      <c r="P999" s="28">
        <f>IF(Q999="PR",J999,SUM(O1000:O1000))</f>
        <v>0</v>
      </c>
      <c r="Q999" s="21" t="s">
        <v>75</v>
      </c>
      <c r="R999" s="28">
        <f>IF(Q999="HS",H999,0)</f>
        <v>0</v>
      </c>
      <c r="S999" s="28">
        <f>IF(Q999="HS",I999-P999,0)</f>
        <v>0</v>
      </c>
      <c r="T999" s="28">
        <f>IF(Q999="PS",H999,0)</f>
        <v>0</v>
      </c>
      <c r="U999" s="28">
        <f>IF(Q999="PS",I999-P999,0)</f>
        <v>0</v>
      </c>
      <c r="V999" s="28">
        <f>IF(Q999="MP",H999,0)</f>
        <v>0</v>
      </c>
      <c r="W999" s="28">
        <f>IF(Q999="MP",I999-P999,0)</f>
        <v>0</v>
      </c>
      <c r="X999" s="28">
        <f>IF(Q999="OM",H999,0)</f>
        <v>0</v>
      </c>
      <c r="Y999" s="21" t="s">
        <v>649</v>
      </c>
      <c r="AI999" s="28">
        <f>SUM(Z1000:Z1000)</f>
        <v>0</v>
      </c>
      <c r="AJ999" s="28">
        <f>SUM(AA1000:AA1000)</f>
        <v>0</v>
      </c>
      <c r="AK999" s="28">
        <f>SUM(AB1000:AB1000)</f>
        <v>0</v>
      </c>
    </row>
    <row r="1000" spans="1:43" x14ac:dyDescent="0.25">
      <c r="A1000" s="29" t="s">
        <v>656</v>
      </c>
      <c r="B1000" s="29" t="s">
        <v>649</v>
      </c>
      <c r="C1000" s="29" t="s">
        <v>89</v>
      </c>
      <c r="D1000" s="29" t="s">
        <v>90</v>
      </c>
      <c r="E1000" s="29" t="s">
        <v>58</v>
      </c>
      <c r="F1000" s="30">
        <v>2</v>
      </c>
      <c r="G1000" s="317">
        <v>0</v>
      </c>
      <c r="H1000" s="30">
        <f>ROUND(F1000*AE1000,2)</f>
        <v>0</v>
      </c>
      <c r="I1000" s="30">
        <f>J1000-H1000</f>
        <v>0</v>
      </c>
      <c r="J1000" s="30">
        <f>ROUND(F1000*G1000,2)</f>
        <v>0</v>
      </c>
      <c r="K1000" s="30">
        <v>2.7E-4</v>
      </c>
      <c r="L1000" s="30">
        <f>F1000*K1000</f>
        <v>5.4000000000000001E-4</v>
      </c>
      <c r="M1000" s="31" t="s">
        <v>2292</v>
      </c>
      <c r="N1000" s="31" t="s">
        <v>59</v>
      </c>
      <c r="O1000" s="30">
        <f>IF(N1000="5",I1000,0)</f>
        <v>0</v>
      </c>
      <c r="Z1000" s="30">
        <f>IF(AD1000=0,J1000,0)</f>
        <v>0</v>
      </c>
      <c r="AA1000" s="30">
        <f>IF(AD1000=15,J1000,0)</f>
        <v>0</v>
      </c>
      <c r="AB1000" s="30">
        <f>IF(AD1000=21,J1000,0)</f>
        <v>0</v>
      </c>
      <c r="AD1000" s="32">
        <v>21</v>
      </c>
      <c r="AE1000" s="32">
        <f>G1000*0.186098187625859</f>
        <v>0</v>
      </c>
      <c r="AF1000" s="32">
        <f>G1000*(1-0.186098187625859)</f>
        <v>0</v>
      </c>
      <c r="AM1000" s="32">
        <f>F1000*AE1000</f>
        <v>0</v>
      </c>
      <c r="AN1000" s="32">
        <f>F1000*AF1000</f>
        <v>0</v>
      </c>
      <c r="AO1000" s="33" t="s">
        <v>91</v>
      </c>
      <c r="AP1000" s="33" t="s">
        <v>92</v>
      </c>
      <c r="AQ1000" s="21" t="s">
        <v>651</v>
      </c>
    </row>
    <row r="1001" spans="1:43" x14ac:dyDescent="0.25">
      <c r="A1001" s="26"/>
      <c r="B1001" s="27" t="s">
        <v>649</v>
      </c>
      <c r="C1001" s="27" t="s">
        <v>93</v>
      </c>
      <c r="D1001" s="338" t="s">
        <v>94</v>
      </c>
      <c r="E1001" s="339"/>
      <c r="F1001" s="339"/>
      <c r="G1001" s="339"/>
      <c r="H1001" s="28">
        <f>SUM(H1002:H1002)</f>
        <v>0</v>
      </c>
      <c r="I1001" s="28">
        <f>SUM(I1002:I1002)</f>
        <v>0</v>
      </c>
      <c r="J1001" s="28">
        <f>H1001+I1001</f>
        <v>0</v>
      </c>
      <c r="K1001" s="21"/>
      <c r="L1001" s="28">
        <f>SUM(L1002:L1002)</f>
        <v>3.8285E-2</v>
      </c>
      <c r="M1001" s="21"/>
      <c r="P1001" s="28">
        <f>IF(Q1001="PR",J1001,SUM(O1002:O1002))</f>
        <v>0</v>
      </c>
      <c r="Q1001" s="21" t="s">
        <v>75</v>
      </c>
      <c r="R1001" s="28">
        <f>IF(Q1001="HS",H1001,0)</f>
        <v>0</v>
      </c>
      <c r="S1001" s="28">
        <f>IF(Q1001="HS",I1001-P1001,0)</f>
        <v>0</v>
      </c>
      <c r="T1001" s="28">
        <f>IF(Q1001="PS",H1001,0)</f>
        <v>0</v>
      </c>
      <c r="U1001" s="28">
        <f>IF(Q1001="PS",I1001-P1001,0)</f>
        <v>0</v>
      </c>
      <c r="V1001" s="28">
        <f>IF(Q1001="MP",H1001,0)</f>
        <v>0</v>
      </c>
      <c r="W1001" s="28">
        <f>IF(Q1001="MP",I1001-P1001,0)</f>
        <v>0</v>
      </c>
      <c r="X1001" s="28">
        <f>IF(Q1001="OM",H1001,0)</f>
        <v>0</v>
      </c>
      <c r="Y1001" s="21" t="s">
        <v>649</v>
      </c>
      <c r="AI1001" s="28">
        <f>SUM(Z1002:Z1002)</f>
        <v>0</v>
      </c>
      <c r="AJ1001" s="28">
        <f>SUM(AA1002:AA1002)</f>
        <v>0</v>
      </c>
      <c r="AK1001" s="28">
        <f>SUM(AB1002:AB1002)</f>
        <v>0</v>
      </c>
    </row>
    <row r="1002" spans="1:43" x14ac:dyDescent="0.25">
      <c r="A1002" s="29" t="s">
        <v>657</v>
      </c>
      <c r="B1002" s="29" t="s">
        <v>649</v>
      </c>
      <c r="C1002" s="29" t="s">
        <v>96</v>
      </c>
      <c r="D1002" s="29" t="s">
        <v>97</v>
      </c>
      <c r="E1002" s="29" t="s">
        <v>58</v>
      </c>
      <c r="F1002" s="30">
        <v>58.9</v>
      </c>
      <c r="G1002" s="317">
        <v>0</v>
      </c>
      <c r="H1002" s="30">
        <f>ROUND(F1002*AE1002,2)</f>
        <v>0</v>
      </c>
      <c r="I1002" s="30">
        <f>J1002-H1002</f>
        <v>0</v>
      </c>
      <c r="J1002" s="30">
        <f>ROUND(F1002*G1002,2)</f>
        <v>0</v>
      </c>
      <c r="K1002" s="30">
        <v>6.4999999999999997E-4</v>
      </c>
      <c r="L1002" s="30">
        <f>F1002*K1002</f>
        <v>3.8285E-2</v>
      </c>
      <c r="M1002" s="31" t="s">
        <v>2292</v>
      </c>
      <c r="N1002" s="31" t="s">
        <v>59</v>
      </c>
      <c r="O1002" s="30">
        <f>IF(N1002="5",I1002,0)</f>
        <v>0</v>
      </c>
      <c r="Z1002" s="30">
        <f>IF(AD1002=0,J1002,0)</f>
        <v>0</v>
      </c>
      <c r="AA1002" s="30">
        <f>IF(AD1002=15,J1002,0)</f>
        <v>0</v>
      </c>
      <c r="AB1002" s="30">
        <f>IF(AD1002=21,J1002,0)</f>
        <v>0</v>
      </c>
      <c r="AD1002" s="32">
        <v>21</v>
      </c>
      <c r="AE1002" s="32">
        <f>G1002*0.333747476316198</f>
        <v>0</v>
      </c>
      <c r="AF1002" s="32">
        <f>G1002*(1-0.333747476316198)</f>
        <v>0</v>
      </c>
      <c r="AM1002" s="32">
        <f>F1002*AE1002</f>
        <v>0</v>
      </c>
      <c r="AN1002" s="32">
        <f>F1002*AF1002</f>
        <v>0</v>
      </c>
      <c r="AO1002" s="33" t="s">
        <v>98</v>
      </c>
      <c r="AP1002" s="33" t="s">
        <v>92</v>
      </c>
      <c r="AQ1002" s="21" t="s">
        <v>651</v>
      </c>
    </row>
    <row r="1003" spans="1:43" x14ac:dyDescent="0.25">
      <c r="A1003" s="26"/>
      <c r="B1003" s="27" t="s">
        <v>649</v>
      </c>
      <c r="C1003" s="27" t="s">
        <v>99</v>
      </c>
      <c r="D1003" s="338" t="s">
        <v>100</v>
      </c>
      <c r="E1003" s="339"/>
      <c r="F1003" s="339"/>
      <c r="G1003" s="339"/>
      <c r="H1003" s="28">
        <f>SUM(H1004:H1004)</f>
        <v>0</v>
      </c>
      <c r="I1003" s="28">
        <f>SUM(I1004:I1004)</f>
        <v>0</v>
      </c>
      <c r="J1003" s="28">
        <f>H1003+I1003</f>
        <v>0</v>
      </c>
      <c r="K1003" s="21"/>
      <c r="L1003" s="28">
        <f>SUM(L1004:L1004)</f>
        <v>0</v>
      </c>
      <c r="M1003" s="21"/>
      <c r="P1003" s="28">
        <f>IF(Q1003="PR",J1003,SUM(O1004:O1004))</f>
        <v>0</v>
      </c>
      <c r="Q1003" s="21" t="s">
        <v>54</v>
      </c>
      <c r="R1003" s="28">
        <f>IF(Q1003="HS",H1003,0)</f>
        <v>0</v>
      </c>
      <c r="S1003" s="28">
        <f>IF(Q1003="HS",I1003-P1003,0)</f>
        <v>0</v>
      </c>
      <c r="T1003" s="28">
        <f>IF(Q1003="PS",H1003,0)</f>
        <v>0</v>
      </c>
      <c r="U1003" s="28">
        <f>IF(Q1003="PS",I1003-P1003,0)</f>
        <v>0</v>
      </c>
      <c r="V1003" s="28">
        <f>IF(Q1003="MP",H1003,0)</f>
        <v>0</v>
      </c>
      <c r="W1003" s="28">
        <f>IF(Q1003="MP",I1003-P1003,0)</f>
        <v>0</v>
      </c>
      <c r="X1003" s="28">
        <f>IF(Q1003="OM",H1003,0)</f>
        <v>0</v>
      </c>
      <c r="Y1003" s="21" t="s">
        <v>649</v>
      </c>
      <c r="AI1003" s="28">
        <f>SUM(Z1004:Z1004)</f>
        <v>0</v>
      </c>
      <c r="AJ1003" s="28">
        <f>SUM(AA1004:AA1004)</f>
        <v>0</v>
      </c>
      <c r="AK1003" s="28">
        <f>SUM(AB1004:AB1004)</f>
        <v>0</v>
      </c>
    </row>
    <row r="1004" spans="1:43" x14ac:dyDescent="0.25">
      <c r="A1004" s="29" t="s">
        <v>658</v>
      </c>
      <c r="B1004" s="29" t="s">
        <v>649</v>
      </c>
      <c r="C1004" s="29" t="s">
        <v>102</v>
      </c>
      <c r="D1004" s="29" t="s">
        <v>103</v>
      </c>
      <c r="E1004" s="29" t="s">
        <v>104</v>
      </c>
      <c r="F1004" s="30">
        <v>2.4</v>
      </c>
      <c r="G1004" s="317">
        <v>0</v>
      </c>
      <c r="H1004" s="30">
        <f>ROUND(F1004*AE1004,2)</f>
        <v>0</v>
      </c>
      <c r="I1004" s="30">
        <f>J1004-H1004</f>
        <v>0</v>
      </c>
      <c r="J1004" s="30">
        <f>ROUND(F1004*G1004,2)</f>
        <v>0</v>
      </c>
      <c r="K1004" s="30">
        <v>0</v>
      </c>
      <c r="L1004" s="30">
        <f>F1004*K1004</f>
        <v>0</v>
      </c>
      <c r="M1004" s="31" t="s">
        <v>2292</v>
      </c>
      <c r="N1004" s="31" t="s">
        <v>55</v>
      </c>
      <c r="O1004" s="30">
        <f>IF(N1004="5",I1004,0)</f>
        <v>0</v>
      </c>
      <c r="Z1004" s="30">
        <f>IF(AD1004=0,J1004,0)</f>
        <v>0</v>
      </c>
      <c r="AA1004" s="30">
        <f>IF(AD1004=15,J1004,0)</f>
        <v>0</v>
      </c>
      <c r="AB1004" s="30">
        <f>IF(AD1004=21,J1004,0)</f>
        <v>0</v>
      </c>
      <c r="AD1004" s="32">
        <v>21</v>
      </c>
      <c r="AE1004" s="32">
        <f>G1004*0</f>
        <v>0</v>
      </c>
      <c r="AF1004" s="32">
        <f>G1004*(1-0)</f>
        <v>0</v>
      </c>
      <c r="AM1004" s="32">
        <f>F1004*AE1004</f>
        <v>0</v>
      </c>
      <c r="AN1004" s="32">
        <f>F1004*AF1004</f>
        <v>0</v>
      </c>
      <c r="AO1004" s="33" t="s">
        <v>105</v>
      </c>
      <c r="AP1004" s="33" t="s">
        <v>106</v>
      </c>
      <c r="AQ1004" s="21" t="s">
        <v>651</v>
      </c>
    </row>
    <row r="1005" spans="1:43" x14ac:dyDescent="0.25">
      <c r="C1005" s="34" t="s">
        <v>63</v>
      </c>
      <c r="D1005" s="340" t="s">
        <v>107</v>
      </c>
      <c r="E1005" s="341"/>
      <c r="F1005" s="341"/>
      <c r="G1005" s="341"/>
      <c r="H1005" s="341"/>
      <c r="I1005" s="341"/>
      <c r="J1005" s="341"/>
      <c r="K1005" s="341"/>
      <c r="L1005" s="341"/>
      <c r="M1005" s="341"/>
    </row>
    <row r="1006" spans="1:43" x14ac:dyDescent="0.25">
      <c r="A1006" s="26"/>
      <c r="B1006" s="27" t="s">
        <v>659</v>
      </c>
      <c r="C1006" s="27"/>
      <c r="D1006" s="338" t="s">
        <v>659</v>
      </c>
      <c r="E1006" s="339"/>
      <c r="F1006" s="339"/>
      <c r="G1006" s="339"/>
      <c r="H1006" s="28">
        <f>H1007+H1009+H1012+H1014+H1018+H1020</f>
        <v>0</v>
      </c>
      <c r="I1006" s="28">
        <f>I1007+I1009+I1012+I1014+I1018+I1020</f>
        <v>0</v>
      </c>
      <c r="J1006" s="28">
        <f>H1006+I1006</f>
        <v>0</v>
      </c>
      <c r="K1006" s="21"/>
      <c r="L1006" s="28">
        <f>L1007+L1009+L1012+L1014+L1018+L1020</f>
        <v>12.690127600000002</v>
      </c>
      <c r="M1006" s="21"/>
    </row>
    <row r="1007" spans="1:43" x14ac:dyDescent="0.25">
      <c r="A1007" s="26"/>
      <c r="B1007" s="27" t="s">
        <v>659</v>
      </c>
      <c r="C1007" s="27" t="s">
        <v>166</v>
      </c>
      <c r="D1007" s="338" t="s">
        <v>167</v>
      </c>
      <c r="E1007" s="339"/>
      <c r="F1007" s="339"/>
      <c r="G1007" s="339"/>
      <c r="H1007" s="28">
        <f>SUM(H1008:H1008)</f>
        <v>0</v>
      </c>
      <c r="I1007" s="28">
        <f>SUM(I1008:I1008)</f>
        <v>0</v>
      </c>
      <c r="J1007" s="28">
        <f>H1007+I1007</f>
        <v>0</v>
      </c>
      <c r="K1007" s="21"/>
      <c r="L1007" s="28">
        <f>SUM(L1008:L1008)</f>
        <v>0.42936000000000002</v>
      </c>
      <c r="M1007" s="21"/>
      <c r="P1007" s="28">
        <f>IF(Q1007="PR",J1007,SUM(O1008:O1008))</f>
        <v>0</v>
      </c>
      <c r="Q1007" s="21" t="s">
        <v>54</v>
      </c>
      <c r="R1007" s="28">
        <f>IF(Q1007="HS",H1007,0)</f>
        <v>0</v>
      </c>
      <c r="S1007" s="28">
        <f>IF(Q1007="HS",I1007-P1007,0)</f>
        <v>0</v>
      </c>
      <c r="T1007" s="28">
        <f>IF(Q1007="PS",H1007,0)</f>
        <v>0</v>
      </c>
      <c r="U1007" s="28">
        <f>IF(Q1007="PS",I1007-P1007,0)</f>
        <v>0</v>
      </c>
      <c r="V1007" s="28">
        <f>IF(Q1007="MP",H1007,0)</f>
        <v>0</v>
      </c>
      <c r="W1007" s="28">
        <f>IF(Q1007="MP",I1007-P1007,0)</f>
        <v>0</v>
      </c>
      <c r="X1007" s="28">
        <f>IF(Q1007="OM",H1007,0)</f>
        <v>0</v>
      </c>
      <c r="Y1007" s="21" t="s">
        <v>659</v>
      </c>
      <c r="AI1007" s="28">
        <f>SUM(Z1008:Z1008)</f>
        <v>0</v>
      </c>
      <c r="AJ1007" s="28">
        <f>SUM(AA1008:AA1008)</f>
        <v>0</v>
      </c>
      <c r="AK1007" s="28">
        <f>SUM(AB1008:AB1008)</f>
        <v>0</v>
      </c>
    </row>
    <row r="1008" spans="1:43" x14ac:dyDescent="0.25">
      <c r="A1008" s="29" t="s">
        <v>660</v>
      </c>
      <c r="B1008" s="29" t="s">
        <v>659</v>
      </c>
      <c r="C1008" s="29" t="s">
        <v>169</v>
      </c>
      <c r="D1008" s="29" t="s">
        <v>170</v>
      </c>
      <c r="E1008" s="29" t="s">
        <v>58</v>
      </c>
      <c r="F1008" s="30">
        <v>35.78</v>
      </c>
      <c r="G1008" s="317">
        <v>0</v>
      </c>
      <c r="H1008" s="30">
        <f>ROUND(F1008*AE1008,2)</f>
        <v>0</v>
      </c>
      <c r="I1008" s="30">
        <f>J1008-H1008</f>
        <v>0</v>
      </c>
      <c r="J1008" s="30">
        <f>ROUND(F1008*G1008,2)</f>
        <v>0</v>
      </c>
      <c r="K1008" s="30">
        <v>1.2E-2</v>
      </c>
      <c r="L1008" s="30">
        <f>F1008*K1008</f>
        <v>0.42936000000000002</v>
      </c>
      <c r="M1008" s="31"/>
      <c r="N1008" s="31" t="s">
        <v>55</v>
      </c>
      <c r="O1008" s="30">
        <f>IF(N1008="5",I1008,0)</f>
        <v>0</v>
      </c>
      <c r="Z1008" s="30">
        <f>IF(AD1008=0,J1008,0)</f>
        <v>0</v>
      </c>
      <c r="AA1008" s="30">
        <f>IF(AD1008=15,J1008,0)</f>
        <v>0</v>
      </c>
      <c r="AB1008" s="30">
        <f>IF(AD1008=21,J1008,0)</f>
        <v>0</v>
      </c>
      <c r="AD1008" s="32">
        <v>21</v>
      </c>
      <c r="AE1008" s="32">
        <f>G1008*0.381443298969072</f>
        <v>0</v>
      </c>
      <c r="AF1008" s="32">
        <f>G1008*(1-0.381443298969072)</f>
        <v>0</v>
      </c>
      <c r="AM1008" s="32">
        <f>F1008*AE1008</f>
        <v>0</v>
      </c>
      <c r="AN1008" s="32">
        <f>F1008*AF1008</f>
        <v>0</v>
      </c>
      <c r="AO1008" s="33" t="s">
        <v>171</v>
      </c>
      <c r="AP1008" s="33" t="s">
        <v>171</v>
      </c>
      <c r="AQ1008" s="21" t="s">
        <v>661</v>
      </c>
    </row>
    <row r="1009" spans="1:43" x14ac:dyDescent="0.25">
      <c r="A1009" s="26"/>
      <c r="B1009" s="27" t="s">
        <v>659</v>
      </c>
      <c r="C1009" s="27" t="s">
        <v>52</v>
      </c>
      <c r="D1009" s="338" t="s">
        <v>53</v>
      </c>
      <c r="E1009" s="339"/>
      <c r="F1009" s="339"/>
      <c r="G1009" s="339"/>
      <c r="H1009" s="28">
        <f>SUM(H1010:H1010)</f>
        <v>0</v>
      </c>
      <c r="I1009" s="28">
        <f>SUM(I1010:I1010)</f>
        <v>0</v>
      </c>
      <c r="J1009" s="28">
        <f>H1009+I1009</f>
        <v>0</v>
      </c>
      <c r="K1009" s="21"/>
      <c r="L1009" s="28">
        <f>SUM(L1010:L1010)</f>
        <v>1.4182167999999999</v>
      </c>
      <c r="M1009" s="21"/>
      <c r="P1009" s="28">
        <f>IF(Q1009="PR",J1009,SUM(O1010:O1010))</f>
        <v>0</v>
      </c>
      <c r="Q1009" s="21" t="s">
        <v>54</v>
      </c>
      <c r="R1009" s="28">
        <f>IF(Q1009="HS",H1009,0)</f>
        <v>0</v>
      </c>
      <c r="S1009" s="28">
        <f>IF(Q1009="HS",I1009-P1009,0)</f>
        <v>0</v>
      </c>
      <c r="T1009" s="28">
        <f>IF(Q1009="PS",H1009,0)</f>
        <v>0</v>
      </c>
      <c r="U1009" s="28">
        <f>IF(Q1009="PS",I1009-P1009,0)</f>
        <v>0</v>
      </c>
      <c r="V1009" s="28">
        <f>IF(Q1009="MP",H1009,0)</f>
        <v>0</v>
      </c>
      <c r="W1009" s="28">
        <f>IF(Q1009="MP",I1009-P1009,0)</f>
        <v>0</v>
      </c>
      <c r="X1009" s="28">
        <f>IF(Q1009="OM",H1009,0)</f>
        <v>0</v>
      </c>
      <c r="Y1009" s="21" t="s">
        <v>659</v>
      </c>
      <c r="AI1009" s="28">
        <f>SUM(Z1010:Z1010)</f>
        <v>0</v>
      </c>
      <c r="AJ1009" s="28">
        <f>SUM(AA1010:AA1010)</f>
        <v>0</v>
      </c>
      <c r="AK1009" s="28">
        <f>SUM(AB1010:AB1010)</f>
        <v>0</v>
      </c>
    </row>
    <row r="1010" spans="1:43" x14ac:dyDescent="0.25">
      <c r="A1010" s="29" t="s">
        <v>662</v>
      </c>
      <c r="B1010" s="29" t="s">
        <v>659</v>
      </c>
      <c r="C1010" s="29" t="s">
        <v>56</v>
      </c>
      <c r="D1010" s="29" t="s">
        <v>57</v>
      </c>
      <c r="E1010" s="29" t="s">
        <v>58</v>
      </c>
      <c r="F1010" s="30">
        <v>141.68</v>
      </c>
      <c r="G1010" s="317">
        <v>0</v>
      </c>
      <c r="H1010" s="30">
        <f>ROUND(F1010*AE1010,2)</f>
        <v>0</v>
      </c>
      <c r="I1010" s="30">
        <f>J1010-H1010</f>
        <v>0</v>
      </c>
      <c r="J1010" s="30">
        <f>ROUND(F1010*G1010,2)</f>
        <v>0</v>
      </c>
      <c r="K1010" s="30">
        <v>1.001E-2</v>
      </c>
      <c r="L1010" s="30">
        <f>F1010*K1010</f>
        <v>1.4182167999999999</v>
      </c>
      <c r="M1010" s="31" t="s">
        <v>2292</v>
      </c>
      <c r="N1010" s="31" t="s">
        <v>59</v>
      </c>
      <c r="O1010" s="30">
        <f>IF(N1010="5",I1010,0)</f>
        <v>0</v>
      </c>
      <c r="Z1010" s="30">
        <f>IF(AD1010=0,J1010,0)</f>
        <v>0</v>
      </c>
      <c r="AA1010" s="30">
        <f>IF(AD1010=15,J1010,0)</f>
        <v>0</v>
      </c>
      <c r="AB1010" s="30">
        <f>IF(AD1010=21,J1010,0)</f>
        <v>0</v>
      </c>
      <c r="AD1010" s="32">
        <v>21</v>
      </c>
      <c r="AE1010" s="32">
        <f>G1010*0.0756575801052128</f>
        <v>0</v>
      </c>
      <c r="AF1010" s="32">
        <f>G1010*(1-0.0756575801052128)</f>
        <v>0</v>
      </c>
      <c r="AM1010" s="32">
        <f>F1010*AE1010</f>
        <v>0</v>
      </c>
      <c r="AN1010" s="32">
        <f>F1010*AF1010</f>
        <v>0</v>
      </c>
      <c r="AO1010" s="33" t="s">
        <v>60</v>
      </c>
      <c r="AP1010" s="33" t="s">
        <v>61</v>
      </c>
      <c r="AQ1010" s="21" t="s">
        <v>661</v>
      </c>
    </row>
    <row r="1011" spans="1:43" ht="25.7" customHeight="1" x14ac:dyDescent="0.25">
      <c r="C1011" s="34" t="s">
        <v>63</v>
      </c>
      <c r="D1011" s="340" t="s">
        <v>64</v>
      </c>
      <c r="E1011" s="341"/>
      <c r="F1011" s="341"/>
      <c r="G1011" s="341"/>
      <c r="H1011" s="341"/>
      <c r="I1011" s="341"/>
      <c r="J1011" s="341"/>
      <c r="K1011" s="341"/>
      <c r="L1011" s="341"/>
      <c r="M1011" s="341"/>
    </row>
    <row r="1012" spans="1:43" x14ac:dyDescent="0.25">
      <c r="A1012" s="26"/>
      <c r="B1012" s="27" t="s">
        <v>659</v>
      </c>
      <c r="C1012" s="27" t="s">
        <v>68</v>
      </c>
      <c r="D1012" s="338" t="s">
        <v>69</v>
      </c>
      <c r="E1012" s="339"/>
      <c r="F1012" s="339"/>
      <c r="G1012" s="339"/>
      <c r="H1012" s="28">
        <f>SUM(H1013:H1013)</f>
        <v>0</v>
      </c>
      <c r="I1012" s="28">
        <f>SUM(I1013:I1013)</f>
        <v>0</v>
      </c>
      <c r="J1012" s="28">
        <f>H1012+I1012</f>
        <v>0</v>
      </c>
      <c r="K1012" s="21"/>
      <c r="L1012" s="28">
        <f>SUM(L1013:L1013)</f>
        <v>7.4268546000000004</v>
      </c>
      <c r="M1012" s="21"/>
      <c r="P1012" s="28">
        <f>IF(Q1012="PR",J1012,SUM(O1013:O1013))</f>
        <v>0</v>
      </c>
      <c r="Q1012" s="21" t="s">
        <v>54</v>
      </c>
      <c r="R1012" s="28">
        <f>IF(Q1012="HS",H1012,0)</f>
        <v>0</v>
      </c>
      <c r="S1012" s="28">
        <f>IF(Q1012="HS",I1012-P1012,0)</f>
        <v>0</v>
      </c>
      <c r="T1012" s="28">
        <f>IF(Q1012="PS",H1012,0)</f>
        <v>0</v>
      </c>
      <c r="U1012" s="28">
        <f>IF(Q1012="PS",I1012-P1012,0)</f>
        <v>0</v>
      </c>
      <c r="V1012" s="28">
        <f>IF(Q1012="MP",H1012,0)</f>
        <v>0</v>
      </c>
      <c r="W1012" s="28">
        <f>IF(Q1012="MP",I1012-P1012,0)</f>
        <v>0</v>
      </c>
      <c r="X1012" s="28">
        <f>IF(Q1012="OM",H1012,0)</f>
        <v>0</v>
      </c>
      <c r="Y1012" s="21" t="s">
        <v>659</v>
      </c>
      <c r="AI1012" s="28">
        <f>SUM(Z1013:Z1013)</f>
        <v>0</v>
      </c>
      <c r="AJ1012" s="28">
        <f>SUM(AA1013:AA1013)</f>
        <v>0</v>
      </c>
      <c r="AK1012" s="28">
        <f>SUM(AB1013:AB1013)</f>
        <v>0</v>
      </c>
    </row>
    <row r="1013" spans="1:43" x14ac:dyDescent="0.25">
      <c r="A1013" s="29" t="s">
        <v>663</v>
      </c>
      <c r="B1013" s="29" t="s">
        <v>659</v>
      </c>
      <c r="C1013" s="29" t="s">
        <v>312</v>
      </c>
      <c r="D1013" s="29" t="s">
        <v>313</v>
      </c>
      <c r="E1013" s="29" t="s">
        <v>58</v>
      </c>
      <c r="F1013" s="30">
        <v>35.78</v>
      </c>
      <c r="G1013" s="317">
        <v>0</v>
      </c>
      <c r="H1013" s="30">
        <f>ROUND(F1013*AE1013,2)</f>
        <v>0</v>
      </c>
      <c r="I1013" s="30">
        <f>J1013-H1013</f>
        <v>0</v>
      </c>
      <c r="J1013" s="30">
        <f>ROUND(F1013*G1013,2)</f>
        <v>0</v>
      </c>
      <c r="K1013" s="30">
        <v>0.20757</v>
      </c>
      <c r="L1013" s="30">
        <f>F1013*K1013</f>
        <v>7.4268546000000004</v>
      </c>
      <c r="M1013" s="31" t="s">
        <v>2292</v>
      </c>
      <c r="N1013" s="31" t="s">
        <v>59</v>
      </c>
      <c r="O1013" s="30">
        <f>IF(N1013="5",I1013,0)</f>
        <v>0</v>
      </c>
      <c r="Z1013" s="30">
        <f>IF(AD1013=0,J1013,0)</f>
        <v>0</v>
      </c>
      <c r="AA1013" s="30">
        <f>IF(AD1013=15,J1013,0)</f>
        <v>0</v>
      </c>
      <c r="AB1013" s="30">
        <f>IF(AD1013=21,J1013,0)</f>
        <v>0</v>
      </c>
      <c r="AD1013" s="32">
        <v>21</v>
      </c>
      <c r="AE1013" s="32">
        <f>G1013*0.605216640631423</f>
        <v>0</v>
      </c>
      <c r="AF1013" s="32">
        <f>G1013*(1-0.605216640631423)</f>
        <v>0</v>
      </c>
      <c r="AM1013" s="32">
        <f>F1013*AE1013</f>
        <v>0</v>
      </c>
      <c r="AN1013" s="32">
        <f>F1013*AF1013</f>
        <v>0</v>
      </c>
      <c r="AO1013" s="33" t="s">
        <v>72</v>
      </c>
      <c r="AP1013" s="33" t="s">
        <v>61</v>
      </c>
      <c r="AQ1013" s="21" t="s">
        <v>661</v>
      </c>
    </row>
    <row r="1014" spans="1:43" x14ac:dyDescent="0.25">
      <c r="A1014" s="26"/>
      <c r="B1014" s="27" t="s">
        <v>659</v>
      </c>
      <c r="C1014" s="27" t="s">
        <v>73</v>
      </c>
      <c r="D1014" s="338" t="s">
        <v>74</v>
      </c>
      <c r="E1014" s="339"/>
      <c r="F1014" s="339"/>
      <c r="G1014" s="339"/>
      <c r="H1014" s="28">
        <f>SUM(H1015:H1017)</f>
        <v>0</v>
      </c>
      <c r="I1014" s="28">
        <f>SUM(I1015:I1017)</f>
        <v>0</v>
      </c>
      <c r="J1014" s="28">
        <f>H1014+I1014</f>
        <v>0</v>
      </c>
      <c r="K1014" s="21"/>
      <c r="L1014" s="28">
        <f>SUM(L1015:L1017)</f>
        <v>3.3003472</v>
      </c>
      <c r="M1014" s="21"/>
      <c r="P1014" s="28">
        <f>IF(Q1014="PR",J1014,SUM(O1015:O1017))</f>
        <v>0</v>
      </c>
      <c r="Q1014" s="21" t="s">
        <v>75</v>
      </c>
      <c r="R1014" s="28">
        <f>IF(Q1014="HS",H1014,0)</f>
        <v>0</v>
      </c>
      <c r="S1014" s="28">
        <f>IF(Q1014="HS",I1014-P1014,0)</f>
        <v>0</v>
      </c>
      <c r="T1014" s="28">
        <f>IF(Q1014="PS",H1014,0)</f>
        <v>0</v>
      </c>
      <c r="U1014" s="28">
        <f>IF(Q1014="PS",I1014-P1014,0)</f>
        <v>0</v>
      </c>
      <c r="V1014" s="28">
        <f>IF(Q1014="MP",H1014,0)</f>
        <v>0</v>
      </c>
      <c r="W1014" s="28">
        <f>IF(Q1014="MP",I1014-P1014,0)</f>
        <v>0</v>
      </c>
      <c r="X1014" s="28">
        <f>IF(Q1014="OM",H1014,0)</f>
        <v>0</v>
      </c>
      <c r="Y1014" s="21" t="s">
        <v>659</v>
      </c>
      <c r="AI1014" s="28">
        <f>SUM(Z1015:Z1017)</f>
        <v>0</v>
      </c>
      <c r="AJ1014" s="28">
        <f>SUM(AA1015:AA1017)</f>
        <v>0</v>
      </c>
      <c r="AK1014" s="28">
        <f>SUM(AB1015:AB1017)</f>
        <v>0</v>
      </c>
    </row>
    <row r="1015" spans="1:43" x14ac:dyDescent="0.25">
      <c r="A1015" s="29" t="s">
        <v>664</v>
      </c>
      <c r="B1015" s="29" t="s">
        <v>659</v>
      </c>
      <c r="C1015" s="29" t="s">
        <v>77</v>
      </c>
      <c r="D1015" s="29" t="s">
        <v>2278</v>
      </c>
      <c r="E1015" s="29" t="s">
        <v>58</v>
      </c>
      <c r="F1015" s="30">
        <v>35.78</v>
      </c>
      <c r="G1015" s="317">
        <v>0</v>
      </c>
      <c r="H1015" s="30">
        <f>ROUND(F1015*AE1015,2)</f>
        <v>0</v>
      </c>
      <c r="I1015" s="30">
        <f>J1015-H1015</f>
        <v>0</v>
      </c>
      <c r="J1015" s="30">
        <f>ROUND(F1015*G1015,2)</f>
        <v>0</v>
      </c>
      <c r="K1015" s="30">
        <v>1.61E-2</v>
      </c>
      <c r="L1015" s="30">
        <f>F1015*K1015</f>
        <v>0.57605799999999996</v>
      </c>
      <c r="M1015" s="31" t="s">
        <v>2292</v>
      </c>
      <c r="N1015" s="31" t="s">
        <v>59</v>
      </c>
      <c r="O1015" s="30">
        <f>IF(N1015="5",I1015,0)</f>
        <v>0</v>
      </c>
      <c r="Z1015" s="30">
        <f>IF(AD1015=0,J1015,0)</f>
        <v>0</v>
      </c>
      <c r="AA1015" s="30">
        <f>IF(AD1015=15,J1015,0)</f>
        <v>0</v>
      </c>
      <c r="AB1015" s="30">
        <f>IF(AD1015=21,J1015,0)</f>
        <v>0</v>
      </c>
      <c r="AD1015" s="32">
        <v>21</v>
      </c>
      <c r="AE1015" s="32">
        <f>G1015*0.787221324717286</f>
        <v>0</v>
      </c>
      <c r="AF1015" s="32">
        <f>G1015*(1-0.787221324717286)</f>
        <v>0</v>
      </c>
      <c r="AM1015" s="32">
        <f>F1015*AE1015</f>
        <v>0</v>
      </c>
      <c r="AN1015" s="32">
        <f>F1015*AF1015</f>
        <v>0</v>
      </c>
      <c r="AO1015" s="33" t="s">
        <v>78</v>
      </c>
      <c r="AP1015" s="33" t="s">
        <v>79</v>
      </c>
      <c r="AQ1015" s="21" t="s">
        <v>661</v>
      </c>
    </row>
    <row r="1016" spans="1:43" ht="12.75" customHeight="1" x14ac:dyDescent="0.25">
      <c r="C1016" s="34" t="s">
        <v>63</v>
      </c>
      <c r="D1016" s="340" t="s">
        <v>2280</v>
      </c>
      <c r="E1016" s="341"/>
      <c r="F1016" s="341"/>
      <c r="G1016" s="341"/>
      <c r="H1016" s="341"/>
      <c r="I1016" s="341"/>
      <c r="J1016" s="341"/>
      <c r="K1016" s="341"/>
      <c r="L1016" s="341"/>
      <c r="M1016" s="341"/>
    </row>
    <row r="1017" spans="1:43" x14ac:dyDescent="0.25">
      <c r="A1017" s="29" t="s">
        <v>665</v>
      </c>
      <c r="B1017" s="29" t="s">
        <v>659</v>
      </c>
      <c r="C1017" s="29" t="s">
        <v>122</v>
      </c>
      <c r="D1017" s="29" t="s">
        <v>123</v>
      </c>
      <c r="E1017" s="29" t="s">
        <v>58</v>
      </c>
      <c r="F1017" s="30">
        <v>35.78</v>
      </c>
      <c r="G1017" s="317">
        <v>0</v>
      </c>
      <c r="H1017" s="30">
        <f>ROUND(F1017*AE1017,2)</f>
        <v>0</v>
      </c>
      <c r="I1017" s="30">
        <f>J1017-H1017</f>
        <v>0</v>
      </c>
      <c r="J1017" s="30">
        <f>ROUND(F1017*G1017,2)</f>
        <v>0</v>
      </c>
      <c r="K1017" s="30">
        <v>7.6139999999999999E-2</v>
      </c>
      <c r="L1017" s="30">
        <f>F1017*K1017</f>
        <v>2.7242891999999999</v>
      </c>
      <c r="M1017" s="31" t="s">
        <v>2292</v>
      </c>
      <c r="N1017" s="31" t="s">
        <v>59</v>
      </c>
      <c r="O1017" s="30">
        <f>IF(N1017="5",I1017,0)</f>
        <v>0</v>
      </c>
      <c r="Z1017" s="30">
        <f>IF(AD1017=0,J1017,0)</f>
        <v>0</v>
      </c>
      <c r="AA1017" s="30">
        <f>IF(AD1017=15,J1017,0)</f>
        <v>0</v>
      </c>
      <c r="AB1017" s="30">
        <f>IF(AD1017=21,J1017,0)</f>
        <v>0</v>
      </c>
      <c r="AD1017" s="32">
        <v>21</v>
      </c>
      <c r="AE1017" s="32">
        <f>G1017*0.547569562266712</f>
        <v>0</v>
      </c>
      <c r="AF1017" s="32">
        <f>G1017*(1-0.547569562266712)</f>
        <v>0</v>
      </c>
      <c r="AM1017" s="32">
        <f>F1017*AE1017</f>
        <v>0</v>
      </c>
      <c r="AN1017" s="32">
        <f>F1017*AF1017</f>
        <v>0</v>
      </c>
      <c r="AO1017" s="33" t="s">
        <v>78</v>
      </c>
      <c r="AP1017" s="33" t="s">
        <v>79</v>
      </c>
      <c r="AQ1017" s="21" t="s">
        <v>661</v>
      </c>
    </row>
    <row r="1018" spans="1:43" x14ac:dyDescent="0.25">
      <c r="A1018" s="26"/>
      <c r="B1018" s="27" t="s">
        <v>659</v>
      </c>
      <c r="C1018" s="27" t="s">
        <v>93</v>
      </c>
      <c r="D1018" s="338" t="s">
        <v>94</v>
      </c>
      <c r="E1018" s="339"/>
      <c r="F1018" s="339"/>
      <c r="G1018" s="339"/>
      <c r="H1018" s="28">
        <f>SUM(H1019:H1019)</f>
        <v>0</v>
      </c>
      <c r="I1018" s="28">
        <f>SUM(I1019:I1019)</f>
        <v>0</v>
      </c>
      <c r="J1018" s="28">
        <f>H1018+I1018</f>
        <v>0</v>
      </c>
      <c r="K1018" s="21"/>
      <c r="L1018" s="28">
        <f>SUM(L1019:L1019)</f>
        <v>0.11534899999999999</v>
      </c>
      <c r="M1018" s="21"/>
      <c r="P1018" s="28">
        <f>IF(Q1018="PR",J1018,SUM(O1019:O1019))</f>
        <v>0</v>
      </c>
      <c r="Q1018" s="21" t="s">
        <v>75</v>
      </c>
      <c r="R1018" s="28">
        <f>IF(Q1018="HS",H1018,0)</f>
        <v>0</v>
      </c>
      <c r="S1018" s="28">
        <f>IF(Q1018="HS",I1018-P1018,0)</f>
        <v>0</v>
      </c>
      <c r="T1018" s="28">
        <f>IF(Q1018="PS",H1018,0)</f>
        <v>0</v>
      </c>
      <c r="U1018" s="28">
        <f>IF(Q1018="PS",I1018-P1018,0)</f>
        <v>0</v>
      </c>
      <c r="V1018" s="28">
        <f>IF(Q1018="MP",H1018,0)</f>
        <v>0</v>
      </c>
      <c r="W1018" s="28">
        <f>IF(Q1018="MP",I1018-P1018,0)</f>
        <v>0</v>
      </c>
      <c r="X1018" s="28">
        <f>IF(Q1018="OM",H1018,0)</f>
        <v>0</v>
      </c>
      <c r="Y1018" s="21" t="s">
        <v>659</v>
      </c>
      <c r="AI1018" s="28">
        <f>SUM(Z1019:Z1019)</f>
        <v>0</v>
      </c>
      <c r="AJ1018" s="28">
        <f>SUM(AA1019:AA1019)</f>
        <v>0</v>
      </c>
      <c r="AK1018" s="28">
        <f>SUM(AB1019:AB1019)</f>
        <v>0</v>
      </c>
    </row>
    <row r="1019" spans="1:43" x14ac:dyDescent="0.25">
      <c r="A1019" s="29" t="s">
        <v>666</v>
      </c>
      <c r="B1019" s="29" t="s">
        <v>659</v>
      </c>
      <c r="C1019" s="29" t="s">
        <v>96</v>
      </c>
      <c r="D1019" s="29" t="s">
        <v>97</v>
      </c>
      <c r="E1019" s="29" t="s">
        <v>58</v>
      </c>
      <c r="F1019" s="30">
        <v>177.46</v>
      </c>
      <c r="G1019" s="317">
        <v>0</v>
      </c>
      <c r="H1019" s="30">
        <f>ROUND(F1019*AE1019,2)</f>
        <v>0</v>
      </c>
      <c r="I1019" s="30">
        <f>J1019-H1019</f>
        <v>0</v>
      </c>
      <c r="J1019" s="30">
        <f>ROUND(F1019*G1019,2)</f>
        <v>0</v>
      </c>
      <c r="K1019" s="30">
        <v>6.4999999999999997E-4</v>
      </c>
      <c r="L1019" s="30">
        <f>F1019*K1019</f>
        <v>0.11534899999999999</v>
      </c>
      <c r="M1019" s="31" t="s">
        <v>2292</v>
      </c>
      <c r="N1019" s="31" t="s">
        <v>59</v>
      </c>
      <c r="O1019" s="30">
        <f>IF(N1019="5",I1019,0)</f>
        <v>0</v>
      </c>
      <c r="Z1019" s="30">
        <f>IF(AD1019=0,J1019,0)</f>
        <v>0</v>
      </c>
      <c r="AA1019" s="30">
        <f>IF(AD1019=15,J1019,0)</f>
        <v>0</v>
      </c>
      <c r="AB1019" s="30">
        <f>IF(AD1019=21,J1019,0)</f>
        <v>0</v>
      </c>
      <c r="AD1019" s="32">
        <v>21</v>
      </c>
      <c r="AE1019" s="32">
        <f>G1019*0.333747476316198</f>
        <v>0</v>
      </c>
      <c r="AF1019" s="32">
        <f>G1019*(1-0.333747476316198)</f>
        <v>0</v>
      </c>
      <c r="AM1019" s="32">
        <f>F1019*AE1019</f>
        <v>0</v>
      </c>
      <c r="AN1019" s="32">
        <f>F1019*AF1019</f>
        <v>0</v>
      </c>
      <c r="AO1019" s="33" t="s">
        <v>98</v>
      </c>
      <c r="AP1019" s="33" t="s">
        <v>92</v>
      </c>
      <c r="AQ1019" s="21" t="s">
        <v>661</v>
      </c>
    </row>
    <row r="1020" spans="1:43" x14ac:dyDescent="0.25">
      <c r="A1020" s="26"/>
      <c r="B1020" s="27" t="s">
        <v>659</v>
      </c>
      <c r="C1020" s="27" t="s">
        <v>99</v>
      </c>
      <c r="D1020" s="338" t="s">
        <v>100</v>
      </c>
      <c r="E1020" s="339"/>
      <c r="F1020" s="339"/>
      <c r="G1020" s="339"/>
      <c r="H1020" s="28">
        <f>SUM(H1021:H1021)</f>
        <v>0</v>
      </c>
      <c r="I1020" s="28">
        <f>SUM(I1021:I1021)</f>
        <v>0</v>
      </c>
      <c r="J1020" s="28">
        <f>H1020+I1020</f>
        <v>0</v>
      </c>
      <c r="K1020" s="21"/>
      <c r="L1020" s="28">
        <f>SUM(L1021:L1021)</f>
        <v>0</v>
      </c>
      <c r="M1020" s="21"/>
      <c r="P1020" s="28">
        <f>IF(Q1020="PR",J1020,SUM(O1021:O1021))</f>
        <v>0</v>
      </c>
      <c r="Q1020" s="21" t="s">
        <v>54</v>
      </c>
      <c r="R1020" s="28">
        <f>IF(Q1020="HS",H1020,0)</f>
        <v>0</v>
      </c>
      <c r="S1020" s="28">
        <f>IF(Q1020="HS",I1020-P1020,0)</f>
        <v>0</v>
      </c>
      <c r="T1020" s="28">
        <f>IF(Q1020="PS",H1020,0)</f>
        <v>0</v>
      </c>
      <c r="U1020" s="28">
        <f>IF(Q1020="PS",I1020-P1020,0)</f>
        <v>0</v>
      </c>
      <c r="V1020" s="28">
        <f>IF(Q1020="MP",H1020,0)</f>
        <v>0</v>
      </c>
      <c r="W1020" s="28">
        <f>IF(Q1020="MP",I1020-P1020,0)</f>
        <v>0</v>
      </c>
      <c r="X1020" s="28">
        <f>IF(Q1020="OM",H1020,0)</f>
        <v>0</v>
      </c>
      <c r="Y1020" s="21" t="s">
        <v>659</v>
      </c>
      <c r="AI1020" s="28">
        <f>SUM(Z1021:Z1021)</f>
        <v>0</v>
      </c>
      <c r="AJ1020" s="28">
        <f>SUM(AA1021:AA1021)</f>
        <v>0</v>
      </c>
      <c r="AK1020" s="28">
        <f>SUM(AB1021:AB1021)</f>
        <v>0</v>
      </c>
    </row>
    <row r="1021" spans="1:43" x14ac:dyDescent="0.25">
      <c r="A1021" s="29" t="s">
        <v>667</v>
      </c>
      <c r="B1021" s="29" t="s">
        <v>659</v>
      </c>
      <c r="C1021" s="29" t="s">
        <v>102</v>
      </c>
      <c r="D1021" s="29" t="s">
        <v>103</v>
      </c>
      <c r="E1021" s="29" t="s">
        <v>104</v>
      </c>
      <c r="F1021" s="30">
        <v>1.2</v>
      </c>
      <c r="G1021" s="317">
        <v>0</v>
      </c>
      <c r="H1021" s="30">
        <f>ROUND(F1021*AE1021,2)</f>
        <v>0</v>
      </c>
      <c r="I1021" s="30">
        <f>J1021-H1021</f>
        <v>0</v>
      </c>
      <c r="J1021" s="30">
        <f>ROUND(F1021*G1021,2)</f>
        <v>0</v>
      </c>
      <c r="K1021" s="30">
        <v>0</v>
      </c>
      <c r="L1021" s="30">
        <f>F1021*K1021</f>
        <v>0</v>
      </c>
      <c r="M1021" s="31" t="s">
        <v>2292</v>
      </c>
      <c r="N1021" s="31" t="s">
        <v>55</v>
      </c>
      <c r="O1021" s="30">
        <f>IF(N1021="5",I1021,0)</f>
        <v>0</v>
      </c>
      <c r="Z1021" s="30">
        <f>IF(AD1021=0,J1021,0)</f>
        <v>0</v>
      </c>
      <c r="AA1021" s="30">
        <f>IF(AD1021=15,J1021,0)</f>
        <v>0</v>
      </c>
      <c r="AB1021" s="30">
        <f>IF(AD1021=21,J1021,0)</f>
        <v>0</v>
      </c>
      <c r="AD1021" s="32">
        <v>21</v>
      </c>
      <c r="AE1021" s="32">
        <f>G1021*0</f>
        <v>0</v>
      </c>
      <c r="AF1021" s="32">
        <f>G1021*(1-0)</f>
        <v>0</v>
      </c>
      <c r="AM1021" s="32">
        <f>F1021*AE1021</f>
        <v>0</v>
      </c>
      <c r="AN1021" s="32">
        <f>F1021*AF1021</f>
        <v>0</v>
      </c>
      <c r="AO1021" s="33" t="s">
        <v>105</v>
      </c>
      <c r="AP1021" s="33" t="s">
        <v>106</v>
      </c>
      <c r="AQ1021" s="21" t="s">
        <v>661</v>
      </c>
    </row>
    <row r="1022" spans="1:43" x14ac:dyDescent="0.25">
      <c r="A1022" s="35"/>
      <c r="B1022" s="35"/>
      <c r="C1022" s="36" t="s">
        <v>63</v>
      </c>
      <c r="D1022" s="452" t="s">
        <v>107</v>
      </c>
      <c r="E1022" s="453"/>
      <c r="F1022" s="453"/>
      <c r="G1022" s="453"/>
      <c r="H1022" s="453"/>
      <c r="I1022" s="453"/>
      <c r="J1022" s="453"/>
      <c r="K1022" s="453"/>
      <c r="L1022" s="453"/>
      <c r="M1022" s="453"/>
    </row>
    <row r="1023" spans="1:43" x14ac:dyDescent="0.25">
      <c r="A1023" s="37"/>
      <c r="B1023" s="37"/>
      <c r="C1023" s="37"/>
      <c r="D1023" s="37"/>
      <c r="E1023" s="37"/>
      <c r="F1023" s="37"/>
      <c r="G1023" s="322"/>
      <c r="H1023" s="334" t="s">
        <v>668</v>
      </c>
      <c r="I1023" s="335"/>
      <c r="J1023" s="38" t="e">
        <f>#VALUE!</f>
        <v>#VALUE!</v>
      </c>
      <c r="K1023" s="37"/>
      <c r="L1023" s="37"/>
      <c r="M1023" s="37"/>
      <c r="Z1023" s="39">
        <f>SUM(Z13:Z1022)</f>
        <v>0</v>
      </c>
      <c r="AA1023" s="39">
        <f>SUM(AA13:AA1022)</f>
        <v>0</v>
      </c>
      <c r="AB1023" s="39">
        <f>SUM(AB13:AB1022)</f>
        <v>0</v>
      </c>
    </row>
    <row r="1024" spans="1:43" ht="11.25" customHeight="1" x14ac:dyDescent="0.25">
      <c r="A1024" s="40" t="s">
        <v>669</v>
      </c>
      <c r="G1024" s="323"/>
    </row>
    <row r="1025" spans="1:13" ht="231" customHeight="1" x14ac:dyDescent="0.25">
      <c r="A1025" s="336" t="s">
        <v>2301</v>
      </c>
      <c r="B1025" s="337"/>
      <c r="C1025" s="337"/>
      <c r="D1025" s="337"/>
      <c r="E1025" s="337"/>
      <c r="F1025" s="337"/>
      <c r="G1025" s="337"/>
      <c r="H1025" s="337"/>
      <c r="I1025" s="337"/>
      <c r="J1025" s="337"/>
      <c r="K1025" s="337"/>
      <c r="L1025" s="337"/>
      <c r="M1025" s="337"/>
    </row>
  </sheetData>
  <mergeCells count="616">
    <mergeCell ref="A1:M1"/>
    <mergeCell ref="A2:C3"/>
    <mergeCell ref="D2:D3"/>
    <mergeCell ref="E2:F3"/>
    <mergeCell ref="G2:H3"/>
    <mergeCell ref="I2:I3"/>
    <mergeCell ref="J2:M3"/>
    <mergeCell ref="A6:C7"/>
    <mergeCell ref="D6:D7"/>
    <mergeCell ref="E6:F7"/>
    <mergeCell ref="G6:H7"/>
    <mergeCell ref="I6:I7"/>
    <mergeCell ref="J6:M7"/>
    <mergeCell ref="A4:C5"/>
    <mergeCell ref="D4:D5"/>
    <mergeCell ref="E4:F5"/>
    <mergeCell ref="G4:H5"/>
    <mergeCell ref="I4:I5"/>
    <mergeCell ref="J4:M5"/>
    <mergeCell ref="H10:J10"/>
    <mergeCell ref="K10:L10"/>
    <mergeCell ref="D12:G12"/>
    <mergeCell ref="D13:G13"/>
    <mergeCell ref="D15:M15"/>
    <mergeCell ref="D17:M17"/>
    <mergeCell ref="A8:C9"/>
    <mergeCell ref="D8:D9"/>
    <mergeCell ref="E8:F9"/>
    <mergeCell ref="G8:H9"/>
    <mergeCell ref="I8:I9"/>
    <mergeCell ref="J8:M9"/>
    <mergeCell ref="D29:G29"/>
    <mergeCell ref="D31:M31"/>
    <mergeCell ref="D32:G32"/>
    <mergeCell ref="D34:M34"/>
    <mergeCell ref="D35:G35"/>
    <mergeCell ref="D36:G36"/>
    <mergeCell ref="D18:G18"/>
    <mergeCell ref="D20:G20"/>
    <mergeCell ref="D22:M22"/>
    <mergeCell ref="D23:G23"/>
    <mergeCell ref="D25:G25"/>
    <mergeCell ref="D27:G27"/>
    <mergeCell ref="D49:G49"/>
    <mergeCell ref="D50:G50"/>
    <mergeCell ref="D52:M52"/>
    <mergeCell ref="D54:M54"/>
    <mergeCell ref="D55:G55"/>
    <mergeCell ref="D57:G57"/>
    <mergeCell ref="D38:M38"/>
    <mergeCell ref="D40:M40"/>
    <mergeCell ref="D41:G41"/>
    <mergeCell ref="D43:G43"/>
    <mergeCell ref="D45:M45"/>
    <mergeCell ref="D47:G47"/>
    <mergeCell ref="D72:G72"/>
    <mergeCell ref="D73:G73"/>
    <mergeCell ref="D75:M75"/>
    <mergeCell ref="D77:M77"/>
    <mergeCell ref="D79:M79"/>
    <mergeCell ref="D80:G80"/>
    <mergeCell ref="D59:M59"/>
    <mergeCell ref="D61:G61"/>
    <mergeCell ref="D63:M63"/>
    <mergeCell ref="D65:G65"/>
    <mergeCell ref="D67:M67"/>
    <mergeCell ref="D70:G70"/>
    <mergeCell ref="D93:M93"/>
    <mergeCell ref="D94:G94"/>
    <mergeCell ref="D96:M96"/>
    <mergeCell ref="D97:G97"/>
    <mergeCell ref="D98:G98"/>
    <mergeCell ref="D100:G100"/>
    <mergeCell ref="D82:G82"/>
    <mergeCell ref="D84:M84"/>
    <mergeCell ref="D85:G85"/>
    <mergeCell ref="D87:G87"/>
    <mergeCell ref="D89:G89"/>
    <mergeCell ref="D91:G91"/>
    <mergeCell ref="D112:G112"/>
    <mergeCell ref="D114:G114"/>
    <mergeCell ref="D116:M116"/>
    <mergeCell ref="D118:M118"/>
    <mergeCell ref="D119:G119"/>
    <mergeCell ref="D122:G122"/>
    <mergeCell ref="D102:M102"/>
    <mergeCell ref="D103:G103"/>
    <mergeCell ref="D105:G105"/>
    <mergeCell ref="D107:M107"/>
    <mergeCell ref="D109:G109"/>
    <mergeCell ref="D111:G111"/>
    <mergeCell ref="D135:M135"/>
    <mergeCell ref="D136:G136"/>
    <mergeCell ref="D137:G137"/>
    <mergeCell ref="D139:M139"/>
    <mergeCell ref="D141:M141"/>
    <mergeCell ref="D142:G142"/>
    <mergeCell ref="D124:M124"/>
    <mergeCell ref="D126:G126"/>
    <mergeCell ref="D128:G128"/>
    <mergeCell ref="D130:G130"/>
    <mergeCell ref="D132:M132"/>
    <mergeCell ref="D133:G133"/>
    <mergeCell ref="D156:M156"/>
    <mergeCell ref="D157:G157"/>
    <mergeCell ref="D159:M159"/>
    <mergeCell ref="D160:G160"/>
    <mergeCell ref="D161:G161"/>
    <mergeCell ref="D163:M163"/>
    <mergeCell ref="D144:G144"/>
    <mergeCell ref="D146:M146"/>
    <mergeCell ref="D148:G148"/>
    <mergeCell ref="D150:G150"/>
    <mergeCell ref="D152:G152"/>
    <mergeCell ref="D154:G154"/>
    <mergeCell ref="D175:G175"/>
    <mergeCell ref="D177:G177"/>
    <mergeCell ref="D179:G179"/>
    <mergeCell ref="D181:M181"/>
    <mergeCell ref="D182:G182"/>
    <mergeCell ref="D184:M184"/>
    <mergeCell ref="D165:M165"/>
    <mergeCell ref="D167:M167"/>
    <mergeCell ref="D168:G168"/>
    <mergeCell ref="D170:G170"/>
    <mergeCell ref="D172:M172"/>
    <mergeCell ref="D173:G173"/>
    <mergeCell ref="D196:M196"/>
    <mergeCell ref="D197:G197"/>
    <mergeCell ref="D199:M199"/>
    <mergeCell ref="D201:M201"/>
    <mergeCell ref="D203:G203"/>
    <mergeCell ref="D205:M205"/>
    <mergeCell ref="D185:G185"/>
    <mergeCell ref="D186:G186"/>
    <mergeCell ref="D188:M188"/>
    <mergeCell ref="D190:M190"/>
    <mergeCell ref="D191:G191"/>
    <mergeCell ref="D194:G194"/>
    <mergeCell ref="D217:G217"/>
    <mergeCell ref="D218:G218"/>
    <mergeCell ref="D220:G220"/>
    <mergeCell ref="D222:M222"/>
    <mergeCell ref="D223:G223"/>
    <mergeCell ref="D226:G226"/>
    <mergeCell ref="D207:G207"/>
    <mergeCell ref="D209:G209"/>
    <mergeCell ref="D211:G211"/>
    <mergeCell ref="D213:M213"/>
    <mergeCell ref="D214:G214"/>
    <mergeCell ref="D216:M216"/>
    <mergeCell ref="D240:M240"/>
    <mergeCell ref="D242:M242"/>
    <mergeCell ref="D243:G243"/>
    <mergeCell ref="D245:G245"/>
    <mergeCell ref="D247:M247"/>
    <mergeCell ref="D248:G248"/>
    <mergeCell ref="D228:M228"/>
    <mergeCell ref="D230:G230"/>
    <mergeCell ref="D233:G233"/>
    <mergeCell ref="D235:G235"/>
    <mergeCell ref="D237:G237"/>
    <mergeCell ref="D238:G238"/>
    <mergeCell ref="D260:G260"/>
    <mergeCell ref="D261:G261"/>
    <mergeCell ref="D263:M263"/>
    <mergeCell ref="D265:M265"/>
    <mergeCell ref="D266:G266"/>
    <mergeCell ref="D268:G268"/>
    <mergeCell ref="D250:G250"/>
    <mergeCell ref="D252:G252"/>
    <mergeCell ref="D254:G254"/>
    <mergeCell ref="D256:M256"/>
    <mergeCell ref="D257:G257"/>
    <mergeCell ref="D259:M259"/>
    <mergeCell ref="D280:G280"/>
    <mergeCell ref="D282:M282"/>
    <mergeCell ref="D283:G283"/>
    <mergeCell ref="D284:G284"/>
    <mergeCell ref="D286:G286"/>
    <mergeCell ref="D288:M288"/>
    <mergeCell ref="D270:M270"/>
    <mergeCell ref="D271:G271"/>
    <mergeCell ref="D273:G273"/>
    <mergeCell ref="D275:G275"/>
    <mergeCell ref="D277:G277"/>
    <mergeCell ref="D279:M279"/>
    <mergeCell ref="D302:G302"/>
    <mergeCell ref="D304:G304"/>
    <mergeCell ref="D305:G305"/>
    <mergeCell ref="D307:M307"/>
    <mergeCell ref="D309:M309"/>
    <mergeCell ref="D310:G310"/>
    <mergeCell ref="D290:M290"/>
    <mergeCell ref="D291:G291"/>
    <mergeCell ref="D294:G294"/>
    <mergeCell ref="D296:M296"/>
    <mergeCell ref="D298:G298"/>
    <mergeCell ref="D300:G300"/>
    <mergeCell ref="D323:M323"/>
    <mergeCell ref="D324:G324"/>
    <mergeCell ref="D326:M326"/>
    <mergeCell ref="D327:G327"/>
    <mergeCell ref="D328:G328"/>
    <mergeCell ref="D330:M330"/>
    <mergeCell ref="D312:G312"/>
    <mergeCell ref="D314:M314"/>
    <mergeCell ref="D315:G315"/>
    <mergeCell ref="D317:G317"/>
    <mergeCell ref="D319:G319"/>
    <mergeCell ref="D321:G321"/>
    <mergeCell ref="D343:G343"/>
    <mergeCell ref="D345:M345"/>
    <mergeCell ref="D348:G348"/>
    <mergeCell ref="D350:G350"/>
    <mergeCell ref="D352:M352"/>
    <mergeCell ref="D353:G353"/>
    <mergeCell ref="D332:M332"/>
    <mergeCell ref="D333:G333"/>
    <mergeCell ref="D335:G335"/>
    <mergeCell ref="D337:M337"/>
    <mergeCell ref="D339:G339"/>
    <mergeCell ref="D341:M341"/>
    <mergeCell ref="D364:G364"/>
    <mergeCell ref="D366:G366"/>
    <mergeCell ref="D368:G368"/>
    <mergeCell ref="D370:G370"/>
    <mergeCell ref="D372:M372"/>
    <mergeCell ref="D373:G373"/>
    <mergeCell ref="D354:G354"/>
    <mergeCell ref="D356:M356"/>
    <mergeCell ref="D358:M358"/>
    <mergeCell ref="D359:G359"/>
    <mergeCell ref="D361:G361"/>
    <mergeCell ref="D363:M363"/>
    <mergeCell ref="D384:G384"/>
    <mergeCell ref="D386:G386"/>
    <mergeCell ref="D388:G388"/>
    <mergeCell ref="D390:G390"/>
    <mergeCell ref="D392:M392"/>
    <mergeCell ref="D393:G393"/>
    <mergeCell ref="D374:G374"/>
    <mergeCell ref="D376:M376"/>
    <mergeCell ref="D378:M378"/>
    <mergeCell ref="D379:G379"/>
    <mergeCell ref="D381:G381"/>
    <mergeCell ref="D383:M383"/>
    <mergeCell ref="D404:G404"/>
    <mergeCell ref="D406:G406"/>
    <mergeCell ref="D408:G408"/>
    <mergeCell ref="D410:G410"/>
    <mergeCell ref="D412:M412"/>
    <mergeCell ref="D413:G413"/>
    <mergeCell ref="D394:G394"/>
    <mergeCell ref="D396:M396"/>
    <mergeCell ref="D398:M398"/>
    <mergeCell ref="D399:G399"/>
    <mergeCell ref="D401:G401"/>
    <mergeCell ref="D403:M403"/>
    <mergeCell ref="D424:G424"/>
    <mergeCell ref="D426:G426"/>
    <mergeCell ref="D428:G428"/>
    <mergeCell ref="D430:G430"/>
    <mergeCell ref="D432:M432"/>
    <mergeCell ref="D433:G433"/>
    <mergeCell ref="D414:G414"/>
    <mergeCell ref="D416:M416"/>
    <mergeCell ref="D418:M418"/>
    <mergeCell ref="D419:G419"/>
    <mergeCell ref="D421:G421"/>
    <mergeCell ref="D423:M423"/>
    <mergeCell ref="D445:G445"/>
    <mergeCell ref="D447:G447"/>
    <mergeCell ref="D449:G449"/>
    <mergeCell ref="D451:G451"/>
    <mergeCell ref="D452:G452"/>
    <mergeCell ref="D454:M454"/>
    <mergeCell ref="D434:G434"/>
    <mergeCell ref="D436:G436"/>
    <mergeCell ref="D438:M438"/>
    <mergeCell ref="D439:G439"/>
    <mergeCell ref="D441:G441"/>
    <mergeCell ref="D443:M443"/>
    <mergeCell ref="D466:G466"/>
    <mergeCell ref="D468:G468"/>
    <mergeCell ref="D470:M470"/>
    <mergeCell ref="D471:G471"/>
    <mergeCell ref="D472:G472"/>
    <mergeCell ref="D474:M474"/>
    <mergeCell ref="D456:M456"/>
    <mergeCell ref="D457:G457"/>
    <mergeCell ref="D459:G459"/>
    <mergeCell ref="D461:M461"/>
    <mergeCell ref="D462:G462"/>
    <mergeCell ref="D464:G464"/>
    <mergeCell ref="D486:G486"/>
    <mergeCell ref="D488:G488"/>
    <mergeCell ref="D490:M490"/>
    <mergeCell ref="D491:G491"/>
    <mergeCell ref="D492:G492"/>
    <mergeCell ref="D494:M494"/>
    <mergeCell ref="D476:M476"/>
    <mergeCell ref="D477:G477"/>
    <mergeCell ref="D479:G479"/>
    <mergeCell ref="D482:G482"/>
    <mergeCell ref="D484:G484"/>
    <mergeCell ref="D506:G506"/>
    <mergeCell ref="D508:G508"/>
    <mergeCell ref="D510:M510"/>
    <mergeCell ref="D511:G511"/>
    <mergeCell ref="D512:G512"/>
    <mergeCell ref="D514:M514"/>
    <mergeCell ref="D496:M496"/>
    <mergeCell ref="D497:G497"/>
    <mergeCell ref="D499:G499"/>
    <mergeCell ref="D501:M501"/>
    <mergeCell ref="D502:G502"/>
    <mergeCell ref="D504:G504"/>
    <mergeCell ref="D526:G526"/>
    <mergeCell ref="D528:G528"/>
    <mergeCell ref="D530:G530"/>
    <mergeCell ref="D532:M532"/>
    <mergeCell ref="D533:G533"/>
    <mergeCell ref="D534:G534"/>
    <mergeCell ref="D516:M516"/>
    <mergeCell ref="D518:M518"/>
    <mergeCell ref="D519:G519"/>
    <mergeCell ref="D521:G521"/>
    <mergeCell ref="D523:M523"/>
    <mergeCell ref="D524:G524"/>
    <mergeCell ref="D546:G546"/>
    <mergeCell ref="D548:G548"/>
    <mergeCell ref="D550:G550"/>
    <mergeCell ref="D552:G552"/>
    <mergeCell ref="D554:M554"/>
    <mergeCell ref="D555:G555"/>
    <mergeCell ref="D536:M536"/>
    <mergeCell ref="D538:M538"/>
    <mergeCell ref="D540:M540"/>
    <mergeCell ref="D541:G541"/>
    <mergeCell ref="D543:G543"/>
    <mergeCell ref="D545:M545"/>
    <mergeCell ref="D567:M567"/>
    <mergeCell ref="D568:G568"/>
    <mergeCell ref="D570:G570"/>
    <mergeCell ref="D572:G572"/>
    <mergeCell ref="D574:G574"/>
    <mergeCell ref="D576:M576"/>
    <mergeCell ref="D556:G556"/>
    <mergeCell ref="D558:M558"/>
    <mergeCell ref="D560:M560"/>
    <mergeCell ref="D562:M562"/>
    <mergeCell ref="D563:G563"/>
    <mergeCell ref="D565:G565"/>
    <mergeCell ref="D587:M587"/>
    <mergeCell ref="D588:G588"/>
    <mergeCell ref="D591:M591"/>
    <mergeCell ref="D593:M593"/>
    <mergeCell ref="D594:G594"/>
    <mergeCell ref="D596:G596"/>
    <mergeCell ref="D577:G577"/>
    <mergeCell ref="D578:G578"/>
    <mergeCell ref="D580:G580"/>
    <mergeCell ref="D582:M582"/>
    <mergeCell ref="D583:G583"/>
    <mergeCell ref="D585:G585"/>
    <mergeCell ref="D608:G608"/>
    <mergeCell ref="D610:M610"/>
    <mergeCell ref="D611:G611"/>
    <mergeCell ref="D613:G613"/>
    <mergeCell ref="D615:G615"/>
    <mergeCell ref="D617:G617"/>
    <mergeCell ref="D598:G598"/>
    <mergeCell ref="D599:G599"/>
    <mergeCell ref="D601:M601"/>
    <mergeCell ref="D603:M603"/>
    <mergeCell ref="D605:M605"/>
    <mergeCell ref="D606:G606"/>
    <mergeCell ref="D628:G628"/>
    <mergeCell ref="D630:M630"/>
    <mergeCell ref="D631:G631"/>
    <mergeCell ref="D633:G633"/>
    <mergeCell ref="D635:G635"/>
    <mergeCell ref="D637:G637"/>
    <mergeCell ref="D619:M619"/>
    <mergeCell ref="D620:G620"/>
    <mergeCell ref="D621:G621"/>
    <mergeCell ref="D623:M623"/>
    <mergeCell ref="D625:M625"/>
    <mergeCell ref="D626:G626"/>
    <mergeCell ref="D648:G648"/>
    <mergeCell ref="D650:M650"/>
    <mergeCell ref="D651:G651"/>
    <mergeCell ref="D653:G653"/>
    <mergeCell ref="D655:G655"/>
    <mergeCell ref="D657:G657"/>
    <mergeCell ref="D639:M639"/>
    <mergeCell ref="D640:G640"/>
    <mergeCell ref="D641:G641"/>
    <mergeCell ref="D643:M643"/>
    <mergeCell ref="D645:M645"/>
    <mergeCell ref="D646:G646"/>
    <mergeCell ref="D668:G668"/>
    <mergeCell ref="D670:M670"/>
    <mergeCell ref="D672:G672"/>
    <mergeCell ref="D674:G674"/>
    <mergeCell ref="D676:M676"/>
    <mergeCell ref="D677:G677"/>
    <mergeCell ref="D659:M659"/>
    <mergeCell ref="D660:G660"/>
    <mergeCell ref="D661:G661"/>
    <mergeCell ref="D663:G663"/>
    <mergeCell ref="D665:M665"/>
    <mergeCell ref="D666:G666"/>
    <mergeCell ref="D688:G688"/>
    <mergeCell ref="D690:G690"/>
    <mergeCell ref="D692:G692"/>
    <mergeCell ref="D694:G694"/>
    <mergeCell ref="D696:M696"/>
    <mergeCell ref="D697:G697"/>
    <mergeCell ref="D678:G678"/>
    <mergeCell ref="D680:M680"/>
    <mergeCell ref="D682:M682"/>
    <mergeCell ref="D683:G683"/>
    <mergeCell ref="D685:G685"/>
    <mergeCell ref="D687:M687"/>
    <mergeCell ref="D708:G708"/>
    <mergeCell ref="D710:M710"/>
    <mergeCell ref="D712:G712"/>
    <mergeCell ref="D714:M714"/>
    <mergeCell ref="D716:G716"/>
    <mergeCell ref="D718:G718"/>
    <mergeCell ref="D699:M699"/>
    <mergeCell ref="D700:G700"/>
    <mergeCell ref="D701:G701"/>
    <mergeCell ref="D703:M703"/>
    <mergeCell ref="D705:M705"/>
    <mergeCell ref="D706:G706"/>
    <mergeCell ref="D729:G729"/>
    <mergeCell ref="D731:M731"/>
    <mergeCell ref="D732:G732"/>
    <mergeCell ref="D734:G734"/>
    <mergeCell ref="D736:G736"/>
    <mergeCell ref="D738:G738"/>
    <mergeCell ref="D720:M720"/>
    <mergeCell ref="D721:G721"/>
    <mergeCell ref="D722:G722"/>
    <mergeCell ref="D724:M724"/>
    <mergeCell ref="D726:M726"/>
    <mergeCell ref="D727:G727"/>
    <mergeCell ref="D750:M750"/>
    <mergeCell ref="D751:G751"/>
    <mergeCell ref="D753:G753"/>
    <mergeCell ref="D755:G755"/>
    <mergeCell ref="D757:M757"/>
    <mergeCell ref="D758:G758"/>
    <mergeCell ref="D740:M740"/>
    <mergeCell ref="D741:G741"/>
    <mergeCell ref="D742:G742"/>
    <mergeCell ref="D744:G744"/>
    <mergeCell ref="D746:M746"/>
    <mergeCell ref="D748:M748"/>
    <mergeCell ref="D771:M771"/>
    <mergeCell ref="D772:G772"/>
    <mergeCell ref="D773:G773"/>
    <mergeCell ref="D775:G775"/>
    <mergeCell ref="D777:M777"/>
    <mergeCell ref="D778:G778"/>
    <mergeCell ref="D760:G760"/>
    <mergeCell ref="D764:M764"/>
    <mergeCell ref="D765:G765"/>
    <mergeCell ref="D767:G767"/>
    <mergeCell ref="D769:G769"/>
    <mergeCell ref="D791:G791"/>
    <mergeCell ref="D793:G793"/>
    <mergeCell ref="D795:G795"/>
    <mergeCell ref="D797:M797"/>
    <mergeCell ref="D798:G798"/>
    <mergeCell ref="D799:G799"/>
    <mergeCell ref="D780:G780"/>
    <mergeCell ref="D782:G782"/>
    <mergeCell ref="D784:M784"/>
    <mergeCell ref="D785:G785"/>
    <mergeCell ref="D788:M788"/>
    <mergeCell ref="D790:M790"/>
    <mergeCell ref="D812:G812"/>
    <mergeCell ref="D814:M814"/>
    <mergeCell ref="D815:G815"/>
    <mergeCell ref="D817:G817"/>
    <mergeCell ref="D819:M819"/>
    <mergeCell ref="D821:M821"/>
    <mergeCell ref="D801:G801"/>
    <mergeCell ref="D803:M803"/>
    <mergeCell ref="D805:M805"/>
    <mergeCell ref="D807:M807"/>
    <mergeCell ref="D808:G808"/>
    <mergeCell ref="D810:G810"/>
    <mergeCell ref="D832:M832"/>
    <mergeCell ref="D834:M834"/>
    <mergeCell ref="D835:G835"/>
    <mergeCell ref="D837:G837"/>
    <mergeCell ref="D839:G839"/>
    <mergeCell ref="D841:G841"/>
    <mergeCell ref="D822:G822"/>
    <mergeCell ref="D824:G824"/>
    <mergeCell ref="D826:G826"/>
    <mergeCell ref="D828:M828"/>
    <mergeCell ref="D829:G829"/>
    <mergeCell ref="D830:G830"/>
    <mergeCell ref="D852:G852"/>
    <mergeCell ref="D854:G854"/>
    <mergeCell ref="D856:G856"/>
    <mergeCell ref="D858:G858"/>
    <mergeCell ref="D860:G860"/>
    <mergeCell ref="D862:M862"/>
    <mergeCell ref="D843:G843"/>
    <mergeCell ref="D845:M845"/>
    <mergeCell ref="D846:G846"/>
    <mergeCell ref="D847:G847"/>
    <mergeCell ref="D849:M849"/>
    <mergeCell ref="D851:M851"/>
    <mergeCell ref="D873:G873"/>
    <mergeCell ref="D875:G875"/>
    <mergeCell ref="D877:G877"/>
    <mergeCell ref="D879:G879"/>
    <mergeCell ref="D881:M881"/>
    <mergeCell ref="D882:G882"/>
    <mergeCell ref="D863:G863"/>
    <mergeCell ref="D864:G864"/>
    <mergeCell ref="D866:M866"/>
    <mergeCell ref="D868:M868"/>
    <mergeCell ref="D870:M870"/>
    <mergeCell ref="D871:G871"/>
    <mergeCell ref="D894:G894"/>
    <mergeCell ref="D896:G896"/>
    <mergeCell ref="D898:M898"/>
    <mergeCell ref="D899:G899"/>
    <mergeCell ref="D901:G901"/>
    <mergeCell ref="D903:M903"/>
    <mergeCell ref="D883:G883"/>
    <mergeCell ref="D885:G885"/>
    <mergeCell ref="D887:M887"/>
    <mergeCell ref="D889:M889"/>
    <mergeCell ref="D891:M891"/>
    <mergeCell ref="D892:G892"/>
    <mergeCell ref="D914:G914"/>
    <mergeCell ref="D916:G916"/>
    <mergeCell ref="D918:M918"/>
    <mergeCell ref="D919:G919"/>
    <mergeCell ref="D921:G921"/>
    <mergeCell ref="D923:G923"/>
    <mergeCell ref="D905:M905"/>
    <mergeCell ref="D906:G906"/>
    <mergeCell ref="D908:G908"/>
    <mergeCell ref="D910:G910"/>
    <mergeCell ref="D912:M912"/>
    <mergeCell ref="D913:G913"/>
    <mergeCell ref="D936:G936"/>
    <mergeCell ref="D937:G937"/>
    <mergeCell ref="D939:M939"/>
    <mergeCell ref="D941:M941"/>
    <mergeCell ref="D943:M943"/>
    <mergeCell ref="D944:G944"/>
    <mergeCell ref="D925:M925"/>
    <mergeCell ref="D926:G926"/>
    <mergeCell ref="D929:M929"/>
    <mergeCell ref="D931:M931"/>
    <mergeCell ref="D932:G932"/>
    <mergeCell ref="D934:G934"/>
    <mergeCell ref="D956:G956"/>
    <mergeCell ref="D958:G958"/>
    <mergeCell ref="D960:M960"/>
    <mergeCell ref="D962:M962"/>
    <mergeCell ref="D964:M964"/>
    <mergeCell ref="D965:G965"/>
    <mergeCell ref="D946:G946"/>
    <mergeCell ref="D948:G948"/>
    <mergeCell ref="D950:G950"/>
    <mergeCell ref="D952:G952"/>
    <mergeCell ref="D954:M954"/>
    <mergeCell ref="D955:G955"/>
    <mergeCell ref="D978:M978"/>
    <mergeCell ref="D979:G979"/>
    <mergeCell ref="D981:G981"/>
    <mergeCell ref="D983:G983"/>
    <mergeCell ref="D985:M985"/>
    <mergeCell ref="D986:G986"/>
    <mergeCell ref="D967:G967"/>
    <mergeCell ref="D969:G969"/>
    <mergeCell ref="D971:M971"/>
    <mergeCell ref="D972:G972"/>
    <mergeCell ref="D974:G974"/>
    <mergeCell ref="D976:M976"/>
    <mergeCell ref="D997:G997"/>
    <mergeCell ref="D999:G999"/>
    <mergeCell ref="D1001:G1001"/>
    <mergeCell ref="D1003:G1003"/>
    <mergeCell ref="D1005:M1005"/>
    <mergeCell ref="D1006:G1006"/>
    <mergeCell ref="D987:G987"/>
    <mergeCell ref="D989:M989"/>
    <mergeCell ref="D991:M991"/>
    <mergeCell ref="D992:G992"/>
    <mergeCell ref="D994:G994"/>
    <mergeCell ref="D996:M996"/>
    <mergeCell ref="D1018:G1018"/>
    <mergeCell ref="D1020:G1020"/>
    <mergeCell ref="D1022:M1022"/>
    <mergeCell ref="H1023:I1023"/>
    <mergeCell ref="A1025:M1025"/>
    <mergeCell ref="D1007:G1007"/>
    <mergeCell ref="D1009:G1009"/>
    <mergeCell ref="D1011:M1011"/>
    <mergeCell ref="D1012:G1012"/>
    <mergeCell ref="D1014:G1014"/>
    <mergeCell ref="D1016:M1016"/>
  </mergeCells>
  <pageMargins left="0.39400000000000002" right="0.39400000000000002" top="0.59099999999999997" bottom="0.59099999999999997" header="0.5" footer="0.5"/>
  <pageSetup paperSize="0" fitToHeight="0"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3E379-1758-49D5-B7DF-4FE6E8ECFAF6}">
  <sheetPr>
    <pageSetUpPr fitToPage="1"/>
  </sheetPr>
  <dimension ref="A1:J37"/>
  <sheetViews>
    <sheetView tabSelected="1" topLeftCell="A28" workbookViewId="0">
      <selection activeCell="A38" sqref="A38"/>
    </sheetView>
  </sheetViews>
  <sheetFormatPr defaultColWidth="11.5703125" defaultRowHeight="12.75" x14ac:dyDescent="0.25"/>
  <cols>
    <col min="1" max="1" width="9.140625" style="5" customWidth="1"/>
    <col min="2" max="2" width="12.85546875" style="5" customWidth="1"/>
    <col min="3" max="3" width="22.85546875" style="5" customWidth="1"/>
    <col min="4" max="4" width="10" style="5" customWidth="1"/>
    <col min="5" max="5" width="14" style="5" customWidth="1"/>
    <col min="6" max="6" width="22.85546875" style="5" customWidth="1"/>
    <col min="7" max="7" width="9.140625" style="5" customWidth="1"/>
    <col min="8" max="8" width="12.85546875" style="5" customWidth="1"/>
    <col min="9" max="9" width="22.85546875" style="5" customWidth="1"/>
    <col min="10" max="256" width="11.5703125" style="5"/>
    <col min="257" max="257" width="9.140625" style="5" customWidth="1"/>
    <col min="258" max="258" width="12.85546875" style="5" customWidth="1"/>
    <col min="259" max="259" width="22.85546875" style="5" customWidth="1"/>
    <col min="260" max="260" width="10" style="5" customWidth="1"/>
    <col min="261" max="261" width="14" style="5" customWidth="1"/>
    <col min="262" max="262" width="22.85546875" style="5" customWidth="1"/>
    <col min="263" max="263" width="9.140625" style="5" customWidth="1"/>
    <col min="264" max="264" width="12.85546875" style="5" customWidth="1"/>
    <col min="265" max="265" width="22.85546875" style="5" customWidth="1"/>
    <col min="266" max="512" width="11.5703125" style="5"/>
    <col min="513" max="513" width="9.140625" style="5" customWidth="1"/>
    <col min="514" max="514" width="12.85546875" style="5" customWidth="1"/>
    <col min="515" max="515" width="22.85546875" style="5" customWidth="1"/>
    <col min="516" max="516" width="10" style="5" customWidth="1"/>
    <col min="517" max="517" width="14" style="5" customWidth="1"/>
    <col min="518" max="518" width="22.85546875" style="5" customWidth="1"/>
    <col min="519" max="519" width="9.140625" style="5" customWidth="1"/>
    <col min="520" max="520" width="12.85546875" style="5" customWidth="1"/>
    <col min="521" max="521" width="22.85546875" style="5" customWidth="1"/>
    <col min="522" max="768" width="11.5703125" style="5"/>
    <col min="769" max="769" width="9.140625" style="5" customWidth="1"/>
    <col min="770" max="770" width="12.85546875" style="5" customWidth="1"/>
    <col min="771" max="771" width="22.85546875" style="5" customWidth="1"/>
    <col min="772" max="772" width="10" style="5" customWidth="1"/>
    <col min="773" max="773" width="14" style="5" customWidth="1"/>
    <col min="774" max="774" width="22.85546875" style="5" customWidth="1"/>
    <col min="775" max="775" width="9.140625" style="5" customWidth="1"/>
    <col min="776" max="776" width="12.85546875" style="5" customWidth="1"/>
    <col min="777" max="777" width="22.85546875" style="5" customWidth="1"/>
    <col min="778" max="1024" width="11.5703125" style="5"/>
    <col min="1025" max="1025" width="9.140625" style="5" customWidth="1"/>
    <col min="1026" max="1026" width="12.85546875" style="5" customWidth="1"/>
    <col min="1027" max="1027" width="22.85546875" style="5" customWidth="1"/>
    <col min="1028" max="1028" width="10" style="5" customWidth="1"/>
    <col min="1029" max="1029" width="14" style="5" customWidth="1"/>
    <col min="1030" max="1030" width="22.85546875" style="5" customWidth="1"/>
    <col min="1031" max="1031" width="9.140625" style="5" customWidth="1"/>
    <col min="1032" max="1032" width="12.85546875" style="5" customWidth="1"/>
    <col min="1033" max="1033" width="22.85546875" style="5" customWidth="1"/>
    <col min="1034" max="1280" width="11.5703125" style="5"/>
    <col min="1281" max="1281" width="9.140625" style="5" customWidth="1"/>
    <col min="1282" max="1282" width="12.85546875" style="5" customWidth="1"/>
    <col min="1283" max="1283" width="22.85546875" style="5" customWidth="1"/>
    <col min="1284" max="1284" width="10" style="5" customWidth="1"/>
    <col min="1285" max="1285" width="14" style="5" customWidth="1"/>
    <col min="1286" max="1286" width="22.85546875" style="5" customWidth="1"/>
    <col min="1287" max="1287" width="9.140625" style="5" customWidth="1"/>
    <col min="1288" max="1288" width="12.85546875" style="5" customWidth="1"/>
    <col min="1289" max="1289" width="22.85546875" style="5" customWidth="1"/>
    <col min="1290" max="1536" width="11.5703125" style="5"/>
    <col min="1537" max="1537" width="9.140625" style="5" customWidth="1"/>
    <col min="1538" max="1538" width="12.85546875" style="5" customWidth="1"/>
    <col min="1539" max="1539" width="22.85546875" style="5" customWidth="1"/>
    <col min="1540" max="1540" width="10" style="5" customWidth="1"/>
    <col min="1541" max="1541" width="14" style="5" customWidth="1"/>
    <col min="1542" max="1542" width="22.85546875" style="5" customWidth="1"/>
    <col min="1543" max="1543" width="9.140625" style="5" customWidth="1"/>
    <col min="1544" max="1544" width="12.85546875" style="5" customWidth="1"/>
    <col min="1545" max="1545" width="22.85546875" style="5" customWidth="1"/>
    <col min="1546" max="1792" width="11.5703125" style="5"/>
    <col min="1793" max="1793" width="9.140625" style="5" customWidth="1"/>
    <col min="1794" max="1794" width="12.85546875" style="5" customWidth="1"/>
    <col min="1795" max="1795" width="22.85546875" style="5" customWidth="1"/>
    <col min="1796" max="1796" width="10" style="5" customWidth="1"/>
    <col min="1797" max="1797" width="14" style="5" customWidth="1"/>
    <col min="1798" max="1798" width="22.85546875" style="5" customWidth="1"/>
    <col min="1799" max="1799" width="9.140625" style="5" customWidth="1"/>
    <col min="1800" max="1800" width="12.85546875" style="5" customWidth="1"/>
    <col min="1801" max="1801" width="22.85546875" style="5" customWidth="1"/>
    <col min="1802" max="2048" width="11.5703125" style="5"/>
    <col min="2049" max="2049" width="9.140625" style="5" customWidth="1"/>
    <col min="2050" max="2050" width="12.85546875" style="5" customWidth="1"/>
    <col min="2051" max="2051" width="22.85546875" style="5" customWidth="1"/>
    <col min="2052" max="2052" width="10" style="5" customWidth="1"/>
    <col min="2053" max="2053" width="14" style="5" customWidth="1"/>
    <col min="2054" max="2054" width="22.85546875" style="5" customWidth="1"/>
    <col min="2055" max="2055" width="9.140625" style="5" customWidth="1"/>
    <col min="2056" max="2056" width="12.85546875" style="5" customWidth="1"/>
    <col min="2057" max="2057" width="22.85546875" style="5" customWidth="1"/>
    <col min="2058" max="2304" width="11.5703125" style="5"/>
    <col min="2305" max="2305" width="9.140625" style="5" customWidth="1"/>
    <col min="2306" max="2306" width="12.85546875" style="5" customWidth="1"/>
    <col min="2307" max="2307" width="22.85546875" style="5" customWidth="1"/>
    <col min="2308" max="2308" width="10" style="5" customWidth="1"/>
    <col min="2309" max="2309" width="14" style="5" customWidth="1"/>
    <col min="2310" max="2310" width="22.85546875" style="5" customWidth="1"/>
    <col min="2311" max="2311" width="9.140625" style="5" customWidth="1"/>
    <col min="2312" max="2312" width="12.85546875" style="5" customWidth="1"/>
    <col min="2313" max="2313" width="22.85546875" style="5" customWidth="1"/>
    <col min="2314" max="2560" width="11.5703125" style="5"/>
    <col min="2561" max="2561" width="9.140625" style="5" customWidth="1"/>
    <col min="2562" max="2562" width="12.85546875" style="5" customWidth="1"/>
    <col min="2563" max="2563" width="22.85546875" style="5" customWidth="1"/>
    <col min="2564" max="2564" width="10" style="5" customWidth="1"/>
    <col min="2565" max="2565" width="14" style="5" customWidth="1"/>
    <col min="2566" max="2566" width="22.85546875" style="5" customWidth="1"/>
    <col min="2567" max="2567" width="9.140625" style="5" customWidth="1"/>
    <col min="2568" max="2568" width="12.85546875" style="5" customWidth="1"/>
    <col min="2569" max="2569" width="22.85546875" style="5" customWidth="1"/>
    <col min="2570" max="2816" width="11.5703125" style="5"/>
    <col min="2817" max="2817" width="9.140625" style="5" customWidth="1"/>
    <col min="2818" max="2818" width="12.85546875" style="5" customWidth="1"/>
    <col min="2819" max="2819" width="22.85546875" style="5" customWidth="1"/>
    <col min="2820" max="2820" width="10" style="5" customWidth="1"/>
    <col min="2821" max="2821" width="14" style="5" customWidth="1"/>
    <col min="2822" max="2822" width="22.85546875" style="5" customWidth="1"/>
    <col min="2823" max="2823" width="9.140625" style="5" customWidth="1"/>
    <col min="2824" max="2824" width="12.85546875" style="5" customWidth="1"/>
    <col min="2825" max="2825" width="22.85546875" style="5" customWidth="1"/>
    <col min="2826" max="3072" width="11.5703125" style="5"/>
    <col min="3073" max="3073" width="9.140625" style="5" customWidth="1"/>
    <col min="3074" max="3074" width="12.85546875" style="5" customWidth="1"/>
    <col min="3075" max="3075" width="22.85546875" style="5" customWidth="1"/>
    <col min="3076" max="3076" width="10" style="5" customWidth="1"/>
    <col min="3077" max="3077" width="14" style="5" customWidth="1"/>
    <col min="3078" max="3078" width="22.85546875" style="5" customWidth="1"/>
    <col min="3079" max="3079" width="9.140625" style="5" customWidth="1"/>
    <col min="3080" max="3080" width="12.85546875" style="5" customWidth="1"/>
    <col min="3081" max="3081" width="22.85546875" style="5" customWidth="1"/>
    <col min="3082" max="3328" width="11.5703125" style="5"/>
    <col min="3329" max="3329" width="9.140625" style="5" customWidth="1"/>
    <col min="3330" max="3330" width="12.85546875" style="5" customWidth="1"/>
    <col min="3331" max="3331" width="22.85546875" style="5" customWidth="1"/>
    <col min="3332" max="3332" width="10" style="5" customWidth="1"/>
    <col min="3333" max="3333" width="14" style="5" customWidth="1"/>
    <col min="3334" max="3334" width="22.85546875" style="5" customWidth="1"/>
    <col min="3335" max="3335" width="9.140625" style="5" customWidth="1"/>
    <col min="3336" max="3336" width="12.85546875" style="5" customWidth="1"/>
    <col min="3337" max="3337" width="22.85546875" style="5" customWidth="1"/>
    <col min="3338" max="3584" width="11.5703125" style="5"/>
    <col min="3585" max="3585" width="9.140625" style="5" customWidth="1"/>
    <col min="3586" max="3586" width="12.85546875" style="5" customWidth="1"/>
    <col min="3587" max="3587" width="22.85546875" style="5" customWidth="1"/>
    <col min="3588" max="3588" width="10" style="5" customWidth="1"/>
    <col min="3589" max="3589" width="14" style="5" customWidth="1"/>
    <col min="3590" max="3590" width="22.85546875" style="5" customWidth="1"/>
    <col min="3591" max="3591" width="9.140625" style="5" customWidth="1"/>
    <col min="3592" max="3592" width="12.85546875" style="5" customWidth="1"/>
    <col min="3593" max="3593" width="22.85546875" style="5" customWidth="1"/>
    <col min="3594" max="3840" width="11.5703125" style="5"/>
    <col min="3841" max="3841" width="9.140625" style="5" customWidth="1"/>
    <col min="3842" max="3842" width="12.85546875" style="5" customWidth="1"/>
    <col min="3843" max="3843" width="22.85546875" style="5" customWidth="1"/>
    <col min="3844" max="3844" width="10" style="5" customWidth="1"/>
    <col min="3845" max="3845" width="14" style="5" customWidth="1"/>
    <col min="3846" max="3846" width="22.85546875" style="5" customWidth="1"/>
    <col min="3847" max="3847" width="9.140625" style="5" customWidth="1"/>
    <col min="3848" max="3848" width="12.85546875" style="5" customWidth="1"/>
    <col min="3849" max="3849" width="22.85546875" style="5" customWidth="1"/>
    <col min="3850" max="4096" width="11.5703125" style="5"/>
    <col min="4097" max="4097" width="9.140625" style="5" customWidth="1"/>
    <col min="4098" max="4098" width="12.85546875" style="5" customWidth="1"/>
    <col min="4099" max="4099" width="22.85546875" style="5" customWidth="1"/>
    <col min="4100" max="4100" width="10" style="5" customWidth="1"/>
    <col min="4101" max="4101" width="14" style="5" customWidth="1"/>
    <col min="4102" max="4102" width="22.85546875" style="5" customWidth="1"/>
    <col min="4103" max="4103" width="9.140625" style="5" customWidth="1"/>
    <col min="4104" max="4104" width="12.85546875" style="5" customWidth="1"/>
    <col min="4105" max="4105" width="22.85546875" style="5" customWidth="1"/>
    <col min="4106" max="4352" width="11.5703125" style="5"/>
    <col min="4353" max="4353" width="9.140625" style="5" customWidth="1"/>
    <col min="4354" max="4354" width="12.85546875" style="5" customWidth="1"/>
    <col min="4355" max="4355" width="22.85546875" style="5" customWidth="1"/>
    <col min="4356" max="4356" width="10" style="5" customWidth="1"/>
    <col min="4357" max="4357" width="14" style="5" customWidth="1"/>
    <col min="4358" max="4358" width="22.85546875" style="5" customWidth="1"/>
    <col min="4359" max="4359" width="9.140625" style="5" customWidth="1"/>
    <col min="4360" max="4360" width="12.85546875" style="5" customWidth="1"/>
    <col min="4361" max="4361" width="22.85546875" style="5" customWidth="1"/>
    <col min="4362" max="4608" width="11.5703125" style="5"/>
    <col min="4609" max="4609" width="9.140625" style="5" customWidth="1"/>
    <col min="4610" max="4610" width="12.85546875" style="5" customWidth="1"/>
    <col min="4611" max="4611" width="22.85546875" style="5" customWidth="1"/>
    <col min="4612" max="4612" width="10" style="5" customWidth="1"/>
    <col min="4613" max="4613" width="14" style="5" customWidth="1"/>
    <col min="4614" max="4614" width="22.85546875" style="5" customWidth="1"/>
    <col min="4615" max="4615" width="9.140625" style="5" customWidth="1"/>
    <col min="4616" max="4616" width="12.85546875" style="5" customWidth="1"/>
    <col min="4617" max="4617" width="22.85546875" style="5" customWidth="1"/>
    <col min="4618" max="4864" width="11.5703125" style="5"/>
    <col min="4865" max="4865" width="9.140625" style="5" customWidth="1"/>
    <col min="4866" max="4866" width="12.85546875" style="5" customWidth="1"/>
    <col min="4867" max="4867" width="22.85546875" style="5" customWidth="1"/>
    <col min="4868" max="4868" width="10" style="5" customWidth="1"/>
    <col min="4869" max="4869" width="14" style="5" customWidth="1"/>
    <col min="4870" max="4870" width="22.85546875" style="5" customWidth="1"/>
    <col min="4871" max="4871" width="9.140625" style="5" customWidth="1"/>
    <col min="4872" max="4872" width="12.85546875" style="5" customWidth="1"/>
    <col min="4873" max="4873" width="22.85546875" style="5" customWidth="1"/>
    <col min="4874" max="5120" width="11.5703125" style="5"/>
    <col min="5121" max="5121" width="9.140625" style="5" customWidth="1"/>
    <col min="5122" max="5122" width="12.85546875" style="5" customWidth="1"/>
    <col min="5123" max="5123" width="22.85546875" style="5" customWidth="1"/>
    <col min="5124" max="5124" width="10" style="5" customWidth="1"/>
    <col min="5125" max="5125" width="14" style="5" customWidth="1"/>
    <col min="5126" max="5126" width="22.85546875" style="5" customWidth="1"/>
    <col min="5127" max="5127" width="9.140625" style="5" customWidth="1"/>
    <col min="5128" max="5128" width="12.85546875" style="5" customWidth="1"/>
    <col min="5129" max="5129" width="22.85546875" style="5" customWidth="1"/>
    <col min="5130" max="5376" width="11.5703125" style="5"/>
    <col min="5377" max="5377" width="9.140625" style="5" customWidth="1"/>
    <col min="5378" max="5378" width="12.85546875" style="5" customWidth="1"/>
    <col min="5379" max="5379" width="22.85546875" style="5" customWidth="1"/>
    <col min="5380" max="5380" width="10" style="5" customWidth="1"/>
    <col min="5381" max="5381" width="14" style="5" customWidth="1"/>
    <col min="5382" max="5382" width="22.85546875" style="5" customWidth="1"/>
    <col min="5383" max="5383" width="9.140625" style="5" customWidth="1"/>
    <col min="5384" max="5384" width="12.85546875" style="5" customWidth="1"/>
    <col min="5385" max="5385" width="22.85546875" style="5" customWidth="1"/>
    <col min="5386" max="5632" width="11.5703125" style="5"/>
    <col min="5633" max="5633" width="9.140625" style="5" customWidth="1"/>
    <col min="5634" max="5634" width="12.85546875" style="5" customWidth="1"/>
    <col min="5635" max="5635" width="22.85546875" style="5" customWidth="1"/>
    <col min="5636" max="5636" width="10" style="5" customWidth="1"/>
    <col min="5637" max="5637" width="14" style="5" customWidth="1"/>
    <col min="5638" max="5638" width="22.85546875" style="5" customWidth="1"/>
    <col min="5639" max="5639" width="9.140625" style="5" customWidth="1"/>
    <col min="5640" max="5640" width="12.85546875" style="5" customWidth="1"/>
    <col min="5641" max="5641" width="22.85546875" style="5" customWidth="1"/>
    <col min="5642" max="5888" width="11.5703125" style="5"/>
    <col min="5889" max="5889" width="9.140625" style="5" customWidth="1"/>
    <col min="5890" max="5890" width="12.85546875" style="5" customWidth="1"/>
    <col min="5891" max="5891" width="22.85546875" style="5" customWidth="1"/>
    <col min="5892" max="5892" width="10" style="5" customWidth="1"/>
    <col min="5893" max="5893" width="14" style="5" customWidth="1"/>
    <col min="5894" max="5894" width="22.85546875" style="5" customWidth="1"/>
    <col min="5895" max="5895" width="9.140625" style="5" customWidth="1"/>
    <col min="5896" max="5896" width="12.85546875" style="5" customWidth="1"/>
    <col min="5897" max="5897" width="22.85546875" style="5" customWidth="1"/>
    <col min="5898" max="6144" width="11.5703125" style="5"/>
    <col min="6145" max="6145" width="9.140625" style="5" customWidth="1"/>
    <col min="6146" max="6146" width="12.85546875" style="5" customWidth="1"/>
    <col min="6147" max="6147" width="22.85546875" style="5" customWidth="1"/>
    <col min="6148" max="6148" width="10" style="5" customWidth="1"/>
    <col min="6149" max="6149" width="14" style="5" customWidth="1"/>
    <col min="6150" max="6150" width="22.85546875" style="5" customWidth="1"/>
    <col min="6151" max="6151" width="9.140625" style="5" customWidth="1"/>
    <col min="6152" max="6152" width="12.85546875" style="5" customWidth="1"/>
    <col min="6153" max="6153" width="22.85546875" style="5" customWidth="1"/>
    <col min="6154" max="6400" width="11.5703125" style="5"/>
    <col min="6401" max="6401" width="9.140625" style="5" customWidth="1"/>
    <col min="6402" max="6402" width="12.85546875" style="5" customWidth="1"/>
    <col min="6403" max="6403" width="22.85546875" style="5" customWidth="1"/>
    <col min="6404" max="6404" width="10" style="5" customWidth="1"/>
    <col min="6405" max="6405" width="14" style="5" customWidth="1"/>
    <col min="6406" max="6406" width="22.85546875" style="5" customWidth="1"/>
    <col min="6407" max="6407" width="9.140625" style="5" customWidth="1"/>
    <col min="6408" max="6408" width="12.85546875" style="5" customWidth="1"/>
    <col min="6409" max="6409" width="22.85546875" style="5" customWidth="1"/>
    <col min="6410" max="6656" width="11.5703125" style="5"/>
    <col min="6657" max="6657" width="9.140625" style="5" customWidth="1"/>
    <col min="6658" max="6658" width="12.85546875" style="5" customWidth="1"/>
    <col min="6659" max="6659" width="22.85546875" style="5" customWidth="1"/>
    <col min="6660" max="6660" width="10" style="5" customWidth="1"/>
    <col min="6661" max="6661" width="14" style="5" customWidth="1"/>
    <col min="6662" max="6662" width="22.85546875" style="5" customWidth="1"/>
    <col min="6663" max="6663" width="9.140625" style="5" customWidth="1"/>
    <col min="6664" max="6664" width="12.85546875" style="5" customWidth="1"/>
    <col min="6665" max="6665" width="22.85546875" style="5" customWidth="1"/>
    <col min="6666" max="6912" width="11.5703125" style="5"/>
    <col min="6913" max="6913" width="9.140625" style="5" customWidth="1"/>
    <col min="6914" max="6914" width="12.85546875" style="5" customWidth="1"/>
    <col min="6915" max="6915" width="22.85546875" style="5" customWidth="1"/>
    <col min="6916" max="6916" width="10" style="5" customWidth="1"/>
    <col min="6917" max="6917" width="14" style="5" customWidth="1"/>
    <col min="6918" max="6918" width="22.85546875" style="5" customWidth="1"/>
    <col min="6919" max="6919" width="9.140625" style="5" customWidth="1"/>
    <col min="6920" max="6920" width="12.85546875" style="5" customWidth="1"/>
    <col min="6921" max="6921" width="22.85546875" style="5" customWidth="1"/>
    <col min="6922" max="7168" width="11.5703125" style="5"/>
    <col min="7169" max="7169" width="9.140625" style="5" customWidth="1"/>
    <col min="7170" max="7170" width="12.85546875" style="5" customWidth="1"/>
    <col min="7171" max="7171" width="22.85546875" style="5" customWidth="1"/>
    <col min="7172" max="7172" width="10" style="5" customWidth="1"/>
    <col min="7173" max="7173" width="14" style="5" customWidth="1"/>
    <col min="7174" max="7174" width="22.85546875" style="5" customWidth="1"/>
    <col min="7175" max="7175" width="9.140625" style="5" customWidth="1"/>
    <col min="7176" max="7176" width="12.85546875" style="5" customWidth="1"/>
    <col min="7177" max="7177" width="22.85546875" style="5" customWidth="1"/>
    <col min="7178" max="7424" width="11.5703125" style="5"/>
    <col min="7425" max="7425" width="9.140625" style="5" customWidth="1"/>
    <col min="7426" max="7426" width="12.85546875" style="5" customWidth="1"/>
    <col min="7427" max="7427" width="22.85546875" style="5" customWidth="1"/>
    <col min="7428" max="7428" width="10" style="5" customWidth="1"/>
    <col min="7429" max="7429" width="14" style="5" customWidth="1"/>
    <col min="7430" max="7430" width="22.85546875" style="5" customWidth="1"/>
    <col min="7431" max="7431" width="9.140625" style="5" customWidth="1"/>
    <col min="7432" max="7432" width="12.85546875" style="5" customWidth="1"/>
    <col min="7433" max="7433" width="22.85546875" style="5" customWidth="1"/>
    <col min="7434" max="7680" width="11.5703125" style="5"/>
    <col min="7681" max="7681" width="9.140625" style="5" customWidth="1"/>
    <col min="7682" max="7682" width="12.85546875" style="5" customWidth="1"/>
    <col min="7683" max="7683" width="22.85546875" style="5" customWidth="1"/>
    <col min="7684" max="7684" width="10" style="5" customWidth="1"/>
    <col min="7685" max="7685" width="14" style="5" customWidth="1"/>
    <col min="7686" max="7686" width="22.85546875" style="5" customWidth="1"/>
    <col min="7687" max="7687" width="9.140625" style="5" customWidth="1"/>
    <col min="7688" max="7688" width="12.85546875" style="5" customWidth="1"/>
    <col min="7689" max="7689" width="22.85546875" style="5" customWidth="1"/>
    <col min="7690" max="7936" width="11.5703125" style="5"/>
    <col min="7937" max="7937" width="9.140625" style="5" customWidth="1"/>
    <col min="7938" max="7938" width="12.85546875" style="5" customWidth="1"/>
    <col min="7939" max="7939" width="22.85546875" style="5" customWidth="1"/>
    <col min="7940" max="7940" width="10" style="5" customWidth="1"/>
    <col min="7941" max="7941" width="14" style="5" customWidth="1"/>
    <col min="7942" max="7942" width="22.85546875" style="5" customWidth="1"/>
    <col min="7943" max="7943" width="9.140625" style="5" customWidth="1"/>
    <col min="7944" max="7944" width="12.85546875" style="5" customWidth="1"/>
    <col min="7945" max="7945" width="22.85546875" style="5" customWidth="1"/>
    <col min="7946" max="8192" width="11.5703125" style="5"/>
    <col min="8193" max="8193" width="9.140625" style="5" customWidth="1"/>
    <col min="8194" max="8194" width="12.85546875" style="5" customWidth="1"/>
    <col min="8195" max="8195" width="22.85546875" style="5" customWidth="1"/>
    <col min="8196" max="8196" width="10" style="5" customWidth="1"/>
    <col min="8197" max="8197" width="14" style="5" customWidth="1"/>
    <col min="8198" max="8198" width="22.85546875" style="5" customWidth="1"/>
    <col min="8199" max="8199" width="9.140625" style="5" customWidth="1"/>
    <col min="8200" max="8200" width="12.85546875" style="5" customWidth="1"/>
    <col min="8201" max="8201" width="22.85546875" style="5" customWidth="1"/>
    <col min="8202" max="8448" width="11.5703125" style="5"/>
    <col min="8449" max="8449" width="9.140625" style="5" customWidth="1"/>
    <col min="8450" max="8450" width="12.85546875" style="5" customWidth="1"/>
    <col min="8451" max="8451" width="22.85546875" style="5" customWidth="1"/>
    <col min="8452" max="8452" width="10" style="5" customWidth="1"/>
    <col min="8453" max="8453" width="14" style="5" customWidth="1"/>
    <col min="8454" max="8454" width="22.85546875" style="5" customWidth="1"/>
    <col min="8455" max="8455" width="9.140625" style="5" customWidth="1"/>
    <col min="8456" max="8456" width="12.85546875" style="5" customWidth="1"/>
    <col min="8457" max="8457" width="22.85546875" style="5" customWidth="1"/>
    <col min="8458" max="8704" width="11.5703125" style="5"/>
    <col min="8705" max="8705" width="9.140625" style="5" customWidth="1"/>
    <col min="8706" max="8706" width="12.85546875" style="5" customWidth="1"/>
    <col min="8707" max="8707" width="22.85546875" style="5" customWidth="1"/>
    <col min="8708" max="8708" width="10" style="5" customWidth="1"/>
    <col min="8709" max="8709" width="14" style="5" customWidth="1"/>
    <col min="8710" max="8710" width="22.85546875" style="5" customWidth="1"/>
    <col min="8711" max="8711" width="9.140625" style="5" customWidth="1"/>
    <col min="8712" max="8712" width="12.85546875" style="5" customWidth="1"/>
    <col min="8713" max="8713" width="22.85546875" style="5" customWidth="1"/>
    <col min="8714" max="8960" width="11.5703125" style="5"/>
    <col min="8961" max="8961" width="9.140625" style="5" customWidth="1"/>
    <col min="8962" max="8962" width="12.85546875" style="5" customWidth="1"/>
    <col min="8963" max="8963" width="22.85546875" style="5" customWidth="1"/>
    <col min="8964" max="8964" width="10" style="5" customWidth="1"/>
    <col min="8965" max="8965" width="14" style="5" customWidth="1"/>
    <col min="8966" max="8966" width="22.85546875" style="5" customWidth="1"/>
    <col min="8967" max="8967" width="9.140625" style="5" customWidth="1"/>
    <col min="8968" max="8968" width="12.85546875" style="5" customWidth="1"/>
    <col min="8969" max="8969" width="22.85546875" style="5" customWidth="1"/>
    <col min="8970" max="9216" width="11.5703125" style="5"/>
    <col min="9217" max="9217" width="9.140625" style="5" customWidth="1"/>
    <col min="9218" max="9218" width="12.85546875" style="5" customWidth="1"/>
    <col min="9219" max="9219" width="22.85546875" style="5" customWidth="1"/>
    <col min="9220" max="9220" width="10" style="5" customWidth="1"/>
    <col min="9221" max="9221" width="14" style="5" customWidth="1"/>
    <col min="9222" max="9222" width="22.85546875" style="5" customWidth="1"/>
    <col min="9223" max="9223" width="9.140625" style="5" customWidth="1"/>
    <col min="9224" max="9224" width="12.85546875" style="5" customWidth="1"/>
    <col min="9225" max="9225" width="22.85546875" style="5" customWidth="1"/>
    <col min="9226" max="9472" width="11.5703125" style="5"/>
    <col min="9473" max="9473" width="9.140625" style="5" customWidth="1"/>
    <col min="9474" max="9474" width="12.85546875" style="5" customWidth="1"/>
    <col min="9475" max="9475" width="22.85546875" style="5" customWidth="1"/>
    <col min="9476" max="9476" width="10" style="5" customWidth="1"/>
    <col min="9477" max="9477" width="14" style="5" customWidth="1"/>
    <col min="9478" max="9478" width="22.85546875" style="5" customWidth="1"/>
    <col min="9479" max="9479" width="9.140625" style="5" customWidth="1"/>
    <col min="9480" max="9480" width="12.85546875" style="5" customWidth="1"/>
    <col min="9481" max="9481" width="22.85546875" style="5" customWidth="1"/>
    <col min="9482" max="9728" width="11.5703125" style="5"/>
    <col min="9729" max="9729" width="9.140625" style="5" customWidth="1"/>
    <col min="9730" max="9730" width="12.85546875" style="5" customWidth="1"/>
    <col min="9731" max="9731" width="22.85546875" style="5" customWidth="1"/>
    <col min="9732" max="9732" width="10" style="5" customWidth="1"/>
    <col min="9733" max="9733" width="14" style="5" customWidth="1"/>
    <col min="9734" max="9734" width="22.85546875" style="5" customWidth="1"/>
    <col min="9735" max="9735" width="9.140625" style="5" customWidth="1"/>
    <col min="9736" max="9736" width="12.85546875" style="5" customWidth="1"/>
    <col min="9737" max="9737" width="22.85546875" style="5" customWidth="1"/>
    <col min="9738" max="9984" width="11.5703125" style="5"/>
    <col min="9985" max="9985" width="9.140625" style="5" customWidth="1"/>
    <col min="9986" max="9986" width="12.85546875" style="5" customWidth="1"/>
    <col min="9987" max="9987" width="22.85546875" style="5" customWidth="1"/>
    <col min="9988" max="9988" width="10" style="5" customWidth="1"/>
    <col min="9989" max="9989" width="14" style="5" customWidth="1"/>
    <col min="9990" max="9990" width="22.85546875" style="5" customWidth="1"/>
    <col min="9991" max="9991" width="9.140625" style="5" customWidth="1"/>
    <col min="9992" max="9992" width="12.85546875" style="5" customWidth="1"/>
    <col min="9993" max="9993" width="22.85546875" style="5" customWidth="1"/>
    <col min="9994" max="10240" width="11.5703125" style="5"/>
    <col min="10241" max="10241" width="9.140625" style="5" customWidth="1"/>
    <col min="10242" max="10242" width="12.85546875" style="5" customWidth="1"/>
    <col min="10243" max="10243" width="22.85546875" style="5" customWidth="1"/>
    <col min="10244" max="10244" width="10" style="5" customWidth="1"/>
    <col min="10245" max="10245" width="14" style="5" customWidth="1"/>
    <col min="10246" max="10246" width="22.85546875" style="5" customWidth="1"/>
    <col min="10247" max="10247" width="9.140625" style="5" customWidth="1"/>
    <col min="10248" max="10248" width="12.85546875" style="5" customWidth="1"/>
    <col min="10249" max="10249" width="22.85546875" style="5" customWidth="1"/>
    <col min="10250" max="10496" width="11.5703125" style="5"/>
    <col min="10497" max="10497" width="9.140625" style="5" customWidth="1"/>
    <col min="10498" max="10498" width="12.85546875" style="5" customWidth="1"/>
    <col min="10499" max="10499" width="22.85546875" style="5" customWidth="1"/>
    <col min="10500" max="10500" width="10" style="5" customWidth="1"/>
    <col min="10501" max="10501" width="14" style="5" customWidth="1"/>
    <col min="10502" max="10502" width="22.85546875" style="5" customWidth="1"/>
    <col min="10503" max="10503" width="9.140625" style="5" customWidth="1"/>
    <col min="10504" max="10504" width="12.85546875" style="5" customWidth="1"/>
    <col min="10505" max="10505" width="22.85546875" style="5" customWidth="1"/>
    <col min="10506" max="10752" width="11.5703125" style="5"/>
    <col min="10753" max="10753" width="9.140625" style="5" customWidth="1"/>
    <col min="10754" max="10754" width="12.85546875" style="5" customWidth="1"/>
    <col min="10755" max="10755" width="22.85546875" style="5" customWidth="1"/>
    <col min="10756" max="10756" width="10" style="5" customWidth="1"/>
    <col min="10757" max="10757" width="14" style="5" customWidth="1"/>
    <col min="10758" max="10758" width="22.85546875" style="5" customWidth="1"/>
    <col min="10759" max="10759" width="9.140625" style="5" customWidth="1"/>
    <col min="10760" max="10760" width="12.85546875" style="5" customWidth="1"/>
    <col min="10761" max="10761" width="22.85546875" style="5" customWidth="1"/>
    <col min="10762" max="11008" width="11.5703125" style="5"/>
    <col min="11009" max="11009" width="9.140625" style="5" customWidth="1"/>
    <col min="11010" max="11010" width="12.85546875" style="5" customWidth="1"/>
    <col min="11011" max="11011" width="22.85546875" style="5" customWidth="1"/>
    <col min="11012" max="11012" width="10" style="5" customWidth="1"/>
    <col min="11013" max="11013" width="14" style="5" customWidth="1"/>
    <col min="11014" max="11014" width="22.85546875" style="5" customWidth="1"/>
    <col min="11015" max="11015" width="9.140625" style="5" customWidth="1"/>
    <col min="11016" max="11016" width="12.85546875" style="5" customWidth="1"/>
    <col min="11017" max="11017" width="22.85546875" style="5" customWidth="1"/>
    <col min="11018" max="11264" width="11.5703125" style="5"/>
    <col min="11265" max="11265" width="9.140625" style="5" customWidth="1"/>
    <col min="11266" max="11266" width="12.85546875" style="5" customWidth="1"/>
    <col min="11267" max="11267" width="22.85546875" style="5" customWidth="1"/>
    <col min="11268" max="11268" width="10" style="5" customWidth="1"/>
    <col min="11269" max="11269" width="14" style="5" customWidth="1"/>
    <col min="11270" max="11270" width="22.85546875" style="5" customWidth="1"/>
    <col min="11271" max="11271" width="9.140625" style="5" customWidth="1"/>
    <col min="11272" max="11272" width="12.85546875" style="5" customWidth="1"/>
    <col min="11273" max="11273" width="22.85546875" style="5" customWidth="1"/>
    <col min="11274" max="11520" width="11.5703125" style="5"/>
    <col min="11521" max="11521" width="9.140625" style="5" customWidth="1"/>
    <col min="11522" max="11522" width="12.85546875" style="5" customWidth="1"/>
    <col min="11523" max="11523" width="22.85546875" style="5" customWidth="1"/>
    <col min="11524" max="11524" width="10" style="5" customWidth="1"/>
    <col min="11525" max="11525" width="14" style="5" customWidth="1"/>
    <col min="11526" max="11526" width="22.85546875" style="5" customWidth="1"/>
    <col min="11527" max="11527" width="9.140625" style="5" customWidth="1"/>
    <col min="11528" max="11528" width="12.85546875" style="5" customWidth="1"/>
    <col min="11529" max="11529" width="22.85546875" style="5" customWidth="1"/>
    <col min="11530" max="11776" width="11.5703125" style="5"/>
    <col min="11777" max="11777" width="9.140625" style="5" customWidth="1"/>
    <col min="11778" max="11778" width="12.85546875" style="5" customWidth="1"/>
    <col min="11779" max="11779" width="22.85546875" style="5" customWidth="1"/>
    <col min="11780" max="11780" width="10" style="5" customWidth="1"/>
    <col min="11781" max="11781" width="14" style="5" customWidth="1"/>
    <col min="11782" max="11782" width="22.85546875" style="5" customWidth="1"/>
    <col min="11783" max="11783" width="9.140625" style="5" customWidth="1"/>
    <col min="11784" max="11784" width="12.85546875" style="5" customWidth="1"/>
    <col min="11785" max="11785" width="22.85546875" style="5" customWidth="1"/>
    <col min="11786" max="12032" width="11.5703125" style="5"/>
    <col min="12033" max="12033" width="9.140625" style="5" customWidth="1"/>
    <col min="12034" max="12034" width="12.85546875" style="5" customWidth="1"/>
    <col min="12035" max="12035" width="22.85546875" style="5" customWidth="1"/>
    <col min="12036" max="12036" width="10" style="5" customWidth="1"/>
    <col min="12037" max="12037" width="14" style="5" customWidth="1"/>
    <col min="12038" max="12038" width="22.85546875" style="5" customWidth="1"/>
    <col min="12039" max="12039" width="9.140625" style="5" customWidth="1"/>
    <col min="12040" max="12040" width="12.85546875" style="5" customWidth="1"/>
    <col min="12041" max="12041" width="22.85546875" style="5" customWidth="1"/>
    <col min="12042" max="12288" width="11.5703125" style="5"/>
    <col min="12289" max="12289" width="9.140625" style="5" customWidth="1"/>
    <col min="12290" max="12290" width="12.85546875" style="5" customWidth="1"/>
    <col min="12291" max="12291" width="22.85546875" style="5" customWidth="1"/>
    <col min="12292" max="12292" width="10" style="5" customWidth="1"/>
    <col min="12293" max="12293" width="14" style="5" customWidth="1"/>
    <col min="12294" max="12294" width="22.85546875" style="5" customWidth="1"/>
    <col min="12295" max="12295" width="9.140625" style="5" customWidth="1"/>
    <col min="12296" max="12296" width="12.85546875" style="5" customWidth="1"/>
    <col min="12297" max="12297" width="22.85546875" style="5" customWidth="1"/>
    <col min="12298" max="12544" width="11.5703125" style="5"/>
    <col min="12545" max="12545" width="9.140625" style="5" customWidth="1"/>
    <col min="12546" max="12546" width="12.85546875" style="5" customWidth="1"/>
    <col min="12547" max="12547" width="22.85546875" style="5" customWidth="1"/>
    <col min="12548" max="12548" width="10" style="5" customWidth="1"/>
    <col min="12549" max="12549" width="14" style="5" customWidth="1"/>
    <col min="12550" max="12550" width="22.85546875" style="5" customWidth="1"/>
    <col min="12551" max="12551" width="9.140625" style="5" customWidth="1"/>
    <col min="12552" max="12552" width="12.85546875" style="5" customWidth="1"/>
    <col min="12553" max="12553" width="22.85546875" style="5" customWidth="1"/>
    <col min="12554" max="12800" width="11.5703125" style="5"/>
    <col min="12801" max="12801" width="9.140625" style="5" customWidth="1"/>
    <col min="12802" max="12802" width="12.85546875" style="5" customWidth="1"/>
    <col min="12803" max="12803" width="22.85546875" style="5" customWidth="1"/>
    <col min="12804" max="12804" width="10" style="5" customWidth="1"/>
    <col min="12805" max="12805" width="14" style="5" customWidth="1"/>
    <col min="12806" max="12806" width="22.85546875" style="5" customWidth="1"/>
    <col min="12807" max="12807" width="9.140625" style="5" customWidth="1"/>
    <col min="12808" max="12808" width="12.85546875" style="5" customWidth="1"/>
    <col min="12809" max="12809" width="22.85546875" style="5" customWidth="1"/>
    <col min="12810" max="13056" width="11.5703125" style="5"/>
    <col min="13057" max="13057" width="9.140625" style="5" customWidth="1"/>
    <col min="13058" max="13058" width="12.85546875" style="5" customWidth="1"/>
    <col min="13059" max="13059" width="22.85546875" style="5" customWidth="1"/>
    <col min="13060" max="13060" width="10" style="5" customWidth="1"/>
    <col min="13061" max="13061" width="14" style="5" customWidth="1"/>
    <col min="13062" max="13062" width="22.85546875" style="5" customWidth="1"/>
    <col min="13063" max="13063" width="9.140625" style="5" customWidth="1"/>
    <col min="13064" max="13064" width="12.85546875" style="5" customWidth="1"/>
    <col min="13065" max="13065" width="22.85546875" style="5" customWidth="1"/>
    <col min="13066" max="13312" width="11.5703125" style="5"/>
    <col min="13313" max="13313" width="9.140625" style="5" customWidth="1"/>
    <col min="13314" max="13314" width="12.85546875" style="5" customWidth="1"/>
    <col min="13315" max="13315" width="22.85546875" style="5" customWidth="1"/>
    <col min="13316" max="13316" width="10" style="5" customWidth="1"/>
    <col min="13317" max="13317" width="14" style="5" customWidth="1"/>
    <col min="13318" max="13318" width="22.85546875" style="5" customWidth="1"/>
    <col min="13319" max="13319" width="9.140625" style="5" customWidth="1"/>
    <col min="13320" max="13320" width="12.85546875" style="5" customWidth="1"/>
    <col min="13321" max="13321" width="22.85546875" style="5" customWidth="1"/>
    <col min="13322" max="13568" width="11.5703125" style="5"/>
    <col min="13569" max="13569" width="9.140625" style="5" customWidth="1"/>
    <col min="13570" max="13570" width="12.85546875" style="5" customWidth="1"/>
    <col min="13571" max="13571" width="22.85546875" style="5" customWidth="1"/>
    <col min="13572" max="13572" width="10" style="5" customWidth="1"/>
    <col min="13573" max="13573" width="14" style="5" customWidth="1"/>
    <col min="13574" max="13574" width="22.85546875" style="5" customWidth="1"/>
    <col min="13575" max="13575" width="9.140625" style="5" customWidth="1"/>
    <col min="13576" max="13576" width="12.85546875" style="5" customWidth="1"/>
    <col min="13577" max="13577" width="22.85546875" style="5" customWidth="1"/>
    <col min="13578" max="13824" width="11.5703125" style="5"/>
    <col min="13825" max="13825" width="9.140625" style="5" customWidth="1"/>
    <col min="13826" max="13826" width="12.85546875" style="5" customWidth="1"/>
    <col min="13827" max="13827" width="22.85546875" style="5" customWidth="1"/>
    <col min="13828" max="13828" width="10" style="5" customWidth="1"/>
    <col min="13829" max="13829" width="14" style="5" customWidth="1"/>
    <col min="13830" max="13830" width="22.85546875" style="5" customWidth="1"/>
    <col min="13831" max="13831" width="9.140625" style="5" customWidth="1"/>
    <col min="13832" max="13832" width="12.85546875" style="5" customWidth="1"/>
    <col min="13833" max="13833" width="22.85546875" style="5" customWidth="1"/>
    <col min="13834" max="14080" width="11.5703125" style="5"/>
    <col min="14081" max="14081" width="9.140625" style="5" customWidth="1"/>
    <col min="14082" max="14082" width="12.85546875" style="5" customWidth="1"/>
    <col min="14083" max="14083" width="22.85546875" style="5" customWidth="1"/>
    <col min="14084" max="14084" width="10" style="5" customWidth="1"/>
    <col min="14085" max="14085" width="14" style="5" customWidth="1"/>
    <col min="14086" max="14086" width="22.85546875" style="5" customWidth="1"/>
    <col min="14087" max="14087" width="9.140625" style="5" customWidth="1"/>
    <col min="14088" max="14088" width="12.85546875" style="5" customWidth="1"/>
    <col min="14089" max="14089" width="22.85546875" style="5" customWidth="1"/>
    <col min="14090" max="14336" width="11.5703125" style="5"/>
    <col min="14337" max="14337" width="9.140625" style="5" customWidth="1"/>
    <col min="14338" max="14338" width="12.85546875" style="5" customWidth="1"/>
    <col min="14339" max="14339" width="22.85546875" style="5" customWidth="1"/>
    <col min="14340" max="14340" width="10" style="5" customWidth="1"/>
    <col min="14341" max="14341" width="14" style="5" customWidth="1"/>
    <col min="14342" max="14342" width="22.85546875" style="5" customWidth="1"/>
    <col min="14343" max="14343" width="9.140625" style="5" customWidth="1"/>
    <col min="14344" max="14344" width="12.85546875" style="5" customWidth="1"/>
    <col min="14345" max="14345" width="22.85546875" style="5" customWidth="1"/>
    <col min="14346" max="14592" width="11.5703125" style="5"/>
    <col min="14593" max="14593" width="9.140625" style="5" customWidth="1"/>
    <col min="14594" max="14594" width="12.85546875" style="5" customWidth="1"/>
    <col min="14595" max="14595" width="22.85546875" style="5" customWidth="1"/>
    <col min="14596" max="14596" width="10" style="5" customWidth="1"/>
    <col min="14597" max="14597" width="14" style="5" customWidth="1"/>
    <col min="14598" max="14598" width="22.85546875" style="5" customWidth="1"/>
    <col min="14599" max="14599" width="9.140625" style="5" customWidth="1"/>
    <col min="14600" max="14600" width="12.85546875" style="5" customWidth="1"/>
    <col min="14601" max="14601" width="22.85546875" style="5" customWidth="1"/>
    <col min="14602" max="14848" width="11.5703125" style="5"/>
    <col min="14849" max="14849" width="9.140625" style="5" customWidth="1"/>
    <col min="14850" max="14850" width="12.85546875" style="5" customWidth="1"/>
    <col min="14851" max="14851" width="22.85546875" style="5" customWidth="1"/>
    <col min="14852" max="14852" width="10" style="5" customWidth="1"/>
    <col min="14853" max="14853" width="14" style="5" customWidth="1"/>
    <col min="14854" max="14854" width="22.85546875" style="5" customWidth="1"/>
    <col min="14855" max="14855" width="9.140625" style="5" customWidth="1"/>
    <col min="14856" max="14856" width="12.85546875" style="5" customWidth="1"/>
    <col min="14857" max="14857" width="22.85546875" style="5" customWidth="1"/>
    <col min="14858" max="15104" width="11.5703125" style="5"/>
    <col min="15105" max="15105" width="9.140625" style="5" customWidth="1"/>
    <col min="15106" max="15106" width="12.85546875" style="5" customWidth="1"/>
    <col min="15107" max="15107" width="22.85546875" style="5" customWidth="1"/>
    <col min="15108" max="15108" width="10" style="5" customWidth="1"/>
    <col min="15109" max="15109" width="14" style="5" customWidth="1"/>
    <col min="15110" max="15110" width="22.85546875" style="5" customWidth="1"/>
    <col min="15111" max="15111" width="9.140625" style="5" customWidth="1"/>
    <col min="15112" max="15112" width="12.85546875" style="5" customWidth="1"/>
    <col min="15113" max="15113" width="22.85546875" style="5" customWidth="1"/>
    <col min="15114" max="15360" width="11.5703125" style="5"/>
    <col min="15361" max="15361" width="9.140625" style="5" customWidth="1"/>
    <col min="15362" max="15362" width="12.85546875" style="5" customWidth="1"/>
    <col min="15363" max="15363" width="22.85546875" style="5" customWidth="1"/>
    <col min="15364" max="15364" width="10" style="5" customWidth="1"/>
    <col min="15365" max="15365" width="14" style="5" customWidth="1"/>
    <col min="15366" max="15366" width="22.85546875" style="5" customWidth="1"/>
    <col min="15367" max="15367" width="9.140625" style="5" customWidth="1"/>
    <col min="15368" max="15368" width="12.85546875" style="5" customWidth="1"/>
    <col min="15369" max="15369" width="22.85546875" style="5" customWidth="1"/>
    <col min="15370" max="15616" width="11.5703125" style="5"/>
    <col min="15617" max="15617" width="9.140625" style="5" customWidth="1"/>
    <col min="15618" max="15618" width="12.85546875" style="5" customWidth="1"/>
    <col min="15619" max="15619" width="22.85546875" style="5" customWidth="1"/>
    <col min="15620" max="15620" width="10" style="5" customWidth="1"/>
    <col min="15621" max="15621" width="14" style="5" customWidth="1"/>
    <col min="15622" max="15622" width="22.85546875" style="5" customWidth="1"/>
    <col min="15623" max="15623" width="9.140625" style="5" customWidth="1"/>
    <col min="15624" max="15624" width="12.85546875" style="5" customWidth="1"/>
    <col min="15625" max="15625" width="22.85546875" style="5" customWidth="1"/>
    <col min="15626" max="15872" width="11.5703125" style="5"/>
    <col min="15873" max="15873" width="9.140625" style="5" customWidth="1"/>
    <col min="15874" max="15874" width="12.85546875" style="5" customWidth="1"/>
    <col min="15875" max="15875" width="22.85546875" style="5" customWidth="1"/>
    <col min="15876" max="15876" width="10" style="5" customWidth="1"/>
    <col min="15877" max="15877" width="14" style="5" customWidth="1"/>
    <col min="15878" max="15878" width="22.85546875" style="5" customWidth="1"/>
    <col min="15879" max="15879" width="9.140625" style="5" customWidth="1"/>
    <col min="15880" max="15880" width="12.85546875" style="5" customWidth="1"/>
    <col min="15881" max="15881" width="22.85546875" style="5" customWidth="1"/>
    <col min="15882" max="16128" width="11.5703125" style="5"/>
    <col min="16129" max="16129" width="9.140625" style="5" customWidth="1"/>
    <col min="16130" max="16130" width="12.85546875" style="5" customWidth="1"/>
    <col min="16131" max="16131" width="22.85546875" style="5" customWidth="1"/>
    <col min="16132" max="16132" width="10" style="5" customWidth="1"/>
    <col min="16133" max="16133" width="14" style="5" customWidth="1"/>
    <col min="16134" max="16134" width="22.85546875" style="5" customWidth="1"/>
    <col min="16135" max="16135" width="9.140625" style="5" customWidth="1"/>
    <col min="16136" max="16136" width="12.85546875" style="5" customWidth="1"/>
    <col min="16137" max="16137" width="22.85546875" style="5" customWidth="1"/>
    <col min="16138" max="16384" width="11.5703125" style="5"/>
  </cols>
  <sheetData>
    <row r="1" spans="1:10" ht="28.7" customHeight="1" x14ac:dyDescent="0.25">
      <c r="A1" s="388" t="s">
        <v>670</v>
      </c>
      <c r="B1" s="389"/>
      <c r="C1" s="389"/>
      <c r="D1" s="389"/>
      <c r="E1" s="389"/>
      <c r="F1" s="389"/>
      <c r="G1" s="389"/>
      <c r="H1" s="389"/>
      <c r="I1" s="389"/>
    </row>
    <row r="2" spans="1:10" x14ac:dyDescent="0.25">
      <c r="A2" s="357" t="s">
        <v>6</v>
      </c>
      <c r="B2" s="358"/>
      <c r="C2" s="359" t="s">
        <v>7</v>
      </c>
      <c r="D2" s="335"/>
      <c r="E2" s="362" t="s">
        <v>9</v>
      </c>
      <c r="F2" s="362" t="s">
        <v>10</v>
      </c>
      <c r="G2" s="358"/>
      <c r="H2" s="362" t="s">
        <v>671</v>
      </c>
      <c r="I2" s="390"/>
      <c r="J2" s="6"/>
    </row>
    <row r="3" spans="1:10" ht="25.7" customHeight="1" x14ac:dyDescent="0.25">
      <c r="A3" s="354"/>
      <c r="B3" s="337"/>
      <c r="C3" s="360"/>
      <c r="D3" s="360"/>
      <c r="E3" s="337"/>
      <c r="F3" s="337"/>
      <c r="G3" s="337"/>
      <c r="H3" s="337"/>
      <c r="I3" s="352"/>
      <c r="J3" s="6"/>
    </row>
    <row r="4" spans="1:10" x14ac:dyDescent="0.25">
      <c r="A4" s="346" t="s">
        <v>11</v>
      </c>
      <c r="B4" s="337"/>
      <c r="C4" s="336" t="s">
        <v>12</v>
      </c>
      <c r="D4" s="337"/>
      <c r="E4" s="336" t="s">
        <v>14</v>
      </c>
      <c r="F4" s="336" t="s">
        <v>15</v>
      </c>
      <c r="G4" s="337"/>
      <c r="H4" s="336" t="s">
        <v>671</v>
      </c>
      <c r="I4" s="385"/>
      <c r="J4" s="6"/>
    </row>
    <row r="5" spans="1:10" ht="25.7" customHeight="1" x14ac:dyDescent="0.25">
      <c r="A5" s="354"/>
      <c r="B5" s="337"/>
      <c r="C5" s="337"/>
      <c r="D5" s="337"/>
      <c r="E5" s="337"/>
      <c r="F5" s="337"/>
      <c r="G5" s="337"/>
      <c r="H5" s="337"/>
      <c r="I5" s="352"/>
      <c r="J5" s="6"/>
    </row>
    <row r="6" spans="1:10" x14ac:dyDescent="0.25">
      <c r="A6" s="346" t="s">
        <v>16</v>
      </c>
      <c r="B6" s="337"/>
      <c r="C6" s="336" t="s">
        <v>17</v>
      </c>
      <c r="D6" s="337"/>
      <c r="E6" s="336" t="s">
        <v>19</v>
      </c>
      <c r="F6" s="336" t="s">
        <v>20</v>
      </c>
      <c r="G6" s="337"/>
      <c r="H6" s="336" t="s">
        <v>671</v>
      </c>
      <c r="I6" s="385"/>
      <c r="J6" s="6"/>
    </row>
    <row r="7" spans="1:10" x14ac:dyDescent="0.25">
      <c r="A7" s="354"/>
      <c r="B7" s="337"/>
      <c r="C7" s="337"/>
      <c r="D7" s="337"/>
      <c r="E7" s="337"/>
      <c r="F7" s="337"/>
      <c r="G7" s="337"/>
      <c r="H7" s="337"/>
      <c r="I7" s="352"/>
      <c r="J7" s="6"/>
    </row>
    <row r="8" spans="1:10" x14ac:dyDescent="0.25">
      <c r="A8" s="346" t="s">
        <v>13</v>
      </c>
      <c r="B8" s="337"/>
      <c r="C8" s="350">
        <v>44409</v>
      </c>
      <c r="D8" s="337"/>
      <c r="E8" s="336" t="s">
        <v>18</v>
      </c>
      <c r="F8" s="337"/>
      <c r="G8" s="337"/>
      <c r="H8" s="349" t="s">
        <v>672</v>
      </c>
      <c r="I8" s="385" t="s">
        <v>667</v>
      </c>
      <c r="J8" s="6"/>
    </row>
    <row r="9" spans="1:10" x14ac:dyDescent="0.25">
      <c r="A9" s="354"/>
      <c r="B9" s="337"/>
      <c r="C9" s="337"/>
      <c r="D9" s="337"/>
      <c r="E9" s="337"/>
      <c r="F9" s="337"/>
      <c r="G9" s="337"/>
      <c r="H9" s="337"/>
      <c r="I9" s="352"/>
      <c r="J9" s="6"/>
    </row>
    <row r="10" spans="1:10" x14ac:dyDescent="0.25">
      <c r="A10" s="346" t="s">
        <v>21</v>
      </c>
      <c r="B10" s="337"/>
      <c r="C10" s="336">
        <v>8016</v>
      </c>
      <c r="D10" s="337"/>
      <c r="E10" s="336" t="s">
        <v>23</v>
      </c>
      <c r="F10" s="336" t="s">
        <v>24</v>
      </c>
      <c r="G10" s="337"/>
      <c r="H10" s="349" t="s">
        <v>673</v>
      </c>
      <c r="I10" s="383">
        <v>44228</v>
      </c>
      <c r="J10" s="6"/>
    </row>
    <row r="11" spans="1:10" x14ac:dyDescent="0.25">
      <c r="A11" s="386"/>
      <c r="B11" s="387"/>
      <c r="C11" s="387"/>
      <c r="D11" s="387"/>
      <c r="E11" s="387"/>
      <c r="F11" s="387"/>
      <c r="G11" s="387"/>
      <c r="H11" s="387"/>
      <c r="I11" s="384"/>
      <c r="J11" s="6"/>
    </row>
    <row r="12" spans="1:10" ht="23.45" customHeight="1" x14ac:dyDescent="0.25">
      <c r="A12" s="379" t="s">
        <v>674</v>
      </c>
      <c r="B12" s="380"/>
      <c r="C12" s="380"/>
      <c r="D12" s="380"/>
      <c r="E12" s="380"/>
      <c r="F12" s="380"/>
      <c r="G12" s="380"/>
      <c r="H12" s="380"/>
      <c r="I12" s="380"/>
    </row>
    <row r="13" spans="1:10" ht="26.45" customHeight="1" x14ac:dyDescent="0.25">
      <c r="A13" s="41" t="s">
        <v>675</v>
      </c>
      <c r="B13" s="381" t="s">
        <v>676</v>
      </c>
      <c r="C13" s="382"/>
      <c r="D13" s="41" t="s">
        <v>677</v>
      </c>
      <c r="E13" s="381" t="s">
        <v>678</v>
      </c>
      <c r="F13" s="382"/>
      <c r="G13" s="41" t="s">
        <v>679</v>
      </c>
      <c r="H13" s="381" t="s">
        <v>680</v>
      </c>
      <c r="I13" s="382"/>
      <c r="J13" s="6"/>
    </row>
    <row r="14" spans="1:10" ht="15.2" customHeight="1" x14ac:dyDescent="0.25">
      <c r="A14" s="42" t="s">
        <v>681</v>
      </c>
      <c r="B14" s="43" t="s">
        <v>682</v>
      </c>
      <c r="C14" s="44">
        <f>SUM('04 INTERIER Stavební rozpočet'!R12:R1022)</f>
        <v>0</v>
      </c>
      <c r="D14" s="377" t="s">
        <v>683</v>
      </c>
      <c r="E14" s="378"/>
      <c r="F14" s="44">
        <f>'04 INTERIER VORN'!I15</f>
        <v>0</v>
      </c>
      <c r="G14" s="377" t="s">
        <v>684</v>
      </c>
      <c r="H14" s="378"/>
      <c r="I14" s="44">
        <f>'04 INTERIER VORN'!I21</f>
        <v>0</v>
      </c>
      <c r="J14" s="6"/>
    </row>
    <row r="15" spans="1:10" ht="15.2" customHeight="1" x14ac:dyDescent="0.25">
      <c r="A15" s="45"/>
      <c r="B15" s="43" t="s">
        <v>39</v>
      </c>
      <c r="C15" s="44">
        <f>SUM('04 INTERIER Stavební rozpočet'!S12:S1022)</f>
        <v>0</v>
      </c>
      <c r="D15" s="377" t="s">
        <v>685</v>
      </c>
      <c r="E15" s="378"/>
      <c r="F15" s="44">
        <f>'04 INTERIER VORN'!I16</f>
        <v>0</v>
      </c>
      <c r="G15" s="377" t="s">
        <v>686</v>
      </c>
      <c r="H15" s="378"/>
      <c r="I15" s="44">
        <f>'04 INTERIER VORN'!I22</f>
        <v>0</v>
      </c>
      <c r="J15" s="6"/>
    </row>
    <row r="16" spans="1:10" ht="15.2" customHeight="1" x14ac:dyDescent="0.25">
      <c r="A16" s="42" t="s">
        <v>687</v>
      </c>
      <c r="B16" s="43" t="s">
        <v>682</v>
      </c>
      <c r="C16" s="44">
        <f>SUM('04 INTERIER Stavební rozpočet'!T12:T1022)</f>
        <v>0</v>
      </c>
      <c r="D16" s="377" t="s">
        <v>688</v>
      </c>
      <c r="E16" s="378"/>
      <c r="F16" s="44">
        <f>'04 INTERIER VORN'!I17</f>
        <v>0</v>
      </c>
      <c r="G16" s="377" t="s">
        <v>689</v>
      </c>
      <c r="H16" s="378"/>
      <c r="I16" s="44">
        <f>'04 INTERIER VORN'!I23</f>
        <v>0</v>
      </c>
      <c r="J16" s="6"/>
    </row>
    <row r="17" spans="1:10" ht="15.2" customHeight="1" x14ac:dyDescent="0.25">
      <c r="A17" s="45"/>
      <c r="B17" s="43" t="s">
        <v>39</v>
      </c>
      <c r="C17" s="44">
        <f>SUM('04 INTERIER Stavební rozpočet'!U12:U1022)</f>
        <v>0</v>
      </c>
      <c r="D17" s="377"/>
      <c r="E17" s="378"/>
      <c r="F17" s="46"/>
      <c r="G17" s="377" t="s">
        <v>690</v>
      </c>
      <c r="H17" s="378"/>
      <c r="I17" s="44">
        <f>'04 INTERIER VORN'!I24</f>
        <v>0</v>
      </c>
      <c r="J17" s="6"/>
    </row>
    <row r="18" spans="1:10" ht="15.2" customHeight="1" x14ac:dyDescent="0.25">
      <c r="A18" s="42" t="s">
        <v>691</v>
      </c>
      <c r="B18" s="43" t="s">
        <v>682</v>
      </c>
      <c r="C18" s="44">
        <f>SUM('04 INTERIER Stavební rozpočet'!V12:V1022)</f>
        <v>0</v>
      </c>
      <c r="D18" s="377"/>
      <c r="E18" s="378"/>
      <c r="F18" s="46"/>
      <c r="G18" s="377" t="s">
        <v>692</v>
      </c>
      <c r="H18" s="378"/>
      <c r="I18" s="44">
        <f>'04 INTERIER VORN'!I25</f>
        <v>0</v>
      </c>
      <c r="J18" s="6"/>
    </row>
    <row r="19" spans="1:10" ht="15.2" customHeight="1" x14ac:dyDescent="0.25">
      <c r="A19" s="45"/>
      <c r="B19" s="43" t="s">
        <v>39</v>
      </c>
      <c r="C19" s="44">
        <f>SUM('04 INTERIER Stavební rozpočet'!W12:W1022)</f>
        <v>0</v>
      </c>
      <c r="D19" s="377"/>
      <c r="E19" s="378"/>
      <c r="F19" s="46"/>
      <c r="G19" s="377" t="s">
        <v>693</v>
      </c>
      <c r="H19" s="378"/>
      <c r="I19" s="44">
        <f>'04 INTERIER VORN'!I26</f>
        <v>0</v>
      </c>
      <c r="J19" s="6"/>
    </row>
    <row r="20" spans="1:10" ht="15.2" customHeight="1" x14ac:dyDescent="0.25">
      <c r="A20" s="375" t="s">
        <v>694</v>
      </c>
      <c r="B20" s="376"/>
      <c r="C20" s="44">
        <f>SUM('04 INTERIER Stavební rozpočet'!X12:X1022)</f>
        <v>0</v>
      </c>
      <c r="D20" s="377"/>
      <c r="E20" s="378"/>
      <c r="F20" s="46"/>
      <c r="G20" s="377"/>
      <c r="H20" s="378"/>
      <c r="I20" s="46"/>
      <c r="J20" s="6"/>
    </row>
    <row r="21" spans="1:10" ht="15.2" customHeight="1" x14ac:dyDescent="0.25">
      <c r="A21" s="375" t="s">
        <v>695</v>
      </c>
      <c r="B21" s="376"/>
      <c r="C21" s="44">
        <f>SUM('04 INTERIER Stavební rozpočet'!P12:P1022)</f>
        <v>0</v>
      </c>
      <c r="D21" s="377"/>
      <c r="E21" s="378"/>
      <c r="F21" s="46"/>
      <c r="G21" s="377"/>
      <c r="H21" s="378"/>
      <c r="I21" s="46"/>
      <c r="J21" s="6"/>
    </row>
    <row r="22" spans="1:10" ht="16.7" customHeight="1" x14ac:dyDescent="0.25">
      <c r="A22" s="375" t="s">
        <v>696</v>
      </c>
      <c r="B22" s="376"/>
      <c r="C22" s="44">
        <f>SUM(C14:C21)</f>
        <v>0</v>
      </c>
      <c r="D22" s="375" t="s">
        <v>697</v>
      </c>
      <c r="E22" s="376"/>
      <c r="F22" s="44">
        <f>SUM(F14:F21)</f>
        <v>0</v>
      </c>
      <c r="G22" s="375" t="s">
        <v>698</v>
      </c>
      <c r="H22" s="376"/>
      <c r="I22" s="44">
        <f>ROUND(C22*(2/100),2)</f>
        <v>0</v>
      </c>
      <c r="J22" s="6"/>
    </row>
    <row r="23" spans="1:10" ht="15.2" customHeight="1" thickBot="1" x14ac:dyDescent="0.3">
      <c r="A23" s="37"/>
      <c r="B23" s="37"/>
      <c r="C23" s="47"/>
      <c r="D23" s="375" t="s">
        <v>699</v>
      </c>
      <c r="E23" s="376"/>
      <c r="F23" s="48">
        <v>0</v>
      </c>
      <c r="G23" s="375" t="s">
        <v>700</v>
      </c>
      <c r="H23" s="376"/>
      <c r="I23" s="44">
        <v>0</v>
      </c>
      <c r="J23" s="6"/>
    </row>
    <row r="24" spans="1:10" ht="15.2" customHeight="1" x14ac:dyDescent="0.25">
      <c r="D24" s="37"/>
      <c r="E24" s="37"/>
      <c r="F24" s="49"/>
      <c r="G24" s="375" t="s">
        <v>701</v>
      </c>
      <c r="H24" s="376"/>
      <c r="I24" s="44">
        <f>vorn_sum</f>
        <v>0</v>
      </c>
      <c r="J24" s="6"/>
    </row>
    <row r="25" spans="1:10" ht="15.2" customHeight="1" x14ac:dyDescent="0.25">
      <c r="F25" s="50"/>
      <c r="G25" s="375" t="s">
        <v>702</v>
      </c>
      <c r="H25" s="376"/>
      <c r="I25" s="44">
        <v>0</v>
      </c>
      <c r="J25" s="6"/>
    </row>
    <row r="26" spans="1:10" x14ac:dyDescent="0.25">
      <c r="A26" s="35"/>
      <c r="B26" s="35"/>
      <c r="C26" s="35"/>
      <c r="G26" s="37"/>
      <c r="H26" s="37"/>
      <c r="I26" s="37"/>
    </row>
    <row r="27" spans="1:10" ht="15.2" customHeight="1" x14ac:dyDescent="0.25">
      <c r="A27" s="370" t="s">
        <v>703</v>
      </c>
      <c r="B27" s="371"/>
      <c r="C27" s="51">
        <f>SUM('04 INTERIER Stavební rozpočet'!Z12:Z1022)</f>
        <v>0</v>
      </c>
      <c r="D27" s="52"/>
      <c r="E27" s="35"/>
      <c r="F27" s="35"/>
      <c r="G27" s="35"/>
      <c r="H27" s="35"/>
      <c r="I27" s="35"/>
    </row>
    <row r="28" spans="1:10" ht="15.2" customHeight="1" x14ac:dyDescent="0.25">
      <c r="A28" s="370" t="s">
        <v>704</v>
      </c>
      <c r="B28" s="371"/>
      <c r="C28" s="51">
        <f>SUM('04 INTERIER Stavební rozpočet'!AA12:AA1022)</f>
        <v>0</v>
      </c>
      <c r="D28" s="370" t="s">
        <v>705</v>
      </c>
      <c r="E28" s="371"/>
      <c r="F28" s="51">
        <f>ROUND(C28*(15/100),2)</f>
        <v>0</v>
      </c>
      <c r="G28" s="370" t="s">
        <v>706</v>
      </c>
      <c r="H28" s="371"/>
      <c r="I28" s="51">
        <f>SUM(C27:C29)</f>
        <v>0</v>
      </c>
      <c r="J28" s="6"/>
    </row>
    <row r="29" spans="1:10" ht="15.2" customHeight="1" x14ac:dyDescent="0.25">
      <c r="A29" s="370" t="s">
        <v>707</v>
      </c>
      <c r="B29" s="371"/>
      <c r="C29" s="51">
        <f>SUM('04 INTERIER Stavební rozpočet'!AB12:AB1022)+(F22+I22+F23+I23+I24+I25)</f>
        <v>0</v>
      </c>
      <c r="D29" s="370" t="s">
        <v>708</v>
      </c>
      <c r="E29" s="371"/>
      <c r="F29" s="51">
        <f>ROUND(C29*(21/100),2)</f>
        <v>0</v>
      </c>
      <c r="G29" s="370" t="s">
        <v>709</v>
      </c>
      <c r="H29" s="371"/>
      <c r="I29" s="51">
        <f>SUM(F28:F29)+I28</f>
        <v>0</v>
      </c>
      <c r="J29" s="6"/>
    </row>
    <row r="30" spans="1:10" ht="13.5" thickBot="1" x14ac:dyDescent="0.3">
      <c r="A30" s="53"/>
      <c r="B30" s="53"/>
      <c r="C30" s="53"/>
      <c r="D30" s="53"/>
      <c r="E30" s="53"/>
      <c r="F30" s="53"/>
      <c r="G30" s="53"/>
      <c r="H30" s="53"/>
      <c r="I30" s="53"/>
    </row>
    <row r="31" spans="1:10" ht="14.45" customHeight="1" x14ac:dyDescent="0.25">
      <c r="A31" s="372" t="s">
        <v>710</v>
      </c>
      <c r="B31" s="373"/>
      <c r="C31" s="374"/>
      <c r="D31" s="372" t="s">
        <v>711</v>
      </c>
      <c r="E31" s="373"/>
      <c r="F31" s="374"/>
      <c r="G31" s="372" t="s">
        <v>712</v>
      </c>
      <c r="H31" s="373"/>
      <c r="I31" s="374"/>
      <c r="J31" s="12"/>
    </row>
    <row r="32" spans="1:10" ht="14.45" customHeight="1" x14ac:dyDescent="0.25">
      <c r="A32" s="364"/>
      <c r="B32" s="365"/>
      <c r="C32" s="366"/>
      <c r="D32" s="364"/>
      <c r="E32" s="365"/>
      <c r="F32" s="366"/>
      <c r="G32" s="364"/>
      <c r="H32" s="365"/>
      <c r="I32" s="366"/>
      <c r="J32" s="12"/>
    </row>
    <row r="33" spans="1:10" ht="14.45" customHeight="1" x14ac:dyDescent="0.25">
      <c r="A33" s="364"/>
      <c r="B33" s="365"/>
      <c r="C33" s="366"/>
      <c r="D33" s="364"/>
      <c r="E33" s="365"/>
      <c r="F33" s="366"/>
      <c r="G33" s="364"/>
      <c r="H33" s="365"/>
      <c r="I33" s="366"/>
      <c r="J33" s="12"/>
    </row>
    <row r="34" spans="1:10" ht="14.45" customHeight="1" x14ac:dyDescent="0.25">
      <c r="A34" s="364"/>
      <c r="B34" s="365"/>
      <c r="C34" s="366"/>
      <c r="D34" s="364"/>
      <c r="E34" s="365"/>
      <c r="F34" s="366"/>
      <c r="G34" s="364"/>
      <c r="H34" s="365"/>
      <c r="I34" s="366"/>
      <c r="J34" s="12"/>
    </row>
    <row r="35" spans="1:10" ht="14.45" customHeight="1" thickBot="1" x14ac:dyDescent="0.3">
      <c r="A35" s="367" t="s">
        <v>713</v>
      </c>
      <c r="B35" s="368"/>
      <c r="C35" s="369"/>
      <c r="D35" s="367" t="s">
        <v>713</v>
      </c>
      <c r="E35" s="368"/>
      <c r="F35" s="369"/>
      <c r="G35" s="367" t="s">
        <v>713</v>
      </c>
      <c r="H35" s="368"/>
      <c r="I35" s="369"/>
      <c r="J35" s="12"/>
    </row>
    <row r="36" spans="1:10" ht="11.25" customHeight="1" x14ac:dyDescent="0.25">
      <c r="A36" s="54" t="s">
        <v>669</v>
      </c>
      <c r="B36" s="55"/>
      <c r="C36" s="55"/>
      <c r="D36" s="55"/>
      <c r="E36" s="55"/>
      <c r="F36" s="55"/>
      <c r="G36" s="55"/>
      <c r="H36" s="55"/>
      <c r="I36" s="55"/>
    </row>
    <row r="37" spans="1:10" ht="243.75" customHeight="1" x14ac:dyDescent="0.25">
      <c r="A37" s="336" t="s">
        <v>2321</v>
      </c>
      <c r="B37" s="337"/>
      <c r="C37" s="337"/>
      <c r="D37" s="337"/>
      <c r="E37" s="337"/>
      <c r="F37" s="337"/>
      <c r="G37" s="337"/>
      <c r="H37" s="337"/>
      <c r="I37" s="337"/>
    </row>
  </sheetData>
  <mergeCells count="83">
    <mergeCell ref="A1:I1"/>
    <mergeCell ref="A2:B3"/>
    <mergeCell ref="C2:D3"/>
    <mergeCell ref="E2:E3"/>
    <mergeCell ref="F2:G3"/>
    <mergeCell ref="H2:H3"/>
    <mergeCell ref="I2:I3"/>
    <mergeCell ref="I6:I7"/>
    <mergeCell ref="A4:B5"/>
    <mergeCell ref="C4:D5"/>
    <mergeCell ref="E4:E5"/>
    <mergeCell ref="F4:G5"/>
    <mergeCell ref="H4:H5"/>
    <mergeCell ref="I4:I5"/>
    <mergeCell ref="A6:B7"/>
    <mergeCell ref="C6:D7"/>
    <mergeCell ref="E6:E7"/>
    <mergeCell ref="F6:G7"/>
    <mergeCell ref="H6:H7"/>
    <mergeCell ref="I10:I11"/>
    <mergeCell ref="A8:B9"/>
    <mergeCell ref="C8:D9"/>
    <mergeCell ref="E8:E9"/>
    <mergeCell ref="F8:G9"/>
    <mergeCell ref="H8:H9"/>
    <mergeCell ref="I8:I9"/>
    <mergeCell ref="A10:B11"/>
    <mergeCell ref="C10:D11"/>
    <mergeCell ref="E10:E11"/>
    <mergeCell ref="F10:G11"/>
    <mergeCell ref="H10:H11"/>
    <mergeCell ref="A12:I12"/>
    <mergeCell ref="B13:C13"/>
    <mergeCell ref="E13:F13"/>
    <mergeCell ref="H13:I13"/>
    <mergeCell ref="D14:E14"/>
    <mergeCell ref="G14:H14"/>
    <mergeCell ref="D15:E15"/>
    <mergeCell ref="G15:H15"/>
    <mergeCell ref="D16:E16"/>
    <mergeCell ref="G16:H16"/>
    <mergeCell ref="D17:E17"/>
    <mergeCell ref="G17:H17"/>
    <mergeCell ref="D18:E18"/>
    <mergeCell ref="G18:H18"/>
    <mergeCell ref="D19:E19"/>
    <mergeCell ref="G19:H19"/>
    <mergeCell ref="A20:B20"/>
    <mergeCell ref="D20:E20"/>
    <mergeCell ref="G20:H20"/>
    <mergeCell ref="A28:B28"/>
    <mergeCell ref="D28:E28"/>
    <mergeCell ref="G28:H28"/>
    <mergeCell ref="A21:B21"/>
    <mergeCell ref="D21:E21"/>
    <mergeCell ref="G21:H21"/>
    <mergeCell ref="A22:B22"/>
    <mergeCell ref="D22:E22"/>
    <mergeCell ref="G22:H22"/>
    <mergeCell ref="D23:E23"/>
    <mergeCell ref="G23:H23"/>
    <mergeCell ref="G24:H24"/>
    <mergeCell ref="G25:H25"/>
    <mergeCell ref="A27:B27"/>
    <mergeCell ref="A29:B29"/>
    <mergeCell ref="D29:E29"/>
    <mergeCell ref="G29:H29"/>
    <mergeCell ref="A31:C31"/>
    <mergeCell ref="D31:F31"/>
    <mergeCell ref="G31:I31"/>
    <mergeCell ref="A32:C32"/>
    <mergeCell ref="D32:F32"/>
    <mergeCell ref="G32:I32"/>
    <mergeCell ref="A33:C33"/>
    <mergeCell ref="D33:F33"/>
    <mergeCell ref="G33:I33"/>
    <mergeCell ref="A37:I37"/>
    <mergeCell ref="A34:C34"/>
    <mergeCell ref="D34:F34"/>
    <mergeCell ref="G34:I34"/>
    <mergeCell ref="A35:C35"/>
    <mergeCell ref="D35:F35"/>
    <mergeCell ref="G35:I35"/>
  </mergeCells>
  <pageMargins left="0.39400000000000002" right="0.39400000000000002" top="0.59099999999999997" bottom="0.59099999999999997" header="0.5" footer="0.5"/>
  <pageSetup paperSize="0" fitToHeight="0"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D179C-AF0B-40AF-A9D3-1A291F610E74}">
  <sheetPr>
    <pageSetUpPr fitToPage="1"/>
  </sheetPr>
  <dimension ref="A1:J42"/>
  <sheetViews>
    <sheetView topLeftCell="A19" workbookViewId="0">
      <selection activeCell="P49" sqref="P49"/>
    </sheetView>
  </sheetViews>
  <sheetFormatPr defaultColWidth="11.5703125" defaultRowHeight="12.75" x14ac:dyDescent="0.25"/>
  <cols>
    <col min="1" max="1" width="9.140625" style="5" customWidth="1"/>
    <col min="2" max="2" width="12.85546875" style="5" customWidth="1"/>
    <col min="3" max="3" width="22.85546875" style="5" customWidth="1"/>
    <col min="4" max="4" width="10" style="5" customWidth="1"/>
    <col min="5" max="5" width="14" style="5" customWidth="1"/>
    <col min="6" max="6" width="22.85546875" style="5" customWidth="1"/>
    <col min="7" max="7" width="9.140625" style="5" customWidth="1"/>
    <col min="8" max="8" width="17.140625" style="5" customWidth="1"/>
    <col min="9" max="9" width="22.85546875" style="5" customWidth="1"/>
    <col min="10" max="256" width="11.5703125" style="5"/>
    <col min="257" max="257" width="9.140625" style="5" customWidth="1"/>
    <col min="258" max="258" width="12.85546875" style="5" customWidth="1"/>
    <col min="259" max="259" width="22.85546875" style="5" customWidth="1"/>
    <col min="260" max="260" width="10" style="5" customWidth="1"/>
    <col min="261" max="261" width="14" style="5" customWidth="1"/>
    <col min="262" max="262" width="22.85546875" style="5" customWidth="1"/>
    <col min="263" max="263" width="9.140625" style="5" customWidth="1"/>
    <col min="264" max="264" width="17.140625" style="5" customWidth="1"/>
    <col min="265" max="265" width="22.85546875" style="5" customWidth="1"/>
    <col min="266" max="512" width="11.5703125" style="5"/>
    <col min="513" max="513" width="9.140625" style="5" customWidth="1"/>
    <col min="514" max="514" width="12.85546875" style="5" customWidth="1"/>
    <col min="515" max="515" width="22.85546875" style="5" customWidth="1"/>
    <col min="516" max="516" width="10" style="5" customWidth="1"/>
    <col min="517" max="517" width="14" style="5" customWidth="1"/>
    <col min="518" max="518" width="22.85546875" style="5" customWidth="1"/>
    <col min="519" max="519" width="9.140625" style="5" customWidth="1"/>
    <col min="520" max="520" width="17.140625" style="5" customWidth="1"/>
    <col min="521" max="521" width="22.85546875" style="5" customWidth="1"/>
    <col min="522" max="768" width="11.5703125" style="5"/>
    <col min="769" max="769" width="9.140625" style="5" customWidth="1"/>
    <col min="770" max="770" width="12.85546875" style="5" customWidth="1"/>
    <col min="771" max="771" width="22.85546875" style="5" customWidth="1"/>
    <col min="772" max="772" width="10" style="5" customWidth="1"/>
    <col min="773" max="773" width="14" style="5" customWidth="1"/>
    <col min="774" max="774" width="22.85546875" style="5" customWidth="1"/>
    <col min="775" max="775" width="9.140625" style="5" customWidth="1"/>
    <col min="776" max="776" width="17.140625" style="5" customWidth="1"/>
    <col min="777" max="777" width="22.85546875" style="5" customWidth="1"/>
    <col min="778" max="1024" width="11.5703125" style="5"/>
    <col min="1025" max="1025" width="9.140625" style="5" customWidth="1"/>
    <col min="1026" max="1026" width="12.85546875" style="5" customWidth="1"/>
    <col min="1027" max="1027" width="22.85546875" style="5" customWidth="1"/>
    <col min="1028" max="1028" width="10" style="5" customWidth="1"/>
    <col min="1029" max="1029" width="14" style="5" customWidth="1"/>
    <col min="1030" max="1030" width="22.85546875" style="5" customWidth="1"/>
    <col min="1031" max="1031" width="9.140625" style="5" customWidth="1"/>
    <col min="1032" max="1032" width="17.140625" style="5" customWidth="1"/>
    <col min="1033" max="1033" width="22.85546875" style="5" customWidth="1"/>
    <col min="1034" max="1280" width="11.5703125" style="5"/>
    <col min="1281" max="1281" width="9.140625" style="5" customWidth="1"/>
    <col min="1282" max="1282" width="12.85546875" style="5" customWidth="1"/>
    <col min="1283" max="1283" width="22.85546875" style="5" customWidth="1"/>
    <col min="1284" max="1284" width="10" style="5" customWidth="1"/>
    <col min="1285" max="1285" width="14" style="5" customWidth="1"/>
    <col min="1286" max="1286" width="22.85546875" style="5" customWidth="1"/>
    <col min="1287" max="1287" width="9.140625" style="5" customWidth="1"/>
    <col min="1288" max="1288" width="17.140625" style="5" customWidth="1"/>
    <col min="1289" max="1289" width="22.85546875" style="5" customWidth="1"/>
    <col min="1290" max="1536" width="11.5703125" style="5"/>
    <col min="1537" max="1537" width="9.140625" style="5" customWidth="1"/>
    <col min="1538" max="1538" width="12.85546875" style="5" customWidth="1"/>
    <col min="1539" max="1539" width="22.85546875" style="5" customWidth="1"/>
    <col min="1540" max="1540" width="10" style="5" customWidth="1"/>
    <col min="1541" max="1541" width="14" style="5" customWidth="1"/>
    <col min="1542" max="1542" width="22.85546875" style="5" customWidth="1"/>
    <col min="1543" max="1543" width="9.140625" style="5" customWidth="1"/>
    <col min="1544" max="1544" width="17.140625" style="5" customWidth="1"/>
    <col min="1545" max="1545" width="22.85546875" style="5" customWidth="1"/>
    <col min="1546" max="1792" width="11.5703125" style="5"/>
    <col min="1793" max="1793" width="9.140625" style="5" customWidth="1"/>
    <col min="1794" max="1794" width="12.85546875" style="5" customWidth="1"/>
    <col min="1795" max="1795" width="22.85546875" style="5" customWidth="1"/>
    <col min="1796" max="1796" width="10" style="5" customWidth="1"/>
    <col min="1797" max="1797" width="14" style="5" customWidth="1"/>
    <col min="1798" max="1798" width="22.85546875" style="5" customWidth="1"/>
    <col min="1799" max="1799" width="9.140625" style="5" customWidth="1"/>
    <col min="1800" max="1800" width="17.140625" style="5" customWidth="1"/>
    <col min="1801" max="1801" width="22.85546875" style="5" customWidth="1"/>
    <col min="1802" max="2048" width="11.5703125" style="5"/>
    <col min="2049" max="2049" width="9.140625" style="5" customWidth="1"/>
    <col min="2050" max="2050" width="12.85546875" style="5" customWidth="1"/>
    <col min="2051" max="2051" width="22.85546875" style="5" customWidth="1"/>
    <col min="2052" max="2052" width="10" style="5" customWidth="1"/>
    <col min="2053" max="2053" width="14" style="5" customWidth="1"/>
    <col min="2054" max="2054" width="22.85546875" style="5" customWidth="1"/>
    <col min="2055" max="2055" width="9.140625" style="5" customWidth="1"/>
    <col min="2056" max="2056" width="17.140625" style="5" customWidth="1"/>
    <col min="2057" max="2057" width="22.85546875" style="5" customWidth="1"/>
    <col min="2058" max="2304" width="11.5703125" style="5"/>
    <col min="2305" max="2305" width="9.140625" style="5" customWidth="1"/>
    <col min="2306" max="2306" width="12.85546875" style="5" customWidth="1"/>
    <col min="2307" max="2307" width="22.85546875" style="5" customWidth="1"/>
    <col min="2308" max="2308" width="10" style="5" customWidth="1"/>
    <col min="2309" max="2309" width="14" style="5" customWidth="1"/>
    <col min="2310" max="2310" width="22.85546875" style="5" customWidth="1"/>
    <col min="2311" max="2311" width="9.140625" style="5" customWidth="1"/>
    <col min="2312" max="2312" width="17.140625" style="5" customWidth="1"/>
    <col min="2313" max="2313" width="22.85546875" style="5" customWidth="1"/>
    <col min="2314" max="2560" width="11.5703125" style="5"/>
    <col min="2561" max="2561" width="9.140625" style="5" customWidth="1"/>
    <col min="2562" max="2562" width="12.85546875" style="5" customWidth="1"/>
    <col min="2563" max="2563" width="22.85546875" style="5" customWidth="1"/>
    <col min="2564" max="2564" width="10" style="5" customWidth="1"/>
    <col min="2565" max="2565" width="14" style="5" customWidth="1"/>
    <col min="2566" max="2566" width="22.85546875" style="5" customWidth="1"/>
    <col min="2567" max="2567" width="9.140625" style="5" customWidth="1"/>
    <col min="2568" max="2568" width="17.140625" style="5" customWidth="1"/>
    <col min="2569" max="2569" width="22.85546875" style="5" customWidth="1"/>
    <col min="2570" max="2816" width="11.5703125" style="5"/>
    <col min="2817" max="2817" width="9.140625" style="5" customWidth="1"/>
    <col min="2818" max="2818" width="12.85546875" style="5" customWidth="1"/>
    <col min="2819" max="2819" width="22.85546875" style="5" customWidth="1"/>
    <col min="2820" max="2820" width="10" style="5" customWidth="1"/>
    <col min="2821" max="2821" width="14" style="5" customWidth="1"/>
    <col min="2822" max="2822" width="22.85546875" style="5" customWidth="1"/>
    <col min="2823" max="2823" width="9.140625" style="5" customWidth="1"/>
    <col min="2824" max="2824" width="17.140625" style="5" customWidth="1"/>
    <col min="2825" max="2825" width="22.85546875" style="5" customWidth="1"/>
    <col min="2826" max="3072" width="11.5703125" style="5"/>
    <col min="3073" max="3073" width="9.140625" style="5" customWidth="1"/>
    <col min="3074" max="3074" width="12.85546875" style="5" customWidth="1"/>
    <col min="3075" max="3075" width="22.85546875" style="5" customWidth="1"/>
    <col min="3076" max="3076" width="10" style="5" customWidth="1"/>
    <col min="3077" max="3077" width="14" style="5" customWidth="1"/>
    <col min="3078" max="3078" width="22.85546875" style="5" customWidth="1"/>
    <col min="3079" max="3079" width="9.140625" style="5" customWidth="1"/>
    <col min="3080" max="3080" width="17.140625" style="5" customWidth="1"/>
    <col min="3081" max="3081" width="22.85546875" style="5" customWidth="1"/>
    <col min="3082" max="3328" width="11.5703125" style="5"/>
    <col min="3329" max="3329" width="9.140625" style="5" customWidth="1"/>
    <col min="3330" max="3330" width="12.85546875" style="5" customWidth="1"/>
    <col min="3331" max="3331" width="22.85546875" style="5" customWidth="1"/>
    <col min="3332" max="3332" width="10" style="5" customWidth="1"/>
    <col min="3333" max="3333" width="14" style="5" customWidth="1"/>
    <col min="3334" max="3334" width="22.85546875" style="5" customWidth="1"/>
    <col min="3335" max="3335" width="9.140625" style="5" customWidth="1"/>
    <col min="3336" max="3336" width="17.140625" style="5" customWidth="1"/>
    <col min="3337" max="3337" width="22.85546875" style="5" customWidth="1"/>
    <col min="3338" max="3584" width="11.5703125" style="5"/>
    <col min="3585" max="3585" width="9.140625" style="5" customWidth="1"/>
    <col min="3586" max="3586" width="12.85546875" style="5" customWidth="1"/>
    <col min="3587" max="3587" width="22.85546875" style="5" customWidth="1"/>
    <col min="3588" max="3588" width="10" style="5" customWidth="1"/>
    <col min="3589" max="3589" width="14" style="5" customWidth="1"/>
    <col min="3590" max="3590" width="22.85546875" style="5" customWidth="1"/>
    <col min="3591" max="3591" width="9.140625" style="5" customWidth="1"/>
    <col min="3592" max="3592" width="17.140625" style="5" customWidth="1"/>
    <col min="3593" max="3593" width="22.85546875" style="5" customWidth="1"/>
    <col min="3594" max="3840" width="11.5703125" style="5"/>
    <col min="3841" max="3841" width="9.140625" style="5" customWidth="1"/>
    <col min="3842" max="3842" width="12.85546875" style="5" customWidth="1"/>
    <col min="3843" max="3843" width="22.85546875" style="5" customWidth="1"/>
    <col min="3844" max="3844" width="10" style="5" customWidth="1"/>
    <col min="3845" max="3845" width="14" style="5" customWidth="1"/>
    <col min="3846" max="3846" width="22.85546875" style="5" customWidth="1"/>
    <col min="3847" max="3847" width="9.140625" style="5" customWidth="1"/>
    <col min="3848" max="3848" width="17.140625" style="5" customWidth="1"/>
    <col min="3849" max="3849" width="22.85546875" style="5" customWidth="1"/>
    <col min="3850" max="4096" width="11.5703125" style="5"/>
    <col min="4097" max="4097" width="9.140625" style="5" customWidth="1"/>
    <col min="4098" max="4098" width="12.85546875" style="5" customWidth="1"/>
    <col min="4099" max="4099" width="22.85546875" style="5" customWidth="1"/>
    <col min="4100" max="4100" width="10" style="5" customWidth="1"/>
    <col min="4101" max="4101" width="14" style="5" customWidth="1"/>
    <col min="4102" max="4102" width="22.85546875" style="5" customWidth="1"/>
    <col min="4103" max="4103" width="9.140625" style="5" customWidth="1"/>
    <col min="4104" max="4104" width="17.140625" style="5" customWidth="1"/>
    <col min="4105" max="4105" width="22.85546875" style="5" customWidth="1"/>
    <col min="4106" max="4352" width="11.5703125" style="5"/>
    <col min="4353" max="4353" width="9.140625" style="5" customWidth="1"/>
    <col min="4354" max="4354" width="12.85546875" style="5" customWidth="1"/>
    <col min="4355" max="4355" width="22.85546875" style="5" customWidth="1"/>
    <col min="4356" max="4356" width="10" style="5" customWidth="1"/>
    <col min="4357" max="4357" width="14" style="5" customWidth="1"/>
    <col min="4358" max="4358" width="22.85546875" style="5" customWidth="1"/>
    <col min="4359" max="4359" width="9.140625" style="5" customWidth="1"/>
    <col min="4360" max="4360" width="17.140625" style="5" customWidth="1"/>
    <col min="4361" max="4361" width="22.85546875" style="5" customWidth="1"/>
    <col min="4362" max="4608" width="11.5703125" style="5"/>
    <col min="4609" max="4609" width="9.140625" style="5" customWidth="1"/>
    <col min="4610" max="4610" width="12.85546875" style="5" customWidth="1"/>
    <col min="4611" max="4611" width="22.85546875" style="5" customWidth="1"/>
    <col min="4612" max="4612" width="10" style="5" customWidth="1"/>
    <col min="4613" max="4613" width="14" style="5" customWidth="1"/>
    <col min="4614" max="4614" width="22.85546875" style="5" customWidth="1"/>
    <col min="4615" max="4615" width="9.140625" style="5" customWidth="1"/>
    <col min="4616" max="4616" width="17.140625" style="5" customWidth="1"/>
    <col min="4617" max="4617" width="22.85546875" style="5" customWidth="1"/>
    <col min="4618" max="4864" width="11.5703125" style="5"/>
    <col min="4865" max="4865" width="9.140625" style="5" customWidth="1"/>
    <col min="4866" max="4866" width="12.85546875" style="5" customWidth="1"/>
    <col min="4867" max="4867" width="22.85546875" style="5" customWidth="1"/>
    <col min="4868" max="4868" width="10" style="5" customWidth="1"/>
    <col min="4869" max="4869" width="14" style="5" customWidth="1"/>
    <col min="4870" max="4870" width="22.85546875" style="5" customWidth="1"/>
    <col min="4871" max="4871" width="9.140625" style="5" customWidth="1"/>
    <col min="4872" max="4872" width="17.140625" style="5" customWidth="1"/>
    <col min="4873" max="4873" width="22.85546875" style="5" customWidth="1"/>
    <col min="4874" max="5120" width="11.5703125" style="5"/>
    <col min="5121" max="5121" width="9.140625" style="5" customWidth="1"/>
    <col min="5122" max="5122" width="12.85546875" style="5" customWidth="1"/>
    <col min="5123" max="5123" width="22.85546875" style="5" customWidth="1"/>
    <col min="5124" max="5124" width="10" style="5" customWidth="1"/>
    <col min="5125" max="5125" width="14" style="5" customWidth="1"/>
    <col min="5126" max="5126" width="22.85546875" style="5" customWidth="1"/>
    <col min="5127" max="5127" width="9.140625" style="5" customWidth="1"/>
    <col min="5128" max="5128" width="17.140625" style="5" customWidth="1"/>
    <col min="5129" max="5129" width="22.85546875" style="5" customWidth="1"/>
    <col min="5130" max="5376" width="11.5703125" style="5"/>
    <col min="5377" max="5377" width="9.140625" style="5" customWidth="1"/>
    <col min="5378" max="5378" width="12.85546875" style="5" customWidth="1"/>
    <col min="5379" max="5379" width="22.85546875" style="5" customWidth="1"/>
    <col min="5380" max="5380" width="10" style="5" customWidth="1"/>
    <col min="5381" max="5381" width="14" style="5" customWidth="1"/>
    <col min="5382" max="5382" width="22.85546875" style="5" customWidth="1"/>
    <col min="5383" max="5383" width="9.140625" style="5" customWidth="1"/>
    <col min="5384" max="5384" width="17.140625" style="5" customWidth="1"/>
    <col min="5385" max="5385" width="22.85546875" style="5" customWidth="1"/>
    <col min="5386" max="5632" width="11.5703125" style="5"/>
    <col min="5633" max="5633" width="9.140625" style="5" customWidth="1"/>
    <col min="5634" max="5634" width="12.85546875" style="5" customWidth="1"/>
    <col min="5635" max="5635" width="22.85546875" style="5" customWidth="1"/>
    <col min="5636" max="5636" width="10" style="5" customWidth="1"/>
    <col min="5637" max="5637" width="14" style="5" customWidth="1"/>
    <col min="5638" max="5638" width="22.85546875" style="5" customWidth="1"/>
    <col min="5639" max="5639" width="9.140625" style="5" customWidth="1"/>
    <col min="5640" max="5640" width="17.140625" style="5" customWidth="1"/>
    <col min="5641" max="5641" width="22.85546875" style="5" customWidth="1"/>
    <col min="5642" max="5888" width="11.5703125" style="5"/>
    <col min="5889" max="5889" width="9.140625" style="5" customWidth="1"/>
    <col min="5890" max="5890" width="12.85546875" style="5" customWidth="1"/>
    <col min="5891" max="5891" width="22.85546875" style="5" customWidth="1"/>
    <col min="5892" max="5892" width="10" style="5" customWidth="1"/>
    <col min="5893" max="5893" width="14" style="5" customWidth="1"/>
    <col min="5894" max="5894" width="22.85546875" style="5" customWidth="1"/>
    <col min="5895" max="5895" width="9.140625" style="5" customWidth="1"/>
    <col min="5896" max="5896" width="17.140625" style="5" customWidth="1"/>
    <col min="5897" max="5897" width="22.85546875" style="5" customWidth="1"/>
    <col min="5898" max="6144" width="11.5703125" style="5"/>
    <col min="6145" max="6145" width="9.140625" style="5" customWidth="1"/>
    <col min="6146" max="6146" width="12.85546875" style="5" customWidth="1"/>
    <col min="6147" max="6147" width="22.85546875" style="5" customWidth="1"/>
    <col min="6148" max="6148" width="10" style="5" customWidth="1"/>
    <col min="6149" max="6149" width="14" style="5" customWidth="1"/>
    <col min="6150" max="6150" width="22.85546875" style="5" customWidth="1"/>
    <col min="6151" max="6151" width="9.140625" style="5" customWidth="1"/>
    <col min="6152" max="6152" width="17.140625" style="5" customWidth="1"/>
    <col min="6153" max="6153" width="22.85546875" style="5" customWidth="1"/>
    <col min="6154" max="6400" width="11.5703125" style="5"/>
    <col min="6401" max="6401" width="9.140625" style="5" customWidth="1"/>
    <col min="6402" max="6402" width="12.85546875" style="5" customWidth="1"/>
    <col min="6403" max="6403" width="22.85546875" style="5" customWidth="1"/>
    <col min="6404" max="6404" width="10" style="5" customWidth="1"/>
    <col min="6405" max="6405" width="14" style="5" customWidth="1"/>
    <col min="6406" max="6406" width="22.85546875" style="5" customWidth="1"/>
    <col min="6407" max="6407" width="9.140625" style="5" customWidth="1"/>
    <col min="6408" max="6408" width="17.140625" style="5" customWidth="1"/>
    <col min="6409" max="6409" width="22.85546875" style="5" customWidth="1"/>
    <col min="6410" max="6656" width="11.5703125" style="5"/>
    <col min="6657" max="6657" width="9.140625" style="5" customWidth="1"/>
    <col min="6658" max="6658" width="12.85546875" style="5" customWidth="1"/>
    <col min="6659" max="6659" width="22.85546875" style="5" customWidth="1"/>
    <col min="6660" max="6660" width="10" style="5" customWidth="1"/>
    <col min="6661" max="6661" width="14" style="5" customWidth="1"/>
    <col min="6662" max="6662" width="22.85546875" style="5" customWidth="1"/>
    <col min="6663" max="6663" width="9.140625" style="5" customWidth="1"/>
    <col min="6664" max="6664" width="17.140625" style="5" customWidth="1"/>
    <col min="6665" max="6665" width="22.85546875" style="5" customWidth="1"/>
    <col min="6666" max="6912" width="11.5703125" style="5"/>
    <col min="6913" max="6913" width="9.140625" style="5" customWidth="1"/>
    <col min="6914" max="6914" width="12.85546875" style="5" customWidth="1"/>
    <col min="6915" max="6915" width="22.85546875" style="5" customWidth="1"/>
    <col min="6916" max="6916" width="10" style="5" customWidth="1"/>
    <col min="6917" max="6917" width="14" style="5" customWidth="1"/>
    <col min="6918" max="6918" width="22.85546875" style="5" customWidth="1"/>
    <col min="6919" max="6919" width="9.140625" style="5" customWidth="1"/>
    <col min="6920" max="6920" width="17.140625" style="5" customWidth="1"/>
    <col min="6921" max="6921" width="22.85546875" style="5" customWidth="1"/>
    <col min="6922" max="7168" width="11.5703125" style="5"/>
    <col min="7169" max="7169" width="9.140625" style="5" customWidth="1"/>
    <col min="7170" max="7170" width="12.85546875" style="5" customWidth="1"/>
    <col min="7171" max="7171" width="22.85546875" style="5" customWidth="1"/>
    <col min="7172" max="7172" width="10" style="5" customWidth="1"/>
    <col min="7173" max="7173" width="14" style="5" customWidth="1"/>
    <col min="7174" max="7174" width="22.85546875" style="5" customWidth="1"/>
    <col min="7175" max="7175" width="9.140625" style="5" customWidth="1"/>
    <col min="7176" max="7176" width="17.140625" style="5" customWidth="1"/>
    <col min="7177" max="7177" width="22.85546875" style="5" customWidth="1"/>
    <col min="7178" max="7424" width="11.5703125" style="5"/>
    <col min="7425" max="7425" width="9.140625" style="5" customWidth="1"/>
    <col min="7426" max="7426" width="12.85546875" style="5" customWidth="1"/>
    <col min="7427" max="7427" width="22.85546875" style="5" customWidth="1"/>
    <col min="7428" max="7428" width="10" style="5" customWidth="1"/>
    <col min="7429" max="7429" width="14" style="5" customWidth="1"/>
    <col min="7430" max="7430" width="22.85546875" style="5" customWidth="1"/>
    <col min="7431" max="7431" width="9.140625" style="5" customWidth="1"/>
    <col min="7432" max="7432" width="17.140625" style="5" customWidth="1"/>
    <col min="7433" max="7433" width="22.85546875" style="5" customWidth="1"/>
    <col min="7434" max="7680" width="11.5703125" style="5"/>
    <col min="7681" max="7681" width="9.140625" style="5" customWidth="1"/>
    <col min="7682" max="7682" width="12.85546875" style="5" customWidth="1"/>
    <col min="7683" max="7683" width="22.85546875" style="5" customWidth="1"/>
    <col min="7684" max="7684" width="10" style="5" customWidth="1"/>
    <col min="7685" max="7685" width="14" style="5" customWidth="1"/>
    <col min="7686" max="7686" width="22.85546875" style="5" customWidth="1"/>
    <col min="7687" max="7687" width="9.140625" style="5" customWidth="1"/>
    <col min="7688" max="7688" width="17.140625" style="5" customWidth="1"/>
    <col min="7689" max="7689" width="22.85546875" style="5" customWidth="1"/>
    <col min="7690" max="7936" width="11.5703125" style="5"/>
    <col min="7937" max="7937" width="9.140625" style="5" customWidth="1"/>
    <col min="7938" max="7938" width="12.85546875" style="5" customWidth="1"/>
    <col min="7939" max="7939" width="22.85546875" style="5" customWidth="1"/>
    <col min="7940" max="7940" width="10" style="5" customWidth="1"/>
    <col min="7941" max="7941" width="14" style="5" customWidth="1"/>
    <col min="7942" max="7942" width="22.85546875" style="5" customWidth="1"/>
    <col min="7943" max="7943" width="9.140625" style="5" customWidth="1"/>
    <col min="7944" max="7944" width="17.140625" style="5" customWidth="1"/>
    <col min="7945" max="7945" width="22.85546875" style="5" customWidth="1"/>
    <col min="7946" max="8192" width="11.5703125" style="5"/>
    <col min="8193" max="8193" width="9.140625" style="5" customWidth="1"/>
    <col min="8194" max="8194" width="12.85546875" style="5" customWidth="1"/>
    <col min="8195" max="8195" width="22.85546875" style="5" customWidth="1"/>
    <col min="8196" max="8196" width="10" style="5" customWidth="1"/>
    <col min="8197" max="8197" width="14" style="5" customWidth="1"/>
    <col min="8198" max="8198" width="22.85546875" style="5" customWidth="1"/>
    <col min="8199" max="8199" width="9.140625" style="5" customWidth="1"/>
    <col min="8200" max="8200" width="17.140625" style="5" customWidth="1"/>
    <col min="8201" max="8201" width="22.85546875" style="5" customWidth="1"/>
    <col min="8202" max="8448" width="11.5703125" style="5"/>
    <col min="8449" max="8449" width="9.140625" style="5" customWidth="1"/>
    <col min="8450" max="8450" width="12.85546875" style="5" customWidth="1"/>
    <col min="8451" max="8451" width="22.85546875" style="5" customWidth="1"/>
    <col min="8452" max="8452" width="10" style="5" customWidth="1"/>
    <col min="8453" max="8453" width="14" style="5" customWidth="1"/>
    <col min="8454" max="8454" width="22.85546875" style="5" customWidth="1"/>
    <col min="8455" max="8455" width="9.140625" style="5" customWidth="1"/>
    <col min="8456" max="8456" width="17.140625" style="5" customWidth="1"/>
    <col min="8457" max="8457" width="22.85546875" style="5" customWidth="1"/>
    <col min="8458" max="8704" width="11.5703125" style="5"/>
    <col min="8705" max="8705" width="9.140625" style="5" customWidth="1"/>
    <col min="8706" max="8706" width="12.85546875" style="5" customWidth="1"/>
    <col min="8707" max="8707" width="22.85546875" style="5" customWidth="1"/>
    <col min="8708" max="8708" width="10" style="5" customWidth="1"/>
    <col min="8709" max="8709" width="14" style="5" customWidth="1"/>
    <col min="8710" max="8710" width="22.85546875" style="5" customWidth="1"/>
    <col min="8711" max="8711" width="9.140625" style="5" customWidth="1"/>
    <col min="8712" max="8712" width="17.140625" style="5" customWidth="1"/>
    <col min="8713" max="8713" width="22.85546875" style="5" customWidth="1"/>
    <col min="8714" max="8960" width="11.5703125" style="5"/>
    <col min="8961" max="8961" width="9.140625" style="5" customWidth="1"/>
    <col min="8962" max="8962" width="12.85546875" style="5" customWidth="1"/>
    <col min="8963" max="8963" width="22.85546875" style="5" customWidth="1"/>
    <col min="8964" max="8964" width="10" style="5" customWidth="1"/>
    <col min="8965" max="8965" width="14" style="5" customWidth="1"/>
    <col min="8966" max="8966" width="22.85546875" style="5" customWidth="1"/>
    <col min="8967" max="8967" width="9.140625" style="5" customWidth="1"/>
    <col min="8968" max="8968" width="17.140625" style="5" customWidth="1"/>
    <col min="8969" max="8969" width="22.85546875" style="5" customWidth="1"/>
    <col min="8970" max="9216" width="11.5703125" style="5"/>
    <col min="9217" max="9217" width="9.140625" style="5" customWidth="1"/>
    <col min="9218" max="9218" width="12.85546875" style="5" customWidth="1"/>
    <col min="9219" max="9219" width="22.85546875" style="5" customWidth="1"/>
    <col min="9220" max="9220" width="10" style="5" customWidth="1"/>
    <col min="9221" max="9221" width="14" style="5" customWidth="1"/>
    <col min="9222" max="9222" width="22.85546875" style="5" customWidth="1"/>
    <col min="9223" max="9223" width="9.140625" style="5" customWidth="1"/>
    <col min="9224" max="9224" width="17.140625" style="5" customWidth="1"/>
    <col min="9225" max="9225" width="22.85546875" style="5" customWidth="1"/>
    <col min="9226" max="9472" width="11.5703125" style="5"/>
    <col min="9473" max="9473" width="9.140625" style="5" customWidth="1"/>
    <col min="9474" max="9474" width="12.85546875" style="5" customWidth="1"/>
    <col min="9475" max="9475" width="22.85546875" style="5" customWidth="1"/>
    <col min="9476" max="9476" width="10" style="5" customWidth="1"/>
    <col min="9477" max="9477" width="14" style="5" customWidth="1"/>
    <col min="9478" max="9478" width="22.85546875" style="5" customWidth="1"/>
    <col min="9479" max="9479" width="9.140625" style="5" customWidth="1"/>
    <col min="9480" max="9480" width="17.140625" style="5" customWidth="1"/>
    <col min="9481" max="9481" width="22.85546875" style="5" customWidth="1"/>
    <col min="9482" max="9728" width="11.5703125" style="5"/>
    <col min="9729" max="9729" width="9.140625" style="5" customWidth="1"/>
    <col min="9730" max="9730" width="12.85546875" style="5" customWidth="1"/>
    <col min="9731" max="9731" width="22.85546875" style="5" customWidth="1"/>
    <col min="9732" max="9732" width="10" style="5" customWidth="1"/>
    <col min="9733" max="9733" width="14" style="5" customWidth="1"/>
    <col min="9734" max="9734" width="22.85546875" style="5" customWidth="1"/>
    <col min="9735" max="9735" width="9.140625" style="5" customWidth="1"/>
    <col min="9736" max="9736" width="17.140625" style="5" customWidth="1"/>
    <col min="9737" max="9737" width="22.85546875" style="5" customWidth="1"/>
    <col min="9738" max="9984" width="11.5703125" style="5"/>
    <col min="9985" max="9985" width="9.140625" style="5" customWidth="1"/>
    <col min="9986" max="9986" width="12.85546875" style="5" customWidth="1"/>
    <col min="9987" max="9987" width="22.85546875" style="5" customWidth="1"/>
    <col min="9988" max="9988" width="10" style="5" customWidth="1"/>
    <col min="9989" max="9989" width="14" style="5" customWidth="1"/>
    <col min="9990" max="9990" width="22.85546875" style="5" customWidth="1"/>
    <col min="9991" max="9991" width="9.140625" style="5" customWidth="1"/>
    <col min="9992" max="9992" width="17.140625" style="5" customWidth="1"/>
    <col min="9993" max="9993" width="22.85546875" style="5" customWidth="1"/>
    <col min="9994" max="10240" width="11.5703125" style="5"/>
    <col min="10241" max="10241" width="9.140625" style="5" customWidth="1"/>
    <col min="10242" max="10242" width="12.85546875" style="5" customWidth="1"/>
    <col min="10243" max="10243" width="22.85546875" style="5" customWidth="1"/>
    <col min="10244" max="10244" width="10" style="5" customWidth="1"/>
    <col min="10245" max="10245" width="14" style="5" customWidth="1"/>
    <col min="10246" max="10246" width="22.85546875" style="5" customWidth="1"/>
    <col min="10247" max="10247" width="9.140625" style="5" customWidth="1"/>
    <col min="10248" max="10248" width="17.140625" style="5" customWidth="1"/>
    <col min="10249" max="10249" width="22.85546875" style="5" customWidth="1"/>
    <col min="10250" max="10496" width="11.5703125" style="5"/>
    <col min="10497" max="10497" width="9.140625" style="5" customWidth="1"/>
    <col min="10498" max="10498" width="12.85546875" style="5" customWidth="1"/>
    <col min="10499" max="10499" width="22.85546875" style="5" customWidth="1"/>
    <col min="10500" max="10500" width="10" style="5" customWidth="1"/>
    <col min="10501" max="10501" width="14" style="5" customWidth="1"/>
    <col min="10502" max="10502" width="22.85546875" style="5" customWidth="1"/>
    <col min="10503" max="10503" width="9.140625" style="5" customWidth="1"/>
    <col min="10504" max="10504" width="17.140625" style="5" customWidth="1"/>
    <col min="10505" max="10505" width="22.85546875" style="5" customWidth="1"/>
    <col min="10506" max="10752" width="11.5703125" style="5"/>
    <col min="10753" max="10753" width="9.140625" style="5" customWidth="1"/>
    <col min="10754" max="10754" width="12.85546875" style="5" customWidth="1"/>
    <col min="10755" max="10755" width="22.85546875" style="5" customWidth="1"/>
    <col min="10756" max="10756" width="10" style="5" customWidth="1"/>
    <col min="10757" max="10757" width="14" style="5" customWidth="1"/>
    <col min="10758" max="10758" width="22.85546875" style="5" customWidth="1"/>
    <col min="10759" max="10759" width="9.140625" style="5" customWidth="1"/>
    <col min="10760" max="10760" width="17.140625" style="5" customWidth="1"/>
    <col min="10761" max="10761" width="22.85546875" style="5" customWidth="1"/>
    <col min="10762" max="11008" width="11.5703125" style="5"/>
    <col min="11009" max="11009" width="9.140625" style="5" customWidth="1"/>
    <col min="11010" max="11010" width="12.85546875" style="5" customWidth="1"/>
    <col min="11011" max="11011" width="22.85546875" style="5" customWidth="1"/>
    <col min="11012" max="11012" width="10" style="5" customWidth="1"/>
    <col min="11013" max="11013" width="14" style="5" customWidth="1"/>
    <col min="11014" max="11014" width="22.85546875" style="5" customWidth="1"/>
    <col min="11015" max="11015" width="9.140625" style="5" customWidth="1"/>
    <col min="11016" max="11016" width="17.140625" style="5" customWidth="1"/>
    <col min="11017" max="11017" width="22.85546875" style="5" customWidth="1"/>
    <col min="11018" max="11264" width="11.5703125" style="5"/>
    <col min="11265" max="11265" width="9.140625" style="5" customWidth="1"/>
    <col min="11266" max="11266" width="12.85546875" style="5" customWidth="1"/>
    <col min="11267" max="11267" width="22.85546875" style="5" customWidth="1"/>
    <col min="11268" max="11268" width="10" style="5" customWidth="1"/>
    <col min="11269" max="11269" width="14" style="5" customWidth="1"/>
    <col min="11270" max="11270" width="22.85546875" style="5" customWidth="1"/>
    <col min="11271" max="11271" width="9.140625" style="5" customWidth="1"/>
    <col min="11272" max="11272" width="17.140625" style="5" customWidth="1"/>
    <col min="11273" max="11273" width="22.85546875" style="5" customWidth="1"/>
    <col min="11274" max="11520" width="11.5703125" style="5"/>
    <col min="11521" max="11521" width="9.140625" style="5" customWidth="1"/>
    <col min="11522" max="11522" width="12.85546875" style="5" customWidth="1"/>
    <col min="11523" max="11523" width="22.85546875" style="5" customWidth="1"/>
    <col min="11524" max="11524" width="10" style="5" customWidth="1"/>
    <col min="11525" max="11525" width="14" style="5" customWidth="1"/>
    <col min="11526" max="11526" width="22.85546875" style="5" customWidth="1"/>
    <col min="11527" max="11527" width="9.140625" style="5" customWidth="1"/>
    <col min="11528" max="11528" width="17.140625" style="5" customWidth="1"/>
    <col min="11529" max="11529" width="22.85546875" style="5" customWidth="1"/>
    <col min="11530" max="11776" width="11.5703125" style="5"/>
    <col min="11777" max="11777" width="9.140625" style="5" customWidth="1"/>
    <col min="11778" max="11778" width="12.85546875" style="5" customWidth="1"/>
    <col min="11779" max="11779" width="22.85546875" style="5" customWidth="1"/>
    <col min="11780" max="11780" width="10" style="5" customWidth="1"/>
    <col min="11781" max="11781" width="14" style="5" customWidth="1"/>
    <col min="11782" max="11782" width="22.85546875" style="5" customWidth="1"/>
    <col min="11783" max="11783" width="9.140625" style="5" customWidth="1"/>
    <col min="11784" max="11784" width="17.140625" style="5" customWidth="1"/>
    <col min="11785" max="11785" width="22.85546875" style="5" customWidth="1"/>
    <col min="11786" max="12032" width="11.5703125" style="5"/>
    <col min="12033" max="12033" width="9.140625" style="5" customWidth="1"/>
    <col min="12034" max="12034" width="12.85546875" style="5" customWidth="1"/>
    <col min="12035" max="12035" width="22.85546875" style="5" customWidth="1"/>
    <col min="12036" max="12036" width="10" style="5" customWidth="1"/>
    <col min="12037" max="12037" width="14" style="5" customWidth="1"/>
    <col min="12038" max="12038" width="22.85546875" style="5" customWidth="1"/>
    <col min="12039" max="12039" width="9.140625" style="5" customWidth="1"/>
    <col min="12040" max="12040" width="17.140625" style="5" customWidth="1"/>
    <col min="12041" max="12041" width="22.85546875" style="5" customWidth="1"/>
    <col min="12042" max="12288" width="11.5703125" style="5"/>
    <col min="12289" max="12289" width="9.140625" style="5" customWidth="1"/>
    <col min="12290" max="12290" width="12.85546875" style="5" customWidth="1"/>
    <col min="12291" max="12291" width="22.85546875" style="5" customWidth="1"/>
    <col min="12292" max="12292" width="10" style="5" customWidth="1"/>
    <col min="12293" max="12293" width="14" style="5" customWidth="1"/>
    <col min="12294" max="12294" width="22.85546875" style="5" customWidth="1"/>
    <col min="12295" max="12295" width="9.140625" style="5" customWidth="1"/>
    <col min="12296" max="12296" width="17.140625" style="5" customWidth="1"/>
    <col min="12297" max="12297" width="22.85546875" style="5" customWidth="1"/>
    <col min="12298" max="12544" width="11.5703125" style="5"/>
    <col min="12545" max="12545" width="9.140625" style="5" customWidth="1"/>
    <col min="12546" max="12546" width="12.85546875" style="5" customWidth="1"/>
    <col min="12547" max="12547" width="22.85546875" style="5" customWidth="1"/>
    <col min="12548" max="12548" width="10" style="5" customWidth="1"/>
    <col min="12549" max="12549" width="14" style="5" customWidth="1"/>
    <col min="12550" max="12550" width="22.85546875" style="5" customWidth="1"/>
    <col min="12551" max="12551" width="9.140625" style="5" customWidth="1"/>
    <col min="12552" max="12552" width="17.140625" style="5" customWidth="1"/>
    <col min="12553" max="12553" width="22.85546875" style="5" customWidth="1"/>
    <col min="12554" max="12800" width="11.5703125" style="5"/>
    <col min="12801" max="12801" width="9.140625" style="5" customWidth="1"/>
    <col min="12802" max="12802" width="12.85546875" style="5" customWidth="1"/>
    <col min="12803" max="12803" width="22.85546875" style="5" customWidth="1"/>
    <col min="12804" max="12804" width="10" style="5" customWidth="1"/>
    <col min="12805" max="12805" width="14" style="5" customWidth="1"/>
    <col min="12806" max="12806" width="22.85546875" style="5" customWidth="1"/>
    <col min="12807" max="12807" width="9.140625" style="5" customWidth="1"/>
    <col min="12808" max="12808" width="17.140625" style="5" customWidth="1"/>
    <col min="12809" max="12809" width="22.85546875" style="5" customWidth="1"/>
    <col min="12810" max="13056" width="11.5703125" style="5"/>
    <col min="13057" max="13057" width="9.140625" style="5" customWidth="1"/>
    <col min="13058" max="13058" width="12.85546875" style="5" customWidth="1"/>
    <col min="13059" max="13059" width="22.85546875" style="5" customWidth="1"/>
    <col min="13060" max="13060" width="10" style="5" customWidth="1"/>
    <col min="13061" max="13061" width="14" style="5" customWidth="1"/>
    <col min="13062" max="13062" width="22.85546875" style="5" customWidth="1"/>
    <col min="13063" max="13063" width="9.140625" style="5" customWidth="1"/>
    <col min="13064" max="13064" width="17.140625" style="5" customWidth="1"/>
    <col min="13065" max="13065" width="22.85546875" style="5" customWidth="1"/>
    <col min="13066" max="13312" width="11.5703125" style="5"/>
    <col min="13313" max="13313" width="9.140625" style="5" customWidth="1"/>
    <col min="13314" max="13314" width="12.85546875" style="5" customWidth="1"/>
    <col min="13315" max="13315" width="22.85546875" style="5" customWidth="1"/>
    <col min="13316" max="13316" width="10" style="5" customWidth="1"/>
    <col min="13317" max="13317" width="14" style="5" customWidth="1"/>
    <col min="13318" max="13318" width="22.85546875" style="5" customWidth="1"/>
    <col min="13319" max="13319" width="9.140625" style="5" customWidth="1"/>
    <col min="13320" max="13320" width="17.140625" style="5" customWidth="1"/>
    <col min="13321" max="13321" width="22.85546875" style="5" customWidth="1"/>
    <col min="13322" max="13568" width="11.5703125" style="5"/>
    <col min="13569" max="13569" width="9.140625" style="5" customWidth="1"/>
    <col min="13570" max="13570" width="12.85546875" style="5" customWidth="1"/>
    <col min="13571" max="13571" width="22.85546875" style="5" customWidth="1"/>
    <col min="13572" max="13572" width="10" style="5" customWidth="1"/>
    <col min="13573" max="13573" width="14" style="5" customWidth="1"/>
    <col min="13574" max="13574" width="22.85546875" style="5" customWidth="1"/>
    <col min="13575" max="13575" width="9.140625" style="5" customWidth="1"/>
    <col min="13576" max="13576" width="17.140625" style="5" customWidth="1"/>
    <col min="13577" max="13577" width="22.85546875" style="5" customWidth="1"/>
    <col min="13578" max="13824" width="11.5703125" style="5"/>
    <col min="13825" max="13825" width="9.140625" style="5" customWidth="1"/>
    <col min="13826" max="13826" width="12.85546875" style="5" customWidth="1"/>
    <col min="13827" max="13827" width="22.85546875" style="5" customWidth="1"/>
    <col min="13828" max="13828" width="10" style="5" customWidth="1"/>
    <col min="13829" max="13829" width="14" style="5" customWidth="1"/>
    <col min="13830" max="13830" width="22.85546875" style="5" customWidth="1"/>
    <col min="13831" max="13831" width="9.140625" style="5" customWidth="1"/>
    <col min="13832" max="13832" width="17.140625" style="5" customWidth="1"/>
    <col min="13833" max="13833" width="22.85546875" style="5" customWidth="1"/>
    <col min="13834" max="14080" width="11.5703125" style="5"/>
    <col min="14081" max="14081" width="9.140625" style="5" customWidth="1"/>
    <col min="14082" max="14082" width="12.85546875" style="5" customWidth="1"/>
    <col min="14083" max="14083" width="22.85546875" style="5" customWidth="1"/>
    <col min="14084" max="14084" width="10" style="5" customWidth="1"/>
    <col min="14085" max="14085" width="14" style="5" customWidth="1"/>
    <col min="14086" max="14086" width="22.85546875" style="5" customWidth="1"/>
    <col min="14087" max="14087" width="9.140625" style="5" customWidth="1"/>
    <col min="14088" max="14088" width="17.140625" style="5" customWidth="1"/>
    <col min="14089" max="14089" width="22.85546875" style="5" customWidth="1"/>
    <col min="14090" max="14336" width="11.5703125" style="5"/>
    <col min="14337" max="14337" width="9.140625" style="5" customWidth="1"/>
    <col min="14338" max="14338" width="12.85546875" style="5" customWidth="1"/>
    <col min="14339" max="14339" width="22.85546875" style="5" customWidth="1"/>
    <col min="14340" max="14340" width="10" style="5" customWidth="1"/>
    <col min="14341" max="14341" width="14" style="5" customWidth="1"/>
    <col min="14342" max="14342" width="22.85546875" style="5" customWidth="1"/>
    <col min="14343" max="14343" width="9.140625" style="5" customWidth="1"/>
    <col min="14344" max="14344" width="17.140625" style="5" customWidth="1"/>
    <col min="14345" max="14345" width="22.85546875" style="5" customWidth="1"/>
    <col min="14346" max="14592" width="11.5703125" style="5"/>
    <col min="14593" max="14593" width="9.140625" style="5" customWidth="1"/>
    <col min="14594" max="14594" width="12.85546875" style="5" customWidth="1"/>
    <col min="14595" max="14595" width="22.85546875" style="5" customWidth="1"/>
    <col min="14596" max="14596" width="10" style="5" customWidth="1"/>
    <col min="14597" max="14597" width="14" style="5" customWidth="1"/>
    <col min="14598" max="14598" width="22.85546875" style="5" customWidth="1"/>
    <col min="14599" max="14599" width="9.140625" style="5" customWidth="1"/>
    <col min="14600" max="14600" width="17.140625" style="5" customWidth="1"/>
    <col min="14601" max="14601" width="22.85546875" style="5" customWidth="1"/>
    <col min="14602" max="14848" width="11.5703125" style="5"/>
    <col min="14849" max="14849" width="9.140625" style="5" customWidth="1"/>
    <col min="14850" max="14850" width="12.85546875" style="5" customWidth="1"/>
    <col min="14851" max="14851" width="22.85546875" style="5" customWidth="1"/>
    <col min="14852" max="14852" width="10" style="5" customWidth="1"/>
    <col min="14853" max="14853" width="14" style="5" customWidth="1"/>
    <col min="14854" max="14854" width="22.85546875" style="5" customWidth="1"/>
    <col min="14855" max="14855" width="9.140625" style="5" customWidth="1"/>
    <col min="14856" max="14856" width="17.140625" style="5" customWidth="1"/>
    <col min="14857" max="14857" width="22.85546875" style="5" customWidth="1"/>
    <col min="14858" max="15104" width="11.5703125" style="5"/>
    <col min="15105" max="15105" width="9.140625" style="5" customWidth="1"/>
    <col min="15106" max="15106" width="12.85546875" style="5" customWidth="1"/>
    <col min="15107" max="15107" width="22.85546875" style="5" customWidth="1"/>
    <col min="15108" max="15108" width="10" style="5" customWidth="1"/>
    <col min="15109" max="15109" width="14" style="5" customWidth="1"/>
    <col min="15110" max="15110" width="22.85546875" style="5" customWidth="1"/>
    <col min="15111" max="15111" width="9.140625" style="5" customWidth="1"/>
    <col min="15112" max="15112" width="17.140625" style="5" customWidth="1"/>
    <col min="15113" max="15113" width="22.85546875" style="5" customWidth="1"/>
    <col min="15114" max="15360" width="11.5703125" style="5"/>
    <col min="15361" max="15361" width="9.140625" style="5" customWidth="1"/>
    <col min="15362" max="15362" width="12.85546875" style="5" customWidth="1"/>
    <col min="15363" max="15363" width="22.85546875" style="5" customWidth="1"/>
    <col min="15364" max="15364" width="10" style="5" customWidth="1"/>
    <col min="15365" max="15365" width="14" style="5" customWidth="1"/>
    <col min="15366" max="15366" width="22.85546875" style="5" customWidth="1"/>
    <col min="15367" max="15367" width="9.140625" style="5" customWidth="1"/>
    <col min="15368" max="15368" width="17.140625" style="5" customWidth="1"/>
    <col min="15369" max="15369" width="22.85546875" style="5" customWidth="1"/>
    <col min="15370" max="15616" width="11.5703125" style="5"/>
    <col min="15617" max="15617" width="9.140625" style="5" customWidth="1"/>
    <col min="15618" max="15618" width="12.85546875" style="5" customWidth="1"/>
    <col min="15619" max="15619" width="22.85546875" style="5" customWidth="1"/>
    <col min="15620" max="15620" width="10" style="5" customWidth="1"/>
    <col min="15621" max="15621" width="14" style="5" customWidth="1"/>
    <col min="15622" max="15622" width="22.85546875" style="5" customWidth="1"/>
    <col min="15623" max="15623" width="9.140625" style="5" customWidth="1"/>
    <col min="15624" max="15624" width="17.140625" style="5" customWidth="1"/>
    <col min="15625" max="15625" width="22.85546875" style="5" customWidth="1"/>
    <col min="15626" max="15872" width="11.5703125" style="5"/>
    <col min="15873" max="15873" width="9.140625" style="5" customWidth="1"/>
    <col min="15874" max="15874" width="12.85546875" style="5" customWidth="1"/>
    <col min="15875" max="15875" width="22.85546875" style="5" customWidth="1"/>
    <col min="15876" max="15876" width="10" style="5" customWidth="1"/>
    <col min="15877" max="15877" width="14" style="5" customWidth="1"/>
    <col min="15878" max="15878" width="22.85546875" style="5" customWidth="1"/>
    <col min="15879" max="15879" width="9.140625" style="5" customWidth="1"/>
    <col min="15880" max="15880" width="17.140625" style="5" customWidth="1"/>
    <col min="15881" max="15881" width="22.85546875" style="5" customWidth="1"/>
    <col min="15882" max="16128" width="11.5703125" style="5"/>
    <col min="16129" max="16129" width="9.140625" style="5" customWidth="1"/>
    <col min="16130" max="16130" width="12.85546875" style="5" customWidth="1"/>
    <col min="16131" max="16131" width="22.85546875" style="5" customWidth="1"/>
    <col min="16132" max="16132" width="10" style="5" customWidth="1"/>
    <col min="16133" max="16133" width="14" style="5" customWidth="1"/>
    <col min="16134" max="16134" width="22.85546875" style="5" customWidth="1"/>
    <col min="16135" max="16135" width="9.140625" style="5" customWidth="1"/>
    <col min="16136" max="16136" width="17.140625" style="5" customWidth="1"/>
    <col min="16137" max="16137" width="22.85546875" style="5" customWidth="1"/>
    <col min="16138" max="16384" width="11.5703125" style="5"/>
  </cols>
  <sheetData>
    <row r="1" spans="1:10" ht="28.7" customHeight="1" x14ac:dyDescent="0.25">
      <c r="A1" s="388" t="s">
        <v>714</v>
      </c>
      <c r="B1" s="389"/>
      <c r="C1" s="389"/>
      <c r="D1" s="389"/>
      <c r="E1" s="389"/>
      <c r="F1" s="389"/>
      <c r="G1" s="389"/>
      <c r="H1" s="389"/>
      <c r="I1" s="389"/>
    </row>
    <row r="2" spans="1:10" x14ac:dyDescent="0.25">
      <c r="A2" s="357" t="s">
        <v>6</v>
      </c>
      <c r="B2" s="358"/>
      <c r="C2" s="359" t="s">
        <v>7</v>
      </c>
      <c r="D2" s="335"/>
      <c r="E2" s="362" t="s">
        <v>9</v>
      </c>
      <c r="F2" s="362" t="s">
        <v>10</v>
      </c>
      <c r="G2" s="358"/>
      <c r="H2" s="362" t="s">
        <v>671</v>
      </c>
      <c r="I2" s="390"/>
      <c r="J2" s="6"/>
    </row>
    <row r="3" spans="1:10" ht="25.7" customHeight="1" x14ac:dyDescent="0.25">
      <c r="A3" s="354"/>
      <c r="B3" s="337"/>
      <c r="C3" s="360"/>
      <c r="D3" s="360"/>
      <c r="E3" s="337"/>
      <c r="F3" s="337"/>
      <c r="G3" s="337"/>
      <c r="H3" s="337"/>
      <c r="I3" s="352"/>
      <c r="J3" s="6"/>
    </row>
    <row r="4" spans="1:10" x14ac:dyDescent="0.25">
      <c r="A4" s="346" t="s">
        <v>11</v>
      </c>
      <c r="B4" s="337"/>
      <c r="C4" s="336" t="s">
        <v>12</v>
      </c>
      <c r="D4" s="337"/>
      <c r="E4" s="336" t="s">
        <v>14</v>
      </c>
      <c r="F4" s="336" t="s">
        <v>15</v>
      </c>
      <c r="G4" s="337"/>
      <c r="H4" s="336" t="s">
        <v>671</v>
      </c>
      <c r="I4" s="385"/>
      <c r="J4" s="6"/>
    </row>
    <row r="5" spans="1:10" ht="25.7" customHeight="1" x14ac:dyDescent="0.25">
      <c r="A5" s="354"/>
      <c r="B5" s="337"/>
      <c r="C5" s="337"/>
      <c r="D5" s="337"/>
      <c r="E5" s="337"/>
      <c r="F5" s="337"/>
      <c r="G5" s="337"/>
      <c r="H5" s="337"/>
      <c r="I5" s="352"/>
      <c r="J5" s="6"/>
    </row>
    <row r="6" spans="1:10" x14ac:dyDescent="0.25">
      <c r="A6" s="346" t="s">
        <v>16</v>
      </c>
      <c r="B6" s="337"/>
      <c r="C6" s="336" t="s">
        <v>17</v>
      </c>
      <c r="D6" s="337"/>
      <c r="E6" s="336" t="s">
        <v>19</v>
      </c>
      <c r="F6" s="336" t="s">
        <v>20</v>
      </c>
      <c r="G6" s="337"/>
      <c r="H6" s="336" t="s">
        <v>671</v>
      </c>
      <c r="I6" s="385"/>
      <c r="J6" s="6"/>
    </row>
    <row r="7" spans="1:10" x14ac:dyDescent="0.25">
      <c r="A7" s="354"/>
      <c r="B7" s="337"/>
      <c r="C7" s="337"/>
      <c r="D7" s="337"/>
      <c r="E7" s="337"/>
      <c r="F7" s="337"/>
      <c r="G7" s="337"/>
      <c r="H7" s="337"/>
      <c r="I7" s="352"/>
      <c r="J7" s="6"/>
    </row>
    <row r="8" spans="1:10" x14ac:dyDescent="0.25">
      <c r="A8" s="346" t="s">
        <v>13</v>
      </c>
      <c r="B8" s="337"/>
      <c r="C8" s="350">
        <v>44409</v>
      </c>
      <c r="D8" s="337"/>
      <c r="E8" s="336" t="s">
        <v>18</v>
      </c>
      <c r="F8" s="337"/>
      <c r="G8" s="337"/>
      <c r="H8" s="349" t="s">
        <v>672</v>
      </c>
      <c r="I8" s="385" t="s">
        <v>667</v>
      </c>
      <c r="J8" s="6"/>
    </row>
    <row r="9" spans="1:10" x14ac:dyDescent="0.25">
      <c r="A9" s="354"/>
      <c r="B9" s="337"/>
      <c r="C9" s="337"/>
      <c r="D9" s="337"/>
      <c r="E9" s="337"/>
      <c r="F9" s="337"/>
      <c r="G9" s="337"/>
      <c r="H9" s="337"/>
      <c r="I9" s="352"/>
      <c r="J9" s="6"/>
    </row>
    <row r="10" spans="1:10" x14ac:dyDescent="0.25">
      <c r="A10" s="346" t="s">
        <v>21</v>
      </c>
      <c r="B10" s="337"/>
      <c r="C10" s="336">
        <v>8016</v>
      </c>
      <c r="D10" s="337"/>
      <c r="E10" s="336" t="s">
        <v>23</v>
      </c>
      <c r="F10" s="336" t="s">
        <v>24</v>
      </c>
      <c r="G10" s="337"/>
      <c r="H10" s="349" t="s">
        <v>673</v>
      </c>
      <c r="I10" s="383">
        <v>44228</v>
      </c>
      <c r="J10" s="6"/>
    </row>
    <row r="11" spans="1:10" x14ac:dyDescent="0.25">
      <c r="A11" s="386"/>
      <c r="B11" s="387"/>
      <c r="C11" s="387"/>
      <c r="D11" s="387"/>
      <c r="E11" s="387"/>
      <c r="F11" s="387"/>
      <c r="G11" s="387"/>
      <c r="H11" s="387"/>
      <c r="I11" s="384"/>
      <c r="J11" s="6"/>
    </row>
    <row r="12" spans="1:10" x14ac:dyDescent="0.25">
      <c r="A12" s="37"/>
      <c r="B12" s="37"/>
      <c r="C12" s="37"/>
      <c r="D12" s="37"/>
      <c r="E12" s="37"/>
      <c r="F12" s="37"/>
      <c r="G12" s="37"/>
      <c r="H12" s="37"/>
      <c r="I12" s="37"/>
    </row>
    <row r="13" spans="1:10" ht="15.2" customHeight="1" thickBot="1" x14ac:dyDescent="0.3">
      <c r="A13" s="394" t="s">
        <v>715</v>
      </c>
      <c r="B13" s="395"/>
      <c r="C13" s="395"/>
      <c r="D13" s="395"/>
      <c r="E13" s="395"/>
      <c r="F13" s="56"/>
      <c r="G13" s="56"/>
      <c r="H13" s="56"/>
      <c r="I13" s="56"/>
    </row>
    <row r="14" spans="1:10" x14ac:dyDescent="0.25">
      <c r="A14" s="405" t="s">
        <v>716</v>
      </c>
      <c r="B14" s="406"/>
      <c r="C14" s="406"/>
      <c r="D14" s="406"/>
      <c r="E14" s="407"/>
      <c r="F14" s="57" t="s">
        <v>717</v>
      </c>
      <c r="G14" s="57" t="s">
        <v>718</v>
      </c>
      <c r="H14" s="57" t="s">
        <v>719</v>
      </c>
      <c r="I14" s="57" t="s">
        <v>717</v>
      </c>
      <c r="J14" s="12"/>
    </row>
    <row r="15" spans="1:10" x14ac:dyDescent="0.25">
      <c r="A15" s="399" t="s">
        <v>683</v>
      </c>
      <c r="B15" s="400"/>
      <c r="C15" s="400"/>
      <c r="D15" s="400"/>
      <c r="E15" s="401"/>
      <c r="F15" s="58">
        <v>0</v>
      </c>
      <c r="G15" s="59"/>
      <c r="H15" s="59"/>
      <c r="I15" s="58">
        <f>F15</f>
        <v>0</v>
      </c>
      <c r="J15" s="6"/>
    </row>
    <row r="16" spans="1:10" x14ac:dyDescent="0.25">
      <c r="A16" s="399" t="s">
        <v>685</v>
      </c>
      <c r="B16" s="400"/>
      <c r="C16" s="400"/>
      <c r="D16" s="400"/>
      <c r="E16" s="401"/>
      <c r="F16" s="58">
        <v>0</v>
      </c>
      <c r="G16" s="59"/>
      <c r="H16" s="59"/>
      <c r="I16" s="58">
        <f>F16</f>
        <v>0</v>
      </c>
      <c r="J16" s="6"/>
    </row>
    <row r="17" spans="1:10" ht="13.5" thickBot="1" x14ac:dyDescent="0.3">
      <c r="A17" s="402" t="s">
        <v>688</v>
      </c>
      <c r="B17" s="403"/>
      <c r="C17" s="403"/>
      <c r="D17" s="403"/>
      <c r="E17" s="404"/>
      <c r="F17" s="60">
        <v>0</v>
      </c>
      <c r="G17" s="61"/>
      <c r="H17" s="61"/>
      <c r="I17" s="60">
        <f>F17</f>
        <v>0</v>
      </c>
      <c r="J17" s="6"/>
    </row>
    <row r="18" spans="1:10" ht="13.5" thickBot="1" x14ac:dyDescent="0.3">
      <c r="A18" s="396" t="s">
        <v>720</v>
      </c>
      <c r="B18" s="397"/>
      <c r="C18" s="397"/>
      <c r="D18" s="397"/>
      <c r="E18" s="398"/>
      <c r="F18" s="62"/>
      <c r="G18" s="63"/>
      <c r="H18" s="63"/>
      <c r="I18" s="64">
        <f>SUM(I15:I17)</f>
        <v>0</v>
      </c>
      <c r="J18" s="12"/>
    </row>
    <row r="19" spans="1:10" ht="13.5" thickBot="1" x14ac:dyDescent="0.3">
      <c r="A19" s="65"/>
      <c r="B19" s="65"/>
      <c r="C19" s="65"/>
      <c r="D19" s="65"/>
      <c r="E19" s="65"/>
      <c r="F19" s="65"/>
      <c r="G19" s="65"/>
      <c r="H19" s="65"/>
      <c r="I19" s="65"/>
    </row>
    <row r="20" spans="1:10" x14ac:dyDescent="0.25">
      <c r="A20" s="405" t="s">
        <v>680</v>
      </c>
      <c r="B20" s="406"/>
      <c r="C20" s="406"/>
      <c r="D20" s="406"/>
      <c r="E20" s="407"/>
      <c r="F20" s="57" t="s">
        <v>717</v>
      </c>
      <c r="G20" s="57" t="s">
        <v>718</v>
      </c>
      <c r="H20" s="57" t="s">
        <v>719</v>
      </c>
      <c r="I20" s="57" t="s">
        <v>717</v>
      </c>
      <c r="J20" s="12"/>
    </row>
    <row r="21" spans="1:10" x14ac:dyDescent="0.25">
      <c r="A21" s="399" t="s">
        <v>684</v>
      </c>
      <c r="B21" s="400"/>
      <c r="C21" s="400"/>
      <c r="D21" s="400"/>
      <c r="E21" s="401"/>
      <c r="F21" s="58">
        <v>0</v>
      </c>
      <c r="G21" s="59"/>
      <c r="H21" s="59"/>
      <c r="I21" s="58">
        <f t="shared" ref="I21:I26" si="0">F21</f>
        <v>0</v>
      </c>
      <c r="J21" s="6"/>
    </row>
    <row r="22" spans="1:10" x14ac:dyDescent="0.25">
      <c r="A22" s="399" t="s">
        <v>686</v>
      </c>
      <c r="B22" s="400"/>
      <c r="C22" s="400"/>
      <c r="D22" s="400"/>
      <c r="E22" s="401"/>
      <c r="F22" s="58">
        <v>0</v>
      </c>
      <c r="G22" s="59"/>
      <c r="H22" s="59"/>
      <c r="I22" s="58">
        <f t="shared" si="0"/>
        <v>0</v>
      </c>
      <c r="J22" s="6"/>
    </row>
    <row r="23" spans="1:10" x14ac:dyDescent="0.25">
      <c r="A23" s="399" t="s">
        <v>689</v>
      </c>
      <c r="B23" s="400"/>
      <c r="C23" s="400"/>
      <c r="D23" s="400"/>
      <c r="E23" s="401"/>
      <c r="F23" s="58">
        <v>0</v>
      </c>
      <c r="G23" s="59"/>
      <c r="H23" s="59"/>
      <c r="I23" s="58">
        <f t="shared" si="0"/>
        <v>0</v>
      </c>
      <c r="J23" s="6"/>
    </row>
    <row r="24" spans="1:10" x14ac:dyDescent="0.25">
      <c r="A24" s="399" t="s">
        <v>690</v>
      </c>
      <c r="B24" s="400"/>
      <c r="C24" s="400"/>
      <c r="D24" s="400"/>
      <c r="E24" s="401"/>
      <c r="F24" s="58">
        <v>0</v>
      </c>
      <c r="G24" s="59"/>
      <c r="H24" s="59"/>
      <c r="I24" s="58">
        <f t="shared" si="0"/>
        <v>0</v>
      </c>
      <c r="J24" s="6"/>
    </row>
    <row r="25" spans="1:10" x14ac:dyDescent="0.25">
      <c r="A25" s="399" t="s">
        <v>692</v>
      </c>
      <c r="B25" s="400"/>
      <c r="C25" s="400"/>
      <c r="D25" s="400"/>
      <c r="E25" s="401"/>
      <c r="F25" s="58">
        <v>0</v>
      </c>
      <c r="G25" s="59"/>
      <c r="H25" s="59"/>
      <c r="I25" s="58">
        <f t="shared" si="0"/>
        <v>0</v>
      </c>
      <c r="J25" s="6"/>
    </row>
    <row r="26" spans="1:10" ht="13.5" thickBot="1" x14ac:dyDescent="0.3">
      <c r="A26" s="402" t="s">
        <v>693</v>
      </c>
      <c r="B26" s="403"/>
      <c r="C26" s="403"/>
      <c r="D26" s="403"/>
      <c r="E26" s="404"/>
      <c r="F26" s="60">
        <v>0</v>
      </c>
      <c r="G26" s="61"/>
      <c r="H26" s="61"/>
      <c r="I26" s="60">
        <f t="shared" si="0"/>
        <v>0</v>
      </c>
      <c r="J26" s="6"/>
    </row>
    <row r="27" spans="1:10" ht="13.5" thickBot="1" x14ac:dyDescent="0.3">
      <c r="A27" s="396" t="s">
        <v>721</v>
      </c>
      <c r="B27" s="397"/>
      <c r="C27" s="397"/>
      <c r="D27" s="397"/>
      <c r="E27" s="398"/>
      <c r="F27" s="62"/>
      <c r="G27" s="64">
        <v>2</v>
      </c>
      <c r="H27" s="64">
        <f>'04 INTERIER Krycí list rozpočtu'!C22</f>
        <v>0</v>
      </c>
      <c r="I27" s="64">
        <f>(G27/100)*H27</f>
        <v>0</v>
      </c>
      <c r="J27" s="12"/>
    </row>
    <row r="28" spans="1:10" ht="13.5" thickBot="1" x14ac:dyDescent="0.3">
      <c r="A28" s="65"/>
      <c r="B28" s="65"/>
      <c r="C28" s="65"/>
      <c r="D28" s="65"/>
      <c r="E28" s="65"/>
      <c r="F28" s="65"/>
      <c r="G28" s="65"/>
      <c r="H28" s="65"/>
      <c r="I28" s="65"/>
    </row>
    <row r="29" spans="1:10" ht="15.2" customHeight="1" thickBot="1" x14ac:dyDescent="0.3">
      <c r="A29" s="408" t="s">
        <v>722</v>
      </c>
      <c r="B29" s="409"/>
      <c r="C29" s="409"/>
      <c r="D29" s="409"/>
      <c r="E29" s="410"/>
      <c r="F29" s="391">
        <f>I18+I27</f>
        <v>0</v>
      </c>
      <c r="G29" s="392"/>
      <c r="H29" s="392"/>
      <c r="I29" s="393"/>
      <c r="J29" s="12"/>
    </row>
    <row r="30" spans="1:10" x14ac:dyDescent="0.25">
      <c r="A30" s="55"/>
      <c r="B30" s="55"/>
      <c r="C30" s="55"/>
      <c r="D30" s="55"/>
      <c r="E30" s="55"/>
      <c r="F30" s="55"/>
      <c r="G30" s="55"/>
      <c r="H30" s="55"/>
      <c r="I30" s="55"/>
    </row>
    <row r="33" spans="1:10" ht="15.2" customHeight="1" thickBot="1" x14ac:dyDescent="0.3">
      <c r="A33" s="394" t="s">
        <v>723</v>
      </c>
      <c r="B33" s="395"/>
      <c r="C33" s="395"/>
      <c r="D33" s="395"/>
      <c r="E33" s="395"/>
      <c r="F33" s="56"/>
      <c r="G33" s="56"/>
      <c r="H33" s="56"/>
      <c r="I33" s="56"/>
    </row>
    <row r="34" spans="1:10" x14ac:dyDescent="0.25">
      <c r="A34" s="405" t="s">
        <v>724</v>
      </c>
      <c r="B34" s="406"/>
      <c r="C34" s="406"/>
      <c r="D34" s="406"/>
      <c r="E34" s="407"/>
      <c r="F34" s="57" t="s">
        <v>717</v>
      </c>
      <c r="G34" s="57" t="s">
        <v>718</v>
      </c>
      <c r="H34" s="57" t="s">
        <v>719</v>
      </c>
      <c r="I34" s="57" t="s">
        <v>717</v>
      </c>
      <c r="J34" s="12"/>
    </row>
    <row r="35" spans="1:10" x14ac:dyDescent="0.25">
      <c r="A35" s="399" t="s">
        <v>725</v>
      </c>
      <c r="B35" s="400"/>
      <c r="C35" s="400"/>
      <c r="D35" s="400"/>
      <c r="E35" s="401"/>
      <c r="F35" s="59"/>
      <c r="G35" s="306">
        <v>0</v>
      </c>
      <c r="H35" s="58">
        <f>'04 INTERIER Krycí list rozpočtu'!C22</f>
        <v>0</v>
      </c>
      <c r="I35" s="58">
        <f>(G35/100)*H35</f>
        <v>0</v>
      </c>
      <c r="J35" s="6"/>
    </row>
    <row r="36" spans="1:10" x14ac:dyDescent="0.25">
      <c r="A36" s="399" t="s">
        <v>726</v>
      </c>
      <c r="B36" s="400"/>
      <c r="C36" s="400"/>
      <c r="D36" s="400"/>
      <c r="E36" s="401"/>
      <c r="F36" s="306">
        <v>0</v>
      </c>
      <c r="G36" s="59"/>
      <c r="H36" s="59"/>
      <c r="I36" s="58">
        <f>F36</f>
        <v>0</v>
      </c>
      <c r="J36" s="6"/>
    </row>
    <row r="37" spans="1:10" x14ac:dyDescent="0.25">
      <c r="A37" s="399" t="s">
        <v>727</v>
      </c>
      <c r="B37" s="400"/>
      <c r="C37" s="400"/>
      <c r="D37" s="400"/>
      <c r="E37" s="401"/>
      <c r="F37" s="306">
        <v>0</v>
      </c>
      <c r="G37" s="59"/>
      <c r="H37" s="59"/>
      <c r="I37" s="58">
        <f>F37</f>
        <v>0</v>
      </c>
      <c r="J37" s="6"/>
    </row>
    <row r="38" spans="1:10" x14ac:dyDescent="0.25">
      <c r="A38" s="399" t="s">
        <v>728</v>
      </c>
      <c r="B38" s="400"/>
      <c r="C38" s="400"/>
      <c r="D38" s="400"/>
      <c r="E38" s="401"/>
      <c r="F38" s="306">
        <v>0</v>
      </c>
      <c r="G38" s="59"/>
      <c r="H38" s="59"/>
      <c r="I38" s="58">
        <f>F38</f>
        <v>0</v>
      </c>
      <c r="J38" s="6"/>
    </row>
    <row r="39" spans="1:10" x14ac:dyDescent="0.25">
      <c r="A39" s="399" t="s">
        <v>729</v>
      </c>
      <c r="B39" s="400"/>
      <c r="C39" s="400"/>
      <c r="D39" s="400"/>
      <c r="E39" s="401"/>
      <c r="F39" s="306">
        <v>0</v>
      </c>
      <c r="G39" s="59"/>
      <c r="H39" s="59"/>
      <c r="I39" s="58">
        <f>F39</f>
        <v>0</v>
      </c>
      <c r="J39" s="6"/>
    </row>
    <row r="40" spans="1:10" ht="13.5" thickBot="1" x14ac:dyDescent="0.3">
      <c r="A40" s="402" t="s">
        <v>730</v>
      </c>
      <c r="B40" s="403"/>
      <c r="C40" s="403"/>
      <c r="D40" s="403"/>
      <c r="E40" s="404"/>
      <c r="F40" s="307">
        <v>0</v>
      </c>
      <c r="G40" s="61"/>
      <c r="H40" s="61"/>
      <c r="I40" s="60">
        <f>F40</f>
        <v>0</v>
      </c>
      <c r="J40" s="6"/>
    </row>
    <row r="41" spans="1:10" ht="13.5" thickBot="1" x14ac:dyDescent="0.3">
      <c r="A41" s="396" t="s">
        <v>731</v>
      </c>
      <c r="B41" s="397"/>
      <c r="C41" s="397"/>
      <c r="D41" s="397"/>
      <c r="E41" s="398"/>
      <c r="F41" s="62"/>
      <c r="G41" s="63"/>
      <c r="H41" s="63"/>
      <c r="I41" s="64">
        <f>SUM(I35:I40)</f>
        <v>0</v>
      </c>
      <c r="J41" s="12"/>
    </row>
    <row r="42" spans="1:10" x14ac:dyDescent="0.25">
      <c r="A42" s="55"/>
      <c r="B42" s="55"/>
      <c r="C42" s="55"/>
      <c r="D42" s="55"/>
      <c r="E42" s="55"/>
      <c r="F42" s="55"/>
      <c r="G42" s="55"/>
      <c r="H42" s="55"/>
      <c r="I42" s="55"/>
    </row>
  </sheetData>
  <mergeCells count="56">
    <mergeCell ref="A1:I1"/>
    <mergeCell ref="A2:B3"/>
    <mergeCell ref="C2:D3"/>
    <mergeCell ref="E2:E3"/>
    <mergeCell ref="F2:G3"/>
    <mergeCell ref="H2:H3"/>
    <mergeCell ref="I2:I3"/>
    <mergeCell ref="I6:I7"/>
    <mergeCell ref="A4:B5"/>
    <mergeCell ref="C4:D5"/>
    <mergeCell ref="E4:E5"/>
    <mergeCell ref="F4:G5"/>
    <mergeCell ref="H4:H5"/>
    <mergeCell ref="I4:I5"/>
    <mergeCell ref="A6:B7"/>
    <mergeCell ref="C6:D7"/>
    <mergeCell ref="E6:E7"/>
    <mergeCell ref="F6:G7"/>
    <mergeCell ref="H6:H7"/>
    <mergeCell ref="I10:I11"/>
    <mergeCell ref="A8:B9"/>
    <mergeCell ref="C8:D9"/>
    <mergeCell ref="E8:E9"/>
    <mergeCell ref="F8:G9"/>
    <mergeCell ref="H8:H9"/>
    <mergeCell ref="I8:I9"/>
    <mergeCell ref="A14:E14"/>
    <mergeCell ref="A15:E15"/>
    <mergeCell ref="A16:E16"/>
    <mergeCell ref="A17:E17"/>
    <mergeCell ref="H10:H11"/>
    <mergeCell ref="A10:B11"/>
    <mergeCell ref="C10:D11"/>
    <mergeCell ref="E10:E11"/>
    <mergeCell ref="F10:G11"/>
    <mergeCell ref="A13:E13"/>
    <mergeCell ref="A25:E25"/>
    <mergeCell ref="A26:E26"/>
    <mergeCell ref="A27:E27"/>
    <mergeCell ref="A29:E29"/>
    <mergeCell ref="A18:E18"/>
    <mergeCell ref="A20:E20"/>
    <mergeCell ref="A21:E21"/>
    <mergeCell ref="A22:E22"/>
    <mergeCell ref="A23:E23"/>
    <mergeCell ref="A24:E24"/>
    <mergeCell ref="F29:I29"/>
    <mergeCell ref="A33:E33"/>
    <mergeCell ref="A41:E41"/>
    <mergeCell ref="A35:E35"/>
    <mergeCell ref="A36:E36"/>
    <mergeCell ref="A37:E37"/>
    <mergeCell ref="A38:E38"/>
    <mergeCell ref="A39:E39"/>
    <mergeCell ref="A40:E40"/>
    <mergeCell ref="A34:E34"/>
  </mergeCells>
  <pageMargins left="0.39400000000000002" right="0.39400000000000002" top="0.59099999999999997" bottom="0.59099999999999997" header="0.5" footer="0.5"/>
  <pageSetup paperSize="0" fitToHeight="0"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DC1A6-DAE3-490B-B73F-B209B13BE744}">
  <dimension ref="A1:P27"/>
  <sheetViews>
    <sheetView zoomScale="145" zoomScaleNormal="145" workbookViewId="0">
      <selection activeCell="I18" sqref="I18"/>
    </sheetView>
  </sheetViews>
  <sheetFormatPr defaultRowHeight="15" x14ac:dyDescent="0.25"/>
  <cols>
    <col min="7" max="7" width="18" customWidth="1"/>
    <col min="9" max="9" width="5.7109375" customWidth="1"/>
    <col min="10" max="10" width="15.85546875" customWidth="1"/>
  </cols>
  <sheetData>
    <row r="1" spans="1:16" s="4" customFormat="1" x14ac:dyDescent="0.25">
      <c r="A1" s="277" t="s">
        <v>2298</v>
      </c>
      <c r="B1" s="278"/>
      <c r="C1" s="278"/>
      <c r="D1" s="278"/>
      <c r="E1" s="278"/>
      <c r="F1" s="278"/>
      <c r="G1" s="278"/>
      <c r="H1" s="278"/>
      <c r="I1" s="278"/>
      <c r="J1" s="279"/>
    </row>
    <row r="2" spans="1:16" s="1" customFormat="1" ht="15.75" thickBot="1" x14ac:dyDescent="0.3">
      <c r="A2" s="280"/>
      <c r="B2" s="281"/>
      <c r="C2" s="281"/>
      <c r="D2" s="281"/>
      <c r="E2" s="281"/>
      <c r="F2" s="281"/>
      <c r="G2" s="282" t="s">
        <v>4</v>
      </c>
      <c r="H2" s="281" t="s">
        <v>2297</v>
      </c>
      <c r="I2" s="289">
        <v>0.21</v>
      </c>
      <c r="J2" s="283" t="s">
        <v>2299</v>
      </c>
    </row>
    <row r="3" spans="1:16" s="3" customFormat="1" x14ac:dyDescent="0.25">
      <c r="A3" s="290" t="s">
        <v>3</v>
      </c>
      <c r="B3" s="291"/>
      <c r="C3" s="291"/>
      <c r="D3" s="291"/>
      <c r="E3" s="291"/>
      <c r="F3" s="291"/>
      <c r="G3" s="291"/>
      <c r="H3" s="292"/>
      <c r="I3" s="291"/>
      <c r="J3" s="293"/>
    </row>
    <row r="4" spans="1:16" s="2" customFormat="1" ht="15.75" thickBot="1" x14ac:dyDescent="0.3">
      <c r="A4" s="294"/>
      <c r="B4" s="295"/>
      <c r="C4" s="295"/>
      <c r="D4" s="295"/>
      <c r="E4" s="295"/>
      <c r="F4" s="295"/>
      <c r="G4" s="296">
        <f>'01 STAVBA Krycí list rozpočtu'!I29</f>
        <v>0</v>
      </c>
      <c r="H4" s="295"/>
      <c r="I4" s="295"/>
      <c r="J4" s="297">
        <f>G4/1.21</f>
        <v>0</v>
      </c>
    </row>
    <row r="5" spans="1:16" s="3" customFormat="1" x14ac:dyDescent="0.25">
      <c r="A5" s="290" t="s">
        <v>0</v>
      </c>
      <c r="B5" s="291"/>
      <c r="C5" s="291"/>
      <c r="D5" s="291"/>
      <c r="E5" s="291"/>
      <c r="F5" s="291"/>
      <c r="G5" s="291"/>
      <c r="H5" s="291"/>
      <c r="I5" s="291"/>
      <c r="J5" s="298"/>
      <c r="M5" s="239"/>
      <c r="N5" s="240"/>
      <c r="O5" s="240"/>
    </row>
    <row r="6" spans="1:16" s="2" customFormat="1" ht="15.75" thickBot="1" x14ac:dyDescent="0.3">
      <c r="A6" s="299"/>
      <c r="B6" s="295"/>
      <c r="C6" s="295"/>
      <c r="D6" s="295"/>
      <c r="E6" s="295"/>
      <c r="F6" s="295"/>
      <c r="G6" s="296">
        <f>'02 ELEKTRO'!I166</f>
        <v>0</v>
      </c>
      <c r="H6" s="295"/>
      <c r="I6" s="295"/>
      <c r="J6" s="297">
        <f>G6/1.21</f>
        <v>0</v>
      </c>
      <c r="M6" s="239"/>
      <c r="N6" s="239"/>
      <c r="O6" s="239"/>
    </row>
    <row r="7" spans="1:16" s="3" customFormat="1" x14ac:dyDescent="0.25">
      <c r="A7" s="290" t="s">
        <v>2</v>
      </c>
      <c r="B7" s="291"/>
      <c r="C7" s="291"/>
      <c r="D7" s="291"/>
      <c r="E7" s="291"/>
      <c r="F7" s="291"/>
      <c r="G7" s="291"/>
      <c r="H7" s="300"/>
      <c r="I7" s="300"/>
      <c r="J7" s="298"/>
      <c r="K7" s="275"/>
      <c r="L7" s="275"/>
      <c r="M7" s="276"/>
      <c r="N7" s="275"/>
      <c r="O7" s="275"/>
      <c r="P7" s="275"/>
    </row>
    <row r="8" spans="1:16" ht="15.75" thickBot="1" x14ac:dyDescent="0.3">
      <c r="A8" s="284"/>
      <c r="B8" s="285"/>
      <c r="C8" s="285"/>
      <c r="D8" s="285"/>
      <c r="E8" s="285"/>
      <c r="F8" s="285"/>
      <c r="G8" s="296" cm="1">
        <f t="array" ref="G8:I8">'03 TZBRekapitulace stavby'!AN54:AP54</f>
        <v>0</v>
      </c>
      <c r="H8" s="301">
        <v>0</v>
      </c>
      <c r="I8" s="301">
        <v>0</v>
      </c>
      <c r="J8" s="297" cm="1">
        <f t="array" ref="J8:P8">'03 TZBRekapitulace stavby'!AG54:AM54</f>
        <v>0</v>
      </c>
      <c r="K8" s="276">
        <v>0</v>
      </c>
      <c r="L8" s="276">
        <v>0</v>
      </c>
      <c r="M8" s="276">
        <v>0</v>
      </c>
      <c r="N8" s="276">
        <v>0</v>
      </c>
      <c r="O8" s="276">
        <v>0</v>
      </c>
      <c r="P8" s="276">
        <v>0</v>
      </c>
    </row>
    <row r="9" spans="1:16" x14ac:dyDescent="0.25">
      <c r="A9" s="302" t="s">
        <v>1</v>
      </c>
      <c r="B9" s="303"/>
      <c r="C9" s="303"/>
      <c r="D9" s="303"/>
      <c r="E9" s="303"/>
      <c r="F9" s="303"/>
      <c r="G9" s="304">
        <f>'04 INTERIER Krycí list rozpočtu'!I29</f>
        <v>0</v>
      </c>
      <c r="H9" s="305"/>
      <c r="I9" s="305"/>
      <c r="J9" s="298">
        <f>G9/1.21</f>
        <v>0</v>
      </c>
      <c r="K9" s="276"/>
      <c r="L9" s="276"/>
      <c r="M9" s="276"/>
      <c r="N9" s="276"/>
      <c r="O9" s="276"/>
      <c r="P9" s="276"/>
    </row>
    <row r="10" spans="1:16" ht="15.75" thickBot="1" x14ac:dyDescent="0.3">
      <c r="A10" s="284"/>
      <c r="B10" s="285"/>
      <c r="C10" s="285"/>
      <c r="D10" s="285"/>
      <c r="E10" s="285"/>
      <c r="F10" s="285"/>
      <c r="G10" s="285"/>
      <c r="H10" s="285"/>
      <c r="I10" s="285"/>
      <c r="J10" s="297"/>
      <c r="K10" s="276"/>
      <c r="L10" s="276"/>
      <c r="M10" s="276"/>
      <c r="N10" s="276"/>
      <c r="O10" s="276"/>
      <c r="P10" s="276"/>
    </row>
    <row r="11" spans="1:16" ht="15.75" thickBot="1" x14ac:dyDescent="0.3">
      <c r="A11" s="284"/>
      <c r="B11" s="285"/>
      <c r="C11" s="285"/>
      <c r="D11" s="285"/>
      <c r="E11" s="285"/>
      <c r="F11" s="286" t="s">
        <v>2300</v>
      </c>
      <c r="G11" s="287">
        <f>SUM(G4:G9)</f>
        <v>0</v>
      </c>
      <c r="H11" s="285"/>
      <c r="I11" s="285"/>
      <c r="J11" s="288">
        <f>G11/1.21</f>
        <v>0</v>
      </c>
    </row>
    <row r="12" spans="1:16" x14ac:dyDescent="0.25">
      <c r="A12" s="1" t="s">
        <v>2314</v>
      </c>
    </row>
    <row r="13" spans="1:16" s="314" customFormat="1" x14ac:dyDescent="0.25">
      <c r="A13" s="315" t="s">
        <v>2316</v>
      </c>
    </row>
    <row r="14" spans="1:16" s="314" customFormat="1" x14ac:dyDescent="0.25">
      <c r="A14" s="316" t="s">
        <v>2315</v>
      </c>
    </row>
    <row r="15" spans="1:16" s="313" customFormat="1" ht="8.25" x14ac:dyDescent="0.15">
      <c r="A15" s="312" t="s">
        <v>2302</v>
      </c>
    </row>
    <row r="16" spans="1:16" s="313" customFormat="1" ht="8.25" x14ac:dyDescent="0.15">
      <c r="A16" s="313" t="s">
        <v>2303</v>
      </c>
    </row>
    <row r="17" spans="1:1" s="313" customFormat="1" ht="8.25" x14ac:dyDescent="0.15">
      <c r="A17" s="313" t="s">
        <v>2304</v>
      </c>
    </row>
    <row r="18" spans="1:1" s="313" customFormat="1" ht="8.25" x14ac:dyDescent="0.15">
      <c r="A18" s="313" t="s">
        <v>2305</v>
      </c>
    </row>
    <row r="19" spans="1:1" s="313" customFormat="1" ht="8.25" x14ac:dyDescent="0.15">
      <c r="A19" s="313" t="s">
        <v>2306</v>
      </c>
    </row>
    <row r="20" spans="1:1" s="313" customFormat="1" ht="8.25" x14ac:dyDescent="0.15">
      <c r="A20" s="313" t="s">
        <v>2307</v>
      </c>
    </row>
    <row r="21" spans="1:1" s="313" customFormat="1" ht="8.25" x14ac:dyDescent="0.15">
      <c r="A21" s="313" t="s">
        <v>2308</v>
      </c>
    </row>
    <row r="22" spans="1:1" s="313" customFormat="1" ht="8.25" x14ac:dyDescent="0.15">
      <c r="A22" s="313" t="s">
        <v>2309</v>
      </c>
    </row>
    <row r="23" spans="1:1" s="313" customFormat="1" ht="8.25" x14ac:dyDescent="0.15"/>
    <row r="24" spans="1:1" s="313" customFormat="1" ht="8.25" x14ac:dyDescent="0.15">
      <c r="A24" s="313" t="s">
        <v>2310</v>
      </c>
    </row>
    <row r="25" spans="1:1" s="313" customFormat="1" ht="8.25" x14ac:dyDescent="0.15">
      <c r="A25" s="313" t="s">
        <v>2311</v>
      </c>
    </row>
    <row r="26" spans="1:1" s="313" customFormat="1" ht="8.25" x14ac:dyDescent="0.15">
      <c r="A26" s="313" t="s">
        <v>2312</v>
      </c>
    </row>
    <row r="27" spans="1:1" s="313" customFormat="1" ht="27" customHeight="1" x14ac:dyDescent="0.15">
      <c r="A27" s="313" t="s">
        <v>2313</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29E9A-4BF4-456C-BCA0-14C25DFD4386}">
  <sheetPr>
    <pageSetUpPr fitToPage="1"/>
  </sheetPr>
  <dimension ref="A1:J37"/>
  <sheetViews>
    <sheetView topLeftCell="A31" workbookViewId="0">
      <selection activeCell="A37" sqref="A37:I37"/>
    </sheetView>
  </sheetViews>
  <sheetFormatPr defaultColWidth="11.5703125" defaultRowHeight="12.75" x14ac:dyDescent="0.25"/>
  <cols>
    <col min="1" max="1" width="9.140625" style="5" customWidth="1"/>
    <col min="2" max="2" width="12.85546875" style="5" customWidth="1"/>
    <col min="3" max="3" width="22.85546875" style="5" customWidth="1"/>
    <col min="4" max="4" width="10" style="5" customWidth="1"/>
    <col min="5" max="5" width="14" style="5" customWidth="1"/>
    <col min="6" max="6" width="22.85546875" style="5" customWidth="1"/>
    <col min="7" max="7" width="9.140625" style="5" customWidth="1"/>
    <col min="8" max="8" width="12.85546875" style="5" customWidth="1"/>
    <col min="9" max="9" width="22.85546875" style="5" customWidth="1"/>
    <col min="10" max="256" width="11.5703125" style="5"/>
    <col min="257" max="257" width="9.140625" style="5" customWidth="1"/>
    <col min="258" max="258" width="12.85546875" style="5" customWidth="1"/>
    <col min="259" max="259" width="22.85546875" style="5" customWidth="1"/>
    <col min="260" max="260" width="10" style="5" customWidth="1"/>
    <col min="261" max="261" width="14" style="5" customWidth="1"/>
    <col min="262" max="262" width="22.85546875" style="5" customWidth="1"/>
    <col min="263" max="263" width="9.140625" style="5" customWidth="1"/>
    <col min="264" max="264" width="12.85546875" style="5" customWidth="1"/>
    <col min="265" max="265" width="22.85546875" style="5" customWidth="1"/>
    <col min="266" max="512" width="11.5703125" style="5"/>
    <col min="513" max="513" width="9.140625" style="5" customWidth="1"/>
    <col min="514" max="514" width="12.85546875" style="5" customWidth="1"/>
    <col min="515" max="515" width="22.85546875" style="5" customWidth="1"/>
    <col min="516" max="516" width="10" style="5" customWidth="1"/>
    <col min="517" max="517" width="14" style="5" customWidth="1"/>
    <col min="518" max="518" width="22.85546875" style="5" customWidth="1"/>
    <col min="519" max="519" width="9.140625" style="5" customWidth="1"/>
    <col min="520" max="520" width="12.85546875" style="5" customWidth="1"/>
    <col min="521" max="521" width="22.85546875" style="5" customWidth="1"/>
    <col min="522" max="768" width="11.5703125" style="5"/>
    <col min="769" max="769" width="9.140625" style="5" customWidth="1"/>
    <col min="770" max="770" width="12.85546875" style="5" customWidth="1"/>
    <col min="771" max="771" width="22.85546875" style="5" customWidth="1"/>
    <col min="772" max="772" width="10" style="5" customWidth="1"/>
    <col min="773" max="773" width="14" style="5" customWidth="1"/>
    <col min="774" max="774" width="22.85546875" style="5" customWidth="1"/>
    <col min="775" max="775" width="9.140625" style="5" customWidth="1"/>
    <col min="776" max="776" width="12.85546875" style="5" customWidth="1"/>
    <col min="777" max="777" width="22.85546875" style="5" customWidth="1"/>
    <col min="778" max="1024" width="11.5703125" style="5"/>
    <col min="1025" max="1025" width="9.140625" style="5" customWidth="1"/>
    <col min="1026" max="1026" width="12.85546875" style="5" customWidth="1"/>
    <col min="1027" max="1027" width="22.85546875" style="5" customWidth="1"/>
    <col min="1028" max="1028" width="10" style="5" customWidth="1"/>
    <col min="1029" max="1029" width="14" style="5" customWidth="1"/>
    <col min="1030" max="1030" width="22.85546875" style="5" customWidth="1"/>
    <col min="1031" max="1031" width="9.140625" style="5" customWidth="1"/>
    <col min="1032" max="1032" width="12.85546875" style="5" customWidth="1"/>
    <col min="1033" max="1033" width="22.85546875" style="5" customWidth="1"/>
    <col min="1034" max="1280" width="11.5703125" style="5"/>
    <col min="1281" max="1281" width="9.140625" style="5" customWidth="1"/>
    <col min="1282" max="1282" width="12.85546875" style="5" customWidth="1"/>
    <col min="1283" max="1283" width="22.85546875" style="5" customWidth="1"/>
    <col min="1284" max="1284" width="10" style="5" customWidth="1"/>
    <col min="1285" max="1285" width="14" style="5" customWidth="1"/>
    <col min="1286" max="1286" width="22.85546875" style="5" customWidth="1"/>
    <col min="1287" max="1287" width="9.140625" style="5" customWidth="1"/>
    <col min="1288" max="1288" width="12.85546875" style="5" customWidth="1"/>
    <col min="1289" max="1289" width="22.85546875" style="5" customWidth="1"/>
    <col min="1290" max="1536" width="11.5703125" style="5"/>
    <col min="1537" max="1537" width="9.140625" style="5" customWidth="1"/>
    <col min="1538" max="1538" width="12.85546875" style="5" customWidth="1"/>
    <col min="1539" max="1539" width="22.85546875" style="5" customWidth="1"/>
    <col min="1540" max="1540" width="10" style="5" customWidth="1"/>
    <col min="1541" max="1541" width="14" style="5" customWidth="1"/>
    <col min="1542" max="1542" width="22.85546875" style="5" customWidth="1"/>
    <col min="1543" max="1543" width="9.140625" style="5" customWidth="1"/>
    <col min="1544" max="1544" width="12.85546875" style="5" customWidth="1"/>
    <col min="1545" max="1545" width="22.85546875" style="5" customWidth="1"/>
    <col min="1546" max="1792" width="11.5703125" style="5"/>
    <col min="1793" max="1793" width="9.140625" style="5" customWidth="1"/>
    <col min="1794" max="1794" width="12.85546875" style="5" customWidth="1"/>
    <col min="1795" max="1795" width="22.85546875" style="5" customWidth="1"/>
    <col min="1796" max="1796" width="10" style="5" customWidth="1"/>
    <col min="1797" max="1797" width="14" style="5" customWidth="1"/>
    <col min="1798" max="1798" width="22.85546875" style="5" customWidth="1"/>
    <col min="1799" max="1799" width="9.140625" style="5" customWidth="1"/>
    <col min="1800" max="1800" width="12.85546875" style="5" customWidth="1"/>
    <col min="1801" max="1801" width="22.85546875" style="5" customWidth="1"/>
    <col min="1802" max="2048" width="11.5703125" style="5"/>
    <col min="2049" max="2049" width="9.140625" style="5" customWidth="1"/>
    <col min="2050" max="2050" width="12.85546875" style="5" customWidth="1"/>
    <col min="2051" max="2051" width="22.85546875" style="5" customWidth="1"/>
    <col min="2052" max="2052" width="10" style="5" customWidth="1"/>
    <col min="2053" max="2053" width="14" style="5" customWidth="1"/>
    <col min="2054" max="2054" width="22.85546875" style="5" customWidth="1"/>
    <col min="2055" max="2055" width="9.140625" style="5" customWidth="1"/>
    <col min="2056" max="2056" width="12.85546875" style="5" customWidth="1"/>
    <col min="2057" max="2057" width="22.85546875" style="5" customWidth="1"/>
    <col min="2058" max="2304" width="11.5703125" style="5"/>
    <col min="2305" max="2305" width="9.140625" style="5" customWidth="1"/>
    <col min="2306" max="2306" width="12.85546875" style="5" customWidth="1"/>
    <col min="2307" max="2307" width="22.85546875" style="5" customWidth="1"/>
    <col min="2308" max="2308" width="10" style="5" customWidth="1"/>
    <col min="2309" max="2309" width="14" style="5" customWidth="1"/>
    <col min="2310" max="2310" width="22.85546875" style="5" customWidth="1"/>
    <col min="2311" max="2311" width="9.140625" style="5" customWidth="1"/>
    <col min="2312" max="2312" width="12.85546875" style="5" customWidth="1"/>
    <col min="2313" max="2313" width="22.85546875" style="5" customWidth="1"/>
    <col min="2314" max="2560" width="11.5703125" style="5"/>
    <col min="2561" max="2561" width="9.140625" style="5" customWidth="1"/>
    <col min="2562" max="2562" width="12.85546875" style="5" customWidth="1"/>
    <col min="2563" max="2563" width="22.85546875" style="5" customWidth="1"/>
    <col min="2564" max="2564" width="10" style="5" customWidth="1"/>
    <col min="2565" max="2565" width="14" style="5" customWidth="1"/>
    <col min="2566" max="2566" width="22.85546875" style="5" customWidth="1"/>
    <col min="2567" max="2567" width="9.140625" style="5" customWidth="1"/>
    <col min="2568" max="2568" width="12.85546875" style="5" customWidth="1"/>
    <col min="2569" max="2569" width="22.85546875" style="5" customWidth="1"/>
    <col min="2570" max="2816" width="11.5703125" style="5"/>
    <col min="2817" max="2817" width="9.140625" style="5" customWidth="1"/>
    <col min="2818" max="2818" width="12.85546875" style="5" customWidth="1"/>
    <col min="2819" max="2819" width="22.85546875" style="5" customWidth="1"/>
    <col min="2820" max="2820" width="10" style="5" customWidth="1"/>
    <col min="2821" max="2821" width="14" style="5" customWidth="1"/>
    <col min="2822" max="2822" width="22.85546875" style="5" customWidth="1"/>
    <col min="2823" max="2823" width="9.140625" style="5" customWidth="1"/>
    <col min="2824" max="2824" width="12.85546875" style="5" customWidth="1"/>
    <col min="2825" max="2825" width="22.85546875" style="5" customWidth="1"/>
    <col min="2826" max="3072" width="11.5703125" style="5"/>
    <col min="3073" max="3073" width="9.140625" style="5" customWidth="1"/>
    <col min="3074" max="3074" width="12.85546875" style="5" customWidth="1"/>
    <col min="3075" max="3075" width="22.85546875" style="5" customWidth="1"/>
    <col min="3076" max="3076" width="10" style="5" customWidth="1"/>
    <col min="3077" max="3077" width="14" style="5" customWidth="1"/>
    <col min="3078" max="3078" width="22.85546875" style="5" customWidth="1"/>
    <col min="3079" max="3079" width="9.140625" style="5" customWidth="1"/>
    <col min="3080" max="3080" width="12.85546875" style="5" customWidth="1"/>
    <col min="3081" max="3081" width="22.85546875" style="5" customWidth="1"/>
    <col min="3082" max="3328" width="11.5703125" style="5"/>
    <col min="3329" max="3329" width="9.140625" style="5" customWidth="1"/>
    <col min="3330" max="3330" width="12.85546875" style="5" customWidth="1"/>
    <col min="3331" max="3331" width="22.85546875" style="5" customWidth="1"/>
    <col min="3332" max="3332" width="10" style="5" customWidth="1"/>
    <col min="3333" max="3333" width="14" style="5" customWidth="1"/>
    <col min="3334" max="3334" width="22.85546875" style="5" customWidth="1"/>
    <col min="3335" max="3335" width="9.140625" style="5" customWidth="1"/>
    <col min="3336" max="3336" width="12.85546875" style="5" customWidth="1"/>
    <col min="3337" max="3337" width="22.85546875" style="5" customWidth="1"/>
    <col min="3338" max="3584" width="11.5703125" style="5"/>
    <col min="3585" max="3585" width="9.140625" style="5" customWidth="1"/>
    <col min="3586" max="3586" width="12.85546875" style="5" customWidth="1"/>
    <col min="3587" max="3587" width="22.85546875" style="5" customWidth="1"/>
    <col min="3588" max="3588" width="10" style="5" customWidth="1"/>
    <col min="3589" max="3589" width="14" style="5" customWidth="1"/>
    <col min="3590" max="3590" width="22.85546875" style="5" customWidth="1"/>
    <col min="3591" max="3591" width="9.140625" style="5" customWidth="1"/>
    <col min="3592" max="3592" width="12.85546875" style="5" customWidth="1"/>
    <col min="3593" max="3593" width="22.85546875" style="5" customWidth="1"/>
    <col min="3594" max="3840" width="11.5703125" style="5"/>
    <col min="3841" max="3841" width="9.140625" style="5" customWidth="1"/>
    <col min="3842" max="3842" width="12.85546875" style="5" customWidth="1"/>
    <col min="3843" max="3843" width="22.85546875" style="5" customWidth="1"/>
    <col min="3844" max="3844" width="10" style="5" customWidth="1"/>
    <col min="3845" max="3845" width="14" style="5" customWidth="1"/>
    <col min="3846" max="3846" width="22.85546875" style="5" customWidth="1"/>
    <col min="3847" max="3847" width="9.140625" style="5" customWidth="1"/>
    <col min="3848" max="3848" width="12.85546875" style="5" customWidth="1"/>
    <col min="3849" max="3849" width="22.85546875" style="5" customWidth="1"/>
    <col min="3850" max="4096" width="11.5703125" style="5"/>
    <col min="4097" max="4097" width="9.140625" style="5" customWidth="1"/>
    <col min="4098" max="4098" width="12.85546875" style="5" customWidth="1"/>
    <col min="4099" max="4099" width="22.85546875" style="5" customWidth="1"/>
    <col min="4100" max="4100" width="10" style="5" customWidth="1"/>
    <col min="4101" max="4101" width="14" style="5" customWidth="1"/>
    <col min="4102" max="4102" width="22.85546875" style="5" customWidth="1"/>
    <col min="4103" max="4103" width="9.140625" style="5" customWidth="1"/>
    <col min="4104" max="4104" width="12.85546875" style="5" customWidth="1"/>
    <col min="4105" max="4105" width="22.85546875" style="5" customWidth="1"/>
    <col min="4106" max="4352" width="11.5703125" style="5"/>
    <col min="4353" max="4353" width="9.140625" style="5" customWidth="1"/>
    <col min="4354" max="4354" width="12.85546875" style="5" customWidth="1"/>
    <col min="4355" max="4355" width="22.85546875" style="5" customWidth="1"/>
    <col min="4356" max="4356" width="10" style="5" customWidth="1"/>
    <col min="4357" max="4357" width="14" style="5" customWidth="1"/>
    <col min="4358" max="4358" width="22.85546875" style="5" customWidth="1"/>
    <col min="4359" max="4359" width="9.140625" style="5" customWidth="1"/>
    <col min="4360" max="4360" width="12.85546875" style="5" customWidth="1"/>
    <col min="4361" max="4361" width="22.85546875" style="5" customWidth="1"/>
    <col min="4362" max="4608" width="11.5703125" style="5"/>
    <col min="4609" max="4609" width="9.140625" style="5" customWidth="1"/>
    <col min="4610" max="4610" width="12.85546875" style="5" customWidth="1"/>
    <col min="4611" max="4611" width="22.85546875" style="5" customWidth="1"/>
    <col min="4612" max="4612" width="10" style="5" customWidth="1"/>
    <col min="4613" max="4613" width="14" style="5" customWidth="1"/>
    <col min="4614" max="4614" width="22.85546875" style="5" customWidth="1"/>
    <col min="4615" max="4615" width="9.140625" style="5" customWidth="1"/>
    <col min="4616" max="4616" width="12.85546875" style="5" customWidth="1"/>
    <col min="4617" max="4617" width="22.85546875" style="5" customWidth="1"/>
    <col min="4618" max="4864" width="11.5703125" style="5"/>
    <col min="4865" max="4865" width="9.140625" style="5" customWidth="1"/>
    <col min="4866" max="4866" width="12.85546875" style="5" customWidth="1"/>
    <col min="4867" max="4867" width="22.85546875" style="5" customWidth="1"/>
    <col min="4868" max="4868" width="10" style="5" customWidth="1"/>
    <col min="4869" max="4869" width="14" style="5" customWidth="1"/>
    <col min="4870" max="4870" width="22.85546875" style="5" customWidth="1"/>
    <col min="4871" max="4871" width="9.140625" style="5" customWidth="1"/>
    <col min="4872" max="4872" width="12.85546875" style="5" customWidth="1"/>
    <col min="4873" max="4873" width="22.85546875" style="5" customWidth="1"/>
    <col min="4874" max="5120" width="11.5703125" style="5"/>
    <col min="5121" max="5121" width="9.140625" style="5" customWidth="1"/>
    <col min="5122" max="5122" width="12.85546875" style="5" customWidth="1"/>
    <col min="5123" max="5123" width="22.85546875" style="5" customWidth="1"/>
    <col min="5124" max="5124" width="10" style="5" customWidth="1"/>
    <col min="5125" max="5125" width="14" style="5" customWidth="1"/>
    <col min="5126" max="5126" width="22.85546875" style="5" customWidth="1"/>
    <col min="5127" max="5127" width="9.140625" style="5" customWidth="1"/>
    <col min="5128" max="5128" width="12.85546875" style="5" customWidth="1"/>
    <col min="5129" max="5129" width="22.85546875" style="5" customWidth="1"/>
    <col min="5130" max="5376" width="11.5703125" style="5"/>
    <col min="5377" max="5377" width="9.140625" style="5" customWidth="1"/>
    <col min="5378" max="5378" width="12.85546875" style="5" customWidth="1"/>
    <col min="5379" max="5379" width="22.85546875" style="5" customWidth="1"/>
    <col min="5380" max="5380" width="10" style="5" customWidth="1"/>
    <col min="5381" max="5381" width="14" style="5" customWidth="1"/>
    <col min="5382" max="5382" width="22.85546875" style="5" customWidth="1"/>
    <col min="5383" max="5383" width="9.140625" style="5" customWidth="1"/>
    <col min="5384" max="5384" width="12.85546875" style="5" customWidth="1"/>
    <col min="5385" max="5385" width="22.85546875" style="5" customWidth="1"/>
    <col min="5386" max="5632" width="11.5703125" style="5"/>
    <col min="5633" max="5633" width="9.140625" style="5" customWidth="1"/>
    <col min="5634" max="5634" width="12.85546875" style="5" customWidth="1"/>
    <col min="5635" max="5635" width="22.85546875" style="5" customWidth="1"/>
    <col min="5636" max="5636" width="10" style="5" customWidth="1"/>
    <col min="5637" max="5637" width="14" style="5" customWidth="1"/>
    <col min="5638" max="5638" width="22.85546875" style="5" customWidth="1"/>
    <col min="5639" max="5639" width="9.140625" style="5" customWidth="1"/>
    <col min="5640" max="5640" width="12.85546875" style="5" customWidth="1"/>
    <col min="5641" max="5641" width="22.85546875" style="5" customWidth="1"/>
    <col min="5642" max="5888" width="11.5703125" style="5"/>
    <col min="5889" max="5889" width="9.140625" style="5" customWidth="1"/>
    <col min="5890" max="5890" width="12.85546875" style="5" customWidth="1"/>
    <col min="5891" max="5891" width="22.85546875" style="5" customWidth="1"/>
    <col min="5892" max="5892" width="10" style="5" customWidth="1"/>
    <col min="5893" max="5893" width="14" style="5" customWidth="1"/>
    <col min="5894" max="5894" width="22.85546875" style="5" customWidth="1"/>
    <col min="5895" max="5895" width="9.140625" style="5" customWidth="1"/>
    <col min="5896" max="5896" width="12.85546875" style="5" customWidth="1"/>
    <col min="5897" max="5897" width="22.85546875" style="5" customWidth="1"/>
    <col min="5898" max="6144" width="11.5703125" style="5"/>
    <col min="6145" max="6145" width="9.140625" style="5" customWidth="1"/>
    <col min="6146" max="6146" width="12.85546875" style="5" customWidth="1"/>
    <col min="6147" max="6147" width="22.85546875" style="5" customWidth="1"/>
    <col min="6148" max="6148" width="10" style="5" customWidth="1"/>
    <col min="6149" max="6149" width="14" style="5" customWidth="1"/>
    <col min="6150" max="6150" width="22.85546875" style="5" customWidth="1"/>
    <col min="6151" max="6151" width="9.140625" style="5" customWidth="1"/>
    <col min="6152" max="6152" width="12.85546875" style="5" customWidth="1"/>
    <col min="6153" max="6153" width="22.85546875" style="5" customWidth="1"/>
    <col min="6154" max="6400" width="11.5703125" style="5"/>
    <col min="6401" max="6401" width="9.140625" style="5" customWidth="1"/>
    <col min="6402" max="6402" width="12.85546875" style="5" customWidth="1"/>
    <col min="6403" max="6403" width="22.85546875" style="5" customWidth="1"/>
    <col min="6404" max="6404" width="10" style="5" customWidth="1"/>
    <col min="6405" max="6405" width="14" style="5" customWidth="1"/>
    <col min="6406" max="6406" width="22.85546875" style="5" customWidth="1"/>
    <col min="6407" max="6407" width="9.140625" style="5" customWidth="1"/>
    <col min="6408" max="6408" width="12.85546875" style="5" customWidth="1"/>
    <col min="6409" max="6409" width="22.85546875" style="5" customWidth="1"/>
    <col min="6410" max="6656" width="11.5703125" style="5"/>
    <col min="6657" max="6657" width="9.140625" style="5" customWidth="1"/>
    <col min="6658" max="6658" width="12.85546875" style="5" customWidth="1"/>
    <col min="6659" max="6659" width="22.85546875" style="5" customWidth="1"/>
    <col min="6660" max="6660" width="10" style="5" customWidth="1"/>
    <col min="6661" max="6661" width="14" style="5" customWidth="1"/>
    <col min="6662" max="6662" width="22.85546875" style="5" customWidth="1"/>
    <col min="6663" max="6663" width="9.140625" style="5" customWidth="1"/>
    <col min="6664" max="6664" width="12.85546875" style="5" customWidth="1"/>
    <col min="6665" max="6665" width="22.85546875" style="5" customWidth="1"/>
    <col min="6666" max="6912" width="11.5703125" style="5"/>
    <col min="6913" max="6913" width="9.140625" style="5" customWidth="1"/>
    <col min="6914" max="6914" width="12.85546875" style="5" customWidth="1"/>
    <col min="6915" max="6915" width="22.85546875" style="5" customWidth="1"/>
    <col min="6916" max="6916" width="10" style="5" customWidth="1"/>
    <col min="6917" max="6917" width="14" style="5" customWidth="1"/>
    <col min="6918" max="6918" width="22.85546875" style="5" customWidth="1"/>
    <col min="6919" max="6919" width="9.140625" style="5" customWidth="1"/>
    <col min="6920" max="6920" width="12.85546875" style="5" customWidth="1"/>
    <col min="6921" max="6921" width="22.85546875" style="5" customWidth="1"/>
    <col min="6922" max="7168" width="11.5703125" style="5"/>
    <col min="7169" max="7169" width="9.140625" style="5" customWidth="1"/>
    <col min="7170" max="7170" width="12.85546875" style="5" customWidth="1"/>
    <col min="7171" max="7171" width="22.85546875" style="5" customWidth="1"/>
    <col min="7172" max="7172" width="10" style="5" customWidth="1"/>
    <col min="7173" max="7173" width="14" style="5" customWidth="1"/>
    <col min="7174" max="7174" width="22.85546875" style="5" customWidth="1"/>
    <col min="7175" max="7175" width="9.140625" style="5" customWidth="1"/>
    <col min="7176" max="7176" width="12.85546875" style="5" customWidth="1"/>
    <col min="7177" max="7177" width="22.85546875" style="5" customWidth="1"/>
    <col min="7178" max="7424" width="11.5703125" style="5"/>
    <col min="7425" max="7425" width="9.140625" style="5" customWidth="1"/>
    <col min="7426" max="7426" width="12.85546875" style="5" customWidth="1"/>
    <col min="7427" max="7427" width="22.85546875" style="5" customWidth="1"/>
    <col min="7428" max="7428" width="10" style="5" customWidth="1"/>
    <col min="7429" max="7429" width="14" style="5" customWidth="1"/>
    <col min="7430" max="7430" width="22.85546875" style="5" customWidth="1"/>
    <col min="7431" max="7431" width="9.140625" style="5" customWidth="1"/>
    <col min="7432" max="7432" width="12.85546875" style="5" customWidth="1"/>
    <col min="7433" max="7433" width="22.85546875" style="5" customWidth="1"/>
    <col min="7434" max="7680" width="11.5703125" style="5"/>
    <col min="7681" max="7681" width="9.140625" style="5" customWidth="1"/>
    <col min="7682" max="7682" width="12.85546875" style="5" customWidth="1"/>
    <col min="7683" max="7683" width="22.85546875" style="5" customWidth="1"/>
    <col min="7684" max="7684" width="10" style="5" customWidth="1"/>
    <col min="7685" max="7685" width="14" style="5" customWidth="1"/>
    <col min="7686" max="7686" width="22.85546875" style="5" customWidth="1"/>
    <col min="7687" max="7687" width="9.140625" style="5" customWidth="1"/>
    <col min="7688" max="7688" width="12.85546875" style="5" customWidth="1"/>
    <col min="7689" max="7689" width="22.85546875" style="5" customWidth="1"/>
    <col min="7690" max="7936" width="11.5703125" style="5"/>
    <col min="7937" max="7937" width="9.140625" style="5" customWidth="1"/>
    <col min="7938" max="7938" width="12.85546875" style="5" customWidth="1"/>
    <col min="7939" max="7939" width="22.85546875" style="5" customWidth="1"/>
    <col min="7940" max="7940" width="10" style="5" customWidth="1"/>
    <col min="7941" max="7941" width="14" style="5" customWidth="1"/>
    <col min="7942" max="7942" width="22.85546875" style="5" customWidth="1"/>
    <col min="7943" max="7943" width="9.140625" style="5" customWidth="1"/>
    <col min="7944" max="7944" width="12.85546875" style="5" customWidth="1"/>
    <col min="7945" max="7945" width="22.85546875" style="5" customWidth="1"/>
    <col min="7946" max="8192" width="11.5703125" style="5"/>
    <col min="8193" max="8193" width="9.140625" style="5" customWidth="1"/>
    <col min="8194" max="8194" width="12.85546875" style="5" customWidth="1"/>
    <col min="8195" max="8195" width="22.85546875" style="5" customWidth="1"/>
    <col min="8196" max="8196" width="10" style="5" customWidth="1"/>
    <col min="8197" max="8197" width="14" style="5" customWidth="1"/>
    <col min="8198" max="8198" width="22.85546875" style="5" customWidth="1"/>
    <col min="8199" max="8199" width="9.140625" style="5" customWidth="1"/>
    <col min="8200" max="8200" width="12.85546875" style="5" customWidth="1"/>
    <col min="8201" max="8201" width="22.85546875" style="5" customWidth="1"/>
    <col min="8202" max="8448" width="11.5703125" style="5"/>
    <col min="8449" max="8449" width="9.140625" style="5" customWidth="1"/>
    <col min="8450" max="8450" width="12.85546875" style="5" customWidth="1"/>
    <col min="8451" max="8451" width="22.85546875" style="5" customWidth="1"/>
    <col min="8452" max="8452" width="10" style="5" customWidth="1"/>
    <col min="8453" max="8453" width="14" style="5" customWidth="1"/>
    <col min="8454" max="8454" width="22.85546875" style="5" customWidth="1"/>
    <col min="8455" max="8455" width="9.140625" style="5" customWidth="1"/>
    <col min="8456" max="8456" width="12.85546875" style="5" customWidth="1"/>
    <col min="8457" max="8457" width="22.85546875" style="5" customWidth="1"/>
    <col min="8458" max="8704" width="11.5703125" style="5"/>
    <col min="8705" max="8705" width="9.140625" style="5" customWidth="1"/>
    <col min="8706" max="8706" width="12.85546875" style="5" customWidth="1"/>
    <col min="8707" max="8707" width="22.85546875" style="5" customWidth="1"/>
    <col min="8708" max="8708" width="10" style="5" customWidth="1"/>
    <col min="8709" max="8709" width="14" style="5" customWidth="1"/>
    <col min="8710" max="8710" width="22.85546875" style="5" customWidth="1"/>
    <col min="8711" max="8711" width="9.140625" style="5" customWidth="1"/>
    <col min="8712" max="8712" width="12.85546875" style="5" customWidth="1"/>
    <col min="8713" max="8713" width="22.85546875" style="5" customWidth="1"/>
    <col min="8714" max="8960" width="11.5703125" style="5"/>
    <col min="8961" max="8961" width="9.140625" style="5" customWidth="1"/>
    <col min="8962" max="8962" width="12.85546875" style="5" customWidth="1"/>
    <col min="8963" max="8963" width="22.85546875" style="5" customWidth="1"/>
    <col min="8964" max="8964" width="10" style="5" customWidth="1"/>
    <col min="8965" max="8965" width="14" style="5" customWidth="1"/>
    <col min="8966" max="8966" width="22.85546875" style="5" customWidth="1"/>
    <col min="8967" max="8967" width="9.140625" style="5" customWidth="1"/>
    <col min="8968" max="8968" width="12.85546875" style="5" customWidth="1"/>
    <col min="8969" max="8969" width="22.85546875" style="5" customWidth="1"/>
    <col min="8970" max="9216" width="11.5703125" style="5"/>
    <col min="9217" max="9217" width="9.140625" style="5" customWidth="1"/>
    <col min="9218" max="9218" width="12.85546875" style="5" customWidth="1"/>
    <col min="9219" max="9219" width="22.85546875" style="5" customWidth="1"/>
    <col min="9220" max="9220" width="10" style="5" customWidth="1"/>
    <col min="9221" max="9221" width="14" style="5" customWidth="1"/>
    <col min="9222" max="9222" width="22.85546875" style="5" customWidth="1"/>
    <col min="9223" max="9223" width="9.140625" style="5" customWidth="1"/>
    <col min="9224" max="9224" width="12.85546875" style="5" customWidth="1"/>
    <col min="9225" max="9225" width="22.85546875" style="5" customWidth="1"/>
    <col min="9226" max="9472" width="11.5703125" style="5"/>
    <col min="9473" max="9473" width="9.140625" style="5" customWidth="1"/>
    <col min="9474" max="9474" width="12.85546875" style="5" customWidth="1"/>
    <col min="9475" max="9475" width="22.85546875" style="5" customWidth="1"/>
    <col min="9476" max="9476" width="10" style="5" customWidth="1"/>
    <col min="9477" max="9477" width="14" style="5" customWidth="1"/>
    <col min="9478" max="9478" width="22.85546875" style="5" customWidth="1"/>
    <col min="9479" max="9479" width="9.140625" style="5" customWidth="1"/>
    <col min="9480" max="9480" width="12.85546875" style="5" customWidth="1"/>
    <col min="9481" max="9481" width="22.85546875" style="5" customWidth="1"/>
    <col min="9482" max="9728" width="11.5703125" style="5"/>
    <col min="9729" max="9729" width="9.140625" style="5" customWidth="1"/>
    <col min="9730" max="9730" width="12.85546875" style="5" customWidth="1"/>
    <col min="9731" max="9731" width="22.85546875" style="5" customWidth="1"/>
    <col min="9732" max="9732" width="10" style="5" customWidth="1"/>
    <col min="9733" max="9733" width="14" style="5" customWidth="1"/>
    <col min="9734" max="9734" width="22.85546875" style="5" customWidth="1"/>
    <col min="9735" max="9735" width="9.140625" style="5" customWidth="1"/>
    <col min="9736" max="9736" width="12.85546875" style="5" customWidth="1"/>
    <col min="9737" max="9737" width="22.85546875" style="5" customWidth="1"/>
    <col min="9738" max="9984" width="11.5703125" style="5"/>
    <col min="9985" max="9985" width="9.140625" style="5" customWidth="1"/>
    <col min="9986" max="9986" width="12.85546875" style="5" customWidth="1"/>
    <col min="9987" max="9987" width="22.85546875" style="5" customWidth="1"/>
    <col min="9988" max="9988" width="10" style="5" customWidth="1"/>
    <col min="9989" max="9989" width="14" style="5" customWidth="1"/>
    <col min="9990" max="9990" width="22.85546875" style="5" customWidth="1"/>
    <col min="9991" max="9991" width="9.140625" style="5" customWidth="1"/>
    <col min="9992" max="9992" width="12.85546875" style="5" customWidth="1"/>
    <col min="9993" max="9993" width="22.85546875" style="5" customWidth="1"/>
    <col min="9994" max="10240" width="11.5703125" style="5"/>
    <col min="10241" max="10241" width="9.140625" style="5" customWidth="1"/>
    <col min="10242" max="10242" width="12.85546875" style="5" customWidth="1"/>
    <col min="10243" max="10243" width="22.85546875" style="5" customWidth="1"/>
    <col min="10244" max="10244" width="10" style="5" customWidth="1"/>
    <col min="10245" max="10245" width="14" style="5" customWidth="1"/>
    <col min="10246" max="10246" width="22.85546875" style="5" customWidth="1"/>
    <col min="10247" max="10247" width="9.140625" style="5" customWidth="1"/>
    <col min="10248" max="10248" width="12.85546875" style="5" customWidth="1"/>
    <col min="10249" max="10249" width="22.85546875" style="5" customWidth="1"/>
    <col min="10250" max="10496" width="11.5703125" style="5"/>
    <col min="10497" max="10497" width="9.140625" style="5" customWidth="1"/>
    <col min="10498" max="10498" width="12.85546875" style="5" customWidth="1"/>
    <col min="10499" max="10499" width="22.85546875" style="5" customWidth="1"/>
    <col min="10500" max="10500" width="10" style="5" customWidth="1"/>
    <col min="10501" max="10501" width="14" style="5" customWidth="1"/>
    <col min="10502" max="10502" width="22.85546875" style="5" customWidth="1"/>
    <col min="10503" max="10503" width="9.140625" style="5" customWidth="1"/>
    <col min="10504" max="10504" width="12.85546875" style="5" customWidth="1"/>
    <col min="10505" max="10505" width="22.85546875" style="5" customWidth="1"/>
    <col min="10506" max="10752" width="11.5703125" style="5"/>
    <col min="10753" max="10753" width="9.140625" style="5" customWidth="1"/>
    <col min="10754" max="10754" width="12.85546875" style="5" customWidth="1"/>
    <col min="10755" max="10755" width="22.85546875" style="5" customWidth="1"/>
    <col min="10756" max="10756" width="10" style="5" customWidth="1"/>
    <col min="10757" max="10757" width="14" style="5" customWidth="1"/>
    <col min="10758" max="10758" width="22.85546875" style="5" customWidth="1"/>
    <col min="10759" max="10759" width="9.140625" style="5" customWidth="1"/>
    <col min="10760" max="10760" width="12.85546875" style="5" customWidth="1"/>
    <col min="10761" max="10761" width="22.85546875" style="5" customWidth="1"/>
    <col min="10762" max="11008" width="11.5703125" style="5"/>
    <col min="11009" max="11009" width="9.140625" style="5" customWidth="1"/>
    <col min="11010" max="11010" width="12.85546875" style="5" customWidth="1"/>
    <col min="11011" max="11011" width="22.85546875" style="5" customWidth="1"/>
    <col min="11012" max="11012" width="10" style="5" customWidth="1"/>
    <col min="11013" max="11013" width="14" style="5" customWidth="1"/>
    <col min="11014" max="11014" width="22.85546875" style="5" customWidth="1"/>
    <col min="11015" max="11015" width="9.140625" style="5" customWidth="1"/>
    <col min="11016" max="11016" width="12.85546875" style="5" customWidth="1"/>
    <col min="11017" max="11017" width="22.85546875" style="5" customWidth="1"/>
    <col min="11018" max="11264" width="11.5703125" style="5"/>
    <col min="11265" max="11265" width="9.140625" style="5" customWidth="1"/>
    <col min="11266" max="11266" width="12.85546875" style="5" customWidth="1"/>
    <col min="11267" max="11267" width="22.85546875" style="5" customWidth="1"/>
    <col min="11268" max="11268" width="10" style="5" customWidth="1"/>
    <col min="11269" max="11269" width="14" style="5" customWidth="1"/>
    <col min="11270" max="11270" width="22.85546875" style="5" customWidth="1"/>
    <col min="11271" max="11271" width="9.140625" style="5" customWidth="1"/>
    <col min="11272" max="11272" width="12.85546875" style="5" customWidth="1"/>
    <col min="11273" max="11273" width="22.85546875" style="5" customWidth="1"/>
    <col min="11274" max="11520" width="11.5703125" style="5"/>
    <col min="11521" max="11521" width="9.140625" style="5" customWidth="1"/>
    <col min="11522" max="11522" width="12.85546875" style="5" customWidth="1"/>
    <col min="11523" max="11523" width="22.85546875" style="5" customWidth="1"/>
    <col min="11524" max="11524" width="10" style="5" customWidth="1"/>
    <col min="11525" max="11525" width="14" style="5" customWidth="1"/>
    <col min="11526" max="11526" width="22.85546875" style="5" customWidth="1"/>
    <col min="11527" max="11527" width="9.140625" style="5" customWidth="1"/>
    <col min="11528" max="11528" width="12.85546875" style="5" customWidth="1"/>
    <col min="11529" max="11529" width="22.85546875" style="5" customWidth="1"/>
    <col min="11530" max="11776" width="11.5703125" style="5"/>
    <col min="11777" max="11777" width="9.140625" style="5" customWidth="1"/>
    <col min="11778" max="11778" width="12.85546875" style="5" customWidth="1"/>
    <col min="11779" max="11779" width="22.85546875" style="5" customWidth="1"/>
    <col min="11780" max="11780" width="10" style="5" customWidth="1"/>
    <col min="11781" max="11781" width="14" style="5" customWidth="1"/>
    <col min="11782" max="11782" width="22.85546875" style="5" customWidth="1"/>
    <col min="11783" max="11783" width="9.140625" style="5" customWidth="1"/>
    <col min="11784" max="11784" width="12.85546875" style="5" customWidth="1"/>
    <col min="11785" max="11785" width="22.85546875" style="5" customWidth="1"/>
    <col min="11786" max="12032" width="11.5703125" style="5"/>
    <col min="12033" max="12033" width="9.140625" style="5" customWidth="1"/>
    <col min="12034" max="12034" width="12.85546875" style="5" customWidth="1"/>
    <col min="12035" max="12035" width="22.85546875" style="5" customWidth="1"/>
    <col min="12036" max="12036" width="10" style="5" customWidth="1"/>
    <col min="12037" max="12037" width="14" style="5" customWidth="1"/>
    <col min="12038" max="12038" width="22.85546875" style="5" customWidth="1"/>
    <col min="12039" max="12039" width="9.140625" style="5" customWidth="1"/>
    <col min="12040" max="12040" width="12.85546875" style="5" customWidth="1"/>
    <col min="12041" max="12041" width="22.85546875" style="5" customWidth="1"/>
    <col min="12042" max="12288" width="11.5703125" style="5"/>
    <col min="12289" max="12289" width="9.140625" style="5" customWidth="1"/>
    <col min="12290" max="12290" width="12.85546875" style="5" customWidth="1"/>
    <col min="12291" max="12291" width="22.85546875" style="5" customWidth="1"/>
    <col min="12292" max="12292" width="10" style="5" customWidth="1"/>
    <col min="12293" max="12293" width="14" style="5" customWidth="1"/>
    <col min="12294" max="12294" width="22.85546875" style="5" customWidth="1"/>
    <col min="12295" max="12295" width="9.140625" style="5" customWidth="1"/>
    <col min="12296" max="12296" width="12.85546875" style="5" customWidth="1"/>
    <col min="12297" max="12297" width="22.85546875" style="5" customWidth="1"/>
    <col min="12298" max="12544" width="11.5703125" style="5"/>
    <col min="12545" max="12545" width="9.140625" style="5" customWidth="1"/>
    <col min="12546" max="12546" width="12.85546875" style="5" customWidth="1"/>
    <col min="12547" max="12547" width="22.85546875" style="5" customWidth="1"/>
    <col min="12548" max="12548" width="10" style="5" customWidth="1"/>
    <col min="12549" max="12549" width="14" style="5" customWidth="1"/>
    <col min="12550" max="12550" width="22.85546875" style="5" customWidth="1"/>
    <col min="12551" max="12551" width="9.140625" style="5" customWidth="1"/>
    <col min="12552" max="12552" width="12.85546875" style="5" customWidth="1"/>
    <col min="12553" max="12553" width="22.85546875" style="5" customWidth="1"/>
    <col min="12554" max="12800" width="11.5703125" style="5"/>
    <col min="12801" max="12801" width="9.140625" style="5" customWidth="1"/>
    <col min="12802" max="12802" width="12.85546875" style="5" customWidth="1"/>
    <col min="12803" max="12803" width="22.85546875" style="5" customWidth="1"/>
    <col min="12804" max="12804" width="10" style="5" customWidth="1"/>
    <col min="12805" max="12805" width="14" style="5" customWidth="1"/>
    <col min="12806" max="12806" width="22.85546875" style="5" customWidth="1"/>
    <col min="12807" max="12807" width="9.140625" style="5" customWidth="1"/>
    <col min="12808" max="12808" width="12.85546875" style="5" customWidth="1"/>
    <col min="12809" max="12809" width="22.85546875" style="5" customWidth="1"/>
    <col min="12810" max="13056" width="11.5703125" style="5"/>
    <col min="13057" max="13057" width="9.140625" style="5" customWidth="1"/>
    <col min="13058" max="13058" width="12.85546875" style="5" customWidth="1"/>
    <col min="13059" max="13059" width="22.85546875" style="5" customWidth="1"/>
    <col min="13060" max="13060" width="10" style="5" customWidth="1"/>
    <col min="13061" max="13061" width="14" style="5" customWidth="1"/>
    <col min="13062" max="13062" width="22.85546875" style="5" customWidth="1"/>
    <col min="13063" max="13063" width="9.140625" style="5" customWidth="1"/>
    <col min="13064" max="13064" width="12.85546875" style="5" customWidth="1"/>
    <col min="13065" max="13065" width="22.85546875" style="5" customWidth="1"/>
    <col min="13066" max="13312" width="11.5703125" style="5"/>
    <col min="13313" max="13313" width="9.140625" style="5" customWidth="1"/>
    <col min="13314" max="13314" width="12.85546875" style="5" customWidth="1"/>
    <col min="13315" max="13315" width="22.85546875" style="5" customWidth="1"/>
    <col min="13316" max="13316" width="10" style="5" customWidth="1"/>
    <col min="13317" max="13317" width="14" style="5" customWidth="1"/>
    <col min="13318" max="13318" width="22.85546875" style="5" customWidth="1"/>
    <col min="13319" max="13319" width="9.140625" style="5" customWidth="1"/>
    <col min="13320" max="13320" width="12.85546875" style="5" customWidth="1"/>
    <col min="13321" max="13321" width="22.85546875" style="5" customWidth="1"/>
    <col min="13322" max="13568" width="11.5703125" style="5"/>
    <col min="13569" max="13569" width="9.140625" style="5" customWidth="1"/>
    <col min="13570" max="13570" width="12.85546875" style="5" customWidth="1"/>
    <col min="13571" max="13571" width="22.85546875" style="5" customWidth="1"/>
    <col min="13572" max="13572" width="10" style="5" customWidth="1"/>
    <col min="13573" max="13573" width="14" style="5" customWidth="1"/>
    <col min="13574" max="13574" width="22.85546875" style="5" customWidth="1"/>
    <col min="13575" max="13575" width="9.140625" style="5" customWidth="1"/>
    <col min="13576" max="13576" width="12.85546875" style="5" customWidth="1"/>
    <col min="13577" max="13577" width="22.85546875" style="5" customWidth="1"/>
    <col min="13578" max="13824" width="11.5703125" style="5"/>
    <col min="13825" max="13825" width="9.140625" style="5" customWidth="1"/>
    <col min="13826" max="13826" width="12.85546875" style="5" customWidth="1"/>
    <col min="13827" max="13827" width="22.85546875" style="5" customWidth="1"/>
    <col min="13828" max="13828" width="10" style="5" customWidth="1"/>
    <col min="13829" max="13829" width="14" style="5" customWidth="1"/>
    <col min="13830" max="13830" width="22.85546875" style="5" customWidth="1"/>
    <col min="13831" max="13831" width="9.140625" style="5" customWidth="1"/>
    <col min="13832" max="13832" width="12.85546875" style="5" customWidth="1"/>
    <col min="13833" max="13833" width="22.85546875" style="5" customWidth="1"/>
    <col min="13834" max="14080" width="11.5703125" style="5"/>
    <col min="14081" max="14081" width="9.140625" style="5" customWidth="1"/>
    <col min="14082" max="14082" width="12.85546875" style="5" customWidth="1"/>
    <col min="14083" max="14083" width="22.85546875" style="5" customWidth="1"/>
    <col min="14084" max="14084" width="10" style="5" customWidth="1"/>
    <col min="14085" max="14085" width="14" style="5" customWidth="1"/>
    <col min="14086" max="14086" width="22.85546875" style="5" customWidth="1"/>
    <col min="14087" max="14087" width="9.140625" style="5" customWidth="1"/>
    <col min="14088" max="14088" width="12.85546875" style="5" customWidth="1"/>
    <col min="14089" max="14089" width="22.85546875" style="5" customWidth="1"/>
    <col min="14090" max="14336" width="11.5703125" style="5"/>
    <col min="14337" max="14337" width="9.140625" style="5" customWidth="1"/>
    <col min="14338" max="14338" width="12.85546875" style="5" customWidth="1"/>
    <col min="14339" max="14339" width="22.85546875" style="5" customWidth="1"/>
    <col min="14340" max="14340" width="10" style="5" customWidth="1"/>
    <col min="14341" max="14341" width="14" style="5" customWidth="1"/>
    <col min="14342" max="14342" width="22.85546875" style="5" customWidth="1"/>
    <col min="14343" max="14343" width="9.140625" style="5" customWidth="1"/>
    <col min="14344" max="14344" width="12.85546875" style="5" customWidth="1"/>
    <col min="14345" max="14345" width="22.85546875" style="5" customWidth="1"/>
    <col min="14346" max="14592" width="11.5703125" style="5"/>
    <col min="14593" max="14593" width="9.140625" style="5" customWidth="1"/>
    <col min="14594" max="14594" width="12.85546875" style="5" customWidth="1"/>
    <col min="14595" max="14595" width="22.85546875" style="5" customWidth="1"/>
    <col min="14596" max="14596" width="10" style="5" customWidth="1"/>
    <col min="14597" max="14597" width="14" style="5" customWidth="1"/>
    <col min="14598" max="14598" width="22.85546875" style="5" customWidth="1"/>
    <col min="14599" max="14599" width="9.140625" style="5" customWidth="1"/>
    <col min="14600" max="14600" width="12.85546875" style="5" customWidth="1"/>
    <col min="14601" max="14601" width="22.85546875" style="5" customWidth="1"/>
    <col min="14602" max="14848" width="11.5703125" style="5"/>
    <col min="14849" max="14849" width="9.140625" style="5" customWidth="1"/>
    <col min="14850" max="14850" width="12.85546875" style="5" customWidth="1"/>
    <col min="14851" max="14851" width="22.85546875" style="5" customWidth="1"/>
    <col min="14852" max="14852" width="10" style="5" customWidth="1"/>
    <col min="14853" max="14853" width="14" style="5" customWidth="1"/>
    <col min="14854" max="14854" width="22.85546875" style="5" customWidth="1"/>
    <col min="14855" max="14855" width="9.140625" style="5" customWidth="1"/>
    <col min="14856" max="14856" width="12.85546875" style="5" customWidth="1"/>
    <col min="14857" max="14857" width="22.85546875" style="5" customWidth="1"/>
    <col min="14858" max="15104" width="11.5703125" style="5"/>
    <col min="15105" max="15105" width="9.140625" style="5" customWidth="1"/>
    <col min="15106" max="15106" width="12.85546875" style="5" customWidth="1"/>
    <col min="15107" max="15107" width="22.85546875" style="5" customWidth="1"/>
    <col min="15108" max="15108" width="10" style="5" customWidth="1"/>
    <col min="15109" max="15109" width="14" style="5" customWidth="1"/>
    <col min="15110" max="15110" width="22.85546875" style="5" customWidth="1"/>
    <col min="15111" max="15111" width="9.140625" style="5" customWidth="1"/>
    <col min="15112" max="15112" width="12.85546875" style="5" customWidth="1"/>
    <col min="15113" max="15113" width="22.85546875" style="5" customWidth="1"/>
    <col min="15114" max="15360" width="11.5703125" style="5"/>
    <col min="15361" max="15361" width="9.140625" style="5" customWidth="1"/>
    <col min="15362" max="15362" width="12.85546875" style="5" customWidth="1"/>
    <col min="15363" max="15363" width="22.85546875" style="5" customWidth="1"/>
    <col min="15364" max="15364" width="10" style="5" customWidth="1"/>
    <col min="15365" max="15365" width="14" style="5" customWidth="1"/>
    <col min="15366" max="15366" width="22.85546875" style="5" customWidth="1"/>
    <col min="15367" max="15367" width="9.140625" style="5" customWidth="1"/>
    <col min="15368" max="15368" width="12.85546875" style="5" customWidth="1"/>
    <col min="15369" max="15369" width="22.85546875" style="5" customWidth="1"/>
    <col min="15370" max="15616" width="11.5703125" style="5"/>
    <col min="15617" max="15617" width="9.140625" style="5" customWidth="1"/>
    <col min="15618" max="15618" width="12.85546875" style="5" customWidth="1"/>
    <col min="15619" max="15619" width="22.85546875" style="5" customWidth="1"/>
    <col min="15620" max="15620" width="10" style="5" customWidth="1"/>
    <col min="15621" max="15621" width="14" style="5" customWidth="1"/>
    <col min="15622" max="15622" width="22.85546875" style="5" customWidth="1"/>
    <col min="15623" max="15623" width="9.140625" style="5" customWidth="1"/>
    <col min="15624" max="15624" width="12.85546875" style="5" customWidth="1"/>
    <col min="15625" max="15625" width="22.85546875" style="5" customWidth="1"/>
    <col min="15626" max="15872" width="11.5703125" style="5"/>
    <col min="15873" max="15873" width="9.140625" style="5" customWidth="1"/>
    <col min="15874" max="15874" width="12.85546875" style="5" customWidth="1"/>
    <col min="15875" max="15875" width="22.85546875" style="5" customWidth="1"/>
    <col min="15876" max="15876" width="10" style="5" customWidth="1"/>
    <col min="15877" max="15877" width="14" style="5" customWidth="1"/>
    <col min="15878" max="15878" width="22.85546875" style="5" customWidth="1"/>
    <col min="15879" max="15879" width="9.140625" style="5" customWidth="1"/>
    <col min="15880" max="15880" width="12.85546875" style="5" customWidth="1"/>
    <col min="15881" max="15881" width="22.85546875" style="5" customWidth="1"/>
    <col min="15882" max="16128" width="11.5703125" style="5"/>
    <col min="16129" max="16129" width="9.140625" style="5" customWidth="1"/>
    <col min="16130" max="16130" width="12.85546875" style="5" customWidth="1"/>
    <col min="16131" max="16131" width="22.85546875" style="5" customWidth="1"/>
    <col min="16132" max="16132" width="10" style="5" customWidth="1"/>
    <col min="16133" max="16133" width="14" style="5" customWidth="1"/>
    <col min="16134" max="16134" width="22.85546875" style="5" customWidth="1"/>
    <col min="16135" max="16135" width="9.140625" style="5" customWidth="1"/>
    <col min="16136" max="16136" width="12.85546875" style="5" customWidth="1"/>
    <col min="16137" max="16137" width="22.85546875" style="5" customWidth="1"/>
    <col min="16138" max="16384" width="11.5703125" style="5"/>
  </cols>
  <sheetData>
    <row r="1" spans="1:10" ht="28.7" customHeight="1" x14ac:dyDescent="0.25">
      <c r="A1" s="388" t="s">
        <v>670</v>
      </c>
      <c r="B1" s="389"/>
      <c r="C1" s="389"/>
      <c r="D1" s="389"/>
      <c r="E1" s="389"/>
      <c r="F1" s="389"/>
      <c r="G1" s="389"/>
      <c r="H1" s="389"/>
      <c r="I1" s="389"/>
    </row>
    <row r="2" spans="1:10" x14ac:dyDescent="0.25">
      <c r="A2" s="357" t="s">
        <v>6</v>
      </c>
      <c r="B2" s="358"/>
      <c r="C2" s="359" t="s">
        <v>7</v>
      </c>
      <c r="D2" s="335"/>
      <c r="E2" s="362" t="s">
        <v>9</v>
      </c>
      <c r="F2" s="362" t="s">
        <v>10</v>
      </c>
      <c r="G2" s="358"/>
      <c r="H2" s="362" t="s">
        <v>671</v>
      </c>
      <c r="I2" s="390"/>
      <c r="J2" s="6"/>
    </row>
    <row r="3" spans="1:10" ht="25.7" customHeight="1" x14ac:dyDescent="0.25">
      <c r="A3" s="354"/>
      <c r="B3" s="337"/>
      <c r="C3" s="360"/>
      <c r="D3" s="360"/>
      <c r="E3" s="337"/>
      <c r="F3" s="337"/>
      <c r="G3" s="337"/>
      <c r="H3" s="337"/>
      <c r="I3" s="352"/>
      <c r="J3" s="6"/>
    </row>
    <row r="4" spans="1:10" x14ac:dyDescent="0.25">
      <c r="A4" s="346" t="s">
        <v>11</v>
      </c>
      <c r="B4" s="337"/>
      <c r="C4" s="336" t="s">
        <v>732</v>
      </c>
      <c r="D4" s="337"/>
      <c r="E4" s="336" t="s">
        <v>14</v>
      </c>
      <c r="F4" s="336" t="s">
        <v>15</v>
      </c>
      <c r="G4" s="337"/>
      <c r="H4" s="336" t="s">
        <v>671</v>
      </c>
      <c r="I4" s="385"/>
      <c r="J4" s="6"/>
    </row>
    <row r="5" spans="1:10" x14ac:dyDescent="0.25">
      <c r="A5" s="354"/>
      <c r="B5" s="337"/>
      <c r="C5" s="337"/>
      <c r="D5" s="337"/>
      <c r="E5" s="337"/>
      <c r="F5" s="337"/>
      <c r="G5" s="337"/>
      <c r="H5" s="337"/>
      <c r="I5" s="352"/>
      <c r="J5" s="6"/>
    </row>
    <row r="6" spans="1:10" x14ac:dyDescent="0.25">
      <c r="A6" s="346" t="s">
        <v>16</v>
      </c>
      <c r="B6" s="337"/>
      <c r="C6" s="336" t="s">
        <v>17</v>
      </c>
      <c r="D6" s="337"/>
      <c r="E6" s="336" t="s">
        <v>19</v>
      </c>
      <c r="F6" s="336" t="s">
        <v>20</v>
      </c>
      <c r="G6" s="337"/>
      <c r="H6" s="336" t="s">
        <v>671</v>
      </c>
      <c r="I6" s="385"/>
      <c r="J6" s="6"/>
    </row>
    <row r="7" spans="1:10" x14ac:dyDescent="0.25">
      <c r="A7" s="354"/>
      <c r="B7" s="337"/>
      <c r="C7" s="337"/>
      <c r="D7" s="337"/>
      <c r="E7" s="337"/>
      <c r="F7" s="337"/>
      <c r="G7" s="337"/>
      <c r="H7" s="337"/>
      <c r="I7" s="352"/>
      <c r="J7" s="6"/>
    </row>
    <row r="8" spans="1:10" x14ac:dyDescent="0.25">
      <c r="A8" s="346" t="s">
        <v>13</v>
      </c>
      <c r="B8" s="337"/>
      <c r="C8" s="350">
        <v>44409</v>
      </c>
      <c r="D8" s="337"/>
      <c r="E8" s="336" t="s">
        <v>18</v>
      </c>
      <c r="F8" s="337"/>
      <c r="G8" s="337"/>
      <c r="H8" s="349" t="s">
        <v>672</v>
      </c>
      <c r="I8" s="385" t="s">
        <v>187</v>
      </c>
      <c r="J8" s="6"/>
    </row>
    <row r="9" spans="1:10" x14ac:dyDescent="0.25">
      <c r="A9" s="354"/>
      <c r="B9" s="337"/>
      <c r="C9" s="337"/>
      <c r="D9" s="337"/>
      <c r="E9" s="337"/>
      <c r="F9" s="337"/>
      <c r="G9" s="337"/>
      <c r="H9" s="337"/>
      <c r="I9" s="352"/>
      <c r="J9" s="6"/>
    </row>
    <row r="10" spans="1:10" x14ac:dyDescent="0.25">
      <c r="A10" s="346" t="s">
        <v>21</v>
      </c>
      <c r="B10" s="337"/>
      <c r="C10" s="336">
        <v>8016</v>
      </c>
      <c r="D10" s="337"/>
      <c r="E10" s="336" t="s">
        <v>23</v>
      </c>
      <c r="F10" s="336" t="s">
        <v>24</v>
      </c>
      <c r="G10" s="337"/>
      <c r="H10" s="349" t="s">
        <v>673</v>
      </c>
      <c r="I10" s="383">
        <v>44228</v>
      </c>
      <c r="J10" s="6"/>
    </row>
    <row r="11" spans="1:10" x14ac:dyDescent="0.25">
      <c r="A11" s="386"/>
      <c r="B11" s="387"/>
      <c r="C11" s="387"/>
      <c r="D11" s="387"/>
      <c r="E11" s="387"/>
      <c r="F11" s="387"/>
      <c r="G11" s="387"/>
      <c r="H11" s="387"/>
      <c r="I11" s="384"/>
      <c r="J11" s="6"/>
    </row>
    <row r="12" spans="1:10" ht="23.45" customHeight="1" x14ac:dyDescent="0.25">
      <c r="A12" s="379" t="s">
        <v>674</v>
      </c>
      <c r="B12" s="380"/>
      <c r="C12" s="380"/>
      <c r="D12" s="380"/>
      <c r="E12" s="380"/>
      <c r="F12" s="380"/>
      <c r="G12" s="380"/>
      <c r="H12" s="380"/>
      <c r="I12" s="380"/>
    </row>
    <row r="13" spans="1:10" ht="26.45" customHeight="1" x14ac:dyDescent="0.25">
      <c r="A13" s="41" t="s">
        <v>675</v>
      </c>
      <c r="B13" s="381" t="s">
        <v>676</v>
      </c>
      <c r="C13" s="382"/>
      <c r="D13" s="41" t="s">
        <v>677</v>
      </c>
      <c r="E13" s="381" t="s">
        <v>678</v>
      </c>
      <c r="F13" s="382"/>
      <c r="G13" s="41" t="s">
        <v>679</v>
      </c>
      <c r="H13" s="381" t="s">
        <v>680</v>
      </c>
      <c r="I13" s="382"/>
      <c r="J13" s="6"/>
    </row>
    <row r="14" spans="1:10" ht="15.2" customHeight="1" x14ac:dyDescent="0.25">
      <c r="A14" s="42" t="s">
        <v>681</v>
      </c>
      <c r="B14" s="43" t="s">
        <v>682</v>
      </c>
      <c r="C14" s="44">
        <f>SUM('01 STAVBA Stavební rozpočet'!R12:R105)</f>
        <v>0</v>
      </c>
      <c r="D14" s="377" t="s">
        <v>683</v>
      </c>
      <c r="E14" s="378"/>
      <c r="F14" s="44">
        <f>'01 STAVBA VORN'!I15</f>
        <v>0</v>
      </c>
      <c r="G14" s="377" t="s">
        <v>684</v>
      </c>
      <c r="H14" s="378"/>
      <c r="I14" s="44">
        <f>'01 STAVBA VORN'!I21</f>
        <v>0</v>
      </c>
      <c r="J14" s="6"/>
    </row>
    <row r="15" spans="1:10" ht="15.2" customHeight="1" x14ac:dyDescent="0.25">
      <c r="A15" s="45"/>
      <c r="B15" s="43" t="s">
        <v>39</v>
      </c>
      <c r="C15" s="44">
        <f>SUM('01 STAVBA Stavební rozpočet'!S12:S105)</f>
        <v>0</v>
      </c>
      <c r="D15" s="377" t="s">
        <v>685</v>
      </c>
      <c r="E15" s="378"/>
      <c r="F15" s="44">
        <f>'01 STAVBA VORN'!I16</f>
        <v>0</v>
      </c>
      <c r="G15" s="377" t="s">
        <v>686</v>
      </c>
      <c r="H15" s="378"/>
      <c r="I15" s="44">
        <f>'01 STAVBA VORN'!I22</f>
        <v>0</v>
      </c>
      <c r="J15" s="6"/>
    </row>
    <row r="16" spans="1:10" ht="15.2" customHeight="1" x14ac:dyDescent="0.25">
      <c r="A16" s="42" t="s">
        <v>687</v>
      </c>
      <c r="B16" s="43" t="s">
        <v>682</v>
      </c>
      <c r="C16" s="44">
        <f>SUM('01 STAVBA Stavební rozpočet'!T12:T105)</f>
        <v>0</v>
      </c>
      <c r="D16" s="377" t="s">
        <v>688</v>
      </c>
      <c r="E16" s="378"/>
      <c r="F16" s="44">
        <f>'01 STAVBA VORN'!I17</f>
        <v>0</v>
      </c>
      <c r="G16" s="377" t="s">
        <v>689</v>
      </c>
      <c r="H16" s="378"/>
      <c r="I16" s="44">
        <f>'01 STAVBA VORN'!I23</f>
        <v>0</v>
      </c>
      <c r="J16" s="6"/>
    </row>
    <row r="17" spans="1:10" ht="15.2" customHeight="1" x14ac:dyDescent="0.25">
      <c r="A17" s="45"/>
      <c r="B17" s="43" t="s">
        <v>39</v>
      </c>
      <c r="C17" s="44">
        <f>SUM('01 STAVBA Stavební rozpočet'!U12:U105)</f>
        <v>0</v>
      </c>
      <c r="D17" s="377"/>
      <c r="E17" s="378"/>
      <c r="F17" s="46"/>
      <c r="G17" s="377" t="s">
        <v>690</v>
      </c>
      <c r="H17" s="378"/>
      <c r="I17" s="44">
        <f>'01 STAVBA VORN'!I24</f>
        <v>0</v>
      </c>
      <c r="J17" s="6"/>
    </row>
    <row r="18" spans="1:10" ht="15.2" customHeight="1" x14ac:dyDescent="0.25">
      <c r="A18" s="42" t="s">
        <v>691</v>
      </c>
      <c r="B18" s="43" t="s">
        <v>682</v>
      </c>
      <c r="C18" s="44">
        <f>SUM('01 STAVBA Stavební rozpočet'!V12:V105)</f>
        <v>0</v>
      </c>
      <c r="D18" s="377"/>
      <c r="E18" s="378"/>
      <c r="F18" s="46"/>
      <c r="G18" s="377" t="s">
        <v>692</v>
      </c>
      <c r="H18" s="378"/>
      <c r="I18" s="44">
        <f>'01 STAVBA VORN'!I25</f>
        <v>0</v>
      </c>
      <c r="J18" s="6"/>
    </row>
    <row r="19" spans="1:10" ht="15.2" customHeight="1" x14ac:dyDescent="0.25">
      <c r="A19" s="45"/>
      <c r="B19" s="43" t="s">
        <v>39</v>
      </c>
      <c r="C19" s="44">
        <f>SUM('01 STAVBA Stavební rozpočet'!W12:W105)</f>
        <v>0</v>
      </c>
      <c r="D19" s="377"/>
      <c r="E19" s="378"/>
      <c r="F19" s="46"/>
      <c r="G19" s="377" t="s">
        <v>693</v>
      </c>
      <c r="H19" s="378"/>
      <c r="I19" s="44">
        <f>'01 STAVBA VORN'!I26</f>
        <v>0</v>
      </c>
      <c r="J19" s="6"/>
    </row>
    <row r="20" spans="1:10" ht="15.2" customHeight="1" x14ac:dyDescent="0.25">
      <c r="A20" s="375" t="s">
        <v>694</v>
      </c>
      <c r="B20" s="376"/>
      <c r="C20" s="44">
        <f>SUM('01 STAVBA Stavební rozpočet'!X12:X105)</f>
        <v>0</v>
      </c>
      <c r="D20" s="377"/>
      <c r="E20" s="378"/>
      <c r="F20" s="46"/>
      <c r="G20" s="377"/>
      <c r="H20" s="378"/>
      <c r="I20" s="46"/>
      <c r="J20" s="6"/>
    </row>
    <row r="21" spans="1:10" ht="15.2" customHeight="1" x14ac:dyDescent="0.25">
      <c r="A21" s="375" t="s">
        <v>695</v>
      </c>
      <c r="B21" s="376"/>
      <c r="C21" s="44">
        <f>SUM('01 STAVBA Stavební rozpočet'!P12:P105)</f>
        <v>0</v>
      </c>
      <c r="D21" s="377"/>
      <c r="E21" s="378"/>
      <c r="F21" s="46"/>
      <c r="G21" s="377"/>
      <c r="H21" s="378"/>
      <c r="I21" s="46"/>
      <c r="J21" s="6"/>
    </row>
    <row r="22" spans="1:10" ht="16.7" customHeight="1" x14ac:dyDescent="0.25">
      <c r="A22" s="375" t="s">
        <v>696</v>
      </c>
      <c r="B22" s="376"/>
      <c r="C22" s="44">
        <f>SUM(C14:C21)</f>
        <v>0</v>
      </c>
      <c r="D22" s="375" t="s">
        <v>697</v>
      </c>
      <c r="E22" s="376"/>
      <c r="F22" s="44">
        <f>SUM(F14:F21)</f>
        <v>0</v>
      </c>
      <c r="G22" s="375" t="s">
        <v>698</v>
      </c>
      <c r="H22" s="376"/>
      <c r="I22" s="44">
        <f>ROUND(C22*(2/100),2)</f>
        <v>0</v>
      </c>
      <c r="J22" s="6"/>
    </row>
    <row r="23" spans="1:10" ht="15.2" customHeight="1" thickBot="1" x14ac:dyDescent="0.3">
      <c r="A23" s="37"/>
      <c r="B23" s="37"/>
      <c r="C23" s="47"/>
      <c r="D23" s="375" t="s">
        <v>699</v>
      </c>
      <c r="E23" s="376"/>
      <c r="F23" s="48">
        <v>0</v>
      </c>
      <c r="G23" s="375" t="s">
        <v>700</v>
      </c>
      <c r="H23" s="376"/>
      <c r="I23" s="44">
        <v>0</v>
      </c>
      <c r="J23" s="6"/>
    </row>
    <row r="24" spans="1:10" ht="15.2" customHeight="1" x14ac:dyDescent="0.25">
      <c r="D24" s="37"/>
      <c r="E24" s="37"/>
      <c r="F24" s="49"/>
      <c r="G24" s="375" t="s">
        <v>701</v>
      </c>
      <c r="H24" s="376"/>
      <c r="I24" s="44">
        <f>vorn_sum</f>
        <v>0</v>
      </c>
      <c r="J24" s="6"/>
    </row>
    <row r="25" spans="1:10" ht="15.2" customHeight="1" x14ac:dyDescent="0.25">
      <c r="F25" s="50"/>
      <c r="G25" s="375" t="s">
        <v>702</v>
      </c>
      <c r="H25" s="376"/>
      <c r="I25" s="44">
        <v>0</v>
      </c>
      <c r="J25" s="6"/>
    </row>
    <row r="26" spans="1:10" x14ac:dyDescent="0.25">
      <c r="A26" s="35"/>
      <c r="B26" s="35"/>
      <c r="C26" s="35"/>
      <c r="G26" s="37"/>
      <c r="H26" s="37"/>
      <c r="I26" s="37"/>
    </row>
    <row r="27" spans="1:10" ht="15.2" customHeight="1" x14ac:dyDescent="0.25">
      <c r="A27" s="370" t="s">
        <v>703</v>
      </c>
      <c r="B27" s="371"/>
      <c r="C27" s="51">
        <f>SUM('01 STAVBA Stavební rozpočet'!Z12:Z105)</f>
        <v>0</v>
      </c>
      <c r="D27" s="52"/>
      <c r="E27" s="35"/>
      <c r="F27" s="35"/>
      <c r="G27" s="35"/>
      <c r="H27" s="35"/>
      <c r="I27" s="35"/>
    </row>
    <row r="28" spans="1:10" ht="15.2" customHeight="1" x14ac:dyDescent="0.25">
      <c r="A28" s="370" t="s">
        <v>704</v>
      </c>
      <c r="B28" s="371"/>
      <c r="C28" s="51">
        <f>SUM('01 STAVBA Stavební rozpočet'!AA12:AA105)</f>
        <v>0</v>
      </c>
      <c r="D28" s="370" t="s">
        <v>705</v>
      </c>
      <c r="E28" s="371"/>
      <c r="F28" s="51">
        <f>ROUND(C28*(15/100),2)</f>
        <v>0</v>
      </c>
      <c r="G28" s="370" t="s">
        <v>706</v>
      </c>
      <c r="H28" s="371"/>
      <c r="I28" s="51">
        <f>SUM(C27:C29)</f>
        <v>0</v>
      </c>
      <c r="J28" s="6"/>
    </row>
    <row r="29" spans="1:10" ht="15.2" customHeight="1" x14ac:dyDescent="0.25">
      <c r="A29" s="370" t="s">
        <v>707</v>
      </c>
      <c r="B29" s="371"/>
      <c r="C29" s="51">
        <f>SUM('01 STAVBA Stavební rozpočet'!AB12:AB105)+(F22+I22+F23+I23+I24+I25)</f>
        <v>0</v>
      </c>
      <c r="D29" s="370" t="s">
        <v>708</v>
      </c>
      <c r="E29" s="371"/>
      <c r="F29" s="51">
        <f>ROUND(C29*(21/100),2)</f>
        <v>0</v>
      </c>
      <c r="G29" s="370" t="s">
        <v>709</v>
      </c>
      <c r="H29" s="371"/>
      <c r="I29" s="51">
        <f>SUM(F28:F29)+I28</f>
        <v>0</v>
      </c>
      <c r="J29" s="6"/>
    </row>
    <row r="30" spans="1:10" ht="13.5" thickBot="1" x14ac:dyDescent="0.3">
      <c r="A30" s="53"/>
      <c r="B30" s="53"/>
      <c r="C30" s="53"/>
      <c r="D30" s="53"/>
      <c r="E30" s="53"/>
      <c r="F30" s="53"/>
      <c r="G30" s="53"/>
      <c r="H30" s="53"/>
      <c r="I30" s="53"/>
    </row>
    <row r="31" spans="1:10" ht="14.45" customHeight="1" x14ac:dyDescent="0.25">
      <c r="A31" s="372" t="s">
        <v>710</v>
      </c>
      <c r="B31" s="373"/>
      <c r="C31" s="374"/>
      <c r="D31" s="372" t="s">
        <v>711</v>
      </c>
      <c r="E31" s="373"/>
      <c r="F31" s="374"/>
      <c r="G31" s="372" t="s">
        <v>712</v>
      </c>
      <c r="H31" s="373"/>
      <c r="I31" s="374"/>
      <c r="J31" s="12"/>
    </row>
    <row r="32" spans="1:10" ht="14.45" customHeight="1" x14ac:dyDescent="0.25">
      <c r="A32" s="364"/>
      <c r="B32" s="365"/>
      <c r="C32" s="366"/>
      <c r="D32" s="364"/>
      <c r="E32" s="365"/>
      <c r="F32" s="366"/>
      <c r="G32" s="364"/>
      <c r="H32" s="365"/>
      <c r="I32" s="366"/>
      <c r="J32" s="12"/>
    </row>
    <row r="33" spans="1:10" ht="14.45" customHeight="1" x14ac:dyDescent="0.25">
      <c r="A33" s="364"/>
      <c r="B33" s="365"/>
      <c r="C33" s="366"/>
      <c r="D33" s="364"/>
      <c r="E33" s="365"/>
      <c r="F33" s="366"/>
      <c r="G33" s="364"/>
      <c r="H33" s="365"/>
      <c r="I33" s="366"/>
      <c r="J33" s="12"/>
    </row>
    <row r="34" spans="1:10" ht="14.45" customHeight="1" x14ac:dyDescent="0.25">
      <c r="A34" s="364"/>
      <c r="B34" s="365"/>
      <c r="C34" s="366"/>
      <c r="D34" s="364"/>
      <c r="E34" s="365"/>
      <c r="F34" s="366"/>
      <c r="G34" s="364"/>
      <c r="H34" s="365"/>
      <c r="I34" s="366"/>
      <c r="J34" s="12"/>
    </row>
    <row r="35" spans="1:10" ht="14.45" customHeight="1" thickBot="1" x14ac:dyDescent="0.3">
      <c r="A35" s="367" t="s">
        <v>713</v>
      </c>
      <c r="B35" s="368"/>
      <c r="C35" s="369"/>
      <c r="D35" s="367" t="s">
        <v>713</v>
      </c>
      <c r="E35" s="368"/>
      <c r="F35" s="369"/>
      <c r="G35" s="367" t="s">
        <v>713</v>
      </c>
      <c r="H35" s="368"/>
      <c r="I35" s="369"/>
      <c r="J35" s="12"/>
    </row>
    <row r="36" spans="1:10" ht="11.25" customHeight="1" x14ac:dyDescent="0.25">
      <c r="A36" s="54" t="s">
        <v>669</v>
      </c>
      <c r="B36" s="55"/>
      <c r="C36" s="55"/>
      <c r="D36" s="55"/>
      <c r="E36" s="55"/>
      <c r="F36" s="55"/>
      <c r="G36" s="55"/>
      <c r="H36" s="55"/>
      <c r="I36" s="55"/>
    </row>
    <row r="37" spans="1:10" ht="218.1" customHeight="1" x14ac:dyDescent="0.25">
      <c r="A37" s="336"/>
      <c r="B37" s="337"/>
      <c r="C37" s="337"/>
      <c r="D37" s="337"/>
      <c r="E37" s="337"/>
      <c r="F37" s="337"/>
      <c r="G37" s="337"/>
      <c r="H37" s="337"/>
      <c r="I37" s="337"/>
    </row>
  </sheetData>
  <mergeCells count="83">
    <mergeCell ref="A1:I1"/>
    <mergeCell ref="A2:B3"/>
    <mergeCell ref="C2:D3"/>
    <mergeCell ref="E2:E3"/>
    <mergeCell ref="F2:G3"/>
    <mergeCell ref="H2:H3"/>
    <mergeCell ref="I2:I3"/>
    <mergeCell ref="I6:I7"/>
    <mergeCell ref="A4:B5"/>
    <mergeCell ref="C4:D5"/>
    <mergeCell ref="E4:E5"/>
    <mergeCell ref="F4:G5"/>
    <mergeCell ref="H4:H5"/>
    <mergeCell ref="I4:I5"/>
    <mergeCell ref="A6:B7"/>
    <mergeCell ref="C6:D7"/>
    <mergeCell ref="E6:E7"/>
    <mergeCell ref="F6:G7"/>
    <mergeCell ref="H6:H7"/>
    <mergeCell ref="I10:I11"/>
    <mergeCell ref="A8:B9"/>
    <mergeCell ref="C8:D9"/>
    <mergeCell ref="E8:E9"/>
    <mergeCell ref="F8:G9"/>
    <mergeCell ref="H8:H9"/>
    <mergeCell ref="I8:I9"/>
    <mergeCell ref="A10:B11"/>
    <mergeCell ref="C10:D11"/>
    <mergeCell ref="E10:E11"/>
    <mergeCell ref="F10:G11"/>
    <mergeCell ref="H10:H11"/>
    <mergeCell ref="A12:I12"/>
    <mergeCell ref="B13:C13"/>
    <mergeCell ref="E13:F13"/>
    <mergeCell ref="H13:I13"/>
    <mergeCell ref="D14:E14"/>
    <mergeCell ref="G14:H14"/>
    <mergeCell ref="D15:E15"/>
    <mergeCell ref="G15:H15"/>
    <mergeCell ref="D16:E16"/>
    <mergeCell ref="G16:H16"/>
    <mergeCell ref="D17:E17"/>
    <mergeCell ref="G17:H17"/>
    <mergeCell ref="D18:E18"/>
    <mergeCell ref="G18:H18"/>
    <mergeCell ref="D19:E19"/>
    <mergeCell ref="G19:H19"/>
    <mergeCell ref="A20:B20"/>
    <mergeCell ref="D20:E20"/>
    <mergeCell ref="G20:H20"/>
    <mergeCell ref="A28:B28"/>
    <mergeCell ref="D28:E28"/>
    <mergeCell ref="G28:H28"/>
    <mergeCell ref="A21:B21"/>
    <mergeCell ref="D21:E21"/>
    <mergeCell ref="G21:H21"/>
    <mergeCell ref="A22:B22"/>
    <mergeCell ref="D22:E22"/>
    <mergeCell ref="G22:H22"/>
    <mergeCell ref="D23:E23"/>
    <mergeCell ref="G23:H23"/>
    <mergeCell ref="G24:H24"/>
    <mergeCell ref="G25:H25"/>
    <mergeCell ref="A27:B27"/>
    <mergeCell ref="A29:B29"/>
    <mergeCell ref="D29:E29"/>
    <mergeCell ref="G29:H29"/>
    <mergeCell ref="A31:C31"/>
    <mergeCell ref="D31:F31"/>
    <mergeCell ref="G31:I31"/>
    <mergeCell ref="A32:C32"/>
    <mergeCell ref="D32:F32"/>
    <mergeCell ref="G32:I32"/>
    <mergeCell ref="A33:C33"/>
    <mergeCell ref="D33:F33"/>
    <mergeCell ref="G33:I33"/>
    <mergeCell ref="A37:I37"/>
    <mergeCell ref="A34:C34"/>
    <mergeCell ref="D34:F34"/>
    <mergeCell ref="G34:I34"/>
    <mergeCell ref="A35:C35"/>
    <mergeCell ref="D35:F35"/>
    <mergeCell ref="G35:I35"/>
  </mergeCells>
  <pageMargins left="0.39400000000000002" right="0.39400000000000002" top="0.59099999999999997" bottom="0.59099999999999997" header="0.5" footer="0.5"/>
  <pageSetup paperSize="0" fitToHeight="0"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738C2-23C7-486E-BD31-BBDF15198825}">
  <sheetPr>
    <pageSetUpPr fitToPage="1"/>
  </sheetPr>
  <dimension ref="A1:J42"/>
  <sheetViews>
    <sheetView topLeftCell="A19" workbookViewId="0">
      <selection activeCell="F36" sqref="F36:F40"/>
    </sheetView>
  </sheetViews>
  <sheetFormatPr defaultColWidth="11.5703125" defaultRowHeight="12.75" x14ac:dyDescent="0.25"/>
  <cols>
    <col min="1" max="1" width="9.140625" style="5" customWidth="1"/>
    <col min="2" max="2" width="12.85546875" style="5" customWidth="1"/>
    <col min="3" max="3" width="22.85546875" style="5" customWidth="1"/>
    <col min="4" max="4" width="10" style="5" customWidth="1"/>
    <col min="5" max="5" width="14" style="5" customWidth="1"/>
    <col min="6" max="6" width="22.85546875" style="5" customWidth="1"/>
    <col min="7" max="7" width="9.140625" style="5" customWidth="1"/>
    <col min="8" max="8" width="17.140625" style="5" customWidth="1"/>
    <col min="9" max="9" width="22.85546875" style="5" customWidth="1"/>
    <col min="10" max="256" width="11.5703125" style="5"/>
    <col min="257" max="257" width="9.140625" style="5" customWidth="1"/>
    <col min="258" max="258" width="12.85546875" style="5" customWidth="1"/>
    <col min="259" max="259" width="22.85546875" style="5" customWidth="1"/>
    <col min="260" max="260" width="10" style="5" customWidth="1"/>
    <col min="261" max="261" width="14" style="5" customWidth="1"/>
    <col min="262" max="262" width="22.85546875" style="5" customWidth="1"/>
    <col min="263" max="263" width="9.140625" style="5" customWidth="1"/>
    <col min="264" max="264" width="17.140625" style="5" customWidth="1"/>
    <col min="265" max="265" width="22.85546875" style="5" customWidth="1"/>
    <col min="266" max="512" width="11.5703125" style="5"/>
    <col min="513" max="513" width="9.140625" style="5" customWidth="1"/>
    <col min="514" max="514" width="12.85546875" style="5" customWidth="1"/>
    <col min="515" max="515" width="22.85546875" style="5" customWidth="1"/>
    <col min="516" max="516" width="10" style="5" customWidth="1"/>
    <col min="517" max="517" width="14" style="5" customWidth="1"/>
    <col min="518" max="518" width="22.85546875" style="5" customWidth="1"/>
    <col min="519" max="519" width="9.140625" style="5" customWidth="1"/>
    <col min="520" max="520" width="17.140625" style="5" customWidth="1"/>
    <col min="521" max="521" width="22.85546875" style="5" customWidth="1"/>
    <col min="522" max="768" width="11.5703125" style="5"/>
    <col min="769" max="769" width="9.140625" style="5" customWidth="1"/>
    <col min="770" max="770" width="12.85546875" style="5" customWidth="1"/>
    <col min="771" max="771" width="22.85546875" style="5" customWidth="1"/>
    <col min="772" max="772" width="10" style="5" customWidth="1"/>
    <col min="773" max="773" width="14" style="5" customWidth="1"/>
    <col min="774" max="774" width="22.85546875" style="5" customWidth="1"/>
    <col min="775" max="775" width="9.140625" style="5" customWidth="1"/>
    <col min="776" max="776" width="17.140625" style="5" customWidth="1"/>
    <col min="777" max="777" width="22.85546875" style="5" customWidth="1"/>
    <col min="778" max="1024" width="11.5703125" style="5"/>
    <col min="1025" max="1025" width="9.140625" style="5" customWidth="1"/>
    <col min="1026" max="1026" width="12.85546875" style="5" customWidth="1"/>
    <col min="1027" max="1027" width="22.85546875" style="5" customWidth="1"/>
    <col min="1028" max="1028" width="10" style="5" customWidth="1"/>
    <col min="1029" max="1029" width="14" style="5" customWidth="1"/>
    <col min="1030" max="1030" width="22.85546875" style="5" customWidth="1"/>
    <col min="1031" max="1031" width="9.140625" style="5" customWidth="1"/>
    <col min="1032" max="1032" width="17.140625" style="5" customWidth="1"/>
    <col min="1033" max="1033" width="22.85546875" style="5" customWidth="1"/>
    <col min="1034" max="1280" width="11.5703125" style="5"/>
    <col min="1281" max="1281" width="9.140625" style="5" customWidth="1"/>
    <col min="1282" max="1282" width="12.85546875" style="5" customWidth="1"/>
    <col min="1283" max="1283" width="22.85546875" style="5" customWidth="1"/>
    <col min="1284" max="1284" width="10" style="5" customWidth="1"/>
    <col min="1285" max="1285" width="14" style="5" customWidth="1"/>
    <col min="1286" max="1286" width="22.85546875" style="5" customWidth="1"/>
    <col min="1287" max="1287" width="9.140625" style="5" customWidth="1"/>
    <col min="1288" max="1288" width="17.140625" style="5" customWidth="1"/>
    <col min="1289" max="1289" width="22.85546875" style="5" customWidth="1"/>
    <col min="1290" max="1536" width="11.5703125" style="5"/>
    <col min="1537" max="1537" width="9.140625" style="5" customWidth="1"/>
    <col min="1538" max="1538" width="12.85546875" style="5" customWidth="1"/>
    <col min="1539" max="1539" width="22.85546875" style="5" customWidth="1"/>
    <col min="1540" max="1540" width="10" style="5" customWidth="1"/>
    <col min="1541" max="1541" width="14" style="5" customWidth="1"/>
    <col min="1542" max="1542" width="22.85546875" style="5" customWidth="1"/>
    <col min="1543" max="1543" width="9.140625" style="5" customWidth="1"/>
    <col min="1544" max="1544" width="17.140625" style="5" customWidth="1"/>
    <col min="1545" max="1545" width="22.85546875" style="5" customWidth="1"/>
    <col min="1546" max="1792" width="11.5703125" style="5"/>
    <col min="1793" max="1793" width="9.140625" style="5" customWidth="1"/>
    <col min="1794" max="1794" width="12.85546875" style="5" customWidth="1"/>
    <col min="1795" max="1795" width="22.85546875" style="5" customWidth="1"/>
    <col min="1796" max="1796" width="10" style="5" customWidth="1"/>
    <col min="1797" max="1797" width="14" style="5" customWidth="1"/>
    <col min="1798" max="1798" width="22.85546875" style="5" customWidth="1"/>
    <col min="1799" max="1799" width="9.140625" style="5" customWidth="1"/>
    <col min="1800" max="1800" width="17.140625" style="5" customWidth="1"/>
    <col min="1801" max="1801" width="22.85546875" style="5" customWidth="1"/>
    <col min="1802" max="2048" width="11.5703125" style="5"/>
    <col min="2049" max="2049" width="9.140625" style="5" customWidth="1"/>
    <col min="2050" max="2050" width="12.85546875" style="5" customWidth="1"/>
    <col min="2051" max="2051" width="22.85546875" style="5" customWidth="1"/>
    <col min="2052" max="2052" width="10" style="5" customWidth="1"/>
    <col min="2053" max="2053" width="14" style="5" customWidth="1"/>
    <col min="2054" max="2054" width="22.85546875" style="5" customWidth="1"/>
    <col min="2055" max="2055" width="9.140625" style="5" customWidth="1"/>
    <col min="2056" max="2056" width="17.140625" style="5" customWidth="1"/>
    <col min="2057" max="2057" width="22.85546875" style="5" customWidth="1"/>
    <col min="2058" max="2304" width="11.5703125" style="5"/>
    <col min="2305" max="2305" width="9.140625" style="5" customWidth="1"/>
    <col min="2306" max="2306" width="12.85546875" style="5" customWidth="1"/>
    <col min="2307" max="2307" width="22.85546875" style="5" customWidth="1"/>
    <col min="2308" max="2308" width="10" style="5" customWidth="1"/>
    <col min="2309" max="2309" width="14" style="5" customWidth="1"/>
    <col min="2310" max="2310" width="22.85546875" style="5" customWidth="1"/>
    <col min="2311" max="2311" width="9.140625" style="5" customWidth="1"/>
    <col min="2312" max="2312" width="17.140625" style="5" customWidth="1"/>
    <col min="2313" max="2313" width="22.85546875" style="5" customWidth="1"/>
    <col min="2314" max="2560" width="11.5703125" style="5"/>
    <col min="2561" max="2561" width="9.140625" style="5" customWidth="1"/>
    <col min="2562" max="2562" width="12.85546875" style="5" customWidth="1"/>
    <col min="2563" max="2563" width="22.85546875" style="5" customWidth="1"/>
    <col min="2564" max="2564" width="10" style="5" customWidth="1"/>
    <col min="2565" max="2565" width="14" style="5" customWidth="1"/>
    <col min="2566" max="2566" width="22.85546875" style="5" customWidth="1"/>
    <col min="2567" max="2567" width="9.140625" style="5" customWidth="1"/>
    <col min="2568" max="2568" width="17.140625" style="5" customWidth="1"/>
    <col min="2569" max="2569" width="22.85546875" style="5" customWidth="1"/>
    <col min="2570" max="2816" width="11.5703125" style="5"/>
    <col min="2817" max="2817" width="9.140625" style="5" customWidth="1"/>
    <col min="2818" max="2818" width="12.85546875" style="5" customWidth="1"/>
    <col min="2819" max="2819" width="22.85546875" style="5" customWidth="1"/>
    <col min="2820" max="2820" width="10" style="5" customWidth="1"/>
    <col min="2821" max="2821" width="14" style="5" customWidth="1"/>
    <col min="2822" max="2822" width="22.85546875" style="5" customWidth="1"/>
    <col min="2823" max="2823" width="9.140625" style="5" customWidth="1"/>
    <col min="2824" max="2824" width="17.140625" style="5" customWidth="1"/>
    <col min="2825" max="2825" width="22.85546875" style="5" customWidth="1"/>
    <col min="2826" max="3072" width="11.5703125" style="5"/>
    <col min="3073" max="3073" width="9.140625" style="5" customWidth="1"/>
    <col min="3074" max="3074" width="12.85546875" style="5" customWidth="1"/>
    <col min="3075" max="3075" width="22.85546875" style="5" customWidth="1"/>
    <col min="3076" max="3076" width="10" style="5" customWidth="1"/>
    <col min="3077" max="3077" width="14" style="5" customWidth="1"/>
    <col min="3078" max="3078" width="22.85546875" style="5" customWidth="1"/>
    <col min="3079" max="3079" width="9.140625" style="5" customWidth="1"/>
    <col min="3080" max="3080" width="17.140625" style="5" customWidth="1"/>
    <col min="3081" max="3081" width="22.85546875" style="5" customWidth="1"/>
    <col min="3082" max="3328" width="11.5703125" style="5"/>
    <col min="3329" max="3329" width="9.140625" style="5" customWidth="1"/>
    <col min="3330" max="3330" width="12.85546875" style="5" customWidth="1"/>
    <col min="3331" max="3331" width="22.85546875" style="5" customWidth="1"/>
    <col min="3332" max="3332" width="10" style="5" customWidth="1"/>
    <col min="3333" max="3333" width="14" style="5" customWidth="1"/>
    <col min="3334" max="3334" width="22.85546875" style="5" customWidth="1"/>
    <col min="3335" max="3335" width="9.140625" style="5" customWidth="1"/>
    <col min="3336" max="3336" width="17.140625" style="5" customWidth="1"/>
    <col min="3337" max="3337" width="22.85546875" style="5" customWidth="1"/>
    <col min="3338" max="3584" width="11.5703125" style="5"/>
    <col min="3585" max="3585" width="9.140625" style="5" customWidth="1"/>
    <col min="3586" max="3586" width="12.85546875" style="5" customWidth="1"/>
    <col min="3587" max="3587" width="22.85546875" style="5" customWidth="1"/>
    <col min="3588" max="3588" width="10" style="5" customWidth="1"/>
    <col min="3589" max="3589" width="14" style="5" customWidth="1"/>
    <col min="3590" max="3590" width="22.85546875" style="5" customWidth="1"/>
    <col min="3591" max="3591" width="9.140625" style="5" customWidth="1"/>
    <col min="3592" max="3592" width="17.140625" style="5" customWidth="1"/>
    <col min="3593" max="3593" width="22.85546875" style="5" customWidth="1"/>
    <col min="3594" max="3840" width="11.5703125" style="5"/>
    <col min="3841" max="3841" width="9.140625" style="5" customWidth="1"/>
    <col min="3842" max="3842" width="12.85546875" style="5" customWidth="1"/>
    <col min="3843" max="3843" width="22.85546875" style="5" customWidth="1"/>
    <col min="3844" max="3844" width="10" style="5" customWidth="1"/>
    <col min="3845" max="3845" width="14" style="5" customWidth="1"/>
    <col min="3846" max="3846" width="22.85546875" style="5" customWidth="1"/>
    <col min="3847" max="3847" width="9.140625" style="5" customWidth="1"/>
    <col min="3848" max="3848" width="17.140625" style="5" customWidth="1"/>
    <col min="3849" max="3849" width="22.85546875" style="5" customWidth="1"/>
    <col min="3850" max="4096" width="11.5703125" style="5"/>
    <col min="4097" max="4097" width="9.140625" style="5" customWidth="1"/>
    <col min="4098" max="4098" width="12.85546875" style="5" customWidth="1"/>
    <col min="4099" max="4099" width="22.85546875" style="5" customWidth="1"/>
    <col min="4100" max="4100" width="10" style="5" customWidth="1"/>
    <col min="4101" max="4101" width="14" style="5" customWidth="1"/>
    <col min="4102" max="4102" width="22.85546875" style="5" customWidth="1"/>
    <col min="4103" max="4103" width="9.140625" style="5" customWidth="1"/>
    <col min="4104" max="4104" width="17.140625" style="5" customWidth="1"/>
    <col min="4105" max="4105" width="22.85546875" style="5" customWidth="1"/>
    <col min="4106" max="4352" width="11.5703125" style="5"/>
    <col min="4353" max="4353" width="9.140625" style="5" customWidth="1"/>
    <col min="4354" max="4354" width="12.85546875" style="5" customWidth="1"/>
    <col min="4355" max="4355" width="22.85546875" style="5" customWidth="1"/>
    <col min="4356" max="4356" width="10" style="5" customWidth="1"/>
    <col min="4357" max="4357" width="14" style="5" customWidth="1"/>
    <col min="4358" max="4358" width="22.85546875" style="5" customWidth="1"/>
    <col min="4359" max="4359" width="9.140625" style="5" customWidth="1"/>
    <col min="4360" max="4360" width="17.140625" style="5" customWidth="1"/>
    <col min="4361" max="4361" width="22.85546875" style="5" customWidth="1"/>
    <col min="4362" max="4608" width="11.5703125" style="5"/>
    <col min="4609" max="4609" width="9.140625" style="5" customWidth="1"/>
    <col min="4610" max="4610" width="12.85546875" style="5" customWidth="1"/>
    <col min="4611" max="4611" width="22.85546875" style="5" customWidth="1"/>
    <col min="4612" max="4612" width="10" style="5" customWidth="1"/>
    <col min="4613" max="4613" width="14" style="5" customWidth="1"/>
    <col min="4614" max="4614" width="22.85546875" style="5" customWidth="1"/>
    <col min="4615" max="4615" width="9.140625" style="5" customWidth="1"/>
    <col min="4616" max="4616" width="17.140625" style="5" customWidth="1"/>
    <col min="4617" max="4617" width="22.85546875" style="5" customWidth="1"/>
    <col min="4618" max="4864" width="11.5703125" style="5"/>
    <col min="4865" max="4865" width="9.140625" style="5" customWidth="1"/>
    <col min="4866" max="4866" width="12.85546875" style="5" customWidth="1"/>
    <col min="4867" max="4867" width="22.85546875" style="5" customWidth="1"/>
    <col min="4868" max="4868" width="10" style="5" customWidth="1"/>
    <col min="4869" max="4869" width="14" style="5" customWidth="1"/>
    <col min="4870" max="4870" width="22.85546875" style="5" customWidth="1"/>
    <col min="4871" max="4871" width="9.140625" style="5" customWidth="1"/>
    <col min="4872" max="4872" width="17.140625" style="5" customWidth="1"/>
    <col min="4873" max="4873" width="22.85546875" style="5" customWidth="1"/>
    <col min="4874" max="5120" width="11.5703125" style="5"/>
    <col min="5121" max="5121" width="9.140625" style="5" customWidth="1"/>
    <col min="5122" max="5122" width="12.85546875" style="5" customWidth="1"/>
    <col min="5123" max="5123" width="22.85546875" style="5" customWidth="1"/>
    <col min="5124" max="5124" width="10" style="5" customWidth="1"/>
    <col min="5125" max="5125" width="14" style="5" customWidth="1"/>
    <col min="5126" max="5126" width="22.85546875" style="5" customWidth="1"/>
    <col min="5127" max="5127" width="9.140625" style="5" customWidth="1"/>
    <col min="5128" max="5128" width="17.140625" style="5" customWidth="1"/>
    <col min="5129" max="5129" width="22.85546875" style="5" customWidth="1"/>
    <col min="5130" max="5376" width="11.5703125" style="5"/>
    <col min="5377" max="5377" width="9.140625" style="5" customWidth="1"/>
    <col min="5378" max="5378" width="12.85546875" style="5" customWidth="1"/>
    <col min="5379" max="5379" width="22.85546875" style="5" customWidth="1"/>
    <col min="5380" max="5380" width="10" style="5" customWidth="1"/>
    <col min="5381" max="5381" width="14" style="5" customWidth="1"/>
    <col min="5382" max="5382" width="22.85546875" style="5" customWidth="1"/>
    <col min="5383" max="5383" width="9.140625" style="5" customWidth="1"/>
    <col min="5384" max="5384" width="17.140625" style="5" customWidth="1"/>
    <col min="5385" max="5385" width="22.85546875" style="5" customWidth="1"/>
    <col min="5386" max="5632" width="11.5703125" style="5"/>
    <col min="5633" max="5633" width="9.140625" style="5" customWidth="1"/>
    <col min="5634" max="5634" width="12.85546875" style="5" customWidth="1"/>
    <col min="5635" max="5635" width="22.85546875" style="5" customWidth="1"/>
    <col min="5636" max="5636" width="10" style="5" customWidth="1"/>
    <col min="5637" max="5637" width="14" style="5" customWidth="1"/>
    <col min="5638" max="5638" width="22.85546875" style="5" customWidth="1"/>
    <col min="5639" max="5639" width="9.140625" style="5" customWidth="1"/>
    <col min="5640" max="5640" width="17.140625" style="5" customWidth="1"/>
    <col min="5641" max="5641" width="22.85546875" style="5" customWidth="1"/>
    <col min="5642" max="5888" width="11.5703125" style="5"/>
    <col min="5889" max="5889" width="9.140625" style="5" customWidth="1"/>
    <col min="5890" max="5890" width="12.85546875" style="5" customWidth="1"/>
    <col min="5891" max="5891" width="22.85546875" style="5" customWidth="1"/>
    <col min="5892" max="5892" width="10" style="5" customWidth="1"/>
    <col min="5893" max="5893" width="14" style="5" customWidth="1"/>
    <col min="5894" max="5894" width="22.85546875" style="5" customWidth="1"/>
    <col min="5895" max="5895" width="9.140625" style="5" customWidth="1"/>
    <col min="5896" max="5896" width="17.140625" style="5" customWidth="1"/>
    <col min="5897" max="5897" width="22.85546875" style="5" customWidth="1"/>
    <col min="5898" max="6144" width="11.5703125" style="5"/>
    <col min="6145" max="6145" width="9.140625" style="5" customWidth="1"/>
    <col min="6146" max="6146" width="12.85546875" style="5" customWidth="1"/>
    <col min="6147" max="6147" width="22.85546875" style="5" customWidth="1"/>
    <col min="6148" max="6148" width="10" style="5" customWidth="1"/>
    <col min="6149" max="6149" width="14" style="5" customWidth="1"/>
    <col min="6150" max="6150" width="22.85546875" style="5" customWidth="1"/>
    <col min="6151" max="6151" width="9.140625" style="5" customWidth="1"/>
    <col min="6152" max="6152" width="17.140625" style="5" customWidth="1"/>
    <col min="6153" max="6153" width="22.85546875" style="5" customWidth="1"/>
    <col min="6154" max="6400" width="11.5703125" style="5"/>
    <col min="6401" max="6401" width="9.140625" style="5" customWidth="1"/>
    <col min="6402" max="6402" width="12.85546875" style="5" customWidth="1"/>
    <col min="6403" max="6403" width="22.85546875" style="5" customWidth="1"/>
    <col min="6404" max="6404" width="10" style="5" customWidth="1"/>
    <col min="6405" max="6405" width="14" style="5" customWidth="1"/>
    <col min="6406" max="6406" width="22.85546875" style="5" customWidth="1"/>
    <col min="6407" max="6407" width="9.140625" style="5" customWidth="1"/>
    <col min="6408" max="6408" width="17.140625" style="5" customWidth="1"/>
    <col min="6409" max="6409" width="22.85546875" style="5" customWidth="1"/>
    <col min="6410" max="6656" width="11.5703125" style="5"/>
    <col min="6657" max="6657" width="9.140625" style="5" customWidth="1"/>
    <col min="6658" max="6658" width="12.85546875" style="5" customWidth="1"/>
    <col min="6659" max="6659" width="22.85546875" style="5" customWidth="1"/>
    <col min="6660" max="6660" width="10" style="5" customWidth="1"/>
    <col min="6661" max="6661" width="14" style="5" customWidth="1"/>
    <col min="6662" max="6662" width="22.85546875" style="5" customWidth="1"/>
    <col min="6663" max="6663" width="9.140625" style="5" customWidth="1"/>
    <col min="6664" max="6664" width="17.140625" style="5" customWidth="1"/>
    <col min="6665" max="6665" width="22.85546875" style="5" customWidth="1"/>
    <col min="6666" max="6912" width="11.5703125" style="5"/>
    <col min="6913" max="6913" width="9.140625" style="5" customWidth="1"/>
    <col min="6914" max="6914" width="12.85546875" style="5" customWidth="1"/>
    <col min="6915" max="6915" width="22.85546875" style="5" customWidth="1"/>
    <col min="6916" max="6916" width="10" style="5" customWidth="1"/>
    <col min="6917" max="6917" width="14" style="5" customWidth="1"/>
    <col min="6918" max="6918" width="22.85546875" style="5" customWidth="1"/>
    <col min="6919" max="6919" width="9.140625" style="5" customWidth="1"/>
    <col min="6920" max="6920" width="17.140625" style="5" customWidth="1"/>
    <col min="6921" max="6921" width="22.85546875" style="5" customWidth="1"/>
    <col min="6922" max="7168" width="11.5703125" style="5"/>
    <col min="7169" max="7169" width="9.140625" style="5" customWidth="1"/>
    <col min="7170" max="7170" width="12.85546875" style="5" customWidth="1"/>
    <col min="7171" max="7171" width="22.85546875" style="5" customWidth="1"/>
    <col min="7172" max="7172" width="10" style="5" customWidth="1"/>
    <col min="7173" max="7173" width="14" style="5" customWidth="1"/>
    <col min="7174" max="7174" width="22.85546875" style="5" customWidth="1"/>
    <col min="7175" max="7175" width="9.140625" style="5" customWidth="1"/>
    <col min="7176" max="7176" width="17.140625" style="5" customWidth="1"/>
    <col min="7177" max="7177" width="22.85546875" style="5" customWidth="1"/>
    <col min="7178" max="7424" width="11.5703125" style="5"/>
    <col min="7425" max="7425" width="9.140625" style="5" customWidth="1"/>
    <col min="7426" max="7426" width="12.85546875" style="5" customWidth="1"/>
    <col min="7427" max="7427" width="22.85546875" style="5" customWidth="1"/>
    <col min="7428" max="7428" width="10" style="5" customWidth="1"/>
    <col min="7429" max="7429" width="14" style="5" customWidth="1"/>
    <col min="7430" max="7430" width="22.85546875" style="5" customWidth="1"/>
    <col min="7431" max="7431" width="9.140625" style="5" customWidth="1"/>
    <col min="7432" max="7432" width="17.140625" style="5" customWidth="1"/>
    <col min="7433" max="7433" width="22.85546875" style="5" customWidth="1"/>
    <col min="7434" max="7680" width="11.5703125" style="5"/>
    <col min="7681" max="7681" width="9.140625" style="5" customWidth="1"/>
    <col min="7682" max="7682" width="12.85546875" style="5" customWidth="1"/>
    <col min="7683" max="7683" width="22.85546875" style="5" customWidth="1"/>
    <col min="7684" max="7684" width="10" style="5" customWidth="1"/>
    <col min="7685" max="7685" width="14" style="5" customWidth="1"/>
    <col min="7686" max="7686" width="22.85546875" style="5" customWidth="1"/>
    <col min="7687" max="7687" width="9.140625" style="5" customWidth="1"/>
    <col min="7688" max="7688" width="17.140625" style="5" customWidth="1"/>
    <col min="7689" max="7689" width="22.85546875" style="5" customWidth="1"/>
    <col min="7690" max="7936" width="11.5703125" style="5"/>
    <col min="7937" max="7937" width="9.140625" style="5" customWidth="1"/>
    <col min="7938" max="7938" width="12.85546875" style="5" customWidth="1"/>
    <col min="7939" max="7939" width="22.85546875" style="5" customWidth="1"/>
    <col min="7940" max="7940" width="10" style="5" customWidth="1"/>
    <col min="7941" max="7941" width="14" style="5" customWidth="1"/>
    <col min="7942" max="7942" width="22.85546875" style="5" customWidth="1"/>
    <col min="7943" max="7943" width="9.140625" style="5" customWidth="1"/>
    <col min="7944" max="7944" width="17.140625" style="5" customWidth="1"/>
    <col min="7945" max="7945" width="22.85546875" style="5" customWidth="1"/>
    <col min="7946" max="8192" width="11.5703125" style="5"/>
    <col min="8193" max="8193" width="9.140625" style="5" customWidth="1"/>
    <col min="8194" max="8194" width="12.85546875" style="5" customWidth="1"/>
    <col min="8195" max="8195" width="22.85546875" style="5" customWidth="1"/>
    <col min="8196" max="8196" width="10" style="5" customWidth="1"/>
    <col min="8197" max="8197" width="14" style="5" customWidth="1"/>
    <col min="8198" max="8198" width="22.85546875" style="5" customWidth="1"/>
    <col min="8199" max="8199" width="9.140625" style="5" customWidth="1"/>
    <col min="8200" max="8200" width="17.140625" style="5" customWidth="1"/>
    <col min="8201" max="8201" width="22.85546875" style="5" customWidth="1"/>
    <col min="8202" max="8448" width="11.5703125" style="5"/>
    <col min="8449" max="8449" width="9.140625" style="5" customWidth="1"/>
    <col min="8450" max="8450" width="12.85546875" style="5" customWidth="1"/>
    <col min="8451" max="8451" width="22.85546875" style="5" customWidth="1"/>
    <col min="8452" max="8452" width="10" style="5" customWidth="1"/>
    <col min="8453" max="8453" width="14" style="5" customWidth="1"/>
    <col min="8454" max="8454" width="22.85546875" style="5" customWidth="1"/>
    <col min="8455" max="8455" width="9.140625" style="5" customWidth="1"/>
    <col min="8456" max="8456" width="17.140625" style="5" customWidth="1"/>
    <col min="8457" max="8457" width="22.85546875" style="5" customWidth="1"/>
    <col min="8458" max="8704" width="11.5703125" style="5"/>
    <col min="8705" max="8705" width="9.140625" style="5" customWidth="1"/>
    <col min="8706" max="8706" width="12.85546875" style="5" customWidth="1"/>
    <col min="8707" max="8707" width="22.85546875" style="5" customWidth="1"/>
    <col min="8708" max="8708" width="10" style="5" customWidth="1"/>
    <col min="8709" max="8709" width="14" style="5" customWidth="1"/>
    <col min="8710" max="8710" width="22.85546875" style="5" customWidth="1"/>
    <col min="8711" max="8711" width="9.140625" style="5" customWidth="1"/>
    <col min="8712" max="8712" width="17.140625" style="5" customWidth="1"/>
    <col min="8713" max="8713" width="22.85546875" style="5" customWidth="1"/>
    <col min="8714" max="8960" width="11.5703125" style="5"/>
    <col min="8961" max="8961" width="9.140625" style="5" customWidth="1"/>
    <col min="8962" max="8962" width="12.85546875" style="5" customWidth="1"/>
    <col min="8963" max="8963" width="22.85546875" style="5" customWidth="1"/>
    <col min="8964" max="8964" width="10" style="5" customWidth="1"/>
    <col min="8965" max="8965" width="14" style="5" customWidth="1"/>
    <col min="8966" max="8966" width="22.85546875" style="5" customWidth="1"/>
    <col min="8967" max="8967" width="9.140625" style="5" customWidth="1"/>
    <col min="8968" max="8968" width="17.140625" style="5" customWidth="1"/>
    <col min="8969" max="8969" width="22.85546875" style="5" customWidth="1"/>
    <col min="8970" max="9216" width="11.5703125" style="5"/>
    <col min="9217" max="9217" width="9.140625" style="5" customWidth="1"/>
    <col min="9218" max="9218" width="12.85546875" style="5" customWidth="1"/>
    <col min="9219" max="9219" width="22.85546875" style="5" customWidth="1"/>
    <col min="9220" max="9220" width="10" style="5" customWidth="1"/>
    <col min="9221" max="9221" width="14" style="5" customWidth="1"/>
    <col min="9222" max="9222" width="22.85546875" style="5" customWidth="1"/>
    <col min="9223" max="9223" width="9.140625" style="5" customWidth="1"/>
    <col min="9224" max="9224" width="17.140625" style="5" customWidth="1"/>
    <col min="9225" max="9225" width="22.85546875" style="5" customWidth="1"/>
    <col min="9226" max="9472" width="11.5703125" style="5"/>
    <col min="9473" max="9473" width="9.140625" style="5" customWidth="1"/>
    <col min="9474" max="9474" width="12.85546875" style="5" customWidth="1"/>
    <col min="9475" max="9475" width="22.85546875" style="5" customWidth="1"/>
    <col min="9476" max="9476" width="10" style="5" customWidth="1"/>
    <col min="9477" max="9477" width="14" style="5" customWidth="1"/>
    <col min="9478" max="9478" width="22.85546875" style="5" customWidth="1"/>
    <col min="9479" max="9479" width="9.140625" style="5" customWidth="1"/>
    <col min="9480" max="9480" width="17.140625" style="5" customWidth="1"/>
    <col min="9481" max="9481" width="22.85546875" style="5" customWidth="1"/>
    <col min="9482" max="9728" width="11.5703125" style="5"/>
    <col min="9729" max="9729" width="9.140625" style="5" customWidth="1"/>
    <col min="9730" max="9730" width="12.85546875" style="5" customWidth="1"/>
    <col min="9731" max="9731" width="22.85546875" style="5" customWidth="1"/>
    <col min="9732" max="9732" width="10" style="5" customWidth="1"/>
    <col min="9733" max="9733" width="14" style="5" customWidth="1"/>
    <col min="9734" max="9734" width="22.85546875" style="5" customWidth="1"/>
    <col min="9735" max="9735" width="9.140625" style="5" customWidth="1"/>
    <col min="9736" max="9736" width="17.140625" style="5" customWidth="1"/>
    <col min="9737" max="9737" width="22.85546875" style="5" customWidth="1"/>
    <col min="9738" max="9984" width="11.5703125" style="5"/>
    <col min="9985" max="9985" width="9.140625" style="5" customWidth="1"/>
    <col min="9986" max="9986" width="12.85546875" style="5" customWidth="1"/>
    <col min="9987" max="9987" width="22.85546875" style="5" customWidth="1"/>
    <col min="9988" max="9988" width="10" style="5" customWidth="1"/>
    <col min="9989" max="9989" width="14" style="5" customWidth="1"/>
    <col min="9990" max="9990" width="22.85546875" style="5" customWidth="1"/>
    <col min="9991" max="9991" width="9.140625" style="5" customWidth="1"/>
    <col min="9992" max="9992" width="17.140625" style="5" customWidth="1"/>
    <col min="9993" max="9993" width="22.85546875" style="5" customWidth="1"/>
    <col min="9994" max="10240" width="11.5703125" style="5"/>
    <col min="10241" max="10241" width="9.140625" style="5" customWidth="1"/>
    <col min="10242" max="10242" width="12.85546875" style="5" customWidth="1"/>
    <col min="10243" max="10243" width="22.85546875" style="5" customWidth="1"/>
    <col min="10244" max="10244" width="10" style="5" customWidth="1"/>
    <col min="10245" max="10245" width="14" style="5" customWidth="1"/>
    <col min="10246" max="10246" width="22.85546875" style="5" customWidth="1"/>
    <col min="10247" max="10247" width="9.140625" style="5" customWidth="1"/>
    <col min="10248" max="10248" width="17.140625" style="5" customWidth="1"/>
    <col min="10249" max="10249" width="22.85546875" style="5" customWidth="1"/>
    <col min="10250" max="10496" width="11.5703125" style="5"/>
    <col min="10497" max="10497" width="9.140625" style="5" customWidth="1"/>
    <col min="10498" max="10498" width="12.85546875" style="5" customWidth="1"/>
    <col min="10499" max="10499" width="22.85546875" style="5" customWidth="1"/>
    <col min="10500" max="10500" width="10" style="5" customWidth="1"/>
    <col min="10501" max="10501" width="14" style="5" customWidth="1"/>
    <col min="10502" max="10502" width="22.85546875" style="5" customWidth="1"/>
    <col min="10503" max="10503" width="9.140625" style="5" customWidth="1"/>
    <col min="10504" max="10504" width="17.140625" style="5" customWidth="1"/>
    <col min="10505" max="10505" width="22.85546875" style="5" customWidth="1"/>
    <col min="10506" max="10752" width="11.5703125" style="5"/>
    <col min="10753" max="10753" width="9.140625" style="5" customWidth="1"/>
    <col min="10754" max="10754" width="12.85546875" style="5" customWidth="1"/>
    <col min="10755" max="10755" width="22.85546875" style="5" customWidth="1"/>
    <col min="10756" max="10756" width="10" style="5" customWidth="1"/>
    <col min="10757" max="10757" width="14" style="5" customWidth="1"/>
    <col min="10758" max="10758" width="22.85546875" style="5" customWidth="1"/>
    <col min="10759" max="10759" width="9.140625" style="5" customWidth="1"/>
    <col min="10760" max="10760" width="17.140625" style="5" customWidth="1"/>
    <col min="10761" max="10761" width="22.85546875" style="5" customWidth="1"/>
    <col min="10762" max="11008" width="11.5703125" style="5"/>
    <col min="11009" max="11009" width="9.140625" style="5" customWidth="1"/>
    <col min="11010" max="11010" width="12.85546875" style="5" customWidth="1"/>
    <col min="11011" max="11011" width="22.85546875" style="5" customWidth="1"/>
    <col min="11012" max="11012" width="10" style="5" customWidth="1"/>
    <col min="11013" max="11013" width="14" style="5" customWidth="1"/>
    <col min="11014" max="11014" width="22.85546875" style="5" customWidth="1"/>
    <col min="11015" max="11015" width="9.140625" style="5" customWidth="1"/>
    <col min="11016" max="11016" width="17.140625" style="5" customWidth="1"/>
    <col min="11017" max="11017" width="22.85546875" style="5" customWidth="1"/>
    <col min="11018" max="11264" width="11.5703125" style="5"/>
    <col min="11265" max="11265" width="9.140625" style="5" customWidth="1"/>
    <col min="11266" max="11266" width="12.85546875" style="5" customWidth="1"/>
    <col min="11267" max="11267" width="22.85546875" style="5" customWidth="1"/>
    <col min="11268" max="11268" width="10" style="5" customWidth="1"/>
    <col min="11269" max="11269" width="14" style="5" customWidth="1"/>
    <col min="11270" max="11270" width="22.85546875" style="5" customWidth="1"/>
    <col min="11271" max="11271" width="9.140625" style="5" customWidth="1"/>
    <col min="11272" max="11272" width="17.140625" style="5" customWidth="1"/>
    <col min="11273" max="11273" width="22.85546875" style="5" customWidth="1"/>
    <col min="11274" max="11520" width="11.5703125" style="5"/>
    <col min="11521" max="11521" width="9.140625" style="5" customWidth="1"/>
    <col min="11522" max="11522" width="12.85546875" style="5" customWidth="1"/>
    <col min="11523" max="11523" width="22.85546875" style="5" customWidth="1"/>
    <col min="11524" max="11524" width="10" style="5" customWidth="1"/>
    <col min="11525" max="11525" width="14" style="5" customWidth="1"/>
    <col min="11526" max="11526" width="22.85546875" style="5" customWidth="1"/>
    <col min="11527" max="11527" width="9.140625" style="5" customWidth="1"/>
    <col min="11528" max="11528" width="17.140625" style="5" customWidth="1"/>
    <col min="11529" max="11529" width="22.85546875" style="5" customWidth="1"/>
    <col min="11530" max="11776" width="11.5703125" style="5"/>
    <col min="11777" max="11777" width="9.140625" style="5" customWidth="1"/>
    <col min="11778" max="11778" width="12.85546875" style="5" customWidth="1"/>
    <col min="11779" max="11779" width="22.85546875" style="5" customWidth="1"/>
    <col min="11780" max="11780" width="10" style="5" customWidth="1"/>
    <col min="11781" max="11781" width="14" style="5" customWidth="1"/>
    <col min="11782" max="11782" width="22.85546875" style="5" customWidth="1"/>
    <col min="11783" max="11783" width="9.140625" style="5" customWidth="1"/>
    <col min="11784" max="11784" width="17.140625" style="5" customWidth="1"/>
    <col min="11785" max="11785" width="22.85546875" style="5" customWidth="1"/>
    <col min="11786" max="12032" width="11.5703125" style="5"/>
    <col min="12033" max="12033" width="9.140625" style="5" customWidth="1"/>
    <col min="12034" max="12034" width="12.85546875" style="5" customWidth="1"/>
    <col min="12035" max="12035" width="22.85546875" style="5" customWidth="1"/>
    <col min="12036" max="12036" width="10" style="5" customWidth="1"/>
    <col min="12037" max="12037" width="14" style="5" customWidth="1"/>
    <col min="12038" max="12038" width="22.85546875" style="5" customWidth="1"/>
    <col min="12039" max="12039" width="9.140625" style="5" customWidth="1"/>
    <col min="12040" max="12040" width="17.140625" style="5" customWidth="1"/>
    <col min="12041" max="12041" width="22.85546875" style="5" customWidth="1"/>
    <col min="12042" max="12288" width="11.5703125" style="5"/>
    <col min="12289" max="12289" width="9.140625" style="5" customWidth="1"/>
    <col min="12290" max="12290" width="12.85546875" style="5" customWidth="1"/>
    <col min="12291" max="12291" width="22.85546875" style="5" customWidth="1"/>
    <col min="12292" max="12292" width="10" style="5" customWidth="1"/>
    <col min="12293" max="12293" width="14" style="5" customWidth="1"/>
    <col min="12294" max="12294" width="22.85546875" style="5" customWidth="1"/>
    <col min="12295" max="12295" width="9.140625" style="5" customWidth="1"/>
    <col min="12296" max="12296" width="17.140625" style="5" customWidth="1"/>
    <col min="12297" max="12297" width="22.85546875" style="5" customWidth="1"/>
    <col min="12298" max="12544" width="11.5703125" style="5"/>
    <col min="12545" max="12545" width="9.140625" style="5" customWidth="1"/>
    <col min="12546" max="12546" width="12.85546875" style="5" customWidth="1"/>
    <col min="12547" max="12547" width="22.85546875" style="5" customWidth="1"/>
    <col min="12548" max="12548" width="10" style="5" customWidth="1"/>
    <col min="12549" max="12549" width="14" style="5" customWidth="1"/>
    <col min="12550" max="12550" width="22.85546875" style="5" customWidth="1"/>
    <col min="12551" max="12551" width="9.140625" style="5" customWidth="1"/>
    <col min="12552" max="12552" width="17.140625" style="5" customWidth="1"/>
    <col min="12553" max="12553" width="22.85546875" style="5" customWidth="1"/>
    <col min="12554" max="12800" width="11.5703125" style="5"/>
    <col min="12801" max="12801" width="9.140625" style="5" customWidth="1"/>
    <col min="12802" max="12802" width="12.85546875" style="5" customWidth="1"/>
    <col min="12803" max="12803" width="22.85546875" style="5" customWidth="1"/>
    <col min="12804" max="12804" width="10" style="5" customWidth="1"/>
    <col min="12805" max="12805" width="14" style="5" customWidth="1"/>
    <col min="12806" max="12806" width="22.85546875" style="5" customWidth="1"/>
    <col min="12807" max="12807" width="9.140625" style="5" customWidth="1"/>
    <col min="12808" max="12808" width="17.140625" style="5" customWidth="1"/>
    <col min="12809" max="12809" width="22.85546875" style="5" customWidth="1"/>
    <col min="12810" max="13056" width="11.5703125" style="5"/>
    <col min="13057" max="13057" width="9.140625" style="5" customWidth="1"/>
    <col min="13058" max="13058" width="12.85546875" style="5" customWidth="1"/>
    <col min="13059" max="13059" width="22.85546875" style="5" customWidth="1"/>
    <col min="13060" max="13060" width="10" style="5" customWidth="1"/>
    <col min="13061" max="13061" width="14" style="5" customWidth="1"/>
    <col min="13062" max="13062" width="22.85546875" style="5" customWidth="1"/>
    <col min="13063" max="13063" width="9.140625" style="5" customWidth="1"/>
    <col min="13064" max="13064" width="17.140625" style="5" customWidth="1"/>
    <col min="13065" max="13065" width="22.85546875" style="5" customWidth="1"/>
    <col min="13066" max="13312" width="11.5703125" style="5"/>
    <col min="13313" max="13313" width="9.140625" style="5" customWidth="1"/>
    <col min="13314" max="13314" width="12.85546875" style="5" customWidth="1"/>
    <col min="13315" max="13315" width="22.85546875" style="5" customWidth="1"/>
    <col min="13316" max="13316" width="10" style="5" customWidth="1"/>
    <col min="13317" max="13317" width="14" style="5" customWidth="1"/>
    <col min="13318" max="13318" width="22.85546875" style="5" customWidth="1"/>
    <col min="13319" max="13319" width="9.140625" style="5" customWidth="1"/>
    <col min="13320" max="13320" width="17.140625" style="5" customWidth="1"/>
    <col min="13321" max="13321" width="22.85546875" style="5" customWidth="1"/>
    <col min="13322" max="13568" width="11.5703125" style="5"/>
    <col min="13569" max="13569" width="9.140625" style="5" customWidth="1"/>
    <col min="13570" max="13570" width="12.85546875" style="5" customWidth="1"/>
    <col min="13571" max="13571" width="22.85546875" style="5" customWidth="1"/>
    <col min="13572" max="13572" width="10" style="5" customWidth="1"/>
    <col min="13573" max="13573" width="14" style="5" customWidth="1"/>
    <col min="13574" max="13574" width="22.85546875" style="5" customWidth="1"/>
    <col min="13575" max="13575" width="9.140625" style="5" customWidth="1"/>
    <col min="13576" max="13576" width="17.140625" style="5" customWidth="1"/>
    <col min="13577" max="13577" width="22.85546875" style="5" customWidth="1"/>
    <col min="13578" max="13824" width="11.5703125" style="5"/>
    <col min="13825" max="13825" width="9.140625" style="5" customWidth="1"/>
    <col min="13826" max="13826" width="12.85546875" style="5" customWidth="1"/>
    <col min="13827" max="13827" width="22.85546875" style="5" customWidth="1"/>
    <col min="13828" max="13828" width="10" style="5" customWidth="1"/>
    <col min="13829" max="13829" width="14" style="5" customWidth="1"/>
    <col min="13830" max="13830" width="22.85546875" style="5" customWidth="1"/>
    <col min="13831" max="13831" width="9.140625" style="5" customWidth="1"/>
    <col min="13832" max="13832" width="17.140625" style="5" customWidth="1"/>
    <col min="13833" max="13833" width="22.85546875" style="5" customWidth="1"/>
    <col min="13834" max="14080" width="11.5703125" style="5"/>
    <col min="14081" max="14081" width="9.140625" style="5" customWidth="1"/>
    <col min="14082" max="14082" width="12.85546875" style="5" customWidth="1"/>
    <col min="14083" max="14083" width="22.85546875" style="5" customWidth="1"/>
    <col min="14084" max="14084" width="10" style="5" customWidth="1"/>
    <col min="14085" max="14085" width="14" style="5" customWidth="1"/>
    <col min="14086" max="14086" width="22.85546875" style="5" customWidth="1"/>
    <col min="14087" max="14087" width="9.140625" style="5" customWidth="1"/>
    <col min="14088" max="14088" width="17.140625" style="5" customWidth="1"/>
    <col min="14089" max="14089" width="22.85546875" style="5" customWidth="1"/>
    <col min="14090" max="14336" width="11.5703125" style="5"/>
    <col min="14337" max="14337" width="9.140625" style="5" customWidth="1"/>
    <col min="14338" max="14338" width="12.85546875" style="5" customWidth="1"/>
    <col min="14339" max="14339" width="22.85546875" style="5" customWidth="1"/>
    <col min="14340" max="14340" width="10" style="5" customWidth="1"/>
    <col min="14341" max="14341" width="14" style="5" customWidth="1"/>
    <col min="14342" max="14342" width="22.85546875" style="5" customWidth="1"/>
    <col min="14343" max="14343" width="9.140625" style="5" customWidth="1"/>
    <col min="14344" max="14344" width="17.140625" style="5" customWidth="1"/>
    <col min="14345" max="14345" width="22.85546875" style="5" customWidth="1"/>
    <col min="14346" max="14592" width="11.5703125" style="5"/>
    <col min="14593" max="14593" width="9.140625" style="5" customWidth="1"/>
    <col min="14594" max="14594" width="12.85546875" style="5" customWidth="1"/>
    <col min="14595" max="14595" width="22.85546875" style="5" customWidth="1"/>
    <col min="14596" max="14596" width="10" style="5" customWidth="1"/>
    <col min="14597" max="14597" width="14" style="5" customWidth="1"/>
    <col min="14598" max="14598" width="22.85546875" style="5" customWidth="1"/>
    <col min="14599" max="14599" width="9.140625" style="5" customWidth="1"/>
    <col min="14600" max="14600" width="17.140625" style="5" customWidth="1"/>
    <col min="14601" max="14601" width="22.85546875" style="5" customWidth="1"/>
    <col min="14602" max="14848" width="11.5703125" style="5"/>
    <col min="14849" max="14849" width="9.140625" style="5" customWidth="1"/>
    <col min="14850" max="14850" width="12.85546875" style="5" customWidth="1"/>
    <col min="14851" max="14851" width="22.85546875" style="5" customWidth="1"/>
    <col min="14852" max="14852" width="10" style="5" customWidth="1"/>
    <col min="14853" max="14853" width="14" style="5" customWidth="1"/>
    <col min="14854" max="14854" width="22.85546875" style="5" customWidth="1"/>
    <col min="14855" max="14855" width="9.140625" style="5" customWidth="1"/>
    <col min="14856" max="14856" width="17.140625" style="5" customWidth="1"/>
    <col min="14857" max="14857" width="22.85546875" style="5" customWidth="1"/>
    <col min="14858" max="15104" width="11.5703125" style="5"/>
    <col min="15105" max="15105" width="9.140625" style="5" customWidth="1"/>
    <col min="15106" max="15106" width="12.85546875" style="5" customWidth="1"/>
    <col min="15107" max="15107" width="22.85546875" style="5" customWidth="1"/>
    <col min="15108" max="15108" width="10" style="5" customWidth="1"/>
    <col min="15109" max="15109" width="14" style="5" customWidth="1"/>
    <col min="15110" max="15110" width="22.85546875" style="5" customWidth="1"/>
    <col min="15111" max="15111" width="9.140625" style="5" customWidth="1"/>
    <col min="15112" max="15112" width="17.140625" style="5" customWidth="1"/>
    <col min="15113" max="15113" width="22.85546875" style="5" customWidth="1"/>
    <col min="15114" max="15360" width="11.5703125" style="5"/>
    <col min="15361" max="15361" width="9.140625" style="5" customWidth="1"/>
    <col min="15362" max="15362" width="12.85546875" style="5" customWidth="1"/>
    <col min="15363" max="15363" width="22.85546875" style="5" customWidth="1"/>
    <col min="15364" max="15364" width="10" style="5" customWidth="1"/>
    <col min="15365" max="15365" width="14" style="5" customWidth="1"/>
    <col min="15366" max="15366" width="22.85546875" style="5" customWidth="1"/>
    <col min="15367" max="15367" width="9.140625" style="5" customWidth="1"/>
    <col min="15368" max="15368" width="17.140625" style="5" customWidth="1"/>
    <col min="15369" max="15369" width="22.85546875" style="5" customWidth="1"/>
    <col min="15370" max="15616" width="11.5703125" style="5"/>
    <col min="15617" max="15617" width="9.140625" style="5" customWidth="1"/>
    <col min="15618" max="15618" width="12.85546875" style="5" customWidth="1"/>
    <col min="15619" max="15619" width="22.85546875" style="5" customWidth="1"/>
    <col min="15620" max="15620" width="10" style="5" customWidth="1"/>
    <col min="15621" max="15621" width="14" style="5" customWidth="1"/>
    <col min="15622" max="15622" width="22.85546875" style="5" customWidth="1"/>
    <col min="15623" max="15623" width="9.140625" style="5" customWidth="1"/>
    <col min="15624" max="15624" width="17.140625" style="5" customWidth="1"/>
    <col min="15625" max="15625" width="22.85546875" style="5" customWidth="1"/>
    <col min="15626" max="15872" width="11.5703125" style="5"/>
    <col min="15873" max="15873" width="9.140625" style="5" customWidth="1"/>
    <col min="15874" max="15874" width="12.85546875" style="5" customWidth="1"/>
    <col min="15875" max="15875" width="22.85546875" style="5" customWidth="1"/>
    <col min="15876" max="15876" width="10" style="5" customWidth="1"/>
    <col min="15877" max="15877" width="14" style="5" customWidth="1"/>
    <col min="15878" max="15878" width="22.85546875" style="5" customWidth="1"/>
    <col min="15879" max="15879" width="9.140625" style="5" customWidth="1"/>
    <col min="15880" max="15880" width="17.140625" style="5" customWidth="1"/>
    <col min="15881" max="15881" width="22.85546875" style="5" customWidth="1"/>
    <col min="15882" max="16128" width="11.5703125" style="5"/>
    <col min="16129" max="16129" width="9.140625" style="5" customWidth="1"/>
    <col min="16130" max="16130" width="12.85546875" style="5" customWidth="1"/>
    <col min="16131" max="16131" width="22.85546875" style="5" customWidth="1"/>
    <col min="16132" max="16132" width="10" style="5" customWidth="1"/>
    <col min="16133" max="16133" width="14" style="5" customWidth="1"/>
    <col min="16134" max="16134" width="22.85546875" style="5" customWidth="1"/>
    <col min="16135" max="16135" width="9.140625" style="5" customWidth="1"/>
    <col min="16136" max="16136" width="17.140625" style="5" customWidth="1"/>
    <col min="16137" max="16137" width="22.85546875" style="5" customWidth="1"/>
    <col min="16138" max="16384" width="11.5703125" style="5"/>
  </cols>
  <sheetData>
    <row r="1" spans="1:10" ht="28.7" customHeight="1" x14ac:dyDescent="0.25">
      <c r="A1" s="388" t="s">
        <v>714</v>
      </c>
      <c r="B1" s="389"/>
      <c r="C1" s="389"/>
      <c r="D1" s="389"/>
      <c r="E1" s="389"/>
      <c r="F1" s="389"/>
      <c r="G1" s="389"/>
      <c r="H1" s="389"/>
      <c r="I1" s="389"/>
    </row>
    <row r="2" spans="1:10" x14ac:dyDescent="0.25">
      <c r="A2" s="357" t="s">
        <v>6</v>
      </c>
      <c r="B2" s="358"/>
      <c r="C2" s="359" t="s">
        <v>7</v>
      </c>
      <c r="D2" s="335"/>
      <c r="E2" s="362" t="s">
        <v>9</v>
      </c>
      <c r="F2" s="362" t="s">
        <v>10</v>
      </c>
      <c r="G2" s="358"/>
      <c r="H2" s="362" t="s">
        <v>671</v>
      </c>
      <c r="I2" s="390"/>
      <c r="J2" s="6"/>
    </row>
    <row r="3" spans="1:10" ht="25.7" customHeight="1" x14ac:dyDescent="0.25">
      <c r="A3" s="354"/>
      <c r="B3" s="337"/>
      <c r="C3" s="360"/>
      <c r="D3" s="360"/>
      <c r="E3" s="337"/>
      <c r="F3" s="337"/>
      <c r="G3" s="337"/>
      <c r="H3" s="337"/>
      <c r="I3" s="352"/>
      <c r="J3" s="6"/>
    </row>
    <row r="4" spans="1:10" x14ac:dyDescent="0.25">
      <c r="A4" s="346" t="s">
        <v>11</v>
      </c>
      <c r="B4" s="337"/>
      <c r="C4" s="336" t="s">
        <v>732</v>
      </c>
      <c r="D4" s="337"/>
      <c r="E4" s="336" t="s">
        <v>14</v>
      </c>
      <c r="F4" s="336" t="s">
        <v>15</v>
      </c>
      <c r="G4" s="337"/>
      <c r="H4" s="336" t="s">
        <v>671</v>
      </c>
      <c r="I4" s="385"/>
      <c r="J4" s="6"/>
    </row>
    <row r="5" spans="1:10" x14ac:dyDescent="0.25">
      <c r="A5" s="354"/>
      <c r="B5" s="337"/>
      <c r="C5" s="337"/>
      <c r="D5" s="337"/>
      <c r="E5" s="337"/>
      <c r="F5" s="337"/>
      <c r="G5" s="337"/>
      <c r="H5" s="337"/>
      <c r="I5" s="352"/>
      <c r="J5" s="6"/>
    </row>
    <row r="6" spans="1:10" x14ac:dyDescent="0.25">
      <c r="A6" s="346" t="s">
        <v>16</v>
      </c>
      <c r="B6" s="337"/>
      <c r="C6" s="336" t="s">
        <v>17</v>
      </c>
      <c r="D6" s="337"/>
      <c r="E6" s="336" t="s">
        <v>19</v>
      </c>
      <c r="F6" s="336" t="s">
        <v>20</v>
      </c>
      <c r="G6" s="337"/>
      <c r="H6" s="336" t="s">
        <v>671</v>
      </c>
      <c r="I6" s="385"/>
      <c r="J6" s="6"/>
    </row>
    <row r="7" spans="1:10" x14ac:dyDescent="0.25">
      <c r="A7" s="354"/>
      <c r="B7" s="337"/>
      <c r="C7" s="337"/>
      <c r="D7" s="337"/>
      <c r="E7" s="337"/>
      <c r="F7" s="337"/>
      <c r="G7" s="337"/>
      <c r="H7" s="337"/>
      <c r="I7" s="352"/>
      <c r="J7" s="6"/>
    </row>
    <row r="8" spans="1:10" x14ac:dyDescent="0.25">
      <c r="A8" s="346" t="s">
        <v>13</v>
      </c>
      <c r="B8" s="337"/>
      <c r="C8" s="350">
        <v>44409</v>
      </c>
      <c r="D8" s="337"/>
      <c r="E8" s="336" t="s">
        <v>18</v>
      </c>
      <c r="F8" s="337"/>
      <c r="G8" s="337"/>
      <c r="H8" s="349" t="s">
        <v>672</v>
      </c>
      <c r="I8" s="385" t="s">
        <v>187</v>
      </c>
      <c r="J8" s="6"/>
    </row>
    <row r="9" spans="1:10" x14ac:dyDescent="0.25">
      <c r="A9" s="354"/>
      <c r="B9" s="337"/>
      <c r="C9" s="337"/>
      <c r="D9" s="337"/>
      <c r="E9" s="337"/>
      <c r="F9" s="337"/>
      <c r="G9" s="337"/>
      <c r="H9" s="337"/>
      <c r="I9" s="352"/>
      <c r="J9" s="6"/>
    </row>
    <row r="10" spans="1:10" x14ac:dyDescent="0.25">
      <c r="A10" s="346" t="s">
        <v>21</v>
      </c>
      <c r="B10" s="337"/>
      <c r="C10" s="336">
        <v>8016</v>
      </c>
      <c r="D10" s="337"/>
      <c r="E10" s="336" t="s">
        <v>23</v>
      </c>
      <c r="F10" s="336" t="s">
        <v>24</v>
      </c>
      <c r="G10" s="337"/>
      <c r="H10" s="349" t="s">
        <v>673</v>
      </c>
      <c r="I10" s="383">
        <v>44228</v>
      </c>
      <c r="J10" s="6"/>
    </row>
    <row r="11" spans="1:10" x14ac:dyDescent="0.25">
      <c r="A11" s="386"/>
      <c r="B11" s="387"/>
      <c r="C11" s="387"/>
      <c r="D11" s="387"/>
      <c r="E11" s="387"/>
      <c r="F11" s="387"/>
      <c r="G11" s="387"/>
      <c r="H11" s="387"/>
      <c r="I11" s="384"/>
      <c r="J11" s="6"/>
    </row>
    <row r="12" spans="1:10" x14ac:dyDescent="0.25">
      <c r="A12" s="37"/>
      <c r="B12" s="37"/>
      <c r="C12" s="37"/>
      <c r="D12" s="37"/>
      <c r="E12" s="37"/>
      <c r="F12" s="37"/>
      <c r="G12" s="37"/>
      <c r="H12" s="37"/>
      <c r="I12" s="37"/>
    </row>
    <row r="13" spans="1:10" ht="15.2" customHeight="1" thickBot="1" x14ac:dyDescent="0.3">
      <c r="A13" s="394" t="s">
        <v>715</v>
      </c>
      <c r="B13" s="395"/>
      <c r="C13" s="395"/>
      <c r="D13" s="395"/>
      <c r="E13" s="395"/>
      <c r="F13" s="56"/>
      <c r="G13" s="56"/>
      <c r="H13" s="56"/>
      <c r="I13" s="56"/>
    </row>
    <row r="14" spans="1:10" x14ac:dyDescent="0.25">
      <c r="A14" s="405" t="s">
        <v>716</v>
      </c>
      <c r="B14" s="406"/>
      <c r="C14" s="406"/>
      <c r="D14" s="406"/>
      <c r="E14" s="407"/>
      <c r="F14" s="57" t="s">
        <v>717</v>
      </c>
      <c r="G14" s="57" t="s">
        <v>718</v>
      </c>
      <c r="H14" s="57" t="s">
        <v>719</v>
      </c>
      <c r="I14" s="57" t="s">
        <v>717</v>
      </c>
      <c r="J14" s="12"/>
    </row>
    <row r="15" spans="1:10" x14ac:dyDescent="0.25">
      <c r="A15" s="399" t="s">
        <v>683</v>
      </c>
      <c r="B15" s="400"/>
      <c r="C15" s="400"/>
      <c r="D15" s="400"/>
      <c r="E15" s="401"/>
      <c r="F15" s="58">
        <v>0</v>
      </c>
      <c r="G15" s="59"/>
      <c r="H15" s="59"/>
      <c r="I15" s="58">
        <f>F15</f>
        <v>0</v>
      </c>
      <c r="J15" s="6"/>
    </row>
    <row r="16" spans="1:10" x14ac:dyDescent="0.25">
      <c r="A16" s="399" t="s">
        <v>685</v>
      </c>
      <c r="B16" s="400"/>
      <c r="C16" s="400"/>
      <c r="D16" s="400"/>
      <c r="E16" s="401"/>
      <c r="F16" s="58">
        <v>0</v>
      </c>
      <c r="G16" s="59"/>
      <c r="H16" s="59"/>
      <c r="I16" s="58">
        <f>F16</f>
        <v>0</v>
      </c>
      <c r="J16" s="6"/>
    </row>
    <row r="17" spans="1:10" ht="13.5" thickBot="1" x14ac:dyDescent="0.3">
      <c r="A17" s="402" t="s">
        <v>688</v>
      </c>
      <c r="B17" s="403"/>
      <c r="C17" s="403"/>
      <c r="D17" s="403"/>
      <c r="E17" s="404"/>
      <c r="F17" s="60">
        <v>0</v>
      </c>
      <c r="G17" s="61"/>
      <c r="H17" s="61"/>
      <c r="I17" s="60">
        <f>F17</f>
        <v>0</v>
      </c>
      <c r="J17" s="6"/>
    </row>
    <row r="18" spans="1:10" ht="13.5" thickBot="1" x14ac:dyDescent="0.3">
      <c r="A18" s="396" t="s">
        <v>720</v>
      </c>
      <c r="B18" s="397"/>
      <c r="C18" s="397"/>
      <c r="D18" s="397"/>
      <c r="E18" s="398"/>
      <c r="F18" s="62"/>
      <c r="G18" s="63"/>
      <c r="H18" s="63"/>
      <c r="I18" s="64">
        <f>SUM(I15:I17)</f>
        <v>0</v>
      </c>
      <c r="J18" s="12"/>
    </row>
    <row r="19" spans="1:10" ht="13.5" thickBot="1" x14ac:dyDescent="0.3">
      <c r="A19" s="65"/>
      <c r="B19" s="65"/>
      <c r="C19" s="65"/>
      <c r="D19" s="65"/>
      <c r="E19" s="65"/>
      <c r="F19" s="65"/>
      <c r="G19" s="65"/>
      <c r="H19" s="65"/>
      <c r="I19" s="65"/>
    </row>
    <row r="20" spans="1:10" x14ac:dyDescent="0.25">
      <c r="A20" s="405" t="s">
        <v>680</v>
      </c>
      <c r="B20" s="406"/>
      <c r="C20" s="406"/>
      <c r="D20" s="406"/>
      <c r="E20" s="407"/>
      <c r="F20" s="57" t="s">
        <v>717</v>
      </c>
      <c r="G20" s="57" t="s">
        <v>718</v>
      </c>
      <c r="H20" s="57" t="s">
        <v>719</v>
      </c>
      <c r="I20" s="57" t="s">
        <v>717</v>
      </c>
      <c r="J20" s="12"/>
    </row>
    <row r="21" spans="1:10" x14ac:dyDescent="0.25">
      <c r="A21" s="399" t="s">
        <v>684</v>
      </c>
      <c r="B21" s="400"/>
      <c r="C21" s="400"/>
      <c r="D21" s="400"/>
      <c r="E21" s="401"/>
      <c r="F21" s="58">
        <v>0</v>
      </c>
      <c r="G21" s="59"/>
      <c r="H21" s="59"/>
      <c r="I21" s="58">
        <f t="shared" ref="I21:I26" si="0">F21</f>
        <v>0</v>
      </c>
      <c r="J21" s="6"/>
    </row>
    <row r="22" spans="1:10" x14ac:dyDescent="0.25">
      <c r="A22" s="399" t="s">
        <v>686</v>
      </c>
      <c r="B22" s="400"/>
      <c r="C22" s="400"/>
      <c r="D22" s="400"/>
      <c r="E22" s="401"/>
      <c r="F22" s="58">
        <v>0</v>
      </c>
      <c r="G22" s="59"/>
      <c r="H22" s="59"/>
      <c r="I22" s="58">
        <f t="shared" si="0"/>
        <v>0</v>
      </c>
      <c r="J22" s="6"/>
    </row>
    <row r="23" spans="1:10" x14ac:dyDescent="0.25">
      <c r="A23" s="399" t="s">
        <v>689</v>
      </c>
      <c r="B23" s="400"/>
      <c r="C23" s="400"/>
      <c r="D23" s="400"/>
      <c r="E23" s="401"/>
      <c r="F23" s="58">
        <v>0</v>
      </c>
      <c r="G23" s="59"/>
      <c r="H23" s="59"/>
      <c r="I23" s="58">
        <f t="shared" si="0"/>
        <v>0</v>
      </c>
      <c r="J23" s="6"/>
    </row>
    <row r="24" spans="1:10" x14ac:dyDescent="0.25">
      <c r="A24" s="399" t="s">
        <v>690</v>
      </c>
      <c r="B24" s="400"/>
      <c r="C24" s="400"/>
      <c r="D24" s="400"/>
      <c r="E24" s="401"/>
      <c r="F24" s="58">
        <v>0</v>
      </c>
      <c r="G24" s="59"/>
      <c r="H24" s="59"/>
      <c r="I24" s="58">
        <f t="shared" si="0"/>
        <v>0</v>
      </c>
      <c r="J24" s="6"/>
    </row>
    <row r="25" spans="1:10" x14ac:dyDescent="0.25">
      <c r="A25" s="399" t="s">
        <v>692</v>
      </c>
      <c r="B25" s="400"/>
      <c r="C25" s="400"/>
      <c r="D25" s="400"/>
      <c r="E25" s="401"/>
      <c r="F25" s="58">
        <v>0</v>
      </c>
      <c r="G25" s="59"/>
      <c r="H25" s="59"/>
      <c r="I25" s="58">
        <f t="shared" si="0"/>
        <v>0</v>
      </c>
      <c r="J25" s="6"/>
    </row>
    <row r="26" spans="1:10" ht="13.5" thickBot="1" x14ac:dyDescent="0.3">
      <c r="A26" s="402" t="s">
        <v>693</v>
      </c>
      <c r="B26" s="403"/>
      <c r="C26" s="403"/>
      <c r="D26" s="403"/>
      <c r="E26" s="404"/>
      <c r="F26" s="60">
        <v>0</v>
      </c>
      <c r="G26" s="61"/>
      <c r="H26" s="61"/>
      <c r="I26" s="60">
        <f t="shared" si="0"/>
        <v>0</v>
      </c>
      <c r="J26" s="6"/>
    </row>
    <row r="27" spans="1:10" ht="13.5" thickBot="1" x14ac:dyDescent="0.3">
      <c r="A27" s="396" t="s">
        <v>721</v>
      </c>
      <c r="B27" s="397"/>
      <c r="C27" s="397"/>
      <c r="D27" s="397"/>
      <c r="E27" s="398"/>
      <c r="F27" s="62"/>
      <c r="G27" s="64">
        <v>2</v>
      </c>
      <c r="H27" s="64">
        <f>'01 STAVBA Krycí list rozpočtu'!C22</f>
        <v>0</v>
      </c>
      <c r="I27" s="64">
        <f>(G27/100)*H27</f>
        <v>0</v>
      </c>
      <c r="J27" s="12"/>
    </row>
    <row r="28" spans="1:10" ht="13.5" thickBot="1" x14ac:dyDescent="0.3">
      <c r="A28" s="65"/>
      <c r="B28" s="65"/>
      <c r="C28" s="65"/>
      <c r="D28" s="65"/>
      <c r="E28" s="65"/>
      <c r="F28" s="65"/>
      <c r="G28" s="65"/>
      <c r="H28" s="65"/>
      <c r="I28" s="65"/>
    </row>
    <row r="29" spans="1:10" ht="15.2" customHeight="1" thickBot="1" x14ac:dyDescent="0.3">
      <c r="A29" s="408" t="s">
        <v>722</v>
      </c>
      <c r="B29" s="409"/>
      <c r="C29" s="409"/>
      <c r="D29" s="409"/>
      <c r="E29" s="410"/>
      <c r="F29" s="391">
        <f>I18+I27</f>
        <v>0</v>
      </c>
      <c r="G29" s="392"/>
      <c r="H29" s="392"/>
      <c r="I29" s="393"/>
      <c r="J29" s="12"/>
    </row>
    <row r="30" spans="1:10" x14ac:dyDescent="0.25">
      <c r="A30" s="55"/>
      <c r="B30" s="55"/>
      <c r="C30" s="55"/>
      <c r="D30" s="55"/>
      <c r="E30" s="55"/>
      <c r="F30" s="55"/>
      <c r="G30" s="55"/>
      <c r="H30" s="55"/>
      <c r="I30" s="55"/>
    </row>
    <row r="33" spans="1:10" ht="15.2" customHeight="1" thickBot="1" x14ac:dyDescent="0.3">
      <c r="A33" s="394" t="s">
        <v>723</v>
      </c>
      <c r="B33" s="395"/>
      <c r="C33" s="395"/>
      <c r="D33" s="395"/>
      <c r="E33" s="395"/>
      <c r="F33" s="56"/>
      <c r="G33" s="56"/>
      <c r="H33" s="56"/>
      <c r="I33" s="56"/>
    </row>
    <row r="34" spans="1:10" x14ac:dyDescent="0.25">
      <c r="A34" s="405" t="s">
        <v>724</v>
      </c>
      <c r="B34" s="406"/>
      <c r="C34" s="406"/>
      <c r="D34" s="406"/>
      <c r="E34" s="407"/>
      <c r="F34" s="57" t="s">
        <v>717</v>
      </c>
      <c r="G34" s="57" t="s">
        <v>718</v>
      </c>
      <c r="H34" s="57" t="s">
        <v>719</v>
      </c>
      <c r="I34" s="57" t="s">
        <v>717</v>
      </c>
      <c r="J34" s="12"/>
    </row>
    <row r="35" spans="1:10" x14ac:dyDescent="0.25">
      <c r="A35" s="399" t="s">
        <v>725</v>
      </c>
      <c r="B35" s="400"/>
      <c r="C35" s="400"/>
      <c r="D35" s="400"/>
      <c r="E35" s="401"/>
      <c r="F35" s="59"/>
      <c r="G35" s="306">
        <v>0</v>
      </c>
      <c r="H35" s="58">
        <f>'01 STAVBA Krycí list rozpočtu'!C22</f>
        <v>0</v>
      </c>
      <c r="I35" s="58">
        <f>(G35/100)*H35</f>
        <v>0</v>
      </c>
      <c r="J35" s="6"/>
    </row>
    <row r="36" spans="1:10" x14ac:dyDescent="0.25">
      <c r="A36" s="399" t="s">
        <v>726</v>
      </c>
      <c r="B36" s="400"/>
      <c r="C36" s="400"/>
      <c r="D36" s="400"/>
      <c r="E36" s="401"/>
      <c r="F36" s="306">
        <v>0</v>
      </c>
      <c r="G36" s="59"/>
      <c r="H36" s="59"/>
      <c r="I36" s="58">
        <f>F36</f>
        <v>0</v>
      </c>
      <c r="J36" s="6"/>
    </row>
    <row r="37" spans="1:10" x14ac:dyDescent="0.25">
      <c r="A37" s="399" t="s">
        <v>727</v>
      </c>
      <c r="B37" s="400"/>
      <c r="C37" s="400"/>
      <c r="D37" s="400"/>
      <c r="E37" s="401"/>
      <c r="F37" s="306">
        <v>0</v>
      </c>
      <c r="G37" s="59"/>
      <c r="H37" s="59"/>
      <c r="I37" s="58">
        <f>F37</f>
        <v>0</v>
      </c>
      <c r="J37" s="6"/>
    </row>
    <row r="38" spans="1:10" x14ac:dyDescent="0.25">
      <c r="A38" s="399" t="s">
        <v>728</v>
      </c>
      <c r="B38" s="400"/>
      <c r="C38" s="400"/>
      <c r="D38" s="400"/>
      <c r="E38" s="401"/>
      <c r="F38" s="306">
        <v>0</v>
      </c>
      <c r="G38" s="59"/>
      <c r="H38" s="59"/>
      <c r="I38" s="58">
        <f>F38</f>
        <v>0</v>
      </c>
      <c r="J38" s="6"/>
    </row>
    <row r="39" spans="1:10" x14ac:dyDescent="0.25">
      <c r="A39" s="399" t="s">
        <v>729</v>
      </c>
      <c r="B39" s="400"/>
      <c r="C39" s="400"/>
      <c r="D39" s="400"/>
      <c r="E39" s="401"/>
      <c r="F39" s="306">
        <v>0</v>
      </c>
      <c r="G39" s="59"/>
      <c r="H39" s="59"/>
      <c r="I39" s="58">
        <f>F39</f>
        <v>0</v>
      </c>
      <c r="J39" s="6"/>
    </row>
    <row r="40" spans="1:10" ht="13.5" thickBot="1" x14ac:dyDescent="0.3">
      <c r="A40" s="402" t="s">
        <v>730</v>
      </c>
      <c r="B40" s="403"/>
      <c r="C40" s="403"/>
      <c r="D40" s="403"/>
      <c r="E40" s="404"/>
      <c r="F40" s="307">
        <v>0</v>
      </c>
      <c r="G40" s="61"/>
      <c r="H40" s="61"/>
      <c r="I40" s="60">
        <f>F40</f>
        <v>0</v>
      </c>
      <c r="J40" s="6"/>
    </row>
    <row r="41" spans="1:10" ht="13.5" thickBot="1" x14ac:dyDescent="0.3">
      <c r="A41" s="396" t="s">
        <v>731</v>
      </c>
      <c r="B41" s="397"/>
      <c r="C41" s="397"/>
      <c r="D41" s="397"/>
      <c r="E41" s="398"/>
      <c r="F41" s="62"/>
      <c r="G41" s="63"/>
      <c r="H41" s="63"/>
      <c r="I41" s="64">
        <f>SUM(I35:I40)</f>
        <v>0</v>
      </c>
      <c r="J41" s="12"/>
    </row>
    <row r="42" spans="1:10" x14ac:dyDescent="0.25">
      <c r="A42" s="55"/>
      <c r="B42" s="55"/>
      <c r="C42" s="55"/>
      <c r="D42" s="55"/>
      <c r="E42" s="55"/>
      <c r="F42" s="55"/>
      <c r="G42" s="55"/>
      <c r="H42" s="55"/>
      <c r="I42" s="55"/>
    </row>
  </sheetData>
  <mergeCells count="56">
    <mergeCell ref="A1:I1"/>
    <mergeCell ref="A2:B3"/>
    <mergeCell ref="C2:D3"/>
    <mergeCell ref="E2:E3"/>
    <mergeCell ref="F2:G3"/>
    <mergeCell ref="H2:H3"/>
    <mergeCell ref="I2:I3"/>
    <mergeCell ref="I6:I7"/>
    <mergeCell ref="A4:B5"/>
    <mergeCell ref="C4:D5"/>
    <mergeCell ref="E4:E5"/>
    <mergeCell ref="F4:G5"/>
    <mergeCell ref="H4:H5"/>
    <mergeCell ref="I4:I5"/>
    <mergeCell ref="A6:B7"/>
    <mergeCell ref="C6:D7"/>
    <mergeCell ref="E6:E7"/>
    <mergeCell ref="F6:G7"/>
    <mergeCell ref="H6:H7"/>
    <mergeCell ref="I10:I11"/>
    <mergeCell ref="A8:B9"/>
    <mergeCell ref="C8:D9"/>
    <mergeCell ref="E8:E9"/>
    <mergeCell ref="F8:G9"/>
    <mergeCell ref="H8:H9"/>
    <mergeCell ref="I8:I9"/>
    <mergeCell ref="A14:E14"/>
    <mergeCell ref="A15:E15"/>
    <mergeCell ref="A16:E16"/>
    <mergeCell ref="A17:E17"/>
    <mergeCell ref="H10:H11"/>
    <mergeCell ref="A10:B11"/>
    <mergeCell ref="C10:D11"/>
    <mergeCell ref="E10:E11"/>
    <mergeCell ref="F10:G11"/>
    <mergeCell ref="A13:E13"/>
    <mergeCell ref="A25:E25"/>
    <mergeCell ref="A26:E26"/>
    <mergeCell ref="A27:E27"/>
    <mergeCell ref="A29:E29"/>
    <mergeCell ref="A18:E18"/>
    <mergeCell ref="A20:E20"/>
    <mergeCell ref="A21:E21"/>
    <mergeCell ref="A22:E22"/>
    <mergeCell ref="A23:E23"/>
    <mergeCell ref="A24:E24"/>
    <mergeCell ref="F29:I29"/>
    <mergeCell ref="A33:E33"/>
    <mergeCell ref="A41:E41"/>
    <mergeCell ref="A35:E35"/>
    <mergeCell ref="A36:E36"/>
    <mergeCell ref="A37:E37"/>
    <mergeCell ref="A38:E38"/>
    <mergeCell ref="A39:E39"/>
    <mergeCell ref="A40:E40"/>
    <mergeCell ref="A34:E34"/>
  </mergeCells>
  <pageMargins left="0.39400000000000002" right="0.39400000000000002" top="0.59099999999999997" bottom="0.59099999999999997" header="0.5" footer="0.5"/>
  <pageSetup paperSize="0" fitToHeight="0"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3AC92-EB0D-4518-B690-56C397F9F715}">
  <sheetPr>
    <pageSetUpPr fitToPage="1"/>
  </sheetPr>
  <dimension ref="A1:EC166"/>
  <sheetViews>
    <sheetView view="pageBreakPreview" topLeftCell="A145" zoomScaleNormal="85" zoomScaleSheetLayoutView="100" workbookViewId="0">
      <pane xSplit="2" topLeftCell="C1" activePane="topRight" state="frozen"/>
      <selection pane="topRight" activeCell="I165" sqref="I165"/>
    </sheetView>
  </sheetViews>
  <sheetFormatPr defaultRowHeight="12.75" x14ac:dyDescent="0.2"/>
  <cols>
    <col min="1" max="1" width="15" style="69" bestFit="1" customWidth="1"/>
    <col min="2" max="2" width="122.42578125" style="69" customWidth="1"/>
    <col min="3" max="3" width="5.5703125" style="68" bestFit="1" customWidth="1"/>
    <col min="4" max="4" width="6.5703125" style="68" bestFit="1" customWidth="1"/>
    <col min="5" max="5" width="10.140625" style="68" bestFit="1" customWidth="1"/>
    <col min="6" max="6" width="13.5703125" style="69" bestFit="1" customWidth="1"/>
    <col min="7" max="7" width="11.7109375" style="69" bestFit="1" customWidth="1"/>
    <col min="8" max="9" width="13.5703125" style="69" bestFit="1" customWidth="1"/>
    <col min="10" max="256" width="9.140625" style="69"/>
    <col min="257" max="257" width="15" style="69" bestFit="1" customWidth="1"/>
    <col min="258" max="258" width="122.42578125" style="69" customWidth="1"/>
    <col min="259" max="259" width="5.5703125" style="69" bestFit="1" customWidth="1"/>
    <col min="260" max="260" width="6.5703125" style="69" bestFit="1" customWidth="1"/>
    <col min="261" max="261" width="10.140625" style="69" bestFit="1" customWidth="1"/>
    <col min="262" max="262" width="13.5703125" style="69" bestFit="1" customWidth="1"/>
    <col min="263" max="263" width="11.7109375" style="69" bestFit="1" customWidth="1"/>
    <col min="264" max="265" width="13.5703125" style="69" bestFit="1" customWidth="1"/>
    <col min="266" max="512" width="9.140625" style="69"/>
    <col min="513" max="513" width="15" style="69" bestFit="1" customWidth="1"/>
    <col min="514" max="514" width="122.42578125" style="69" customWidth="1"/>
    <col min="515" max="515" width="5.5703125" style="69" bestFit="1" customWidth="1"/>
    <col min="516" max="516" width="6.5703125" style="69" bestFit="1" customWidth="1"/>
    <col min="517" max="517" width="10.140625" style="69" bestFit="1" customWidth="1"/>
    <col min="518" max="518" width="13.5703125" style="69" bestFit="1" customWidth="1"/>
    <col min="519" max="519" width="11.7109375" style="69" bestFit="1" customWidth="1"/>
    <col min="520" max="521" width="13.5703125" style="69" bestFit="1" customWidth="1"/>
    <col min="522" max="768" width="9.140625" style="69"/>
    <col min="769" max="769" width="15" style="69" bestFit="1" customWidth="1"/>
    <col min="770" max="770" width="122.42578125" style="69" customWidth="1"/>
    <col min="771" max="771" width="5.5703125" style="69" bestFit="1" customWidth="1"/>
    <col min="772" max="772" width="6.5703125" style="69" bestFit="1" customWidth="1"/>
    <col min="773" max="773" width="10.140625" style="69" bestFit="1" customWidth="1"/>
    <col min="774" max="774" width="13.5703125" style="69" bestFit="1" customWidth="1"/>
    <col min="775" max="775" width="11.7109375" style="69" bestFit="1" customWidth="1"/>
    <col min="776" max="777" width="13.5703125" style="69" bestFit="1" customWidth="1"/>
    <col min="778" max="1024" width="9.140625" style="69"/>
    <col min="1025" max="1025" width="15" style="69" bestFit="1" customWidth="1"/>
    <col min="1026" max="1026" width="122.42578125" style="69" customWidth="1"/>
    <col min="1027" max="1027" width="5.5703125" style="69" bestFit="1" customWidth="1"/>
    <col min="1028" max="1028" width="6.5703125" style="69" bestFit="1" customWidth="1"/>
    <col min="1029" max="1029" width="10.140625" style="69" bestFit="1" customWidth="1"/>
    <col min="1030" max="1030" width="13.5703125" style="69" bestFit="1" customWidth="1"/>
    <col min="1031" max="1031" width="11.7109375" style="69" bestFit="1" customWidth="1"/>
    <col min="1032" max="1033" width="13.5703125" style="69" bestFit="1" customWidth="1"/>
    <col min="1034" max="1280" width="9.140625" style="69"/>
    <col min="1281" max="1281" width="15" style="69" bestFit="1" customWidth="1"/>
    <col min="1282" max="1282" width="122.42578125" style="69" customWidth="1"/>
    <col min="1283" max="1283" width="5.5703125" style="69" bestFit="1" customWidth="1"/>
    <col min="1284" max="1284" width="6.5703125" style="69" bestFit="1" customWidth="1"/>
    <col min="1285" max="1285" width="10.140625" style="69" bestFit="1" customWidth="1"/>
    <col min="1286" max="1286" width="13.5703125" style="69" bestFit="1" customWidth="1"/>
    <col min="1287" max="1287" width="11.7109375" style="69" bestFit="1" customWidth="1"/>
    <col min="1288" max="1289" width="13.5703125" style="69" bestFit="1" customWidth="1"/>
    <col min="1290" max="1536" width="9.140625" style="69"/>
    <col min="1537" max="1537" width="15" style="69" bestFit="1" customWidth="1"/>
    <col min="1538" max="1538" width="122.42578125" style="69" customWidth="1"/>
    <col min="1539" max="1539" width="5.5703125" style="69" bestFit="1" customWidth="1"/>
    <col min="1540" max="1540" width="6.5703125" style="69" bestFit="1" customWidth="1"/>
    <col min="1541" max="1541" width="10.140625" style="69" bestFit="1" customWidth="1"/>
    <col min="1542" max="1542" width="13.5703125" style="69" bestFit="1" customWidth="1"/>
    <col min="1543" max="1543" width="11.7109375" style="69" bestFit="1" customWidth="1"/>
    <col min="1544" max="1545" width="13.5703125" style="69" bestFit="1" customWidth="1"/>
    <col min="1546" max="1792" width="9.140625" style="69"/>
    <col min="1793" max="1793" width="15" style="69" bestFit="1" customWidth="1"/>
    <col min="1794" max="1794" width="122.42578125" style="69" customWidth="1"/>
    <col min="1795" max="1795" width="5.5703125" style="69" bestFit="1" customWidth="1"/>
    <col min="1796" max="1796" width="6.5703125" style="69" bestFit="1" customWidth="1"/>
    <col min="1797" max="1797" width="10.140625" style="69" bestFit="1" customWidth="1"/>
    <col min="1798" max="1798" width="13.5703125" style="69" bestFit="1" customWidth="1"/>
    <col min="1799" max="1799" width="11.7109375" style="69" bestFit="1" customWidth="1"/>
    <col min="1800" max="1801" width="13.5703125" style="69" bestFit="1" customWidth="1"/>
    <col min="1802" max="2048" width="9.140625" style="69"/>
    <col min="2049" max="2049" width="15" style="69" bestFit="1" customWidth="1"/>
    <col min="2050" max="2050" width="122.42578125" style="69" customWidth="1"/>
    <col min="2051" max="2051" width="5.5703125" style="69" bestFit="1" customWidth="1"/>
    <col min="2052" max="2052" width="6.5703125" style="69" bestFit="1" customWidth="1"/>
    <col min="2053" max="2053" width="10.140625" style="69" bestFit="1" customWidth="1"/>
    <col min="2054" max="2054" width="13.5703125" style="69" bestFit="1" customWidth="1"/>
    <col min="2055" max="2055" width="11.7109375" style="69" bestFit="1" customWidth="1"/>
    <col min="2056" max="2057" width="13.5703125" style="69" bestFit="1" customWidth="1"/>
    <col min="2058" max="2304" width="9.140625" style="69"/>
    <col min="2305" max="2305" width="15" style="69" bestFit="1" customWidth="1"/>
    <col min="2306" max="2306" width="122.42578125" style="69" customWidth="1"/>
    <col min="2307" max="2307" width="5.5703125" style="69" bestFit="1" customWidth="1"/>
    <col min="2308" max="2308" width="6.5703125" style="69" bestFit="1" customWidth="1"/>
    <col min="2309" max="2309" width="10.140625" style="69" bestFit="1" customWidth="1"/>
    <col min="2310" max="2310" width="13.5703125" style="69" bestFit="1" customWidth="1"/>
    <col min="2311" max="2311" width="11.7109375" style="69" bestFit="1" customWidth="1"/>
    <col min="2312" max="2313" width="13.5703125" style="69" bestFit="1" customWidth="1"/>
    <col min="2314" max="2560" width="9.140625" style="69"/>
    <col min="2561" max="2561" width="15" style="69" bestFit="1" customWidth="1"/>
    <col min="2562" max="2562" width="122.42578125" style="69" customWidth="1"/>
    <col min="2563" max="2563" width="5.5703125" style="69" bestFit="1" customWidth="1"/>
    <col min="2564" max="2564" width="6.5703125" style="69" bestFit="1" customWidth="1"/>
    <col min="2565" max="2565" width="10.140625" style="69" bestFit="1" customWidth="1"/>
    <col min="2566" max="2566" width="13.5703125" style="69" bestFit="1" customWidth="1"/>
    <col min="2567" max="2567" width="11.7109375" style="69" bestFit="1" customWidth="1"/>
    <col min="2568" max="2569" width="13.5703125" style="69" bestFit="1" customWidth="1"/>
    <col min="2570" max="2816" width="9.140625" style="69"/>
    <col min="2817" max="2817" width="15" style="69" bestFit="1" customWidth="1"/>
    <col min="2818" max="2818" width="122.42578125" style="69" customWidth="1"/>
    <col min="2819" max="2819" width="5.5703125" style="69" bestFit="1" customWidth="1"/>
    <col min="2820" max="2820" width="6.5703125" style="69" bestFit="1" customWidth="1"/>
    <col min="2821" max="2821" width="10.140625" style="69" bestFit="1" customWidth="1"/>
    <col min="2822" max="2822" width="13.5703125" style="69" bestFit="1" customWidth="1"/>
    <col min="2823" max="2823" width="11.7109375" style="69" bestFit="1" customWidth="1"/>
    <col min="2824" max="2825" width="13.5703125" style="69" bestFit="1" customWidth="1"/>
    <col min="2826" max="3072" width="9.140625" style="69"/>
    <col min="3073" max="3073" width="15" style="69" bestFit="1" customWidth="1"/>
    <col min="3074" max="3074" width="122.42578125" style="69" customWidth="1"/>
    <col min="3075" max="3075" width="5.5703125" style="69" bestFit="1" customWidth="1"/>
    <col min="3076" max="3076" width="6.5703125" style="69" bestFit="1" customWidth="1"/>
    <col min="3077" max="3077" width="10.140625" style="69" bestFit="1" customWidth="1"/>
    <col min="3078" max="3078" width="13.5703125" style="69" bestFit="1" customWidth="1"/>
    <col min="3079" max="3079" width="11.7109375" style="69" bestFit="1" customWidth="1"/>
    <col min="3080" max="3081" width="13.5703125" style="69" bestFit="1" customWidth="1"/>
    <col min="3082" max="3328" width="9.140625" style="69"/>
    <col min="3329" max="3329" width="15" style="69" bestFit="1" customWidth="1"/>
    <col min="3330" max="3330" width="122.42578125" style="69" customWidth="1"/>
    <col min="3331" max="3331" width="5.5703125" style="69" bestFit="1" customWidth="1"/>
    <col min="3332" max="3332" width="6.5703125" style="69" bestFit="1" customWidth="1"/>
    <col min="3333" max="3333" width="10.140625" style="69" bestFit="1" customWidth="1"/>
    <col min="3334" max="3334" width="13.5703125" style="69" bestFit="1" customWidth="1"/>
    <col min="3335" max="3335" width="11.7109375" style="69" bestFit="1" customWidth="1"/>
    <col min="3336" max="3337" width="13.5703125" style="69" bestFit="1" customWidth="1"/>
    <col min="3338" max="3584" width="9.140625" style="69"/>
    <col min="3585" max="3585" width="15" style="69" bestFit="1" customWidth="1"/>
    <col min="3586" max="3586" width="122.42578125" style="69" customWidth="1"/>
    <col min="3587" max="3587" width="5.5703125" style="69" bestFit="1" customWidth="1"/>
    <col min="3588" max="3588" width="6.5703125" style="69" bestFit="1" customWidth="1"/>
    <col min="3589" max="3589" width="10.140625" style="69" bestFit="1" customWidth="1"/>
    <col min="3590" max="3590" width="13.5703125" style="69" bestFit="1" customWidth="1"/>
    <col min="3591" max="3591" width="11.7109375" style="69" bestFit="1" customWidth="1"/>
    <col min="3592" max="3593" width="13.5703125" style="69" bestFit="1" customWidth="1"/>
    <col min="3594" max="3840" width="9.140625" style="69"/>
    <col min="3841" max="3841" width="15" style="69" bestFit="1" customWidth="1"/>
    <col min="3842" max="3842" width="122.42578125" style="69" customWidth="1"/>
    <col min="3843" max="3843" width="5.5703125" style="69" bestFit="1" customWidth="1"/>
    <col min="3844" max="3844" width="6.5703125" style="69" bestFit="1" customWidth="1"/>
    <col min="3845" max="3845" width="10.140625" style="69" bestFit="1" customWidth="1"/>
    <col min="3846" max="3846" width="13.5703125" style="69" bestFit="1" customWidth="1"/>
    <col min="3847" max="3847" width="11.7109375" style="69" bestFit="1" customWidth="1"/>
    <col min="3848" max="3849" width="13.5703125" style="69" bestFit="1" customWidth="1"/>
    <col min="3850" max="4096" width="9.140625" style="69"/>
    <col min="4097" max="4097" width="15" style="69" bestFit="1" customWidth="1"/>
    <col min="4098" max="4098" width="122.42578125" style="69" customWidth="1"/>
    <col min="4099" max="4099" width="5.5703125" style="69" bestFit="1" customWidth="1"/>
    <col min="4100" max="4100" width="6.5703125" style="69" bestFit="1" customWidth="1"/>
    <col min="4101" max="4101" width="10.140625" style="69" bestFit="1" customWidth="1"/>
    <col min="4102" max="4102" width="13.5703125" style="69" bestFit="1" customWidth="1"/>
    <col min="4103" max="4103" width="11.7109375" style="69" bestFit="1" customWidth="1"/>
    <col min="4104" max="4105" width="13.5703125" style="69" bestFit="1" customWidth="1"/>
    <col min="4106" max="4352" width="9.140625" style="69"/>
    <col min="4353" max="4353" width="15" style="69" bestFit="1" customWidth="1"/>
    <col min="4354" max="4354" width="122.42578125" style="69" customWidth="1"/>
    <col min="4355" max="4355" width="5.5703125" style="69" bestFit="1" customWidth="1"/>
    <col min="4356" max="4356" width="6.5703125" style="69" bestFit="1" customWidth="1"/>
    <col min="4357" max="4357" width="10.140625" style="69" bestFit="1" customWidth="1"/>
    <col min="4358" max="4358" width="13.5703125" style="69" bestFit="1" customWidth="1"/>
    <col min="4359" max="4359" width="11.7109375" style="69" bestFit="1" customWidth="1"/>
    <col min="4360" max="4361" width="13.5703125" style="69" bestFit="1" customWidth="1"/>
    <col min="4362" max="4608" width="9.140625" style="69"/>
    <col min="4609" max="4609" width="15" style="69" bestFit="1" customWidth="1"/>
    <col min="4610" max="4610" width="122.42578125" style="69" customWidth="1"/>
    <col min="4611" max="4611" width="5.5703125" style="69" bestFit="1" customWidth="1"/>
    <col min="4612" max="4612" width="6.5703125" style="69" bestFit="1" customWidth="1"/>
    <col min="4613" max="4613" width="10.140625" style="69" bestFit="1" customWidth="1"/>
    <col min="4614" max="4614" width="13.5703125" style="69" bestFit="1" customWidth="1"/>
    <col min="4615" max="4615" width="11.7109375" style="69" bestFit="1" customWidth="1"/>
    <col min="4616" max="4617" width="13.5703125" style="69" bestFit="1" customWidth="1"/>
    <col min="4618" max="4864" width="9.140625" style="69"/>
    <col min="4865" max="4865" width="15" style="69" bestFit="1" customWidth="1"/>
    <col min="4866" max="4866" width="122.42578125" style="69" customWidth="1"/>
    <col min="4867" max="4867" width="5.5703125" style="69" bestFit="1" customWidth="1"/>
    <col min="4868" max="4868" width="6.5703125" style="69" bestFit="1" customWidth="1"/>
    <col min="4869" max="4869" width="10.140625" style="69" bestFit="1" customWidth="1"/>
    <col min="4870" max="4870" width="13.5703125" style="69" bestFit="1" customWidth="1"/>
    <col min="4871" max="4871" width="11.7109375" style="69" bestFit="1" customWidth="1"/>
    <col min="4872" max="4873" width="13.5703125" style="69" bestFit="1" customWidth="1"/>
    <col min="4874" max="5120" width="9.140625" style="69"/>
    <col min="5121" max="5121" width="15" style="69" bestFit="1" customWidth="1"/>
    <col min="5122" max="5122" width="122.42578125" style="69" customWidth="1"/>
    <col min="5123" max="5123" width="5.5703125" style="69" bestFit="1" customWidth="1"/>
    <col min="5124" max="5124" width="6.5703125" style="69" bestFit="1" customWidth="1"/>
    <col min="5125" max="5125" width="10.140625" style="69" bestFit="1" customWidth="1"/>
    <col min="5126" max="5126" width="13.5703125" style="69" bestFit="1" customWidth="1"/>
    <col min="5127" max="5127" width="11.7109375" style="69" bestFit="1" customWidth="1"/>
    <col min="5128" max="5129" width="13.5703125" style="69" bestFit="1" customWidth="1"/>
    <col min="5130" max="5376" width="9.140625" style="69"/>
    <col min="5377" max="5377" width="15" style="69" bestFit="1" customWidth="1"/>
    <col min="5378" max="5378" width="122.42578125" style="69" customWidth="1"/>
    <col min="5379" max="5379" width="5.5703125" style="69" bestFit="1" customWidth="1"/>
    <col min="5380" max="5380" width="6.5703125" style="69" bestFit="1" customWidth="1"/>
    <col min="5381" max="5381" width="10.140625" style="69" bestFit="1" customWidth="1"/>
    <col min="5382" max="5382" width="13.5703125" style="69" bestFit="1" customWidth="1"/>
    <col min="5383" max="5383" width="11.7109375" style="69" bestFit="1" customWidth="1"/>
    <col min="5384" max="5385" width="13.5703125" style="69" bestFit="1" customWidth="1"/>
    <col min="5386" max="5632" width="9.140625" style="69"/>
    <col min="5633" max="5633" width="15" style="69" bestFit="1" customWidth="1"/>
    <col min="5634" max="5634" width="122.42578125" style="69" customWidth="1"/>
    <col min="5635" max="5635" width="5.5703125" style="69" bestFit="1" customWidth="1"/>
    <col min="5636" max="5636" width="6.5703125" style="69" bestFit="1" customWidth="1"/>
    <col min="5637" max="5637" width="10.140625" style="69" bestFit="1" customWidth="1"/>
    <col min="5638" max="5638" width="13.5703125" style="69" bestFit="1" customWidth="1"/>
    <col min="5639" max="5639" width="11.7109375" style="69" bestFit="1" customWidth="1"/>
    <col min="5640" max="5641" width="13.5703125" style="69" bestFit="1" customWidth="1"/>
    <col min="5642" max="5888" width="9.140625" style="69"/>
    <col min="5889" max="5889" width="15" style="69" bestFit="1" customWidth="1"/>
    <col min="5890" max="5890" width="122.42578125" style="69" customWidth="1"/>
    <col min="5891" max="5891" width="5.5703125" style="69" bestFit="1" customWidth="1"/>
    <col min="5892" max="5892" width="6.5703125" style="69" bestFit="1" customWidth="1"/>
    <col min="5893" max="5893" width="10.140625" style="69" bestFit="1" customWidth="1"/>
    <col min="5894" max="5894" width="13.5703125" style="69" bestFit="1" customWidth="1"/>
    <col min="5895" max="5895" width="11.7109375" style="69" bestFit="1" customWidth="1"/>
    <col min="5896" max="5897" width="13.5703125" style="69" bestFit="1" customWidth="1"/>
    <col min="5898" max="6144" width="9.140625" style="69"/>
    <col min="6145" max="6145" width="15" style="69" bestFit="1" customWidth="1"/>
    <col min="6146" max="6146" width="122.42578125" style="69" customWidth="1"/>
    <col min="6147" max="6147" width="5.5703125" style="69" bestFit="1" customWidth="1"/>
    <col min="6148" max="6148" width="6.5703125" style="69" bestFit="1" customWidth="1"/>
    <col min="6149" max="6149" width="10.140625" style="69" bestFit="1" customWidth="1"/>
    <col min="6150" max="6150" width="13.5703125" style="69" bestFit="1" customWidth="1"/>
    <col min="6151" max="6151" width="11.7109375" style="69" bestFit="1" customWidth="1"/>
    <col min="6152" max="6153" width="13.5703125" style="69" bestFit="1" customWidth="1"/>
    <col min="6154" max="6400" width="9.140625" style="69"/>
    <col min="6401" max="6401" width="15" style="69" bestFit="1" customWidth="1"/>
    <col min="6402" max="6402" width="122.42578125" style="69" customWidth="1"/>
    <col min="6403" max="6403" width="5.5703125" style="69" bestFit="1" customWidth="1"/>
    <col min="6404" max="6404" width="6.5703125" style="69" bestFit="1" customWidth="1"/>
    <col min="6405" max="6405" width="10.140625" style="69" bestFit="1" customWidth="1"/>
    <col min="6406" max="6406" width="13.5703125" style="69" bestFit="1" customWidth="1"/>
    <col min="6407" max="6407" width="11.7109375" style="69" bestFit="1" customWidth="1"/>
    <col min="6408" max="6409" width="13.5703125" style="69" bestFit="1" customWidth="1"/>
    <col min="6410" max="6656" width="9.140625" style="69"/>
    <col min="6657" max="6657" width="15" style="69" bestFit="1" customWidth="1"/>
    <col min="6658" max="6658" width="122.42578125" style="69" customWidth="1"/>
    <col min="6659" max="6659" width="5.5703125" style="69" bestFit="1" customWidth="1"/>
    <col min="6660" max="6660" width="6.5703125" style="69" bestFit="1" customWidth="1"/>
    <col min="6661" max="6661" width="10.140625" style="69" bestFit="1" customWidth="1"/>
    <col min="6662" max="6662" width="13.5703125" style="69" bestFit="1" customWidth="1"/>
    <col min="6663" max="6663" width="11.7109375" style="69" bestFit="1" customWidth="1"/>
    <col min="6664" max="6665" width="13.5703125" style="69" bestFit="1" customWidth="1"/>
    <col min="6666" max="6912" width="9.140625" style="69"/>
    <col min="6913" max="6913" width="15" style="69" bestFit="1" customWidth="1"/>
    <col min="6914" max="6914" width="122.42578125" style="69" customWidth="1"/>
    <col min="6915" max="6915" width="5.5703125" style="69" bestFit="1" customWidth="1"/>
    <col min="6916" max="6916" width="6.5703125" style="69" bestFit="1" customWidth="1"/>
    <col min="6917" max="6917" width="10.140625" style="69" bestFit="1" customWidth="1"/>
    <col min="6918" max="6918" width="13.5703125" style="69" bestFit="1" customWidth="1"/>
    <col min="6919" max="6919" width="11.7109375" style="69" bestFit="1" customWidth="1"/>
    <col min="6920" max="6921" width="13.5703125" style="69" bestFit="1" customWidth="1"/>
    <col min="6922" max="7168" width="9.140625" style="69"/>
    <col min="7169" max="7169" width="15" style="69" bestFit="1" customWidth="1"/>
    <col min="7170" max="7170" width="122.42578125" style="69" customWidth="1"/>
    <col min="7171" max="7171" width="5.5703125" style="69" bestFit="1" customWidth="1"/>
    <col min="7172" max="7172" width="6.5703125" style="69" bestFit="1" customWidth="1"/>
    <col min="7173" max="7173" width="10.140625" style="69" bestFit="1" customWidth="1"/>
    <col min="7174" max="7174" width="13.5703125" style="69" bestFit="1" customWidth="1"/>
    <col min="7175" max="7175" width="11.7109375" style="69" bestFit="1" customWidth="1"/>
    <col min="7176" max="7177" width="13.5703125" style="69" bestFit="1" customWidth="1"/>
    <col min="7178" max="7424" width="9.140625" style="69"/>
    <col min="7425" max="7425" width="15" style="69" bestFit="1" customWidth="1"/>
    <col min="7426" max="7426" width="122.42578125" style="69" customWidth="1"/>
    <col min="7427" max="7427" width="5.5703125" style="69" bestFit="1" customWidth="1"/>
    <col min="7428" max="7428" width="6.5703125" style="69" bestFit="1" customWidth="1"/>
    <col min="7429" max="7429" width="10.140625" style="69" bestFit="1" customWidth="1"/>
    <col min="7430" max="7430" width="13.5703125" style="69" bestFit="1" customWidth="1"/>
    <col min="7431" max="7431" width="11.7109375" style="69" bestFit="1" customWidth="1"/>
    <col min="7432" max="7433" width="13.5703125" style="69" bestFit="1" customWidth="1"/>
    <col min="7434" max="7680" width="9.140625" style="69"/>
    <col min="7681" max="7681" width="15" style="69" bestFit="1" customWidth="1"/>
    <col min="7682" max="7682" width="122.42578125" style="69" customWidth="1"/>
    <col min="7683" max="7683" width="5.5703125" style="69" bestFit="1" customWidth="1"/>
    <col min="7684" max="7684" width="6.5703125" style="69" bestFit="1" customWidth="1"/>
    <col min="7685" max="7685" width="10.140625" style="69" bestFit="1" customWidth="1"/>
    <col min="7686" max="7686" width="13.5703125" style="69" bestFit="1" customWidth="1"/>
    <col min="7687" max="7687" width="11.7109375" style="69" bestFit="1" customWidth="1"/>
    <col min="7688" max="7689" width="13.5703125" style="69" bestFit="1" customWidth="1"/>
    <col min="7690" max="7936" width="9.140625" style="69"/>
    <col min="7937" max="7937" width="15" style="69" bestFit="1" customWidth="1"/>
    <col min="7938" max="7938" width="122.42578125" style="69" customWidth="1"/>
    <col min="7939" max="7939" width="5.5703125" style="69" bestFit="1" customWidth="1"/>
    <col min="7940" max="7940" width="6.5703125" style="69" bestFit="1" customWidth="1"/>
    <col min="7941" max="7941" width="10.140625" style="69" bestFit="1" customWidth="1"/>
    <col min="7942" max="7942" width="13.5703125" style="69" bestFit="1" customWidth="1"/>
    <col min="7943" max="7943" width="11.7109375" style="69" bestFit="1" customWidth="1"/>
    <col min="7944" max="7945" width="13.5703125" style="69" bestFit="1" customWidth="1"/>
    <col min="7946" max="8192" width="9.140625" style="69"/>
    <col min="8193" max="8193" width="15" style="69" bestFit="1" customWidth="1"/>
    <col min="8194" max="8194" width="122.42578125" style="69" customWidth="1"/>
    <col min="8195" max="8195" width="5.5703125" style="69" bestFit="1" customWidth="1"/>
    <col min="8196" max="8196" width="6.5703125" style="69" bestFit="1" customWidth="1"/>
    <col min="8197" max="8197" width="10.140625" style="69" bestFit="1" customWidth="1"/>
    <col min="8198" max="8198" width="13.5703125" style="69" bestFit="1" customWidth="1"/>
    <col min="8199" max="8199" width="11.7109375" style="69" bestFit="1" customWidth="1"/>
    <col min="8200" max="8201" width="13.5703125" style="69" bestFit="1" customWidth="1"/>
    <col min="8202" max="8448" width="9.140625" style="69"/>
    <col min="8449" max="8449" width="15" style="69" bestFit="1" customWidth="1"/>
    <col min="8450" max="8450" width="122.42578125" style="69" customWidth="1"/>
    <col min="8451" max="8451" width="5.5703125" style="69" bestFit="1" customWidth="1"/>
    <col min="8452" max="8452" width="6.5703125" style="69" bestFit="1" customWidth="1"/>
    <col min="8453" max="8453" width="10.140625" style="69" bestFit="1" customWidth="1"/>
    <col min="8454" max="8454" width="13.5703125" style="69" bestFit="1" customWidth="1"/>
    <col min="8455" max="8455" width="11.7109375" style="69" bestFit="1" customWidth="1"/>
    <col min="8456" max="8457" width="13.5703125" style="69" bestFit="1" customWidth="1"/>
    <col min="8458" max="8704" width="9.140625" style="69"/>
    <col min="8705" max="8705" width="15" style="69" bestFit="1" customWidth="1"/>
    <col min="8706" max="8706" width="122.42578125" style="69" customWidth="1"/>
    <col min="8707" max="8707" width="5.5703125" style="69" bestFit="1" customWidth="1"/>
    <col min="8708" max="8708" width="6.5703125" style="69" bestFit="1" customWidth="1"/>
    <col min="8709" max="8709" width="10.140625" style="69" bestFit="1" customWidth="1"/>
    <col min="8710" max="8710" width="13.5703125" style="69" bestFit="1" customWidth="1"/>
    <col min="8711" max="8711" width="11.7109375" style="69" bestFit="1" customWidth="1"/>
    <col min="8712" max="8713" width="13.5703125" style="69" bestFit="1" customWidth="1"/>
    <col min="8714" max="8960" width="9.140625" style="69"/>
    <col min="8961" max="8961" width="15" style="69" bestFit="1" customWidth="1"/>
    <col min="8962" max="8962" width="122.42578125" style="69" customWidth="1"/>
    <col min="8963" max="8963" width="5.5703125" style="69" bestFit="1" customWidth="1"/>
    <col min="8964" max="8964" width="6.5703125" style="69" bestFit="1" customWidth="1"/>
    <col min="8965" max="8965" width="10.140625" style="69" bestFit="1" customWidth="1"/>
    <col min="8966" max="8966" width="13.5703125" style="69" bestFit="1" customWidth="1"/>
    <col min="8967" max="8967" width="11.7109375" style="69" bestFit="1" customWidth="1"/>
    <col min="8968" max="8969" width="13.5703125" style="69" bestFit="1" customWidth="1"/>
    <col min="8970" max="9216" width="9.140625" style="69"/>
    <col min="9217" max="9217" width="15" style="69" bestFit="1" customWidth="1"/>
    <col min="9218" max="9218" width="122.42578125" style="69" customWidth="1"/>
    <col min="9219" max="9219" width="5.5703125" style="69" bestFit="1" customWidth="1"/>
    <col min="9220" max="9220" width="6.5703125" style="69" bestFit="1" customWidth="1"/>
    <col min="9221" max="9221" width="10.140625" style="69" bestFit="1" customWidth="1"/>
    <col min="9222" max="9222" width="13.5703125" style="69" bestFit="1" customWidth="1"/>
    <col min="9223" max="9223" width="11.7109375" style="69" bestFit="1" customWidth="1"/>
    <col min="9224" max="9225" width="13.5703125" style="69" bestFit="1" customWidth="1"/>
    <col min="9226" max="9472" width="9.140625" style="69"/>
    <col min="9473" max="9473" width="15" style="69" bestFit="1" customWidth="1"/>
    <col min="9474" max="9474" width="122.42578125" style="69" customWidth="1"/>
    <col min="9475" max="9475" width="5.5703125" style="69" bestFit="1" customWidth="1"/>
    <col min="9476" max="9476" width="6.5703125" style="69" bestFit="1" customWidth="1"/>
    <col min="9477" max="9477" width="10.140625" style="69" bestFit="1" customWidth="1"/>
    <col min="9478" max="9478" width="13.5703125" style="69" bestFit="1" customWidth="1"/>
    <col min="9479" max="9479" width="11.7109375" style="69" bestFit="1" customWidth="1"/>
    <col min="9480" max="9481" width="13.5703125" style="69" bestFit="1" customWidth="1"/>
    <col min="9482" max="9728" width="9.140625" style="69"/>
    <col min="9729" max="9729" width="15" style="69" bestFit="1" customWidth="1"/>
    <col min="9730" max="9730" width="122.42578125" style="69" customWidth="1"/>
    <col min="9731" max="9731" width="5.5703125" style="69" bestFit="1" customWidth="1"/>
    <col min="9732" max="9732" width="6.5703125" style="69" bestFit="1" customWidth="1"/>
    <col min="9733" max="9733" width="10.140625" style="69" bestFit="1" customWidth="1"/>
    <col min="9734" max="9734" width="13.5703125" style="69" bestFit="1" customWidth="1"/>
    <col min="9735" max="9735" width="11.7109375" style="69" bestFit="1" customWidth="1"/>
    <col min="9736" max="9737" width="13.5703125" style="69" bestFit="1" customWidth="1"/>
    <col min="9738" max="9984" width="9.140625" style="69"/>
    <col min="9985" max="9985" width="15" style="69" bestFit="1" customWidth="1"/>
    <col min="9986" max="9986" width="122.42578125" style="69" customWidth="1"/>
    <col min="9987" max="9987" width="5.5703125" style="69" bestFit="1" customWidth="1"/>
    <col min="9988" max="9988" width="6.5703125" style="69" bestFit="1" customWidth="1"/>
    <col min="9989" max="9989" width="10.140625" style="69" bestFit="1" customWidth="1"/>
    <col min="9990" max="9990" width="13.5703125" style="69" bestFit="1" customWidth="1"/>
    <col min="9991" max="9991" width="11.7109375" style="69" bestFit="1" customWidth="1"/>
    <col min="9992" max="9993" width="13.5703125" style="69" bestFit="1" customWidth="1"/>
    <col min="9994" max="10240" width="9.140625" style="69"/>
    <col min="10241" max="10241" width="15" style="69" bestFit="1" customWidth="1"/>
    <col min="10242" max="10242" width="122.42578125" style="69" customWidth="1"/>
    <col min="10243" max="10243" width="5.5703125" style="69" bestFit="1" customWidth="1"/>
    <col min="10244" max="10244" width="6.5703125" style="69" bestFit="1" customWidth="1"/>
    <col min="10245" max="10245" width="10.140625" style="69" bestFit="1" customWidth="1"/>
    <col min="10246" max="10246" width="13.5703125" style="69" bestFit="1" customWidth="1"/>
    <col min="10247" max="10247" width="11.7109375" style="69" bestFit="1" customWidth="1"/>
    <col min="10248" max="10249" width="13.5703125" style="69" bestFit="1" customWidth="1"/>
    <col min="10250" max="10496" width="9.140625" style="69"/>
    <col min="10497" max="10497" width="15" style="69" bestFit="1" customWidth="1"/>
    <col min="10498" max="10498" width="122.42578125" style="69" customWidth="1"/>
    <col min="10499" max="10499" width="5.5703125" style="69" bestFit="1" customWidth="1"/>
    <col min="10500" max="10500" width="6.5703125" style="69" bestFit="1" customWidth="1"/>
    <col min="10501" max="10501" width="10.140625" style="69" bestFit="1" customWidth="1"/>
    <col min="10502" max="10502" width="13.5703125" style="69" bestFit="1" customWidth="1"/>
    <col min="10503" max="10503" width="11.7109375" style="69" bestFit="1" customWidth="1"/>
    <col min="10504" max="10505" width="13.5703125" style="69" bestFit="1" customWidth="1"/>
    <col min="10506" max="10752" width="9.140625" style="69"/>
    <col min="10753" max="10753" width="15" style="69" bestFit="1" customWidth="1"/>
    <col min="10754" max="10754" width="122.42578125" style="69" customWidth="1"/>
    <col min="10755" max="10755" width="5.5703125" style="69" bestFit="1" customWidth="1"/>
    <col min="10756" max="10756" width="6.5703125" style="69" bestFit="1" customWidth="1"/>
    <col min="10757" max="10757" width="10.140625" style="69" bestFit="1" customWidth="1"/>
    <col min="10758" max="10758" width="13.5703125" style="69" bestFit="1" customWidth="1"/>
    <col min="10759" max="10759" width="11.7109375" style="69" bestFit="1" customWidth="1"/>
    <col min="10760" max="10761" width="13.5703125" style="69" bestFit="1" customWidth="1"/>
    <col min="10762" max="11008" width="9.140625" style="69"/>
    <col min="11009" max="11009" width="15" style="69" bestFit="1" customWidth="1"/>
    <col min="11010" max="11010" width="122.42578125" style="69" customWidth="1"/>
    <col min="11011" max="11011" width="5.5703125" style="69" bestFit="1" customWidth="1"/>
    <col min="11012" max="11012" width="6.5703125" style="69" bestFit="1" customWidth="1"/>
    <col min="11013" max="11013" width="10.140625" style="69" bestFit="1" customWidth="1"/>
    <col min="11014" max="11014" width="13.5703125" style="69" bestFit="1" customWidth="1"/>
    <col min="11015" max="11015" width="11.7109375" style="69" bestFit="1" customWidth="1"/>
    <col min="11016" max="11017" width="13.5703125" style="69" bestFit="1" customWidth="1"/>
    <col min="11018" max="11264" width="9.140625" style="69"/>
    <col min="11265" max="11265" width="15" style="69" bestFit="1" customWidth="1"/>
    <col min="11266" max="11266" width="122.42578125" style="69" customWidth="1"/>
    <col min="11267" max="11267" width="5.5703125" style="69" bestFit="1" customWidth="1"/>
    <col min="11268" max="11268" width="6.5703125" style="69" bestFit="1" customWidth="1"/>
    <col min="11269" max="11269" width="10.140625" style="69" bestFit="1" customWidth="1"/>
    <col min="11270" max="11270" width="13.5703125" style="69" bestFit="1" customWidth="1"/>
    <col min="11271" max="11271" width="11.7109375" style="69" bestFit="1" customWidth="1"/>
    <col min="11272" max="11273" width="13.5703125" style="69" bestFit="1" customWidth="1"/>
    <col min="11274" max="11520" width="9.140625" style="69"/>
    <col min="11521" max="11521" width="15" style="69" bestFit="1" customWidth="1"/>
    <col min="11522" max="11522" width="122.42578125" style="69" customWidth="1"/>
    <col min="11523" max="11523" width="5.5703125" style="69" bestFit="1" customWidth="1"/>
    <col min="11524" max="11524" width="6.5703125" style="69" bestFit="1" customWidth="1"/>
    <col min="11525" max="11525" width="10.140625" style="69" bestFit="1" customWidth="1"/>
    <col min="11526" max="11526" width="13.5703125" style="69" bestFit="1" customWidth="1"/>
    <col min="11527" max="11527" width="11.7109375" style="69" bestFit="1" customWidth="1"/>
    <col min="11528" max="11529" width="13.5703125" style="69" bestFit="1" customWidth="1"/>
    <col min="11530" max="11776" width="9.140625" style="69"/>
    <col min="11777" max="11777" width="15" style="69" bestFit="1" customWidth="1"/>
    <col min="11778" max="11778" width="122.42578125" style="69" customWidth="1"/>
    <col min="11779" max="11779" width="5.5703125" style="69" bestFit="1" customWidth="1"/>
    <col min="11780" max="11780" width="6.5703125" style="69" bestFit="1" customWidth="1"/>
    <col min="11781" max="11781" width="10.140625" style="69" bestFit="1" customWidth="1"/>
    <col min="11782" max="11782" width="13.5703125" style="69" bestFit="1" customWidth="1"/>
    <col min="11783" max="11783" width="11.7109375" style="69" bestFit="1" customWidth="1"/>
    <col min="11784" max="11785" width="13.5703125" style="69" bestFit="1" customWidth="1"/>
    <col min="11786" max="12032" width="9.140625" style="69"/>
    <col min="12033" max="12033" width="15" style="69" bestFit="1" customWidth="1"/>
    <col min="12034" max="12034" width="122.42578125" style="69" customWidth="1"/>
    <col min="12035" max="12035" width="5.5703125" style="69" bestFit="1" customWidth="1"/>
    <col min="12036" max="12036" width="6.5703125" style="69" bestFit="1" customWidth="1"/>
    <col min="12037" max="12037" width="10.140625" style="69" bestFit="1" customWidth="1"/>
    <col min="12038" max="12038" width="13.5703125" style="69" bestFit="1" customWidth="1"/>
    <col min="12039" max="12039" width="11.7109375" style="69" bestFit="1" customWidth="1"/>
    <col min="12040" max="12041" width="13.5703125" style="69" bestFit="1" customWidth="1"/>
    <col min="12042" max="12288" width="9.140625" style="69"/>
    <col min="12289" max="12289" width="15" style="69" bestFit="1" customWidth="1"/>
    <col min="12290" max="12290" width="122.42578125" style="69" customWidth="1"/>
    <col min="12291" max="12291" width="5.5703125" style="69" bestFit="1" customWidth="1"/>
    <col min="12292" max="12292" width="6.5703125" style="69" bestFit="1" customWidth="1"/>
    <col min="12293" max="12293" width="10.140625" style="69" bestFit="1" customWidth="1"/>
    <col min="12294" max="12294" width="13.5703125" style="69" bestFit="1" customWidth="1"/>
    <col min="12295" max="12295" width="11.7109375" style="69" bestFit="1" customWidth="1"/>
    <col min="12296" max="12297" width="13.5703125" style="69" bestFit="1" customWidth="1"/>
    <col min="12298" max="12544" width="9.140625" style="69"/>
    <col min="12545" max="12545" width="15" style="69" bestFit="1" customWidth="1"/>
    <col min="12546" max="12546" width="122.42578125" style="69" customWidth="1"/>
    <col min="12547" max="12547" width="5.5703125" style="69" bestFit="1" customWidth="1"/>
    <col min="12548" max="12548" width="6.5703125" style="69" bestFit="1" customWidth="1"/>
    <col min="12549" max="12549" width="10.140625" style="69" bestFit="1" customWidth="1"/>
    <col min="12550" max="12550" width="13.5703125" style="69" bestFit="1" customWidth="1"/>
    <col min="12551" max="12551" width="11.7109375" style="69" bestFit="1" customWidth="1"/>
    <col min="12552" max="12553" width="13.5703125" style="69" bestFit="1" customWidth="1"/>
    <col min="12554" max="12800" width="9.140625" style="69"/>
    <col min="12801" max="12801" width="15" style="69" bestFit="1" customWidth="1"/>
    <col min="12802" max="12802" width="122.42578125" style="69" customWidth="1"/>
    <col min="12803" max="12803" width="5.5703125" style="69" bestFit="1" customWidth="1"/>
    <col min="12804" max="12804" width="6.5703125" style="69" bestFit="1" customWidth="1"/>
    <col min="12805" max="12805" width="10.140625" style="69" bestFit="1" customWidth="1"/>
    <col min="12806" max="12806" width="13.5703125" style="69" bestFit="1" customWidth="1"/>
    <col min="12807" max="12807" width="11.7109375" style="69" bestFit="1" customWidth="1"/>
    <col min="12808" max="12809" width="13.5703125" style="69" bestFit="1" customWidth="1"/>
    <col min="12810" max="13056" width="9.140625" style="69"/>
    <col min="13057" max="13057" width="15" style="69" bestFit="1" customWidth="1"/>
    <col min="13058" max="13058" width="122.42578125" style="69" customWidth="1"/>
    <col min="13059" max="13059" width="5.5703125" style="69" bestFit="1" customWidth="1"/>
    <col min="13060" max="13060" width="6.5703125" style="69" bestFit="1" customWidth="1"/>
    <col min="13061" max="13061" width="10.140625" style="69" bestFit="1" customWidth="1"/>
    <col min="13062" max="13062" width="13.5703125" style="69" bestFit="1" customWidth="1"/>
    <col min="13063" max="13063" width="11.7109375" style="69" bestFit="1" customWidth="1"/>
    <col min="13064" max="13065" width="13.5703125" style="69" bestFit="1" customWidth="1"/>
    <col min="13066" max="13312" width="9.140625" style="69"/>
    <col min="13313" max="13313" width="15" style="69" bestFit="1" customWidth="1"/>
    <col min="13314" max="13314" width="122.42578125" style="69" customWidth="1"/>
    <col min="13315" max="13315" width="5.5703125" style="69" bestFit="1" customWidth="1"/>
    <col min="13316" max="13316" width="6.5703125" style="69" bestFit="1" customWidth="1"/>
    <col min="13317" max="13317" width="10.140625" style="69" bestFit="1" customWidth="1"/>
    <col min="13318" max="13318" width="13.5703125" style="69" bestFit="1" customWidth="1"/>
    <col min="13319" max="13319" width="11.7109375" style="69" bestFit="1" customWidth="1"/>
    <col min="13320" max="13321" width="13.5703125" style="69" bestFit="1" customWidth="1"/>
    <col min="13322" max="13568" width="9.140625" style="69"/>
    <col min="13569" max="13569" width="15" style="69" bestFit="1" customWidth="1"/>
    <col min="13570" max="13570" width="122.42578125" style="69" customWidth="1"/>
    <col min="13571" max="13571" width="5.5703125" style="69" bestFit="1" customWidth="1"/>
    <col min="13572" max="13572" width="6.5703125" style="69" bestFit="1" customWidth="1"/>
    <col min="13573" max="13573" width="10.140625" style="69" bestFit="1" customWidth="1"/>
    <col min="13574" max="13574" width="13.5703125" style="69" bestFit="1" customWidth="1"/>
    <col min="13575" max="13575" width="11.7109375" style="69" bestFit="1" customWidth="1"/>
    <col min="13576" max="13577" width="13.5703125" style="69" bestFit="1" customWidth="1"/>
    <col min="13578" max="13824" width="9.140625" style="69"/>
    <col min="13825" max="13825" width="15" style="69" bestFit="1" customWidth="1"/>
    <col min="13826" max="13826" width="122.42578125" style="69" customWidth="1"/>
    <col min="13827" max="13827" width="5.5703125" style="69" bestFit="1" customWidth="1"/>
    <col min="13828" max="13828" width="6.5703125" style="69" bestFit="1" customWidth="1"/>
    <col min="13829" max="13829" width="10.140625" style="69" bestFit="1" customWidth="1"/>
    <col min="13830" max="13830" width="13.5703125" style="69" bestFit="1" customWidth="1"/>
    <col min="13831" max="13831" width="11.7109375" style="69" bestFit="1" customWidth="1"/>
    <col min="13832" max="13833" width="13.5703125" style="69" bestFit="1" customWidth="1"/>
    <col min="13834" max="14080" width="9.140625" style="69"/>
    <col min="14081" max="14081" width="15" style="69" bestFit="1" customWidth="1"/>
    <col min="14082" max="14082" width="122.42578125" style="69" customWidth="1"/>
    <col min="14083" max="14083" width="5.5703125" style="69" bestFit="1" customWidth="1"/>
    <col min="14084" max="14084" width="6.5703125" style="69" bestFit="1" customWidth="1"/>
    <col min="14085" max="14085" width="10.140625" style="69" bestFit="1" customWidth="1"/>
    <col min="14086" max="14086" width="13.5703125" style="69" bestFit="1" customWidth="1"/>
    <col min="14087" max="14087" width="11.7109375" style="69" bestFit="1" customWidth="1"/>
    <col min="14088" max="14089" width="13.5703125" style="69" bestFit="1" customWidth="1"/>
    <col min="14090" max="14336" width="9.140625" style="69"/>
    <col min="14337" max="14337" width="15" style="69" bestFit="1" customWidth="1"/>
    <col min="14338" max="14338" width="122.42578125" style="69" customWidth="1"/>
    <col min="14339" max="14339" width="5.5703125" style="69" bestFit="1" customWidth="1"/>
    <col min="14340" max="14340" width="6.5703125" style="69" bestFit="1" customWidth="1"/>
    <col min="14341" max="14341" width="10.140625" style="69" bestFit="1" customWidth="1"/>
    <col min="14342" max="14342" width="13.5703125" style="69" bestFit="1" customWidth="1"/>
    <col min="14343" max="14343" width="11.7109375" style="69" bestFit="1" customWidth="1"/>
    <col min="14344" max="14345" width="13.5703125" style="69" bestFit="1" customWidth="1"/>
    <col min="14346" max="14592" width="9.140625" style="69"/>
    <col min="14593" max="14593" width="15" style="69" bestFit="1" customWidth="1"/>
    <col min="14594" max="14594" width="122.42578125" style="69" customWidth="1"/>
    <col min="14595" max="14595" width="5.5703125" style="69" bestFit="1" customWidth="1"/>
    <col min="14596" max="14596" width="6.5703125" style="69" bestFit="1" customWidth="1"/>
    <col min="14597" max="14597" width="10.140625" style="69" bestFit="1" customWidth="1"/>
    <col min="14598" max="14598" width="13.5703125" style="69" bestFit="1" customWidth="1"/>
    <col min="14599" max="14599" width="11.7109375" style="69" bestFit="1" customWidth="1"/>
    <col min="14600" max="14601" width="13.5703125" style="69" bestFit="1" customWidth="1"/>
    <col min="14602" max="14848" width="9.140625" style="69"/>
    <col min="14849" max="14849" width="15" style="69" bestFit="1" customWidth="1"/>
    <col min="14850" max="14850" width="122.42578125" style="69" customWidth="1"/>
    <col min="14851" max="14851" width="5.5703125" style="69" bestFit="1" customWidth="1"/>
    <col min="14852" max="14852" width="6.5703125" style="69" bestFit="1" customWidth="1"/>
    <col min="14853" max="14853" width="10.140625" style="69" bestFit="1" customWidth="1"/>
    <col min="14854" max="14854" width="13.5703125" style="69" bestFit="1" customWidth="1"/>
    <col min="14855" max="14855" width="11.7109375" style="69" bestFit="1" customWidth="1"/>
    <col min="14856" max="14857" width="13.5703125" style="69" bestFit="1" customWidth="1"/>
    <col min="14858" max="15104" width="9.140625" style="69"/>
    <col min="15105" max="15105" width="15" style="69" bestFit="1" customWidth="1"/>
    <col min="15106" max="15106" width="122.42578125" style="69" customWidth="1"/>
    <col min="15107" max="15107" width="5.5703125" style="69" bestFit="1" customWidth="1"/>
    <col min="15108" max="15108" width="6.5703125" style="69" bestFit="1" customWidth="1"/>
    <col min="15109" max="15109" width="10.140625" style="69" bestFit="1" customWidth="1"/>
    <col min="15110" max="15110" width="13.5703125" style="69" bestFit="1" customWidth="1"/>
    <col min="15111" max="15111" width="11.7109375" style="69" bestFit="1" customWidth="1"/>
    <col min="15112" max="15113" width="13.5703125" style="69" bestFit="1" customWidth="1"/>
    <col min="15114" max="15360" width="9.140625" style="69"/>
    <col min="15361" max="15361" width="15" style="69" bestFit="1" customWidth="1"/>
    <col min="15362" max="15362" width="122.42578125" style="69" customWidth="1"/>
    <col min="15363" max="15363" width="5.5703125" style="69" bestFit="1" customWidth="1"/>
    <col min="15364" max="15364" width="6.5703125" style="69" bestFit="1" customWidth="1"/>
    <col min="15365" max="15365" width="10.140625" style="69" bestFit="1" customWidth="1"/>
    <col min="15366" max="15366" width="13.5703125" style="69" bestFit="1" customWidth="1"/>
    <col min="15367" max="15367" width="11.7109375" style="69" bestFit="1" customWidth="1"/>
    <col min="15368" max="15369" width="13.5703125" style="69" bestFit="1" customWidth="1"/>
    <col min="15370" max="15616" width="9.140625" style="69"/>
    <col min="15617" max="15617" width="15" style="69" bestFit="1" customWidth="1"/>
    <col min="15618" max="15618" width="122.42578125" style="69" customWidth="1"/>
    <col min="15619" max="15619" width="5.5703125" style="69" bestFit="1" customWidth="1"/>
    <col min="15620" max="15620" width="6.5703125" style="69" bestFit="1" customWidth="1"/>
    <col min="15621" max="15621" width="10.140625" style="69" bestFit="1" customWidth="1"/>
    <col min="15622" max="15622" width="13.5703125" style="69" bestFit="1" customWidth="1"/>
    <col min="15623" max="15623" width="11.7109375" style="69" bestFit="1" customWidth="1"/>
    <col min="15624" max="15625" width="13.5703125" style="69" bestFit="1" customWidth="1"/>
    <col min="15626" max="15872" width="9.140625" style="69"/>
    <col min="15873" max="15873" width="15" style="69" bestFit="1" customWidth="1"/>
    <col min="15874" max="15874" width="122.42578125" style="69" customWidth="1"/>
    <col min="15875" max="15875" width="5.5703125" style="69" bestFit="1" customWidth="1"/>
    <col min="15876" max="15876" width="6.5703125" style="69" bestFit="1" customWidth="1"/>
    <col min="15877" max="15877" width="10.140625" style="69" bestFit="1" customWidth="1"/>
    <col min="15878" max="15878" width="13.5703125" style="69" bestFit="1" customWidth="1"/>
    <col min="15879" max="15879" width="11.7109375" style="69" bestFit="1" customWidth="1"/>
    <col min="15880" max="15881" width="13.5703125" style="69" bestFit="1" customWidth="1"/>
    <col min="15882" max="16128" width="9.140625" style="69"/>
    <col min="16129" max="16129" width="15" style="69" bestFit="1" customWidth="1"/>
    <col min="16130" max="16130" width="122.42578125" style="69" customWidth="1"/>
    <col min="16131" max="16131" width="5.5703125" style="69" bestFit="1" customWidth="1"/>
    <col min="16132" max="16132" width="6.5703125" style="69" bestFit="1" customWidth="1"/>
    <col min="16133" max="16133" width="10.140625" style="69" bestFit="1" customWidth="1"/>
    <col min="16134" max="16134" width="13.5703125" style="69" bestFit="1" customWidth="1"/>
    <col min="16135" max="16135" width="11.7109375" style="69" bestFit="1" customWidth="1"/>
    <col min="16136" max="16137" width="13.5703125" style="69" bestFit="1" customWidth="1"/>
    <col min="16138" max="16384" width="9.140625" style="69"/>
  </cols>
  <sheetData>
    <row r="1" spans="1:9" ht="15" x14ac:dyDescent="0.2">
      <c r="A1" s="66">
        <v>21040</v>
      </c>
      <c r="B1" s="67"/>
    </row>
    <row r="2" spans="1:9" ht="18" x14ac:dyDescent="0.25">
      <c r="A2" s="70"/>
      <c r="B2" s="71" t="s">
        <v>878</v>
      </c>
    </row>
    <row r="3" spans="1:9" ht="18" x14ac:dyDescent="0.25">
      <c r="A3" s="70"/>
      <c r="B3" s="71"/>
    </row>
    <row r="4" spans="1:9" ht="18" customHeight="1" x14ac:dyDescent="0.25">
      <c r="A4" s="72" t="s">
        <v>879</v>
      </c>
      <c r="B4" s="73" t="s">
        <v>880</v>
      </c>
    </row>
    <row r="5" spans="1:9" ht="18" customHeight="1" x14ac:dyDescent="0.25">
      <c r="A5" s="72" t="s">
        <v>881</v>
      </c>
      <c r="B5" s="74" t="s">
        <v>882</v>
      </c>
    </row>
    <row r="6" spans="1:9" ht="18" customHeight="1" x14ac:dyDescent="0.25">
      <c r="A6" s="72" t="s">
        <v>883</v>
      </c>
      <c r="B6" s="75" t="s">
        <v>884</v>
      </c>
    </row>
    <row r="7" spans="1:9" ht="18" customHeight="1" x14ac:dyDescent="0.25">
      <c r="A7" s="72" t="s">
        <v>885</v>
      </c>
      <c r="B7" s="76">
        <v>0</v>
      </c>
    </row>
    <row r="8" spans="1:9" ht="18" customHeight="1" x14ac:dyDescent="0.2">
      <c r="A8" s="77" t="s">
        <v>886</v>
      </c>
      <c r="B8" s="78"/>
      <c r="C8" s="79"/>
      <c r="D8" s="80"/>
      <c r="E8" s="80"/>
    </row>
    <row r="9" spans="1:9" x14ac:dyDescent="0.2">
      <c r="A9" s="81"/>
      <c r="B9" s="82"/>
      <c r="C9" s="79"/>
      <c r="D9" s="69"/>
      <c r="E9" s="69"/>
    </row>
    <row r="11" spans="1:9" ht="15.75" x14ac:dyDescent="0.25">
      <c r="A11" s="83" t="s">
        <v>887</v>
      </c>
      <c r="B11" s="84" t="s">
        <v>888</v>
      </c>
      <c r="C11" s="85" t="s">
        <v>889</v>
      </c>
      <c r="D11" s="85" t="s">
        <v>890</v>
      </c>
      <c r="E11" s="86" t="s">
        <v>891</v>
      </c>
      <c r="F11" s="86" t="s">
        <v>892</v>
      </c>
      <c r="G11" s="86" t="s">
        <v>893</v>
      </c>
      <c r="H11" s="86" t="s">
        <v>894</v>
      </c>
      <c r="I11" s="86" t="s">
        <v>895</v>
      </c>
    </row>
    <row r="12" spans="1:9" ht="20.100000000000001" customHeight="1" x14ac:dyDescent="0.25">
      <c r="A12" s="87">
        <v>1</v>
      </c>
      <c r="B12" s="311" t="s">
        <v>896</v>
      </c>
      <c r="C12" s="89"/>
      <c r="D12" s="89"/>
      <c r="E12" s="86"/>
      <c r="F12" s="86"/>
      <c r="G12" s="86"/>
      <c r="H12" s="86"/>
      <c r="I12" s="86"/>
    </row>
    <row r="13" spans="1:9" ht="20.100000000000001" customHeight="1" x14ac:dyDescent="0.25">
      <c r="A13" s="87">
        <v>2</v>
      </c>
      <c r="B13" s="90" t="s">
        <v>897</v>
      </c>
      <c r="C13" s="91" t="s">
        <v>898</v>
      </c>
      <c r="D13" s="91">
        <v>1</v>
      </c>
      <c r="E13" s="86">
        <v>0</v>
      </c>
      <c r="F13" s="86">
        <f>D13*E13</f>
        <v>0</v>
      </c>
      <c r="G13" s="309">
        <v>0</v>
      </c>
      <c r="H13" s="86">
        <f>G13*D13</f>
        <v>0</v>
      </c>
      <c r="I13" s="86">
        <f>H13+F13</f>
        <v>0</v>
      </c>
    </row>
    <row r="14" spans="1:9" ht="20.100000000000001" customHeight="1" x14ac:dyDescent="0.25">
      <c r="A14" s="87">
        <v>3</v>
      </c>
      <c r="B14" s="90" t="s">
        <v>899</v>
      </c>
      <c r="C14" s="91" t="s">
        <v>898</v>
      </c>
      <c r="D14" s="91">
        <v>1</v>
      </c>
      <c r="E14" s="309">
        <v>0</v>
      </c>
      <c r="F14" s="86">
        <f t="shared" ref="F14:F52" si="0">D14*E14</f>
        <v>0</v>
      </c>
      <c r="G14" s="309">
        <v>0</v>
      </c>
      <c r="H14" s="86">
        <f t="shared" ref="H14:H52" si="1">G14*D14</f>
        <v>0</v>
      </c>
      <c r="I14" s="86">
        <f t="shared" ref="I14:I52" si="2">H14+F14</f>
        <v>0</v>
      </c>
    </row>
    <row r="15" spans="1:9" ht="20.100000000000001" customHeight="1" x14ac:dyDescent="0.25">
      <c r="A15" s="87">
        <v>4</v>
      </c>
      <c r="B15" s="90" t="s">
        <v>900</v>
      </c>
      <c r="C15" s="91" t="s">
        <v>898</v>
      </c>
      <c r="D15" s="91">
        <v>1</v>
      </c>
      <c r="E15" s="309">
        <v>0</v>
      </c>
      <c r="F15" s="86">
        <f t="shared" si="0"/>
        <v>0</v>
      </c>
      <c r="G15" s="309">
        <v>0</v>
      </c>
      <c r="H15" s="86">
        <f t="shared" si="1"/>
        <v>0</v>
      </c>
      <c r="I15" s="86">
        <f t="shared" si="2"/>
        <v>0</v>
      </c>
    </row>
    <row r="16" spans="1:9" ht="20.100000000000001" customHeight="1" x14ac:dyDescent="0.25">
      <c r="A16" s="87">
        <v>5</v>
      </c>
      <c r="B16" s="90"/>
      <c r="C16" s="91"/>
      <c r="D16" s="91"/>
      <c r="E16" s="86"/>
      <c r="F16" s="86">
        <f t="shared" si="0"/>
        <v>0</v>
      </c>
      <c r="G16" s="86"/>
      <c r="H16" s="86">
        <f t="shared" si="1"/>
        <v>0</v>
      </c>
      <c r="I16" s="86">
        <f t="shared" si="2"/>
        <v>0</v>
      </c>
    </row>
    <row r="17" spans="1:133" ht="20.100000000000001" customHeight="1" x14ac:dyDescent="0.25">
      <c r="A17" s="87">
        <v>6</v>
      </c>
      <c r="B17" s="311" t="s">
        <v>901</v>
      </c>
      <c r="C17" s="91"/>
      <c r="D17" s="91"/>
      <c r="E17" s="86"/>
      <c r="F17" s="86">
        <f t="shared" si="0"/>
        <v>0</v>
      </c>
      <c r="G17" s="86"/>
      <c r="H17" s="86">
        <f t="shared" si="1"/>
        <v>0</v>
      </c>
      <c r="I17" s="86">
        <f t="shared" si="2"/>
        <v>0</v>
      </c>
    </row>
    <row r="18" spans="1:133" ht="20.100000000000001" customHeight="1" x14ac:dyDescent="0.25">
      <c r="A18" s="87">
        <v>7</v>
      </c>
      <c r="B18" s="90" t="s">
        <v>902</v>
      </c>
      <c r="C18" s="91" t="s">
        <v>898</v>
      </c>
      <c r="D18" s="91">
        <v>1</v>
      </c>
      <c r="E18" s="309">
        <v>0</v>
      </c>
      <c r="F18" s="86">
        <f t="shared" si="0"/>
        <v>0</v>
      </c>
      <c r="G18" s="309">
        <v>0</v>
      </c>
      <c r="H18" s="86">
        <f t="shared" si="1"/>
        <v>0</v>
      </c>
      <c r="I18" s="86">
        <f t="shared" si="2"/>
        <v>0</v>
      </c>
    </row>
    <row r="19" spans="1:133" ht="20.100000000000001" customHeight="1" x14ac:dyDescent="0.25">
      <c r="A19" s="87">
        <v>8</v>
      </c>
      <c r="B19" s="90" t="s">
        <v>903</v>
      </c>
      <c r="C19" s="91" t="s">
        <v>861</v>
      </c>
      <c r="D19" s="91">
        <v>3</v>
      </c>
      <c r="E19" s="309">
        <v>0</v>
      </c>
      <c r="F19" s="86">
        <f t="shared" si="0"/>
        <v>0</v>
      </c>
      <c r="G19" s="309">
        <v>0</v>
      </c>
      <c r="H19" s="86">
        <f t="shared" si="1"/>
        <v>0</v>
      </c>
      <c r="I19" s="86">
        <f t="shared" si="2"/>
        <v>0</v>
      </c>
    </row>
    <row r="20" spans="1:133" ht="20.100000000000001" customHeight="1" x14ac:dyDescent="0.25">
      <c r="A20" s="87">
        <v>9</v>
      </c>
      <c r="B20" s="90"/>
      <c r="C20" s="91"/>
      <c r="D20" s="91"/>
      <c r="E20" s="86"/>
      <c r="F20" s="86">
        <f t="shared" si="0"/>
        <v>0</v>
      </c>
      <c r="G20" s="86"/>
      <c r="H20" s="86">
        <f t="shared" si="1"/>
        <v>0</v>
      </c>
      <c r="I20" s="86">
        <f t="shared" si="2"/>
        <v>0</v>
      </c>
    </row>
    <row r="21" spans="1:133" ht="20.100000000000001" customHeight="1" x14ac:dyDescent="0.25">
      <c r="A21" s="87">
        <v>10</v>
      </c>
      <c r="B21" s="311" t="s">
        <v>904</v>
      </c>
      <c r="C21" s="89"/>
      <c r="D21" s="89"/>
      <c r="E21" s="86"/>
      <c r="F21" s="86">
        <f t="shared" si="0"/>
        <v>0</v>
      </c>
      <c r="G21" s="86"/>
      <c r="H21" s="86">
        <f t="shared" si="1"/>
        <v>0</v>
      </c>
      <c r="I21" s="86">
        <f t="shared" si="2"/>
        <v>0</v>
      </c>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c r="BD21" s="92"/>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93"/>
      <c r="CC21" s="93"/>
      <c r="CD21" s="93"/>
      <c r="CE21" s="93"/>
      <c r="CF21" s="93"/>
      <c r="CG21" s="93"/>
      <c r="CH21" s="93"/>
      <c r="CI21" s="93"/>
      <c r="CJ21" s="93"/>
      <c r="CK21" s="93"/>
      <c r="CL21" s="93"/>
      <c r="CM21" s="93"/>
      <c r="CN21" s="93"/>
      <c r="CO21" s="93"/>
      <c r="CP21" s="93"/>
      <c r="CQ21" s="93"/>
      <c r="CR21" s="93"/>
      <c r="CS21" s="93"/>
      <c r="CT21" s="93"/>
      <c r="CU21" s="93"/>
      <c r="CV21" s="93"/>
      <c r="CW21" s="93"/>
      <c r="CX21" s="93"/>
      <c r="CY21" s="93"/>
      <c r="CZ21" s="93"/>
      <c r="DA21" s="93"/>
      <c r="DB21" s="93"/>
      <c r="DC21" s="93"/>
      <c r="DD21" s="93"/>
      <c r="DE21" s="93"/>
      <c r="DF21" s="93"/>
      <c r="DG21" s="93"/>
      <c r="DH21" s="93"/>
      <c r="DI21" s="93"/>
      <c r="DJ21" s="93"/>
      <c r="DK21" s="93"/>
      <c r="DL21" s="93"/>
      <c r="DM21" s="93"/>
      <c r="DN21" s="93"/>
      <c r="DO21" s="93"/>
      <c r="DP21" s="93"/>
      <c r="DQ21" s="93"/>
      <c r="DR21" s="93"/>
      <c r="DS21" s="93"/>
      <c r="DT21" s="93"/>
      <c r="DU21" s="93"/>
      <c r="DV21" s="93"/>
      <c r="DW21" s="93"/>
      <c r="DX21" s="93"/>
      <c r="DY21" s="93"/>
      <c r="DZ21" s="93"/>
      <c r="EA21" s="93"/>
      <c r="EB21" s="93"/>
      <c r="EC21" s="93"/>
    </row>
    <row r="22" spans="1:133" ht="20.100000000000001" customHeight="1" x14ac:dyDescent="0.25">
      <c r="A22" s="87">
        <v>11</v>
      </c>
      <c r="B22" s="90" t="s">
        <v>2230</v>
      </c>
      <c r="C22" s="91" t="s">
        <v>861</v>
      </c>
      <c r="D22" s="91">
        <v>132</v>
      </c>
      <c r="E22" s="309">
        <v>0</v>
      </c>
      <c r="F22" s="86">
        <f t="shared" si="0"/>
        <v>0</v>
      </c>
      <c r="G22" s="309">
        <v>0</v>
      </c>
      <c r="H22" s="86">
        <f t="shared" si="1"/>
        <v>0</v>
      </c>
      <c r="I22" s="86">
        <f t="shared" si="2"/>
        <v>0</v>
      </c>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row>
    <row r="23" spans="1:133" ht="20.100000000000001" customHeight="1" x14ac:dyDescent="0.25">
      <c r="A23" s="87">
        <v>12</v>
      </c>
      <c r="B23" s="90" t="s">
        <v>2231</v>
      </c>
      <c r="C23" s="91" t="s">
        <v>861</v>
      </c>
      <c r="D23" s="91">
        <v>31</v>
      </c>
      <c r="E23" s="309">
        <v>0</v>
      </c>
      <c r="F23" s="86">
        <f t="shared" si="0"/>
        <v>0</v>
      </c>
      <c r="G23" s="309">
        <v>0</v>
      </c>
      <c r="H23" s="86">
        <f t="shared" si="1"/>
        <v>0</v>
      </c>
      <c r="I23" s="86">
        <f t="shared" si="2"/>
        <v>0</v>
      </c>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row>
    <row r="24" spans="1:133" ht="20.100000000000001" customHeight="1" x14ac:dyDescent="0.25">
      <c r="A24" s="87">
        <v>13</v>
      </c>
      <c r="B24" s="90" t="s">
        <v>2232</v>
      </c>
      <c r="C24" s="91" t="s">
        <v>861</v>
      </c>
      <c r="D24" s="91">
        <v>8</v>
      </c>
      <c r="E24" s="309">
        <v>0</v>
      </c>
      <c r="F24" s="86">
        <f t="shared" si="0"/>
        <v>0</v>
      </c>
      <c r="G24" s="309">
        <v>0</v>
      </c>
      <c r="H24" s="86">
        <f t="shared" si="1"/>
        <v>0</v>
      </c>
      <c r="I24" s="86">
        <f t="shared" si="2"/>
        <v>0</v>
      </c>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row>
    <row r="25" spans="1:133" ht="20.100000000000001" customHeight="1" x14ac:dyDescent="0.25">
      <c r="A25" s="87">
        <v>14</v>
      </c>
      <c r="B25" s="90" t="s">
        <v>2233</v>
      </c>
      <c r="C25" s="91" t="s">
        <v>861</v>
      </c>
      <c r="D25" s="91">
        <v>12</v>
      </c>
      <c r="E25" s="309">
        <v>0</v>
      </c>
      <c r="F25" s="86">
        <f t="shared" si="0"/>
        <v>0</v>
      </c>
      <c r="G25" s="309">
        <v>0</v>
      </c>
      <c r="H25" s="86">
        <f t="shared" si="1"/>
        <v>0</v>
      </c>
      <c r="I25" s="86">
        <f t="shared" si="2"/>
        <v>0</v>
      </c>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row>
    <row r="26" spans="1:133" ht="20.100000000000001" customHeight="1" x14ac:dyDescent="0.25">
      <c r="A26" s="87">
        <v>15</v>
      </c>
      <c r="B26" s="90" t="s">
        <v>2234</v>
      </c>
      <c r="C26" s="91" t="s">
        <v>861</v>
      </c>
      <c r="D26" s="91">
        <v>3</v>
      </c>
      <c r="E26" s="309">
        <v>0</v>
      </c>
      <c r="F26" s="86">
        <f t="shared" si="0"/>
        <v>0</v>
      </c>
      <c r="G26" s="309">
        <v>0</v>
      </c>
      <c r="H26" s="86">
        <f t="shared" si="1"/>
        <v>0</v>
      </c>
      <c r="I26" s="86">
        <f t="shared" si="2"/>
        <v>0</v>
      </c>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row>
    <row r="27" spans="1:133" ht="20.100000000000001" customHeight="1" x14ac:dyDescent="0.25">
      <c r="A27" s="87">
        <v>16</v>
      </c>
      <c r="B27" s="90" t="s">
        <v>2235</v>
      </c>
      <c r="C27" s="91" t="s">
        <v>861</v>
      </c>
      <c r="D27" s="91">
        <v>15</v>
      </c>
      <c r="E27" s="309">
        <v>0</v>
      </c>
      <c r="F27" s="86">
        <f t="shared" si="0"/>
        <v>0</v>
      </c>
      <c r="G27" s="309">
        <v>0</v>
      </c>
      <c r="H27" s="86">
        <f t="shared" si="1"/>
        <v>0</v>
      </c>
      <c r="I27" s="86">
        <f t="shared" si="2"/>
        <v>0</v>
      </c>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row>
    <row r="28" spans="1:133" ht="20.100000000000001" customHeight="1" x14ac:dyDescent="0.25">
      <c r="A28" s="87">
        <v>17</v>
      </c>
      <c r="B28" s="90" t="s">
        <v>2236</v>
      </c>
      <c r="C28" s="91" t="s">
        <v>861</v>
      </c>
      <c r="D28" s="91">
        <v>30</v>
      </c>
      <c r="E28" s="309">
        <v>0</v>
      </c>
      <c r="F28" s="86">
        <f t="shared" si="0"/>
        <v>0</v>
      </c>
      <c r="G28" s="309">
        <v>0</v>
      </c>
      <c r="H28" s="86">
        <f t="shared" si="1"/>
        <v>0</v>
      </c>
      <c r="I28" s="86">
        <f t="shared" si="2"/>
        <v>0</v>
      </c>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row>
    <row r="29" spans="1:133" ht="20.100000000000001" customHeight="1" x14ac:dyDescent="0.25">
      <c r="A29" s="87">
        <v>18</v>
      </c>
      <c r="B29" s="90" t="s">
        <v>2237</v>
      </c>
      <c r="C29" s="91" t="s">
        <v>861</v>
      </c>
      <c r="D29" s="91">
        <v>190</v>
      </c>
      <c r="E29" s="309">
        <v>0</v>
      </c>
      <c r="F29" s="86">
        <f t="shared" si="0"/>
        <v>0</v>
      </c>
      <c r="G29" s="86"/>
      <c r="H29" s="86">
        <f t="shared" si="1"/>
        <v>0</v>
      </c>
      <c r="I29" s="86">
        <f t="shared" si="2"/>
        <v>0</v>
      </c>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row>
    <row r="30" spans="1:133" ht="20.100000000000001" customHeight="1" x14ac:dyDescent="0.25">
      <c r="A30" s="87">
        <v>19</v>
      </c>
      <c r="B30" s="90" t="s">
        <v>2238</v>
      </c>
      <c r="C30" s="91" t="s">
        <v>861</v>
      </c>
      <c r="D30" s="91">
        <v>3</v>
      </c>
      <c r="E30" s="309">
        <v>0</v>
      </c>
      <c r="F30" s="86">
        <f t="shared" si="0"/>
        <v>0</v>
      </c>
      <c r="G30" s="86"/>
      <c r="H30" s="86">
        <f t="shared" si="1"/>
        <v>0</v>
      </c>
      <c r="I30" s="86">
        <f t="shared" si="2"/>
        <v>0</v>
      </c>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row>
    <row r="31" spans="1:133" ht="20.100000000000001" customHeight="1" x14ac:dyDescent="0.25">
      <c r="A31" s="87">
        <v>20</v>
      </c>
      <c r="B31" s="90" t="s">
        <v>2239</v>
      </c>
      <c r="C31" s="91" t="s">
        <v>861</v>
      </c>
      <c r="D31" s="91">
        <v>1</v>
      </c>
      <c r="E31" s="309">
        <v>0</v>
      </c>
      <c r="F31" s="86">
        <f t="shared" si="0"/>
        <v>0</v>
      </c>
      <c r="G31" s="86"/>
      <c r="H31" s="86">
        <f t="shared" si="1"/>
        <v>0</v>
      </c>
      <c r="I31" s="86">
        <f t="shared" si="2"/>
        <v>0</v>
      </c>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row>
    <row r="32" spans="1:133" ht="20.100000000000001" customHeight="1" x14ac:dyDescent="0.25">
      <c r="A32" s="87">
        <v>21</v>
      </c>
      <c r="B32" s="90" t="s">
        <v>2240</v>
      </c>
      <c r="C32" s="91" t="s">
        <v>861</v>
      </c>
      <c r="D32" s="91">
        <v>6</v>
      </c>
      <c r="E32" s="309">
        <v>0</v>
      </c>
      <c r="F32" s="86">
        <f t="shared" si="0"/>
        <v>0</v>
      </c>
      <c r="G32" s="86"/>
      <c r="H32" s="86">
        <f t="shared" si="1"/>
        <v>0</v>
      </c>
      <c r="I32" s="86">
        <f t="shared" si="2"/>
        <v>0</v>
      </c>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row>
    <row r="33" spans="1:55" ht="20.100000000000001" customHeight="1" x14ac:dyDescent="0.25">
      <c r="A33" s="87">
        <v>22</v>
      </c>
      <c r="B33" s="90" t="s">
        <v>2242</v>
      </c>
      <c r="C33" s="91" t="s">
        <v>861</v>
      </c>
      <c r="D33" s="91">
        <v>34</v>
      </c>
      <c r="E33" s="309">
        <v>0</v>
      </c>
      <c r="F33" s="86">
        <f t="shared" si="0"/>
        <v>0</v>
      </c>
      <c r="G33" s="309">
        <v>0</v>
      </c>
      <c r="H33" s="86">
        <f t="shared" si="1"/>
        <v>0</v>
      </c>
      <c r="I33" s="86">
        <f t="shared" si="2"/>
        <v>0</v>
      </c>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row>
    <row r="34" spans="1:55" ht="20.100000000000001" customHeight="1" x14ac:dyDescent="0.25">
      <c r="A34" s="87">
        <v>23</v>
      </c>
      <c r="B34" s="90" t="s">
        <v>2241</v>
      </c>
      <c r="C34" s="91" t="s">
        <v>861</v>
      </c>
      <c r="D34" s="91">
        <v>101</v>
      </c>
      <c r="E34" s="309">
        <v>0</v>
      </c>
      <c r="F34" s="86">
        <f t="shared" si="0"/>
        <v>0</v>
      </c>
      <c r="G34" s="309">
        <v>0</v>
      </c>
      <c r="H34" s="86">
        <f t="shared" si="1"/>
        <v>0</v>
      </c>
      <c r="I34" s="86">
        <f t="shared" si="2"/>
        <v>0</v>
      </c>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row>
    <row r="35" spans="1:55" ht="20.100000000000001" customHeight="1" x14ac:dyDescent="0.25">
      <c r="A35" s="87">
        <v>24</v>
      </c>
      <c r="B35" s="90" t="s">
        <v>2243</v>
      </c>
      <c r="C35" s="91" t="s">
        <v>861</v>
      </c>
      <c r="D35" s="91">
        <v>29</v>
      </c>
      <c r="E35" s="309">
        <v>0</v>
      </c>
      <c r="F35" s="86">
        <f t="shared" si="0"/>
        <v>0</v>
      </c>
      <c r="G35" s="309">
        <v>0</v>
      </c>
      <c r="H35" s="86">
        <f t="shared" si="1"/>
        <v>0</v>
      </c>
      <c r="I35" s="86">
        <f t="shared" si="2"/>
        <v>0</v>
      </c>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row>
    <row r="36" spans="1:55" ht="20.100000000000001" customHeight="1" x14ac:dyDescent="0.25">
      <c r="A36" s="87">
        <v>25</v>
      </c>
      <c r="B36" s="90" t="s">
        <v>2244</v>
      </c>
      <c r="C36" s="91" t="s">
        <v>104</v>
      </c>
      <c r="D36" s="91">
        <v>46</v>
      </c>
      <c r="E36" s="309">
        <v>0</v>
      </c>
      <c r="F36" s="86">
        <f t="shared" si="0"/>
        <v>0</v>
      </c>
      <c r="G36" s="309">
        <v>0</v>
      </c>
      <c r="H36" s="86">
        <f t="shared" si="1"/>
        <v>0</v>
      </c>
      <c r="I36" s="86">
        <f t="shared" si="2"/>
        <v>0</v>
      </c>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row>
    <row r="37" spans="1:55" ht="20.100000000000001" customHeight="1" x14ac:dyDescent="0.25">
      <c r="A37" s="87">
        <v>26</v>
      </c>
      <c r="B37" s="90" t="s">
        <v>2245</v>
      </c>
      <c r="C37" s="91" t="s">
        <v>861</v>
      </c>
      <c r="D37" s="91">
        <v>16</v>
      </c>
      <c r="E37" s="309">
        <v>0</v>
      </c>
      <c r="F37" s="86">
        <f t="shared" si="0"/>
        <v>0</v>
      </c>
      <c r="G37" s="86"/>
      <c r="H37" s="86">
        <f t="shared" si="1"/>
        <v>0</v>
      </c>
      <c r="I37" s="86">
        <f t="shared" si="2"/>
        <v>0</v>
      </c>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row>
    <row r="38" spans="1:55" ht="20.100000000000001" customHeight="1" x14ac:dyDescent="0.25">
      <c r="A38" s="87">
        <v>27</v>
      </c>
      <c r="B38" s="90" t="s">
        <v>2246</v>
      </c>
      <c r="C38" s="91" t="s">
        <v>861</v>
      </c>
      <c r="D38" s="91">
        <v>24</v>
      </c>
      <c r="E38" s="309">
        <v>0</v>
      </c>
      <c r="F38" s="86">
        <f t="shared" si="0"/>
        <v>0</v>
      </c>
      <c r="G38" s="86"/>
      <c r="H38" s="86">
        <f t="shared" si="1"/>
        <v>0</v>
      </c>
      <c r="I38" s="86">
        <f t="shared" si="2"/>
        <v>0</v>
      </c>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row>
    <row r="39" spans="1:55" ht="20.100000000000001" customHeight="1" x14ac:dyDescent="0.25">
      <c r="A39" s="87">
        <v>28</v>
      </c>
      <c r="B39" s="90" t="s">
        <v>905</v>
      </c>
      <c r="C39" s="91" t="s">
        <v>104</v>
      </c>
      <c r="D39" s="91">
        <v>46</v>
      </c>
      <c r="E39" s="309">
        <v>0</v>
      </c>
      <c r="F39" s="86">
        <f t="shared" si="0"/>
        <v>0</v>
      </c>
      <c r="G39" s="309">
        <v>0</v>
      </c>
      <c r="H39" s="86">
        <f t="shared" si="1"/>
        <v>0</v>
      </c>
      <c r="I39" s="86">
        <f t="shared" si="2"/>
        <v>0</v>
      </c>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row>
    <row r="40" spans="1:55" ht="20.100000000000001" customHeight="1" x14ac:dyDescent="0.25">
      <c r="A40" s="87">
        <v>29</v>
      </c>
      <c r="B40" s="90" t="s">
        <v>2247</v>
      </c>
      <c r="C40" s="91" t="s">
        <v>898</v>
      </c>
      <c r="D40" s="91">
        <v>48</v>
      </c>
      <c r="E40" s="309">
        <v>0</v>
      </c>
      <c r="F40" s="86">
        <f t="shared" si="0"/>
        <v>0</v>
      </c>
      <c r="G40" s="309">
        <v>0</v>
      </c>
      <c r="H40" s="86">
        <f t="shared" si="1"/>
        <v>0</v>
      </c>
      <c r="I40" s="86">
        <f t="shared" si="2"/>
        <v>0</v>
      </c>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row>
    <row r="41" spans="1:55" ht="15" x14ac:dyDescent="0.25">
      <c r="A41" s="87">
        <v>30</v>
      </c>
      <c r="B41" s="90" t="s">
        <v>2248</v>
      </c>
      <c r="C41" s="91" t="s">
        <v>898</v>
      </c>
      <c r="D41" s="91">
        <v>1</v>
      </c>
      <c r="E41" s="309">
        <v>0</v>
      </c>
      <c r="F41" s="86">
        <f t="shared" si="0"/>
        <v>0</v>
      </c>
      <c r="G41" s="309">
        <v>0</v>
      </c>
      <c r="H41" s="86">
        <f t="shared" si="1"/>
        <v>0</v>
      </c>
      <c r="I41" s="86">
        <f t="shared" si="2"/>
        <v>0</v>
      </c>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row>
    <row r="42" spans="1:55" ht="20.100000000000001" customHeight="1" x14ac:dyDescent="0.25">
      <c r="A42" s="87">
        <v>31</v>
      </c>
      <c r="B42" s="90" t="s">
        <v>2249</v>
      </c>
      <c r="C42" s="91" t="s">
        <v>861</v>
      </c>
      <c r="D42" s="91">
        <v>94</v>
      </c>
      <c r="E42" s="309">
        <v>0</v>
      </c>
      <c r="F42" s="86">
        <f t="shared" si="0"/>
        <v>0</v>
      </c>
      <c r="G42" s="309">
        <v>0</v>
      </c>
      <c r="H42" s="86">
        <f t="shared" si="1"/>
        <v>0</v>
      </c>
      <c r="I42" s="86">
        <f t="shared" si="2"/>
        <v>0</v>
      </c>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row>
    <row r="43" spans="1:55" ht="20.100000000000001" customHeight="1" x14ac:dyDescent="0.25">
      <c r="A43" s="87">
        <v>32</v>
      </c>
      <c r="B43" s="90" t="s">
        <v>2250</v>
      </c>
      <c r="C43" s="91" t="s">
        <v>898</v>
      </c>
      <c r="D43" s="91">
        <v>8</v>
      </c>
      <c r="E43" s="309">
        <v>0</v>
      </c>
      <c r="F43" s="86">
        <f t="shared" si="0"/>
        <v>0</v>
      </c>
      <c r="G43" s="309">
        <v>0</v>
      </c>
      <c r="H43" s="86">
        <f t="shared" si="1"/>
        <v>0</v>
      </c>
      <c r="I43" s="86">
        <f t="shared" si="2"/>
        <v>0</v>
      </c>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row>
    <row r="44" spans="1:55" ht="20.100000000000001" customHeight="1" x14ac:dyDescent="0.25">
      <c r="A44" s="87">
        <v>33</v>
      </c>
      <c r="B44" s="90" t="s">
        <v>2251</v>
      </c>
      <c r="C44" s="91" t="s">
        <v>861</v>
      </c>
      <c r="D44" s="91">
        <v>2</v>
      </c>
      <c r="E44" s="309">
        <v>0</v>
      </c>
      <c r="F44" s="86">
        <f t="shared" si="0"/>
        <v>0</v>
      </c>
      <c r="G44" s="309">
        <v>0</v>
      </c>
      <c r="H44" s="86">
        <f t="shared" si="1"/>
        <v>0</v>
      </c>
      <c r="I44" s="86">
        <f t="shared" si="2"/>
        <v>0</v>
      </c>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row>
    <row r="45" spans="1:55" ht="20.100000000000001" customHeight="1" x14ac:dyDescent="0.25">
      <c r="A45" s="87">
        <v>34</v>
      </c>
      <c r="B45" s="90" t="s">
        <v>2252</v>
      </c>
      <c r="C45" s="91" t="s">
        <v>861</v>
      </c>
      <c r="D45" s="91">
        <v>2</v>
      </c>
      <c r="E45" s="309">
        <v>0</v>
      </c>
      <c r="F45" s="86">
        <f t="shared" si="0"/>
        <v>0</v>
      </c>
      <c r="G45" s="309">
        <v>0</v>
      </c>
      <c r="H45" s="86">
        <f t="shared" si="1"/>
        <v>0</v>
      </c>
      <c r="I45" s="86">
        <f t="shared" si="2"/>
        <v>0</v>
      </c>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row>
    <row r="46" spans="1:55" ht="20.100000000000001" customHeight="1" x14ac:dyDescent="0.25">
      <c r="A46" s="87">
        <v>35</v>
      </c>
      <c r="B46" s="90" t="s">
        <v>2253</v>
      </c>
      <c r="C46" s="91" t="s">
        <v>861</v>
      </c>
      <c r="D46" s="91">
        <v>1</v>
      </c>
      <c r="E46" s="309">
        <v>0</v>
      </c>
      <c r="F46" s="86">
        <f t="shared" si="0"/>
        <v>0</v>
      </c>
      <c r="G46" s="309">
        <v>0</v>
      </c>
      <c r="H46" s="86">
        <f t="shared" si="1"/>
        <v>0</v>
      </c>
      <c r="I46" s="86">
        <f t="shared" si="2"/>
        <v>0</v>
      </c>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row>
    <row r="47" spans="1:55" ht="20.100000000000001" customHeight="1" x14ac:dyDescent="0.25">
      <c r="A47" s="87">
        <v>36</v>
      </c>
      <c r="B47" s="90" t="s">
        <v>2254</v>
      </c>
      <c r="C47" s="91" t="s">
        <v>861</v>
      </c>
      <c r="D47" s="91">
        <v>45</v>
      </c>
      <c r="E47" s="309">
        <v>0</v>
      </c>
      <c r="F47" s="86">
        <f t="shared" si="0"/>
        <v>0</v>
      </c>
      <c r="G47" s="309">
        <v>0</v>
      </c>
      <c r="H47" s="86">
        <f t="shared" si="1"/>
        <v>0</v>
      </c>
      <c r="I47" s="86">
        <f t="shared" si="2"/>
        <v>0</v>
      </c>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row>
    <row r="48" spans="1:55" ht="20.100000000000001" customHeight="1" x14ac:dyDescent="0.25">
      <c r="A48" s="87">
        <v>37</v>
      </c>
      <c r="B48" s="90" t="s">
        <v>906</v>
      </c>
      <c r="C48" s="91" t="s">
        <v>861</v>
      </c>
      <c r="D48" s="91">
        <v>223</v>
      </c>
      <c r="E48" s="309">
        <v>0</v>
      </c>
      <c r="F48" s="86">
        <f t="shared" si="0"/>
        <v>0</v>
      </c>
      <c r="G48" s="309">
        <v>0</v>
      </c>
      <c r="H48" s="86">
        <f t="shared" si="1"/>
        <v>0</v>
      </c>
      <c r="I48" s="86">
        <f t="shared" si="2"/>
        <v>0</v>
      </c>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row>
    <row r="49" spans="1:55" ht="20.100000000000001" customHeight="1" x14ac:dyDescent="0.25">
      <c r="A49" s="87">
        <v>38</v>
      </c>
      <c r="B49" s="90" t="s">
        <v>907</v>
      </c>
      <c r="C49" s="91" t="s">
        <v>861</v>
      </c>
      <c r="D49" s="91">
        <v>10</v>
      </c>
      <c r="E49" s="309">
        <v>0</v>
      </c>
      <c r="F49" s="86">
        <f t="shared" si="0"/>
        <v>0</v>
      </c>
      <c r="G49" s="309">
        <v>0</v>
      </c>
      <c r="H49" s="86">
        <f t="shared" si="1"/>
        <v>0</v>
      </c>
      <c r="I49" s="86">
        <f t="shared" si="2"/>
        <v>0</v>
      </c>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row>
    <row r="50" spans="1:55" ht="20.100000000000001" customHeight="1" x14ac:dyDescent="0.25">
      <c r="A50" s="87">
        <v>39</v>
      </c>
      <c r="B50" s="90" t="s">
        <v>908</v>
      </c>
      <c r="C50" s="91" t="s">
        <v>861</v>
      </c>
      <c r="D50" s="91">
        <v>13</v>
      </c>
      <c r="E50" s="309">
        <v>0</v>
      </c>
      <c r="F50" s="86">
        <f t="shared" si="0"/>
        <v>0</v>
      </c>
      <c r="G50" s="309">
        <v>0</v>
      </c>
      <c r="H50" s="86">
        <f t="shared" si="1"/>
        <v>0</v>
      </c>
      <c r="I50" s="86">
        <f t="shared" si="2"/>
        <v>0</v>
      </c>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row>
    <row r="51" spans="1:55" s="269" customFormat="1" ht="20.100000000000001" customHeight="1" x14ac:dyDescent="0.25">
      <c r="A51" s="264">
        <v>40</v>
      </c>
      <c r="B51" s="265" t="s">
        <v>909</v>
      </c>
      <c r="C51" s="266" t="s">
        <v>898</v>
      </c>
      <c r="D51" s="266">
        <v>1</v>
      </c>
      <c r="E51" s="309">
        <v>0</v>
      </c>
      <c r="F51" s="267">
        <f t="shared" si="0"/>
        <v>0</v>
      </c>
      <c r="G51" s="310">
        <v>0</v>
      </c>
      <c r="H51" s="267">
        <f t="shared" si="1"/>
        <v>0</v>
      </c>
      <c r="I51" s="267">
        <f t="shared" si="2"/>
        <v>0</v>
      </c>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8"/>
      <c r="AN51" s="268"/>
      <c r="AO51" s="268"/>
      <c r="AP51" s="268"/>
      <c r="AQ51" s="268"/>
      <c r="AR51" s="268"/>
      <c r="AS51" s="268"/>
      <c r="AT51" s="268"/>
      <c r="AU51" s="268"/>
      <c r="AV51" s="268"/>
      <c r="AW51" s="268"/>
      <c r="AX51" s="268"/>
      <c r="AY51" s="268"/>
      <c r="AZ51" s="268"/>
      <c r="BA51" s="268"/>
      <c r="BB51" s="268"/>
      <c r="BC51" s="268"/>
    </row>
    <row r="52" spans="1:55" ht="20.100000000000001" customHeight="1" x14ac:dyDescent="0.25">
      <c r="A52" s="87">
        <v>41</v>
      </c>
      <c r="B52" s="90" t="s">
        <v>910</v>
      </c>
      <c r="C52" s="91" t="s">
        <v>861</v>
      </c>
      <c r="D52" s="91">
        <v>1</v>
      </c>
      <c r="E52" s="309">
        <v>0</v>
      </c>
      <c r="F52" s="86">
        <f t="shared" si="0"/>
        <v>0</v>
      </c>
      <c r="G52" s="309">
        <v>0</v>
      </c>
      <c r="H52" s="86">
        <f t="shared" si="1"/>
        <v>0</v>
      </c>
      <c r="I52" s="86">
        <f t="shared" si="2"/>
        <v>0</v>
      </c>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row>
    <row r="53" spans="1:55" ht="20.100000000000001" customHeight="1" x14ac:dyDescent="0.2">
      <c r="A53" s="87">
        <v>42</v>
      </c>
      <c r="B53" s="90"/>
      <c r="C53" s="91"/>
      <c r="D53" s="91"/>
      <c r="E53" s="94"/>
    </row>
    <row r="54" spans="1:55" ht="20.100000000000001" customHeight="1" x14ac:dyDescent="0.25">
      <c r="A54" s="87">
        <v>43</v>
      </c>
      <c r="B54" s="88" t="s">
        <v>911</v>
      </c>
      <c r="C54" s="91"/>
      <c r="D54" s="91"/>
      <c r="E54" s="94"/>
    </row>
    <row r="55" spans="1:55" s="274" customFormat="1" ht="28.5" customHeight="1" x14ac:dyDescent="0.25">
      <c r="A55" s="270">
        <v>44</v>
      </c>
      <c r="B55" s="271" t="s">
        <v>2255</v>
      </c>
      <c r="C55" s="272" t="s">
        <v>861</v>
      </c>
      <c r="D55" s="272">
        <v>2</v>
      </c>
      <c r="E55" s="310">
        <v>0</v>
      </c>
      <c r="F55" s="267">
        <f t="shared" ref="F55:F68" si="3">D55*E55</f>
        <v>0</v>
      </c>
      <c r="G55" s="310">
        <v>0</v>
      </c>
      <c r="H55" s="267">
        <f t="shared" ref="H55:H68" si="4">G55*D55</f>
        <v>0</v>
      </c>
      <c r="I55" s="267">
        <f t="shared" ref="I55:I68" si="5">H55+F55</f>
        <v>0</v>
      </c>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c r="AP55" s="273"/>
      <c r="AQ55" s="273"/>
      <c r="AR55" s="273"/>
      <c r="AS55" s="273"/>
      <c r="AT55" s="273"/>
      <c r="AU55" s="273"/>
      <c r="AV55" s="273"/>
      <c r="AW55" s="273"/>
      <c r="AX55" s="273"/>
      <c r="AY55" s="273"/>
      <c r="AZ55" s="273"/>
      <c r="BA55" s="273"/>
      <c r="BB55" s="273"/>
      <c r="BC55" s="273"/>
    </row>
    <row r="56" spans="1:55" s="274" customFormat="1" ht="28.5" customHeight="1" x14ac:dyDescent="0.25">
      <c r="A56" s="270">
        <v>45</v>
      </c>
      <c r="B56" s="271" t="s">
        <v>2256</v>
      </c>
      <c r="C56" s="272" t="s">
        <v>861</v>
      </c>
      <c r="D56" s="272">
        <v>8</v>
      </c>
      <c r="E56" s="310">
        <v>0</v>
      </c>
      <c r="F56" s="267">
        <f t="shared" si="3"/>
        <v>0</v>
      </c>
      <c r="G56" s="310">
        <v>0</v>
      </c>
      <c r="H56" s="267">
        <f t="shared" si="4"/>
        <v>0</v>
      </c>
      <c r="I56" s="267">
        <f t="shared" si="5"/>
        <v>0</v>
      </c>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3"/>
      <c r="AT56" s="273"/>
      <c r="AU56" s="273"/>
      <c r="AV56" s="273"/>
      <c r="AW56" s="273"/>
      <c r="AX56" s="273"/>
      <c r="AY56" s="273"/>
      <c r="AZ56" s="273"/>
      <c r="BA56" s="273"/>
      <c r="BB56" s="273"/>
      <c r="BC56" s="273"/>
    </row>
    <row r="57" spans="1:55" s="274" customFormat="1" ht="28.5" customHeight="1" x14ac:dyDescent="0.25">
      <c r="A57" s="270">
        <v>46</v>
      </c>
      <c r="B57" s="271" t="s">
        <v>2257</v>
      </c>
      <c r="C57" s="272" t="s">
        <v>861</v>
      </c>
      <c r="D57" s="272">
        <v>96</v>
      </c>
      <c r="E57" s="310">
        <v>0</v>
      </c>
      <c r="F57" s="267">
        <f t="shared" si="3"/>
        <v>0</v>
      </c>
      <c r="G57" s="310">
        <v>0</v>
      </c>
      <c r="H57" s="267">
        <f t="shared" si="4"/>
        <v>0</v>
      </c>
      <c r="I57" s="267">
        <f t="shared" si="5"/>
        <v>0</v>
      </c>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c r="AP57" s="273"/>
      <c r="AQ57" s="273"/>
      <c r="AR57" s="273"/>
      <c r="AS57" s="273"/>
      <c r="AT57" s="273"/>
      <c r="AU57" s="273"/>
      <c r="AV57" s="273"/>
      <c r="AW57" s="273"/>
      <c r="AX57" s="273"/>
      <c r="AY57" s="273"/>
      <c r="AZ57" s="273"/>
      <c r="BA57" s="273"/>
      <c r="BB57" s="273"/>
      <c r="BC57" s="273"/>
    </row>
    <row r="58" spans="1:55" s="274" customFormat="1" ht="28.5" customHeight="1" x14ac:dyDescent="0.25">
      <c r="A58" s="270">
        <v>47</v>
      </c>
      <c r="B58" s="271" t="s">
        <v>2258</v>
      </c>
      <c r="C58" s="272" t="s">
        <v>861</v>
      </c>
      <c r="D58" s="272">
        <v>57</v>
      </c>
      <c r="E58" s="310">
        <v>0</v>
      </c>
      <c r="F58" s="267">
        <f t="shared" si="3"/>
        <v>0</v>
      </c>
      <c r="G58" s="310">
        <v>0</v>
      </c>
      <c r="H58" s="267">
        <f t="shared" si="4"/>
        <v>0</v>
      </c>
      <c r="I58" s="267">
        <f t="shared" si="5"/>
        <v>0</v>
      </c>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M58" s="273"/>
      <c r="AN58" s="273"/>
      <c r="AO58" s="273"/>
      <c r="AP58" s="273"/>
      <c r="AQ58" s="273"/>
      <c r="AR58" s="273"/>
      <c r="AS58" s="273"/>
      <c r="AT58" s="273"/>
      <c r="AU58" s="273"/>
      <c r="AV58" s="273"/>
      <c r="AW58" s="273"/>
      <c r="AX58" s="273"/>
      <c r="AY58" s="273"/>
      <c r="AZ58" s="273"/>
      <c r="BA58" s="273"/>
      <c r="BB58" s="273"/>
      <c r="BC58" s="273"/>
    </row>
    <row r="59" spans="1:55" s="274" customFormat="1" ht="28.5" customHeight="1" x14ac:dyDescent="0.25">
      <c r="A59" s="270">
        <v>48</v>
      </c>
      <c r="B59" s="271" t="s">
        <v>2259</v>
      </c>
      <c r="C59" s="272" t="s">
        <v>861</v>
      </c>
      <c r="D59" s="272">
        <v>7</v>
      </c>
      <c r="E59" s="310">
        <v>0</v>
      </c>
      <c r="F59" s="267">
        <f t="shared" si="3"/>
        <v>0</v>
      </c>
      <c r="G59" s="310">
        <v>0</v>
      </c>
      <c r="H59" s="267">
        <f t="shared" si="4"/>
        <v>0</v>
      </c>
      <c r="I59" s="267">
        <f t="shared" si="5"/>
        <v>0</v>
      </c>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3"/>
      <c r="AU59" s="273"/>
      <c r="AV59" s="273"/>
      <c r="AW59" s="273"/>
      <c r="AX59" s="273"/>
      <c r="AY59" s="273"/>
      <c r="AZ59" s="273"/>
      <c r="BA59" s="273"/>
      <c r="BB59" s="273"/>
      <c r="BC59" s="273"/>
    </row>
    <row r="60" spans="1:55" s="274" customFormat="1" ht="28.5" customHeight="1" x14ac:dyDescent="0.25">
      <c r="A60" s="270">
        <v>49</v>
      </c>
      <c r="B60" s="271" t="s">
        <v>2260</v>
      </c>
      <c r="C60" s="272" t="s">
        <v>861</v>
      </c>
      <c r="D60" s="272">
        <v>18</v>
      </c>
      <c r="E60" s="310">
        <v>0</v>
      </c>
      <c r="F60" s="267">
        <f t="shared" si="3"/>
        <v>0</v>
      </c>
      <c r="G60" s="310">
        <v>0</v>
      </c>
      <c r="H60" s="267">
        <f t="shared" si="4"/>
        <v>0</v>
      </c>
      <c r="I60" s="267">
        <f t="shared" si="5"/>
        <v>0</v>
      </c>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c r="AP60" s="273"/>
      <c r="AQ60" s="273"/>
      <c r="AR60" s="273"/>
      <c r="AS60" s="273"/>
      <c r="AT60" s="273"/>
      <c r="AU60" s="273"/>
      <c r="AV60" s="273"/>
      <c r="AW60" s="273"/>
      <c r="AX60" s="273"/>
      <c r="AY60" s="273"/>
      <c r="AZ60" s="273"/>
      <c r="BA60" s="273"/>
      <c r="BB60" s="273"/>
      <c r="BC60" s="273"/>
    </row>
    <row r="61" spans="1:55" s="274" customFormat="1" ht="28.5" customHeight="1" x14ac:dyDescent="0.25">
      <c r="A61" s="270">
        <v>50</v>
      </c>
      <c r="B61" s="271" t="s">
        <v>2261</v>
      </c>
      <c r="C61" s="272" t="s">
        <v>861</v>
      </c>
      <c r="D61" s="272">
        <v>2</v>
      </c>
      <c r="E61" s="310">
        <v>0</v>
      </c>
      <c r="F61" s="267">
        <f t="shared" si="3"/>
        <v>0</v>
      </c>
      <c r="G61" s="310">
        <v>0</v>
      </c>
      <c r="H61" s="267">
        <f t="shared" si="4"/>
        <v>0</v>
      </c>
      <c r="I61" s="267">
        <f t="shared" si="5"/>
        <v>0</v>
      </c>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3"/>
      <c r="AT61" s="273"/>
      <c r="AU61" s="273"/>
      <c r="AV61" s="273"/>
      <c r="AW61" s="273"/>
      <c r="AX61" s="273"/>
      <c r="AY61" s="273"/>
      <c r="AZ61" s="273"/>
      <c r="BA61" s="273"/>
      <c r="BB61" s="273"/>
      <c r="BC61" s="273"/>
    </row>
    <row r="62" spans="1:55" s="274" customFormat="1" ht="28.5" customHeight="1" x14ac:dyDescent="0.25">
      <c r="A62" s="270">
        <v>51</v>
      </c>
      <c r="B62" s="271" t="s">
        <v>2262</v>
      </c>
      <c r="C62" s="272" t="s">
        <v>861</v>
      </c>
      <c r="D62" s="272">
        <v>15</v>
      </c>
      <c r="E62" s="310">
        <v>0</v>
      </c>
      <c r="F62" s="267">
        <f t="shared" si="3"/>
        <v>0</v>
      </c>
      <c r="G62" s="310">
        <v>0</v>
      </c>
      <c r="H62" s="267">
        <f t="shared" si="4"/>
        <v>0</v>
      </c>
      <c r="I62" s="267">
        <f t="shared" si="5"/>
        <v>0</v>
      </c>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3"/>
      <c r="AT62" s="273"/>
      <c r="AU62" s="273"/>
      <c r="AV62" s="273"/>
      <c r="AW62" s="273"/>
      <c r="AX62" s="273"/>
      <c r="AY62" s="273"/>
      <c r="AZ62" s="273"/>
      <c r="BA62" s="273"/>
      <c r="BB62" s="273"/>
      <c r="BC62" s="273"/>
    </row>
    <row r="63" spans="1:55" s="274" customFormat="1" ht="28.5" customHeight="1" x14ac:dyDescent="0.25">
      <c r="A63" s="270">
        <v>52</v>
      </c>
      <c r="B63" s="271" t="s">
        <v>2263</v>
      </c>
      <c r="C63" s="272" t="s">
        <v>861</v>
      </c>
      <c r="D63" s="272">
        <v>4</v>
      </c>
      <c r="E63" s="310">
        <v>0</v>
      </c>
      <c r="F63" s="267">
        <f t="shared" si="3"/>
        <v>0</v>
      </c>
      <c r="G63" s="310">
        <v>0</v>
      </c>
      <c r="H63" s="267">
        <f t="shared" si="4"/>
        <v>0</v>
      </c>
      <c r="I63" s="267">
        <f t="shared" si="5"/>
        <v>0</v>
      </c>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3"/>
      <c r="AT63" s="273"/>
      <c r="AU63" s="273"/>
      <c r="AV63" s="273"/>
      <c r="AW63" s="273"/>
      <c r="AX63" s="273"/>
      <c r="AY63" s="273"/>
      <c r="AZ63" s="273"/>
      <c r="BA63" s="273"/>
      <c r="BB63" s="273"/>
      <c r="BC63" s="273"/>
    </row>
    <row r="64" spans="1:55" s="274" customFormat="1" ht="28.5" customHeight="1" x14ac:dyDescent="0.25">
      <c r="A64" s="270">
        <v>53</v>
      </c>
      <c r="B64" s="271" t="s">
        <v>2264</v>
      </c>
      <c r="C64" s="272" t="s">
        <v>861</v>
      </c>
      <c r="D64" s="272">
        <v>8</v>
      </c>
      <c r="E64" s="310">
        <v>0</v>
      </c>
      <c r="F64" s="267">
        <f t="shared" si="3"/>
        <v>0</v>
      </c>
      <c r="G64" s="310">
        <v>0</v>
      </c>
      <c r="H64" s="267">
        <f t="shared" si="4"/>
        <v>0</v>
      </c>
      <c r="I64" s="267">
        <f t="shared" si="5"/>
        <v>0</v>
      </c>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c r="AS64" s="273"/>
      <c r="AT64" s="273"/>
      <c r="AU64" s="273"/>
      <c r="AV64" s="273"/>
      <c r="AW64" s="273"/>
      <c r="AX64" s="273"/>
      <c r="AY64" s="273"/>
      <c r="AZ64" s="273"/>
      <c r="BA64" s="273"/>
      <c r="BB64" s="273"/>
      <c r="BC64" s="273"/>
    </row>
    <row r="65" spans="1:55" s="274" customFormat="1" ht="28.5" customHeight="1" x14ac:dyDescent="0.25">
      <c r="A65" s="270">
        <v>54</v>
      </c>
      <c r="B65" s="271" t="s">
        <v>2265</v>
      </c>
      <c r="C65" s="272" t="s">
        <v>861</v>
      </c>
      <c r="D65" s="272">
        <v>5</v>
      </c>
      <c r="E65" s="310">
        <v>0</v>
      </c>
      <c r="F65" s="267">
        <f t="shared" si="3"/>
        <v>0</v>
      </c>
      <c r="G65" s="310">
        <v>0</v>
      </c>
      <c r="H65" s="267">
        <f t="shared" si="4"/>
        <v>0</v>
      </c>
      <c r="I65" s="267">
        <f t="shared" si="5"/>
        <v>0</v>
      </c>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c r="AS65" s="273"/>
      <c r="AT65" s="273"/>
      <c r="AU65" s="273"/>
      <c r="AV65" s="273"/>
      <c r="AW65" s="273"/>
      <c r="AX65" s="273"/>
      <c r="AY65" s="273"/>
      <c r="AZ65" s="273"/>
      <c r="BA65" s="273"/>
      <c r="BB65" s="273"/>
      <c r="BC65" s="273"/>
    </row>
    <row r="66" spans="1:55" s="274" customFormat="1" ht="28.5" customHeight="1" x14ac:dyDescent="0.25">
      <c r="A66" s="270">
        <v>55</v>
      </c>
      <c r="B66" s="271" t="s">
        <v>2266</v>
      </c>
      <c r="C66" s="272" t="s">
        <v>861</v>
      </c>
      <c r="D66" s="272">
        <v>2</v>
      </c>
      <c r="E66" s="310">
        <v>0</v>
      </c>
      <c r="F66" s="267">
        <f t="shared" si="3"/>
        <v>0</v>
      </c>
      <c r="G66" s="310">
        <v>0</v>
      </c>
      <c r="H66" s="267">
        <f t="shared" si="4"/>
        <v>0</v>
      </c>
      <c r="I66" s="267">
        <f t="shared" si="5"/>
        <v>0</v>
      </c>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3"/>
      <c r="AO66" s="273"/>
      <c r="AP66" s="273"/>
      <c r="AQ66" s="273"/>
      <c r="AR66" s="273"/>
      <c r="AS66" s="273"/>
      <c r="AT66" s="273"/>
      <c r="AU66" s="273"/>
      <c r="AV66" s="273"/>
      <c r="AW66" s="273"/>
      <c r="AX66" s="273"/>
      <c r="AY66" s="273"/>
      <c r="AZ66" s="273"/>
      <c r="BA66" s="273"/>
      <c r="BB66" s="273"/>
      <c r="BC66" s="273"/>
    </row>
    <row r="67" spans="1:55" s="274" customFormat="1" ht="28.5" customHeight="1" x14ac:dyDescent="0.25">
      <c r="A67" s="270">
        <v>56</v>
      </c>
      <c r="B67" s="271" t="s">
        <v>2267</v>
      </c>
      <c r="C67" s="272" t="s">
        <v>861</v>
      </c>
      <c r="D67" s="272">
        <v>34</v>
      </c>
      <c r="E67" s="310">
        <v>0</v>
      </c>
      <c r="F67" s="267">
        <f t="shared" si="3"/>
        <v>0</v>
      </c>
      <c r="G67" s="310">
        <v>0</v>
      </c>
      <c r="H67" s="267">
        <f t="shared" si="4"/>
        <v>0</v>
      </c>
      <c r="I67" s="267">
        <f t="shared" si="5"/>
        <v>0</v>
      </c>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3"/>
      <c r="AT67" s="273"/>
      <c r="AU67" s="273"/>
      <c r="AV67" s="273"/>
      <c r="AW67" s="273"/>
      <c r="AX67" s="273"/>
      <c r="AY67" s="273"/>
      <c r="AZ67" s="273"/>
      <c r="BA67" s="273"/>
      <c r="BB67" s="273"/>
      <c r="BC67" s="273"/>
    </row>
    <row r="68" spans="1:55" s="274" customFormat="1" ht="28.5" customHeight="1" x14ac:dyDescent="0.25">
      <c r="A68" s="270">
        <v>57</v>
      </c>
      <c r="B68" s="271" t="s">
        <v>2268</v>
      </c>
      <c r="C68" s="272" t="s">
        <v>861</v>
      </c>
      <c r="D68" s="272">
        <v>6</v>
      </c>
      <c r="E68" s="310">
        <v>0</v>
      </c>
      <c r="F68" s="267">
        <f t="shared" si="3"/>
        <v>0</v>
      </c>
      <c r="G68" s="310">
        <v>0</v>
      </c>
      <c r="H68" s="267">
        <f t="shared" si="4"/>
        <v>0</v>
      </c>
      <c r="I68" s="267">
        <f t="shared" si="5"/>
        <v>0</v>
      </c>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3"/>
      <c r="AT68" s="273"/>
      <c r="AU68" s="273"/>
      <c r="AV68" s="273"/>
      <c r="AW68" s="273"/>
      <c r="AX68" s="273"/>
      <c r="AY68" s="273"/>
      <c r="AZ68" s="273"/>
      <c r="BA68" s="273"/>
      <c r="BB68" s="273"/>
      <c r="BC68" s="273"/>
    </row>
    <row r="69" spans="1:55" ht="20.100000000000001" customHeight="1" x14ac:dyDescent="0.2">
      <c r="A69" s="87">
        <v>58</v>
      </c>
      <c r="B69" s="90"/>
      <c r="C69" s="91"/>
      <c r="D69" s="91"/>
      <c r="E69" s="94"/>
    </row>
    <row r="70" spans="1:55" ht="20.100000000000001" customHeight="1" x14ac:dyDescent="0.25">
      <c r="A70" s="87">
        <v>59</v>
      </c>
      <c r="B70" s="88" t="s">
        <v>912</v>
      </c>
      <c r="C70" s="89"/>
      <c r="D70" s="89"/>
      <c r="E70" s="92"/>
    </row>
    <row r="71" spans="1:55" ht="20.100000000000001" customHeight="1" x14ac:dyDescent="0.25">
      <c r="A71" s="87">
        <v>60</v>
      </c>
      <c r="B71" s="90" t="s">
        <v>913</v>
      </c>
      <c r="C71" s="91" t="s">
        <v>104</v>
      </c>
      <c r="D71" s="91">
        <v>10</v>
      </c>
      <c r="E71" s="309">
        <v>0</v>
      </c>
      <c r="F71" s="86">
        <f t="shared" ref="F71:F86" si="6">D71*E71</f>
        <v>0</v>
      </c>
      <c r="G71" s="309">
        <v>0</v>
      </c>
      <c r="H71" s="86">
        <f t="shared" ref="H71:H86" si="7">G71*D71</f>
        <v>0</v>
      </c>
      <c r="I71" s="86">
        <f t="shared" ref="I71:I86" si="8">H71+F71</f>
        <v>0</v>
      </c>
    </row>
    <row r="72" spans="1:55" ht="20.100000000000001" customHeight="1" x14ac:dyDescent="0.25">
      <c r="A72" s="87">
        <v>61</v>
      </c>
      <c r="B72" s="90" t="s">
        <v>914</v>
      </c>
      <c r="C72" s="91" t="s">
        <v>104</v>
      </c>
      <c r="D72" s="91">
        <v>30</v>
      </c>
      <c r="E72" s="309">
        <v>0</v>
      </c>
      <c r="F72" s="86">
        <f t="shared" si="6"/>
        <v>0</v>
      </c>
      <c r="G72" s="309">
        <v>0</v>
      </c>
      <c r="H72" s="86">
        <f t="shared" si="7"/>
        <v>0</v>
      </c>
      <c r="I72" s="86">
        <f t="shared" si="8"/>
        <v>0</v>
      </c>
    </row>
    <row r="73" spans="1:55" ht="20.100000000000001" customHeight="1" x14ac:dyDescent="0.25">
      <c r="A73" s="87">
        <v>62</v>
      </c>
      <c r="B73" s="90" t="s">
        <v>915</v>
      </c>
      <c r="C73" s="91" t="s">
        <v>104</v>
      </c>
      <c r="D73" s="91">
        <v>20</v>
      </c>
      <c r="E73" s="309">
        <v>0</v>
      </c>
      <c r="F73" s="86">
        <f t="shared" si="6"/>
        <v>0</v>
      </c>
      <c r="G73" s="309">
        <v>0</v>
      </c>
      <c r="H73" s="86">
        <f t="shared" si="7"/>
        <v>0</v>
      </c>
      <c r="I73" s="86">
        <f t="shared" si="8"/>
        <v>0</v>
      </c>
    </row>
    <row r="74" spans="1:55" ht="20.100000000000001" customHeight="1" x14ac:dyDescent="0.25">
      <c r="A74" s="87">
        <v>63</v>
      </c>
      <c r="B74" s="90" t="s">
        <v>916</v>
      </c>
      <c r="C74" s="91" t="s">
        <v>104</v>
      </c>
      <c r="D74" s="91">
        <v>10</v>
      </c>
      <c r="E74" s="309">
        <v>0</v>
      </c>
      <c r="F74" s="86">
        <f t="shared" si="6"/>
        <v>0</v>
      </c>
      <c r="G74" s="309">
        <v>0</v>
      </c>
      <c r="H74" s="86">
        <f t="shared" si="7"/>
        <v>0</v>
      </c>
      <c r="I74" s="86">
        <f t="shared" si="8"/>
        <v>0</v>
      </c>
    </row>
    <row r="75" spans="1:55" ht="20.100000000000001" customHeight="1" x14ac:dyDescent="0.25">
      <c r="A75" s="87">
        <v>64</v>
      </c>
      <c r="B75" s="90" t="s">
        <v>917</v>
      </c>
      <c r="C75" s="91" t="s">
        <v>104</v>
      </c>
      <c r="D75" s="91">
        <v>40</v>
      </c>
      <c r="E75" s="309">
        <v>0</v>
      </c>
      <c r="F75" s="86">
        <f t="shared" si="6"/>
        <v>0</v>
      </c>
      <c r="G75" s="309">
        <v>0</v>
      </c>
      <c r="H75" s="86">
        <f t="shared" si="7"/>
        <v>0</v>
      </c>
      <c r="I75" s="86">
        <f t="shared" si="8"/>
        <v>0</v>
      </c>
    </row>
    <row r="76" spans="1:55" ht="20.100000000000001" customHeight="1" x14ac:dyDescent="0.25">
      <c r="A76" s="87">
        <v>65</v>
      </c>
      <c r="B76" s="90" t="s">
        <v>918</v>
      </c>
      <c r="C76" s="91" t="s">
        <v>104</v>
      </c>
      <c r="D76" s="91">
        <v>120</v>
      </c>
      <c r="E76" s="309">
        <v>0</v>
      </c>
      <c r="F76" s="86">
        <f t="shared" si="6"/>
        <v>0</v>
      </c>
      <c r="G76" s="309">
        <v>0</v>
      </c>
      <c r="H76" s="86">
        <f t="shared" si="7"/>
        <v>0</v>
      </c>
      <c r="I76" s="86">
        <f t="shared" si="8"/>
        <v>0</v>
      </c>
    </row>
    <row r="77" spans="1:55" ht="20.100000000000001" customHeight="1" x14ac:dyDescent="0.25">
      <c r="A77" s="87">
        <v>66</v>
      </c>
      <c r="B77" s="90" t="s">
        <v>919</v>
      </c>
      <c r="C77" s="91" t="s">
        <v>104</v>
      </c>
      <c r="D77" s="91">
        <v>3850</v>
      </c>
      <c r="E77" s="309">
        <v>0</v>
      </c>
      <c r="F77" s="86">
        <f t="shared" si="6"/>
        <v>0</v>
      </c>
      <c r="G77" s="309">
        <v>0</v>
      </c>
      <c r="H77" s="86">
        <f t="shared" si="7"/>
        <v>0</v>
      </c>
      <c r="I77" s="86">
        <f t="shared" si="8"/>
        <v>0</v>
      </c>
    </row>
    <row r="78" spans="1:55" ht="20.100000000000001" customHeight="1" x14ac:dyDescent="0.25">
      <c r="A78" s="87">
        <v>67</v>
      </c>
      <c r="B78" s="90" t="s">
        <v>920</v>
      </c>
      <c r="C78" s="91" t="s">
        <v>104</v>
      </c>
      <c r="D78" s="91">
        <v>80</v>
      </c>
      <c r="E78" s="309">
        <v>0</v>
      </c>
      <c r="F78" s="86">
        <f t="shared" si="6"/>
        <v>0</v>
      </c>
      <c r="G78" s="309">
        <v>0</v>
      </c>
      <c r="H78" s="86">
        <f t="shared" si="7"/>
        <v>0</v>
      </c>
      <c r="I78" s="86">
        <f t="shared" si="8"/>
        <v>0</v>
      </c>
    </row>
    <row r="79" spans="1:55" ht="20.100000000000001" customHeight="1" x14ac:dyDescent="0.25">
      <c r="A79" s="87">
        <v>68</v>
      </c>
      <c r="B79" s="90" t="s">
        <v>921</v>
      </c>
      <c r="C79" s="91" t="s">
        <v>104</v>
      </c>
      <c r="D79" s="91">
        <v>1550</v>
      </c>
      <c r="E79" s="309">
        <v>0</v>
      </c>
      <c r="F79" s="86">
        <f t="shared" si="6"/>
        <v>0</v>
      </c>
      <c r="G79" s="309">
        <v>0</v>
      </c>
      <c r="H79" s="86">
        <f t="shared" si="7"/>
        <v>0</v>
      </c>
      <c r="I79" s="86">
        <f t="shared" si="8"/>
        <v>0</v>
      </c>
    </row>
    <row r="80" spans="1:55" ht="20.100000000000001" customHeight="1" x14ac:dyDescent="0.25">
      <c r="A80" s="87">
        <v>69</v>
      </c>
      <c r="B80" s="90" t="s">
        <v>922</v>
      </c>
      <c r="C80" s="91" t="s">
        <v>104</v>
      </c>
      <c r="D80" s="91">
        <v>75</v>
      </c>
      <c r="E80" s="309">
        <v>0</v>
      </c>
      <c r="F80" s="86">
        <f t="shared" si="6"/>
        <v>0</v>
      </c>
      <c r="G80" s="309">
        <v>0</v>
      </c>
      <c r="H80" s="86">
        <f t="shared" si="7"/>
        <v>0</v>
      </c>
      <c r="I80" s="86">
        <f t="shared" si="8"/>
        <v>0</v>
      </c>
    </row>
    <row r="81" spans="1:55" ht="20.100000000000001" customHeight="1" x14ac:dyDescent="0.25">
      <c r="A81" s="87">
        <v>70</v>
      </c>
      <c r="B81" s="90" t="s">
        <v>923</v>
      </c>
      <c r="C81" s="91" t="s">
        <v>104</v>
      </c>
      <c r="D81" s="91">
        <v>10</v>
      </c>
      <c r="E81" s="309">
        <v>0</v>
      </c>
      <c r="F81" s="86">
        <f t="shared" si="6"/>
        <v>0</v>
      </c>
      <c r="G81" s="309">
        <v>0</v>
      </c>
      <c r="H81" s="86">
        <f t="shared" si="7"/>
        <v>0</v>
      </c>
      <c r="I81" s="86">
        <f t="shared" si="8"/>
        <v>0</v>
      </c>
    </row>
    <row r="82" spans="1:55" ht="20.100000000000001" customHeight="1" x14ac:dyDescent="0.25">
      <c r="A82" s="87">
        <v>71</v>
      </c>
      <c r="B82" s="90" t="s">
        <v>924</v>
      </c>
      <c r="C82" s="91" t="s">
        <v>104</v>
      </c>
      <c r="D82" s="91">
        <v>30</v>
      </c>
      <c r="E82" s="309">
        <v>0</v>
      </c>
      <c r="F82" s="86">
        <f t="shared" si="6"/>
        <v>0</v>
      </c>
      <c r="G82" s="309">
        <v>0</v>
      </c>
      <c r="H82" s="86">
        <f t="shared" si="7"/>
        <v>0</v>
      </c>
      <c r="I82" s="86">
        <f t="shared" si="8"/>
        <v>0</v>
      </c>
    </row>
    <row r="83" spans="1:55" ht="20.100000000000001" customHeight="1" x14ac:dyDescent="0.25">
      <c r="A83" s="87">
        <v>72</v>
      </c>
      <c r="B83" s="90" t="s">
        <v>925</v>
      </c>
      <c r="C83" s="91" t="s">
        <v>104</v>
      </c>
      <c r="D83" s="91">
        <v>100</v>
      </c>
      <c r="E83" s="309">
        <v>0</v>
      </c>
      <c r="F83" s="86">
        <f t="shared" si="6"/>
        <v>0</v>
      </c>
      <c r="G83" s="309">
        <v>0</v>
      </c>
      <c r="H83" s="86">
        <f t="shared" si="7"/>
        <v>0</v>
      </c>
      <c r="I83" s="86">
        <f t="shared" si="8"/>
        <v>0</v>
      </c>
    </row>
    <row r="84" spans="1:55" ht="20.100000000000001" customHeight="1" x14ac:dyDescent="0.25">
      <c r="A84" s="87">
        <v>73</v>
      </c>
      <c r="B84" s="90" t="s">
        <v>926</v>
      </c>
      <c r="C84" s="91" t="s">
        <v>104</v>
      </c>
      <c r="D84" s="91">
        <v>150</v>
      </c>
      <c r="E84" s="309">
        <v>0</v>
      </c>
      <c r="F84" s="86">
        <f t="shared" si="6"/>
        <v>0</v>
      </c>
      <c r="G84" s="309">
        <v>0</v>
      </c>
      <c r="H84" s="86">
        <f t="shared" si="7"/>
        <v>0</v>
      </c>
      <c r="I84" s="86">
        <f t="shared" si="8"/>
        <v>0</v>
      </c>
    </row>
    <row r="85" spans="1:55" ht="20.100000000000001" customHeight="1" x14ac:dyDescent="0.25">
      <c r="A85" s="87">
        <v>74</v>
      </c>
      <c r="B85" s="90" t="s">
        <v>927</v>
      </c>
      <c r="C85" s="91" t="s">
        <v>104</v>
      </c>
      <c r="D85" s="91">
        <v>4600</v>
      </c>
      <c r="E85" s="309">
        <v>0</v>
      </c>
      <c r="F85" s="86">
        <f t="shared" si="6"/>
        <v>0</v>
      </c>
      <c r="G85" s="309">
        <v>0</v>
      </c>
      <c r="H85" s="86">
        <f t="shared" si="7"/>
        <v>0</v>
      </c>
      <c r="I85" s="86">
        <f t="shared" si="8"/>
        <v>0</v>
      </c>
    </row>
    <row r="86" spans="1:55" ht="20.100000000000001" customHeight="1" x14ac:dyDescent="0.25">
      <c r="A86" s="87">
        <v>75</v>
      </c>
      <c r="B86" s="90" t="s">
        <v>928</v>
      </c>
      <c r="C86" s="91" t="s">
        <v>104</v>
      </c>
      <c r="D86" s="91">
        <v>80</v>
      </c>
      <c r="E86" s="309">
        <v>0</v>
      </c>
      <c r="F86" s="86">
        <f t="shared" si="6"/>
        <v>0</v>
      </c>
      <c r="G86" s="309">
        <v>0</v>
      </c>
      <c r="H86" s="86">
        <f t="shared" si="7"/>
        <v>0</v>
      </c>
      <c r="I86" s="86">
        <f t="shared" si="8"/>
        <v>0</v>
      </c>
    </row>
    <row r="87" spans="1:55" ht="20.100000000000001" customHeight="1" x14ac:dyDescent="0.2">
      <c r="A87" s="87">
        <v>76</v>
      </c>
      <c r="B87" s="90"/>
      <c r="C87" s="91"/>
      <c r="D87" s="91"/>
      <c r="E87" s="94"/>
    </row>
    <row r="88" spans="1:55" ht="20.100000000000001" customHeight="1" x14ac:dyDescent="0.25">
      <c r="A88" s="87">
        <v>77</v>
      </c>
      <c r="B88" s="88" t="s">
        <v>929</v>
      </c>
      <c r="C88" s="89"/>
      <c r="D88" s="89"/>
      <c r="E88" s="94"/>
    </row>
    <row r="89" spans="1:55" ht="30" x14ac:dyDescent="0.25">
      <c r="A89" s="87">
        <v>78</v>
      </c>
      <c r="B89" s="90" t="s">
        <v>2269</v>
      </c>
      <c r="C89" s="91" t="s">
        <v>104</v>
      </c>
      <c r="D89" s="91">
        <v>92</v>
      </c>
      <c r="E89" s="309">
        <v>0</v>
      </c>
      <c r="F89" s="86">
        <f>D89*E89</f>
        <v>0</v>
      </c>
      <c r="G89" s="309">
        <v>0</v>
      </c>
      <c r="H89" s="86">
        <f>G89*D89</f>
        <v>0</v>
      </c>
      <c r="I89" s="86">
        <f>H89+F89</f>
        <v>0</v>
      </c>
    </row>
    <row r="90" spans="1:55" ht="30" x14ac:dyDescent="0.25">
      <c r="A90" s="87">
        <v>79</v>
      </c>
      <c r="B90" s="90" t="s">
        <v>2270</v>
      </c>
      <c r="C90" s="91" t="s">
        <v>104</v>
      </c>
      <c r="D90" s="91">
        <v>14</v>
      </c>
      <c r="E90" s="309">
        <v>0</v>
      </c>
      <c r="F90" s="86">
        <f>D90*E90</f>
        <v>0</v>
      </c>
      <c r="G90" s="309">
        <v>0</v>
      </c>
      <c r="H90" s="86">
        <f>G90*D90</f>
        <v>0</v>
      </c>
      <c r="I90" s="86">
        <f>H90+F90</f>
        <v>0</v>
      </c>
    </row>
    <row r="91" spans="1:55" ht="20.100000000000001" customHeight="1" x14ac:dyDescent="0.25">
      <c r="A91" s="87">
        <v>80</v>
      </c>
      <c r="B91" s="90" t="s">
        <v>930</v>
      </c>
      <c r="C91" s="91" t="s">
        <v>104</v>
      </c>
      <c r="D91" s="91">
        <v>100</v>
      </c>
      <c r="E91" s="309">
        <v>0</v>
      </c>
      <c r="F91" s="86">
        <f>D91*E91</f>
        <v>0</v>
      </c>
      <c r="G91" s="309">
        <v>0</v>
      </c>
      <c r="H91" s="86">
        <f>G91*D91</f>
        <v>0</v>
      </c>
      <c r="I91" s="86">
        <f>H91+F91</f>
        <v>0</v>
      </c>
    </row>
    <row r="92" spans="1:55" ht="20.100000000000001" customHeight="1" x14ac:dyDescent="0.25">
      <c r="A92" s="87">
        <v>81</v>
      </c>
      <c r="B92" s="90" t="s">
        <v>931</v>
      </c>
      <c r="C92" s="91" t="s">
        <v>104</v>
      </c>
      <c r="D92" s="91">
        <v>20</v>
      </c>
      <c r="E92" s="309">
        <v>0</v>
      </c>
      <c r="F92" s="86">
        <f>D92*E92</f>
        <v>0</v>
      </c>
      <c r="G92" s="309">
        <v>0</v>
      </c>
      <c r="H92" s="86">
        <f>G92*D92</f>
        <v>0</v>
      </c>
      <c r="I92" s="86">
        <f>H92+F92</f>
        <v>0</v>
      </c>
    </row>
    <row r="93" spans="1:55" ht="20.100000000000001" customHeight="1" x14ac:dyDescent="0.25">
      <c r="A93" s="87">
        <v>82</v>
      </c>
      <c r="B93" s="90" t="s">
        <v>932</v>
      </c>
      <c r="C93" s="91" t="s">
        <v>104</v>
      </c>
      <c r="D93" s="91">
        <v>872</v>
      </c>
      <c r="E93" s="309">
        <v>0</v>
      </c>
      <c r="F93" s="86">
        <f>D93*E93</f>
        <v>0</v>
      </c>
      <c r="G93" s="309">
        <v>0</v>
      </c>
      <c r="H93" s="86">
        <f>G93*D93</f>
        <v>0</v>
      </c>
      <c r="I93" s="86">
        <f>H93+F93</f>
        <v>0</v>
      </c>
    </row>
    <row r="94" spans="1:55" ht="20.100000000000001" customHeight="1" x14ac:dyDescent="0.2">
      <c r="A94" s="87">
        <v>83</v>
      </c>
      <c r="B94" s="90"/>
      <c r="C94" s="91"/>
      <c r="D94" s="91"/>
      <c r="E94" s="94"/>
    </row>
    <row r="95" spans="1:55" ht="20.100000000000001" customHeight="1" x14ac:dyDescent="0.25">
      <c r="A95" s="87">
        <v>84</v>
      </c>
      <c r="B95" s="88" t="s">
        <v>933</v>
      </c>
      <c r="C95" s="91"/>
      <c r="D95" s="91"/>
      <c r="E95" s="94"/>
    </row>
    <row r="96" spans="1:55" s="274" customFormat="1" ht="28.5" customHeight="1" x14ac:dyDescent="0.25">
      <c r="A96" s="270">
        <v>85</v>
      </c>
      <c r="B96" s="271" t="s">
        <v>934</v>
      </c>
      <c r="C96" s="272" t="s">
        <v>104</v>
      </c>
      <c r="D96" s="272">
        <v>98</v>
      </c>
      <c r="E96" s="310">
        <v>0</v>
      </c>
      <c r="F96" s="267">
        <f t="shared" ref="F96:F116" si="9">D96*E96</f>
        <v>0</v>
      </c>
      <c r="G96" s="310">
        <v>0</v>
      </c>
      <c r="H96" s="267">
        <f t="shared" ref="H96:H116" si="10">G96*D96</f>
        <v>0</v>
      </c>
      <c r="I96" s="267">
        <f t="shared" ref="I96:I116" si="11">H96+F96</f>
        <v>0</v>
      </c>
      <c r="J96" s="273"/>
      <c r="K96" s="273"/>
      <c r="L96" s="273"/>
      <c r="M96" s="273"/>
      <c r="N96" s="273"/>
      <c r="O96" s="273"/>
      <c r="P96" s="273"/>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3"/>
      <c r="BA96" s="273"/>
      <c r="BB96" s="273"/>
      <c r="BC96" s="273"/>
    </row>
    <row r="97" spans="1:55" s="274" customFormat="1" ht="28.5" customHeight="1" x14ac:dyDescent="0.25">
      <c r="A97" s="270">
        <v>86</v>
      </c>
      <c r="B97" s="271" t="s">
        <v>935</v>
      </c>
      <c r="C97" s="272" t="s">
        <v>104</v>
      </c>
      <c r="D97" s="272">
        <v>30</v>
      </c>
      <c r="E97" s="310">
        <v>0</v>
      </c>
      <c r="F97" s="267">
        <f t="shared" si="9"/>
        <v>0</v>
      </c>
      <c r="G97" s="310">
        <v>0</v>
      </c>
      <c r="H97" s="267">
        <f t="shared" si="10"/>
        <v>0</v>
      </c>
      <c r="I97" s="267">
        <f t="shared" si="11"/>
        <v>0</v>
      </c>
      <c r="J97" s="273"/>
      <c r="K97" s="273"/>
      <c r="L97" s="273"/>
      <c r="M97" s="273"/>
      <c r="N97" s="273"/>
      <c r="O97" s="273"/>
      <c r="P97" s="273"/>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3"/>
      <c r="BA97" s="273"/>
      <c r="BB97" s="273"/>
      <c r="BC97" s="273"/>
    </row>
    <row r="98" spans="1:55" s="274" customFormat="1" ht="28.5" customHeight="1" x14ac:dyDescent="0.25">
      <c r="A98" s="270">
        <v>87</v>
      </c>
      <c r="B98" s="271" t="s">
        <v>936</v>
      </c>
      <c r="C98" s="272" t="s">
        <v>861</v>
      </c>
      <c r="D98" s="272">
        <v>1</v>
      </c>
      <c r="E98" s="310">
        <v>0</v>
      </c>
      <c r="F98" s="267">
        <f t="shared" si="9"/>
        <v>0</v>
      </c>
      <c r="G98" s="310">
        <v>0</v>
      </c>
      <c r="H98" s="267">
        <f t="shared" si="10"/>
        <v>0</v>
      </c>
      <c r="I98" s="267">
        <f t="shared" si="11"/>
        <v>0</v>
      </c>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3"/>
      <c r="BA98" s="273"/>
      <c r="BB98" s="273"/>
      <c r="BC98" s="273"/>
    </row>
    <row r="99" spans="1:55" s="274" customFormat="1" ht="28.5" customHeight="1" x14ac:dyDescent="0.25">
      <c r="A99" s="270">
        <v>88</v>
      </c>
      <c r="B99" s="271" t="s">
        <v>937</v>
      </c>
      <c r="C99" s="272" t="s">
        <v>104</v>
      </c>
      <c r="D99" s="272">
        <v>115</v>
      </c>
      <c r="E99" s="310">
        <v>0</v>
      </c>
      <c r="F99" s="267">
        <f t="shared" si="9"/>
        <v>0</v>
      </c>
      <c r="G99" s="310">
        <v>0</v>
      </c>
      <c r="H99" s="267">
        <f t="shared" si="10"/>
        <v>0</v>
      </c>
      <c r="I99" s="267">
        <f t="shared" si="11"/>
        <v>0</v>
      </c>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3"/>
      <c r="BA99" s="273"/>
      <c r="BB99" s="273"/>
      <c r="BC99" s="273"/>
    </row>
    <row r="100" spans="1:55" s="274" customFormat="1" ht="28.5" customHeight="1" x14ac:dyDescent="0.25">
      <c r="A100" s="270">
        <v>89</v>
      </c>
      <c r="B100" s="271" t="s">
        <v>938</v>
      </c>
      <c r="C100" s="272" t="s">
        <v>861</v>
      </c>
      <c r="D100" s="272">
        <v>16</v>
      </c>
      <c r="E100" s="310">
        <v>0</v>
      </c>
      <c r="F100" s="267">
        <f t="shared" si="9"/>
        <v>0</v>
      </c>
      <c r="G100" s="310">
        <v>0</v>
      </c>
      <c r="H100" s="267">
        <f t="shared" si="10"/>
        <v>0</v>
      </c>
      <c r="I100" s="267">
        <f t="shared" si="11"/>
        <v>0</v>
      </c>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3"/>
      <c r="BA100" s="273"/>
      <c r="BB100" s="273"/>
      <c r="BC100" s="273"/>
    </row>
    <row r="101" spans="1:55" s="274" customFormat="1" ht="28.5" customHeight="1" x14ac:dyDescent="0.25">
      <c r="A101" s="270">
        <v>90</v>
      </c>
      <c r="B101" s="271" t="s">
        <v>939</v>
      </c>
      <c r="C101" s="272" t="s">
        <v>861</v>
      </c>
      <c r="D101" s="272">
        <v>16</v>
      </c>
      <c r="E101" s="310">
        <v>0</v>
      </c>
      <c r="F101" s="267">
        <f t="shared" si="9"/>
        <v>0</v>
      </c>
      <c r="G101" s="310">
        <v>0</v>
      </c>
      <c r="H101" s="267">
        <f t="shared" si="10"/>
        <v>0</v>
      </c>
      <c r="I101" s="267">
        <f t="shared" si="11"/>
        <v>0</v>
      </c>
      <c r="J101" s="273"/>
      <c r="K101" s="273"/>
      <c r="L101" s="273"/>
      <c r="M101" s="273"/>
      <c r="N101" s="273"/>
      <c r="O101" s="273"/>
      <c r="P101" s="273"/>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3"/>
      <c r="BA101" s="273"/>
      <c r="BB101" s="273"/>
      <c r="BC101" s="273"/>
    </row>
    <row r="102" spans="1:55" s="274" customFormat="1" ht="28.5" customHeight="1" x14ac:dyDescent="0.25">
      <c r="A102" s="270">
        <v>91</v>
      </c>
      <c r="B102" s="271" t="s">
        <v>940</v>
      </c>
      <c r="C102" s="272" t="s">
        <v>861</v>
      </c>
      <c r="D102" s="272">
        <v>4</v>
      </c>
      <c r="E102" s="310">
        <v>0</v>
      </c>
      <c r="F102" s="267">
        <f t="shared" si="9"/>
        <v>0</v>
      </c>
      <c r="G102" s="310">
        <v>0</v>
      </c>
      <c r="H102" s="267">
        <f t="shared" si="10"/>
        <v>0</v>
      </c>
      <c r="I102" s="267">
        <f t="shared" si="11"/>
        <v>0</v>
      </c>
      <c r="J102" s="273"/>
      <c r="K102" s="273"/>
      <c r="L102" s="273"/>
      <c r="M102" s="273"/>
      <c r="N102" s="273"/>
      <c r="O102" s="273"/>
      <c r="P102" s="273"/>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3"/>
      <c r="BA102" s="273"/>
      <c r="BB102" s="273"/>
      <c r="BC102" s="273"/>
    </row>
    <row r="103" spans="1:55" s="274" customFormat="1" ht="28.5" customHeight="1" x14ac:dyDescent="0.25">
      <c r="A103" s="270">
        <v>92</v>
      </c>
      <c r="B103" s="271" t="s">
        <v>2271</v>
      </c>
      <c r="C103" s="272" t="s">
        <v>861</v>
      </c>
      <c r="D103" s="272">
        <v>6</v>
      </c>
      <c r="E103" s="310">
        <v>0</v>
      </c>
      <c r="F103" s="267">
        <f t="shared" si="9"/>
        <v>0</v>
      </c>
      <c r="G103" s="310">
        <v>0</v>
      </c>
      <c r="H103" s="267">
        <f t="shared" si="10"/>
        <v>0</v>
      </c>
      <c r="I103" s="267">
        <f t="shared" si="11"/>
        <v>0</v>
      </c>
      <c r="J103" s="273"/>
      <c r="K103" s="273"/>
      <c r="L103" s="273"/>
      <c r="M103" s="273"/>
      <c r="N103" s="273"/>
      <c r="O103" s="273"/>
      <c r="P103" s="273"/>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3"/>
      <c r="BA103" s="273"/>
      <c r="BB103" s="273"/>
      <c r="BC103" s="273"/>
    </row>
    <row r="104" spans="1:55" s="274" customFormat="1" ht="28.5" customHeight="1" x14ac:dyDescent="0.25">
      <c r="A104" s="270">
        <v>93</v>
      </c>
      <c r="B104" s="271" t="s">
        <v>941</v>
      </c>
      <c r="C104" s="272" t="s">
        <v>861</v>
      </c>
      <c r="D104" s="272">
        <v>110</v>
      </c>
      <c r="E104" s="310">
        <v>0</v>
      </c>
      <c r="F104" s="267">
        <f t="shared" si="9"/>
        <v>0</v>
      </c>
      <c r="G104" s="310">
        <v>0</v>
      </c>
      <c r="H104" s="267">
        <f t="shared" si="10"/>
        <v>0</v>
      </c>
      <c r="I104" s="267">
        <f t="shared" si="11"/>
        <v>0</v>
      </c>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3"/>
      <c r="BA104" s="273"/>
      <c r="BB104" s="273"/>
      <c r="BC104" s="273"/>
    </row>
    <row r="105" spans="1:55" s="274" customFormat="1" ht="28.5" customHeight="1" x14ac:dyDescent="0.25">
      <c r="A105" s="270">
        <v>94</v>
      </c>
      <c r="B105" s="271" t="s">
        <v>942</v>
      </c>
      <c r="C105" s="272" t="s">
        <v>861</v>
      </c>
      <c r="D105" s="272">
        <v>6</v>
      </c>
      <c r="E105" s="310">
        <v>0</v>
      </c>
      <c r="F105" s="267">
        <f t="shared" si="9"/>
        <v>0</v>
      </c>
      <c r="G105" s="310"/>
      <c r="H105" s="267">
        <f t="shared" si="10"/>
        <v>0</v>
      </c>
      <c r="I105" s="267">
        <f t="shared" si="11"/>
        <v>0</v>
      </c>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3"/>
      <c r="AT105" s="273"/>
      <c r="AU105" s="273"/>
      <c r="AV105" s="273"/>
      <c r="AW105" s="273"/>
      <c r="AX105" s="273"/>
      <c r="AY105" s="273"/>
      <c r="AZ105" s="273"/>
      <c r="BA105" s="273"/>
      <c r="BB105" s="273"/>
      <c r="BC105" s="273"/>
    </row>
    <row r="106" spans="1:55" s="274" customFormat="1" ht="28.5" customHeight="1" x14ac:dyDescent="0.25">
      <c r="A106" s="270">
        <v>95</v>
      </c>
      <c r="B106" s="271" t="s">
        <v>943</v>
      </c>
      <c r="C106" s="272" t="s">
        <v>861</v>
      </c>
      <c r="D106" s="272">
        <v>12</v>
      </c>
      <c r="E106" s="310">
        <v>0</v>
      </c>
      <c r="F106" s="267">
        <f t="shared" si="9"/>
        <v>0</v>
      </c>
      <c r="G106" s="310">
        <v>0</v>
      </c>
      <c r="H106" s="267">
        <f t="shared" si="10"/>
        <v>0</v>
      </c>
      <c r="I106" s="267">
        <f t="shared" si="11"/>
        <v>0</v>
      </c>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3"/>
      <c r="AT106" s="273"/>
      <c r="AU106" s="273"/>
      <c r="AV106" s="273"/>
      <c r="AW106" s="273"/>
      <c r="AX106" s="273"/>
      <c r="AY106" s="273"/>
      <c r="AZ106" s="273"/>
      <c r="BA106" s="273"/>
      <c r="BB106" s="273"/>
      <c r="BC106" s="273"/>
    </row>
    <row r="107" spans="1:55" s="274" customFormat="1" ht="28.5" customHeight="1" x14ac:dyDescent="0.25">
      <c r="A107" s="270">
        <v>96</v>
      </c>
      <c r="B107" s="271" t="s">
        <v>944</v>
      </c>
      <c r="C107" s="272" t="s">
        <v>861</v>
      </c>
      <c r="D107" s="272">
        <v>100</v>
      </c>
      <c r="E107" s="310">
        <v>0</v>
      </c>
      <c r="F107" s="267">
        <f t="shared" si="9"/>
        <v>0</v>
      </c>
      <c r="G107" s="310">
        <v>0</v>
      </c>
      <c r="H107" s="267">
        <f t="shared" si="10"/>
        <v>0</v>
      </c>
      <c r="I107" s="267">
        <f t="shared" si="11"/>
        <v>0</v>
      </c>
      <c r="J107" s="273"/>
      <c r="K107" s="273"/>
      <c r="L107" s="273"/>
      <c r="M107" s="273"/>
      <c r="N107" s="273"/>
      <c r="O107" s="273"/>
      <c r="P107" s="273"/>
      <c r="Q107" s="273"/>
      <c r="R107" s="273"/>
      <c r="S107" s="273"/>
      <c r="T107" s="273"/>
      <c r="U107" s="273"/>
      <c r="V107" s="273"/>
      <c r="W107" s="273"/>
      <c r="X107" s="273"/>
      <c r="Y107" s="273"/>
      <c r="Z107" s="273"/>
      <c r="AA107" s="273"/>
      <c r="AB107" s="273"/>
      <c r="AC107" s="273"/>
      <c r="AD107" s="273"/>
      <c r="AE107" s="273"/>
      <c r="AF107" s="273"/>
      <c r="AG107" s="273"/>
      <c r="AH107" s="273"/>
      <c r="AI107" s="273"/>
      <c r="AJ107" s="273"/>
      <c r="AK107" s="273"/>
      <c r="AL107" s="273"/>
      <c r="AM107" s="273"/>
      <c r="AN107" s="273"/>
      <c r="AO107" s="273"/>
      <c r="AP107" s="273"/>
      <c r="AQ107" s="273"/>
      <c r="AR107" s="273"/>
      <c r="AS107" s="273"/>
      <c r="AT107" s="273"/>
      <c r="AU107" s="273"/>
      <c r="AV107" s="273"/>
      <c r="AW107" s="273"/>
      <c r="AX107" s="273"/>
      <c r="AY107" s="273"/>
      <c r="AZ107" s="273"/>
      <c r="BA107" s="273"/>
      <c r="BB107" s="273"/>
      <c r="BC107" s="273"/>
    </row>
    <row r="108" spans="1:55" s="274" customFormat="1" ht="28.5" customHeight="1" x14ac:dyDescent="0.25">
      <c r="A108" s="270">
        <v>97</v>
      </c>
      <c r="B108" s="271" t="s">
        <v>945</v>
      </c>
      <c r="C108" s="272" t="s">
        <v>861</v>
      </c>
      <c r="D108" s="272">
        <v>12</v>
      </c>
      <c r="E108" s="310">
        <v>0</v>
      </c>
      <c r="F108" s="267">
        <f t="shared" si="9"/>
        <v>0</v>
      </c>
      <c r="G108" s="310">
        <v>0</v>
      </c>
      <c r="H108" s="267">
        <f t="shared" si="10"/>
        <v>0</v>
      </c>
      <c r="I108" s="267">
        <f t="shared" si="11"/>
        <v>0</v>
      </c>
      <c r="J108" s="273"/>
      <c r="K108" s="273"/>
      <c r="L108" s="273"/>
      <c r="M108" s="273"/>
      <c r="N108" s="273"/>
      <c r="O108" s="273"/>
      <c r="P108" s="273"/>
      <c r="Q108" s="273"/>
      <c r="R108" s="273"/>
      <c r="S108" s="273"/>
      <c r="T108" s="273"/>
      <c r="U108" s="273"/>
      <c r="V108" s="273"/>
      <c r="W108" s="273"/>
      <c r="X108" s="273"/>
      <c r="Y108" s="273"/>
      <c r="Z108" s="273"/>
      <c r="AA108" s="273"/>
      <c r="AB108" s="273"/>
      <c r="AC108" s="273"/>
      <c r="AD108" s="273"/>
      <c r="AE108" s="273"/>
      <c r="AF108" s="273"/>
      <c r="AG108" s="273"/>
      <c r="AH108" s="273"/>
      <c r="AI108" s="273"/>
      <c r="AJ108" s="273"/>
      <c r="AK108" s="273"/>
      <c r="AL108" s="273"/>
      <c r="AM108" s="273"/>
      <c r="AN108" s="273"/>
      <c r="AO108" s="273"/>
      <c r="AP108" s="273"/>
      <c r="AQ108" s="273"/>
      <c r="AR108" s="273"/>
      <c r="AS108" s="273"/>
      <c r="AT108" s="273"/>
      <c r="AU108" s="273"/>
      <c r="AV108" s="273"/>
      <c r="AW108" s="273"/>
      <c r="AX108" s="273"/>
      <c r="AY108" s="273"/>
      <c r="AZ108" s="273"/>
      <c r="BA108" s="273"/>
      <c r="BB108" s="273"/>
      <c r="BC108" s="273"/>
    </row>
    <row r="109" spans="1:55" s="274" customFormat="1" ht="28.5" customHeight="1" x14ac:dyDescent="0.25">
      <c r="A109" s="270">
        <v>98</v>
      </c>
      <c r="B109" s="271" t="s">
        <v>946</v>
      </c>
      <c r="C109" s="272" t="s">
        <v>861</v>
      </c>
      <c r="D109" s="272">
        <v>1</v>
      </c>
      <c r="E109" s="310">
        <v>0</v>
      </c>
      <c r="F109" s="267">
        <f t="shared" si="9"/>
        <v>0</v>
      </c>
      <c r="G109" s="310">
        <v>0</v>
      </c>
      <c r="H109" s="267">
        <f t="shared" si="10"/>
        <v>0</v>
      </c>
      <c r="I109" s="267">
        <f t="shared" si="11"/>
        <v>0</v>
      </c>
      <c r="J109" s="273"/>
      <c r="K109" s="273"/>
      <c r="L109" s="273"/>
      <c r="M109" s="273"/>
      <c r="N109" s="273"/>
      <c r="O109" s="273"/>
      <c r="P109" s="273"/>
      <c r="Q109" s="273"/>
      <c r="R109" s="273"/>
      <c r="S109" s="273"/>
      <c r="T109" s="273"/>
      <c r="U109" s="273"/>
      <c r="V109" s="273"/>
      <c r="W109" s="273"/>
      <c r="X109" s="273"/>
      <c r="Y109" s="273"/>
      <c r="Z109" s="273"/>
      <c r="AA109" s="273"/>
      <c r="AB109" s="273"/>
      <c r="AC109" s="273"/>
      <c r="AD109" s="273"/>
      <c r="AE109" s="273"/>
      <c r="AF109" s="273"/>
      <c r="AG109" s="273"/>
      <c r="AH109" s="273"/>
      <c r="AI109" s="273"/>
      <c r="AJ109" s="273"/>
      <c r="AK109" s="273"/>
      <c r="AL109" s="273"/>
      <c r="AM109" s="273"/>
      <c r="AN109" s="273"/>
      <c r="AO109" s="273"/>
      <c r="AP109" s="273"/>
      <c r="AQ109" s="273"/>
      <c r="AR109" s="273"/>
      <c r="AS109" s="273"/>
      <c r="AT109" s="273"/>
      <c r="AU109" s="273"/>
      <c r="AV109" s="273"/>
      <c r="AW109" s="273"/>
      <c r="AX109" s="273"/>
      <c r="AY109" s="273"/>
      <c r="AZ109" s="273"/>
      <c r="BA109" s="273"/>
      <c r="BB109" s="273"/>
      <c r="BC109" s="273"/>
    </row>
    <row r="110" spans="1:55" s="274" customFormat="1" ht="28.5" customHeight="1" x14ac:dyDescent="0.25">
      <c r="A110" s="270">
        <v>99</v>
      </c>
      <c r="B110" s="271" t="s">
        <v>947</v>
      </c>
      <c r="C110" s="272" t="s">
        <v>861</v>
      </c>
      <c r="D110" s="272">
        <v>1</v>
      </c>
      <c r="E110" s="310">
        <v>0</v>
      </c>
      <c r="F110" s="267">
        <f t="shared" si="9"/>
        <v>0</v>
      </c>
      <c r="G110" s="310">
        <v>0</v>
      </c>
      <c r="H110" s="267">
        <f t="shared" si="10"/>
        <v>0</v>
      </c>
      <c r="I110" s="267">
        <f t="shared" si="11"/>
        <v>0</v>
      </c>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3"/>
      <c r="AT110" s="273"/>
      <c r="AU110" s="273"/>
      <c r="AV110" s="273"/>
      <c r="AW110" s="273"/>
      <c r="AX110" s="273"/>
      <c r="AY110" s="273"/>
      <c r="AZ110" s="273"/>
      <c r="BA110" s="273"/>
      <c r="BB110" s="273"/>
      <c r="BC110" s="273"/>
    </row>
    <row r="111" spans="1:55" s="274" customFormat="1" ht="28.5" customHeight="1" x14ac:dyDescent="0.25">
      <c r="A111" s="270">
        <v>100</v>
      </c>
      <c r="B111" s="271" t="s">
        <v>948</v>
      </c>
      <c r="C111" s="272" t="s">
        <v>861</v>
      </c>
      <c r="D111" s="272">
        <v>1</v>
      </c>
      <c r="E111" s="310">
        <v>0</v>
      </c>
      <c r="F111" s="267">
        <f t="shared" si="9"/>
        <v>0</v>
      </c>
      <c r="G111" s="310">
        <v>0</v>
      </c>
      <c r="H111" s="267">
        <f t="shared" si="10"/>
        <v>0</v>
      </c>
      <c r="I111" s="267">
        <f t="shared" si="11"/>
        <v>0</v>
      </c>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3"/>
      <c r="AT111" s="273"/>
      <c r="AU111" s="273"/>
      <c r="AV111" s="273"/>
      <c r="AW111" s="273"/>
      <c r="AX111" s="273"/>
      <c r="AY111" s="273"/>
      <c r="AZ111" s="273"/>
      <c r="BA111" s="273"/>
      <c r="BB111" s="273"/>
      <c r="BC111" s="273"/>
    </row>
    <row r="112" spans="1:55" s="274" customFormat="1" ht="28.5" customHeight="1" x14ac:dyDescent="0.25">
      <c r="A112" s="270">
        <v>101</v>
      </c>
      <c r="B112" s="271" t="s">
        <v>949</v>
      </c>
      <c r="C112" s="272" t="s">
        <v>861</v>
      </c>
      <c r="D112" s="272">
        <v>1</v>
      </c>
      <c r="E112" s="310">
        <v>0</v>
      </c>
      <c r="F112" s="267">
        <f t="shared" si="9"/>
        <v>0</v>
      </c>
      <c r="G112" s="310">
        <v>0</v>
      </c>
      <c r="H112" s="267">
        <f t="shared" si="10"/>
        <v>0</v>
      </c>
      <c r="I112" s="267">
        <f t="shared" si="11"/>
        <v>0</v>
      </c>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3"/>
      <c r="AT112" s="273"/>
      <c r="AU112" s="273"/>
      <c r="AV112" s="273"/>
      <c r="AW112" s="273"/>
      <c r="AX112" s="273"/>
      <c r="AY112" s="273"/>
      <c r="AZ112" s="273"/>
      <c r="BA112" s="273"/>
      <c r="BB112" s="273"/>
      <c r="BC112" s="273"/>
    </row>
    <row r="113" spans="1:55" s="274" customFormat="1" ht="28.5" customHeight="1" x14ac:dyDescent="0.25">
      <c r="A113" s="270">
        <v>102</v>
      </c>
      <c r="B113" s="271" t="s">
        <v>950</v>
      </c>
      <c r="C113" s="272" t="s">
        <v>861</v>
      </c>
      <c r="D113" s="272">
        <v>1</v>
      </c>
      <c r="E113" s="310">
        <v>0</v>
      </c>
      <c r="F113" s="267">
        <f t="shared" si="9"/>
        <v>0</v>
      </c>
      <c r="G113" s="310">
        <v>0</v>
      </c>
      <c r="H113" s="267">
        <f t="shared" si="10"/>
        <v>0</v>
      </c>
      <c r="I113" s="267">
        <f t="shared" si="11"/>
        <v>0</v>
      </c>
      <c r="J113" s="273"/>
      <c r="K113" s="273"/>
      <c r="L113" s="273"/>
      <c r="M113" s="273"/>
      <c r="N113" s="273"/>
      <c r="O113" s="273"/>
      <c r="P113" s="273"/>
      <c r="Q113" s="273"/>
      <c r="R113" s="273"/>
      <c r="S113" s="273"/>
      <c r="T113" s="273"/>
      <c r="U113" s="273"/>
      <c r="V113" s="273"/>
      <c r="W113" s="273"/>
      <c r="X113" s="273"/>
      <c r="Y113" s="273"/>
      <c r="Z113" s="273"/>
      <c r="AA113" s="273"/>
      <c r="AB113" s="273"/>
      <c r="AC113" s="273"/>
      <c r="AD113" s="273"/>
      <c r="AE113" s="273"/>
      <c r="AF113" s="273"/>
      <c r="AG113" s="273"/>
      <c r="AH113" s="273"/>
      <c r="AI113" s="273"/>
      <c r="AJ113" s="273"/>
      <c r="AK113" s="273"/>
      <c r="AL113" s="273"/>
      <c r="AM113" s="273"/>
      <c r="AN113" s="273"/>
      <c r="AO113" s="273"/>
      <c r="AP113" s="273"/>
      <c r="AQ113" s="273"/>
      <c r="AR113" s="273"/>
      <c r="AS113" s="273"/>
      <c r="AT113" s="273"/>
      <c r="AU113" s="273"/>
      <c r="AV113" s="273"/>
      <c r="AW113" s="273"/>
      <c r="AX113" s="273"/>
      <c r="AY113" s="273"/>
      <c r="AZ113" s="273"/>
      <c r="BA113" s="273"/>
      <c r="BB113" s="273"/>
      <c r="BC113" s="273"/>
    </row>
    <row r="114" spans="1:55" s="274" customFormat="1" ht="28.5" customHeight="1" x14ac:dyDescent="0.25">
      <c r="A114" s="270">
        <v>103</v>
      </c>
      <c r="B114" s="271" t="s">
        <v>951</v>
      </c>
      <c r="C114" s="272" t="s">
        <v>861</v>
      </c>
      <c r="D114" s="272">
        <v>1</v>
      </c>
      <c r="E114" s="310">
        <v>0</v>
      </c>
      <c r="F114" s="267">
        <f t="shared" si="9"/>
        <v>0</v>
      </c>
      <c r="G114" s="310">
        <v>0</v>
      </c>
      <c r="H114" s="267">
        <f t="shared" si="10"/>
        <v>0</v>
      </c>
      <c r="I114" s="267">
        <f t="shared" si="11"/>
        <v>0</v>
      </c>
      <c r="J114" s="273"/>
      <c r="K114" s="273"/>
      <c r="L114" s="273"/>
      <c r="M114" s="273"/>
      <c r="N114" s="273"/>
      <c r="O114" s="273"/>
      <c r="P114" s="273"/>
      <c r="Q114" s="273"/>
      <c r="R114" s="273"/>
      <c r="S114" s="273"/>
      <c r="T114" s="273"/>
      <c r="U114" s="273"/>
      <c r="V114" s="273"/>
      <c r="W114" s="273"/>
      <c r="X114" s="273"/>
      <c r="Y114" s="273"/>
      <c r="Z114" s="273"/>
      <c r="AA114" s="273"/>
      <c r="AB114" s="273"/>
      <c r="AC114" s="273"/>
      <c r="AD114" s="273"/>
      <c r="AE114" s="273"/>
      <c r="AF114" s="273"/>
      <c r="AG114" s="273"/>
      <c r="AH114" s="273"/>
      <c r="AI114" s="273"/>
      <c r="AJ114" s="273"/>
      <c r="AK114" s="273"/>
      <c r="AL114" s="273"/>
      <c r="AM114" s="273"/>
      <c r="AN114" s="273"/>
      <c r="AO114" s="273"/>
      <c r="AP114" s="273"/>
      <c r="AQ114" s="273"/>
      <c r="AR114" s="273"/>
      <c r="AS114" s="273"/>
      <c r="AT114" s="273"/>
      <c r="AU114" s="273"/>
      <c r="AV114" s="273"/>
      <c r="AW114" s="273"/>
      <c r="AX114" s="273"/>
      <c r="AY114" s="273"/>
      <c r="AZ114" s="273"/>
      <c r="BA114" s="273"/>
      <c r="BB114" s="273"/>
      <c r="BC114" s="273"/>
    </row>
    <row r="115" spans="1:55" s="274" customFormat="1" ht="28.5" customHeight="1" x14ac:dyDescent="0.25">
      <c r="A115" s="270">
        <v>104</v>
      </c>
      <c r="B115" s="271" t="s">
        <v>952</v>
      </c>
      <c r="C115" s="272" t="s">
        <v>861</v>
      </c>
      <c r="D115" s="272">
        <v>6</v>
      </c>
      <c r="E115" s="310">
        <v>0</v>
      </c>
      <c r="F115" s="267">
        <f t="shared" si="9"/>
        <v>0</v>
      </c>
      <c r="G115" s="310">
        <v>0</v>
      </c>
      <c r="H115" s="267">
        <f t="shared" si="10"/>
        <v>0</v>
      </c>
      <c r="I115" s="267">
        <f t="shared" si="11"/>
        <v>0</v>
      </c>
      <c r="J115" s="273"/>
      <c r="K115" s="273"/>
      <c r="L115" s="273"/>
      <c r="M115" s="273"/>
      <c r="N115" s="273"/>
      <c r="O115" s="273"/>
      <c r="P115" s="273"/>
      <c r="Q115" s="273"/>
      <c r="R115" s="273"/>
      <c r="S115" s="273"/>
      <c r="T115" s="273"/>
      <c r="U115" s="273"/>
      <c r="V115" s="273"/>
      <c r="W115" s="273"/>
      <c r="X115" s="273"/>
      <c r="Y115" s="273"/>
      <c r="Z115" s="273"/>
      <c r="AA115" s="273"/>
      <c r="AB115" s="273"/>
      <c r="AC115" s="273"/>
      <c r="AD115" s="273"/>
      <c r="AE115" s="273"/>
      <c r="AF115" s="273"/>
      <c r="AG115" s="273"/>
      <c r="AH115" s="273"/>
      <c r="AI115" s="273"/>
      <c r="AJ115" s="273"/>
      <c r="AK115" s="273"/>
      <c r="AL115" s="273"/>
      <c r="AM115" s="273"/>
      <c r="AN115" s="273"/>
      <c r="AO115" s="273"/>
      <c r="AP115" s="273"/>
      <c r="AQ115" s="273"/>
      <c r="AR115" s="273"/>
      <c r="AS115" s="273"/>
      <c r="AT115" s="273"/>
      <c r="AU115" s="273"/>
      <c r="AV115" s="273"/>
      <c r="AW115" s="273"/>
      <c r="AX115" s="273"/>
      <c r="AY115" s="273"/>
      <c r="AZ115" s="273"/>
      <c r="BA115" s="273"/>
      <c r="BB115" s="273"/>
      <c r="BC115" s="273"/>
    </row>
    <row r="116" spans="1:55" s="274" customFormat="1" ht="28.5" customHeight="1" x14ac:dyDescent="0.25">
      <c r="A116" s="270">
        <v>105</v>
      </c>
      <c r="B116" s="271" t="s">
        <v>953</v>
      </c>
      <c r="C116" s="272" t="s">
        <v>954</v>
      </c>
      <c r="D116" s="272">
        <v>3</v>
      </c>
      <c r="E116" s="310">
        <v>0</v>
      </c>
      <c r="F116" s="267">
        <f t="shared" si="9"/>
        <v>0</v>
      </c>
      <c r="G116" s="310">
        <v>0</v>
      </c>
      <c r="H116" s="267">
        <f t="shared" si="10"/>
        <v>0</v>
      </c>
      <c r="I116" s="267">
        <f t="shared" si="11"/>
        <v>0</v>
      </c>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3"/>
      <c r="AT116" s="273"/>
      <c r="AU116" s="273"/>
      <c r="AV116" s="273"/>
      <c r="AW116" s="273"/>
      <c r="AX116" s="273"/>
      <c r="AY116" s="273"/>
      <c r="AZ116" s="273"/>
      <c r="BA116" s="273"/>
      <c r="BB116" s="273"/>
      <c r="BC116" s="273"/>
    </row>
    <row r="117" spans="1:55" ht="20.100000000000001" customHeight="1" x14ac:dyDescent="0.2">
      <c r="A117" s="87">
        <v>106</v>
      </c>
      <c r="B117" s="90"/>
      <c r="C117" s="91"/>
      <c r="D117" s="91"/>
      <c r="E117" s="94"/>
    </row>
    <row r="118" spans="1:55" ht="20.100000000000001" customHeight="1" x14ac:dyDescent="0.25">
      <c r="A118" s="87">
        <v>107</v>
      </c>
      <c r="B118" s="95" t="s">
        <v>955</v>
      </c>
      <c r="C118" s="91"/>
      <c r="D118" s="91"/>
      <c r="E118" s="94"/>
    </row>
    <row r="119" spans="1:55" ht="20.100000000000001" customHeight="1" x14ac:dyDescent="0.25">
      <c r="A119" s="87">
        <v>108</v>
      </c>
      <c r="B119" s="90" t="s">
        <v>956</v>
      </c>
      <c r="C119" s="91" t="s">
        <v>898</v>
      </c>
      <c r="D119" s="91">
        <v>1</v>
      </c>
      <c r="E119" s="86"/>
      <c r="F119" s="86">
        <f t="shared" ref="F119:F132" si="12">D119*E119</f>
        <v>0</v>
      </c>
      <c r="G119" s="309">
        <v>0</v>
      </c>
      <c r="H119" s="86">
        <f t="shared" ref="H119:H132" si="13">G119*D119</f>
        <v>0</v>
      </c>
      <c r="I119" s="86">
        <f t="shared" ref="I119:I132" si="14">H119+F119</f>
        <v>0</v>
      </c>
    </row>
    <row r="120" spans="1:55" ht="20.100000000000001" customHeight="1" x14ac:dyDescent="0.25">
      <c r="A120" s="87">
        <v>109</v>
      </c>
      <c r="B120" s="90" t="s">
        <v>957</v>
      </c>
      <c r="C120" s="91" t="s">
        <v>104</v>
      </c>
      <c r="D120" s="91">
        <v>100</v>
      </c>
      <c r="E120" s="86"/>
      <c r="F120" s="86">
        <f t="shared" si="12"/>
        <v>0</v>
      </c>
      <c r="G120" s="309">
        <v>0</v>
      </c>
      <c r="H120" s="86">
        <f t="shared" si="13"/>
        <v>0</v>
      </c>
      <c r="I120" s="86">
        <f t="shared" si="14"/>
        <v>0</v>
      </c>
    </row>
    <row r="121" spans="1:55" ht="20.100000000000001" customHeight="1" x14ac:dyDescent="0.25">
      <c r="A121" s="87">
        <v>110</v>
      </c>
      <c r="B121" s="90" t="s">
        <v>958</v>
      </c>
      <c r="C121" s="91" t="s">
        <v>104</v>
      </c>
      <c r="D121" s="91">
        <v>100</v>
      </c>
      <c r="E121" s="86"/>
      <c r="F121" s="86">
        <f t="shared" si="12"/>
        <v>0</v>
      </c>
      <c r="G121" s="309">
        <v>0</v>
      </c>
      <c r="H121" s="86">
        <f t="shared" si="13"/>
        <v>0</v>
      </c>
      <c r="I121" s="86">
        <f t="shared" si="14"/>
        <v>0</v>
      </c>
    </row>
    <row r="122" spans="1:55" ht="20.100000000000001" customHeight="1" x14ac:dyDescent="0.25">
      <c r="A122" s="87">
        <v>111</v>
      </c>
      <c r="B122" s="90" t="s">
        <v>959</v>
      </c>
      <c r="C122" s="91" t="s">
        <v>58</v>
      </c>
      <c r="D122" s="91">
        <v>80</v>
      </c>
      <c r="E122" s="86"/>
      <c r="F122" s="86">
        <f t="shared" si="12"/>
        <v>0</v>
      </c>
      <c r="G122" s="309">
        <v>0</v>
      </c>
      <c r="H122" s="86">
        <f t="shared" si="13"/>
        <v>0</v>
      </c>
      <c r="I122" s="86">
        <f t="shared" si="14"/>
        <v>0</v>
      </c>
    </row>
    <row r="123" spans="1:55" ht="20.100000000000001" customHeight="1" x14ac:dyDescent="0.25">
      <c r="A123" s="87">
        <v>112</v>
      </c>
      <c r="B123" s="90" t="s">
        <v>960</v>
      </c>
      <c r="C123" s="91" t="s">
        <v>104</v>
      </c>
      <c r="D123" s="91">
        <v>40</v>
      </c>
      <c r="E123" s="86"/>
      <c r="F123" s="86">
        <f t="shared" si="12"/>
        <v>0</v>
      </c>
      <c r="G123" s="309">
        <v>0</v>
      </c>
      <c r="H123" s="86">
        <f t="shared" si="13"/>
        <v>0</v>
      </c>
      <c r="I123" s="86">
        <f t="shared" si="14"/>
        <v>0</v>
      </c>
    </row>
    <row r="124" spans="1:55" ht="20.100000000000001" customHeight="1" x14ac:dyDescent="0.25">
      <c r="A124" s="87">
        <v>113</v>
      </c>
      <c r="B124" s="90" t="s">
        <v>961</v>
      </c>
      <c r="C124" s="91" t="s">
        <v>58</v>
      </c>
      <c r="D124" s="91">
        <v>14</v>
      </c>
      <c r="E124" s="86"/>
      <c r="F124" s="86">
        <f t="shared" si="12"/>
        <v>0</v>
      </c>
      <c r="G124" s="309">
        <v>0</v>
      </c>
      <c r="H124" s="86">
        <f t="shared" si="13"/>
        <v>0</v>
      </c>
      <c r="I124" s="86">
        <f t="shared" si="14"/>
        <v>0</v>
      </c>
    </row>
    <row r="125" spans="1:55" ht="20.100000000000001" customHeight="1" x14ac:dyDescent="0.25">
      <c r="A125" s="87">
        <v>114</v>
      </c>
      <c r="B125" s="90" t="s">
        <v>962</v>
      </c>
      <c r="C125" s="91" t="s">
        <v>58</v>
      </c>
      <c r="D125" s="91">
        <v>7</v>
      </c>
      <c r="E125" s="86"/>
      <c r="F125" s="86">
        <f t="shared" si="12"/>
        <v>0</v>
      </c>
      <c r="G125" s="309">
        <v>0</v>
      </c>
      <c r="H125" s="86">
        <f t="shared" si="13"/>
        <v>0</v>
      </c>
      <c r="I125" s="86">
        <f t="shared" si="14"/>
        <v>0</v>
      </c>
    </row>
    <row r="126" spans="1:55" ht="20.100000000000001" customHeight="1" x14ac:dyDescent="0.25">
      <c r="A126" s="87">
        <v>115</v>
      </c>
      <c r="B126" s="90" t="s">
        <v>963</v>
      </c>
      <c r="C126" s="91" t="s">
        <v>737</v>
      </c>
      <c r="D126" s="91">
        <v>9</v>
      </c>
      <c r="E126" s="309">
        <v>0</v>
      </c>
      <c r="F126" s="86">
        <f t="shared" si="12"/>
        <v>0</v>
      </c>
      <c r="G126" s="86"/>
      <c r="H126" s="86">
        <f t="shared" si="13"/>
        <v>0</v>
      </c>
      <c r="I126" s="86">
        <f t="shared" si="14"/>
        <v>0</v>
      </c>
    </row>
    <row r="127" spans="1:55" ht="20.100000000000001" customHeight="1" x14ac:dyDescent="0.25">
      <c r="A127" s="87">
        <v>116</v>
      </c>
      <c r="B127" s="90" t="s">
        <v>964</v>
      </c>
      <c r="C127" s="91" t="s">
        <v>58</v>
      </c>
      <c r="D127" s="91">
        <v>7</v>
      </c>
      <c r="E127" s="309">
        <v>0</v>
      </c>
      <c r="F127" s="86">
        <f t="shared" si="12"/>
        <v>0</v>
      </c>
      <c r="G127" s="86"/>
      <c r="H127" s="86">
        <f t="shared" si="13"/>
        <v>0</v>
      </c>
      <c r="I127" s="86">
        <f t="shared" si="14"/>
        <v>0</v>
      </c>
    </row>
    <row r="128" spans="1:55" ht="20.100000000000001" customHeight="1" x14ac:dyDescent="0.25">
      <c r="A128" s="87">
        <v>117</v>
      </c>
      <c r="B128" s="90" t="s">
        <v>965</v>
      </c>
      <c r="C128" s="91" t="s">
        <v>737</v>
      </c>
      <c r="D128" s="91">
        <v>1.6</v>
      </c>
      <c r="E128" s="309">
        <v>0</v>
      </c>
      <c r="F128" s="86">
        <f t="shared" si="12"/>
        <v>0</v>
      </c>
      <c r="G128" s="86"/>
      <c r="H128" s="86">
        <f t="shared" si="13"/>
        <v>0</v>
      </c>
      <c r="I128" s="86">
        <f t="shared" si="14"/>
        <v>0</v>
      </c>
    </row>
    <row r="129" spans="1:55" ht="20.100000000000001" customHeight="1" x14ac:dyDescent="0.25">
      <c r="A129" s="87">
        <v>118</v>
      </c>
      <c r="B129" s="90" t="s">
        <v>966</v>
      </c>
      <c r="C129" s="91" t="s">
        <v>58</v>
      </c>
      <c r="D129" s="91">
        <v>7</v>
      </c>
      <c r="E129" s="309">
        <v>0</v>
      </c>
      <c r="F129" s="86">
        <f t="shared" si="12"/>
        <v>0</v>
      </c>
      <c r="G129" s="86"/>
      <c r="H129" s="86">
        <f t="shared" si="13"/>
        <v>0</v>
      </c>
      <c r="I129" s="86">
        <f t="shared" si="14"/>
        <v>0</v>
      </c>
    </row>
    <row r="130" spans="1:55" ht="20.100000000000001" customHeight="1" x14ac:dyDescent="0.25">
      <c r="A130" s="87">
        <v>119</v>
      </c>
      <c r="B130" s="90" t="s">
        <v>967</v>
      </c>
      <c r="C130" s="91" t="s">
        <v>737</v>
      </c>
      <c r="D130" s="91">
        <v>0.8</v>
      </c>
      <c r="E130" s="309">
        <v>0</v>
      </c>
      <c r="F130" s="86">
        <f t="shared" si="12"/>
        <v>0</v>
      </c>
      <c r="G130" s="86"/>
      <c r="H130" s="86">
        <f t="shared" si="13"/>
        <v>0</v>
      </c>
      <c r="I130" s="86">
        <f t="shared" si="14"/>
        <v>0</v>
      </c>
    </row>
    <row r="131" spans="1:55" ht="20.100000000000001" customHeight="1" x14ac:dyDescent="0.25">
      <c r="A131" s="87">
        <v>120</v>
      </c>
      <c r="B131" s="90" t="s">
        <v>968</v>
      </c>
      <c r="C131" s="91" t="s">
        <v>104</v>
      </c>
      <c r="D131" s="91">
        <v>40</v>
      </c>
      <c r="E131" s="309">
        <v>0</v>
      </c>
      <c r="F131" s="86">
        <f t="shared" si="12"/>
        <v>0</v>
      </c>
      <c r="G131" s="86"/>
      <c r="H131" s="86">
        <f t="shared" si="13"/>
        <v>0</v>
      </c>
      <c r="I131" s="86">
        <f t="shared" si="14"/>
        <v>0</v>
      </c>
    </row>
    <row r="132" spans="1:55" ht="20.100000000000001" customHeight="1" x14ac:dyDescent="0.25">
      <c r="A132" s="87">
        <v>121</v>
      </c>
      <c r="B132" s="90" t="s">
        <v>969</v>
      </c>
      <c r="C132" s="91" t="s">
        <v>737</v>
      </c>
      <c r="D132" s="91">
        <v>10</v>
      </c>
      <c r="E132" s="309">
        <v>0</v>
      </c>
      <c r="F132" s="86">
        <f t="shared" si="12"/>
        <v>0</v>
      </c>
      <c r="G132" s="86"/>
      <c r="H132" s="86">
        <f t="shared" si="13"/>
        <v>0</v>
      </c>
      <c r="I132" s="86">
        <f t="shared" si="14"/>
        <v>0</v>
      </c>
    </row>
    <row r="133" spans="1:55" ht="20.100000000000001" customHeight="1" x14ac:dyDescent="0.2">
      <c r="A133" s="87">
        <v>122</v>
      </c>
      <c r="B133" s="96"/>
      <c r="C133" s="91"/>
      <c r="D133" s="91"/>
      <c r="E133" s="94"/>
    </row>
    <row r="134" spans="1:55" ht="20.100000000000001" customHeight="1" x14ac:dyDescent="0.25">
      <c r="A134" s="87">
        <v>123</v>
      </c>
      <c r="B134" s="311" t="s">
        <v>970</v>
      </c>
      <c r="C134" s="91"/>
      <c r="D134" s="91"/>
      <c r="E134" s="94"/>
    </row>
    <row r="135" spans="1:55" s="274" customFormat="1" ht="28.5" customHeight="1" x14ac:dyDescent="0.25">
      <c r="A135" s="270">
        <v>124</v>
      </c>
      <c r="B135" s="271" t="s">
        <v>971</v>
      </c>
      <c r="C135" s="272" t="s">
        <v>861</v>
      </c>
      <c r="D135" s="272">
        <v>62</v>
      </c>
      <c r="E135" s="310">
        <v>0</v>
      </c>
      <c r="F135" s="267">
        <f t="shared" ref="F135:F147" si="15">D135*E135</f>
        <v>0</v>
      </c>
      <c r="G135" s="310">
        <v>0</v>
      </c>
      <c r="H135" s="267">
        <f t="shared" ref="H135:H147" si="16">G135*D135</f>
        <v>0</v>
      </c>
      <c r="I135" s="267">
        <f t="shared" ref="I135:I147" si="17">H135+F135</f>
        <v>0</v>
      </c>
      <c r="J135" s="273"/>
      <c r="K135" s="273"/>
      <c r="L135" s="273"/>
      <c r="M135" s="273"/>
      <c r="N135" s="273"/>
      <c r="O135" s="273"/>
      <c r="P135" s="273"/>
      <c r="Q135" s="273"/>
      <c r="R135" s="273"/>
      <c r="S135" s="273"/>
      <c r="T135" s="273"/>
      <c r="U135" s="273"/>
      <c r="V135" s="273"/>
      <c r="W135" s="273"/>
      <c r="X135" s="273"/>
      <c r="Y135" s="273"/>
      <c r="Z135" s="273"/>
      <c r="AA135" s="273"/>
      <c r="AB135" s="273"/>
      <c r="AC135" s="273"/>
      <c r="AD135" s="273"/>
      <c r="AE135" s="273"/>
      <c r="AF135" s="273"/>
      <c r="AG135" s="273"/>
      <c r="AH135" s="273"/>
      <c r="AI135" s="273"/>
      <c r="AJ135" s="273"/>
      <c r="AK135" s="273"/>
      <c r="AL135" s="273"/>
      <c r="AM135" s="273"/>
      <c r="AN135" s="273"/>
      <c r="AO135" s="273"/>
      <c r="AP135" s="273"/>
      <c r="AQ135" s="273"/>
      <c r="AR135" s="273"/>
      <c r="AS135" s="273"/>
      <c r="AT135" s="273"/>
      <c r="AU135" s="273"/>
      <c r="AV135" s="273"/>
      <c r="AW135" s="273"/>
      <c r="AX135" s="273"/>
      <c r="AY135" s="273"/>
      <c r="AZ135" s="273"/>
      <c r="BA135" s="273"/>
      <c r="BB135" s="273"/>
      <c r="BC135" s="273"/>
    </row>
    <row r="136" spans="1:55" s="274" customFormat="1" ht="28.5" customHeight="1" x14ac:dyDescent="0.25">
      <c r="A136" s="270">
        <v>125</v>
      </c>
      <c r="B136" s="271" t="s">
        <v>972</v>
      </c>
      <c r="C136" s="272" t="s">
        <v>898</v>
      </c>
      <c r="D136" s="272">
        <v>1</v>
      </c>
      <c r="E136" s="310">
        <v>0</v>
      </c>
      <c r="F136" s="267">
        <f t="shared" si="15"/>
        <v>0</v>
      </c>
      <c r="G136" s="310">
        <v>0</v>
      </c>
      <c r="H136" s="267">
        <f t="shared" si="16"/>
        <v>0</v>
      </c>
      <c r="I136" s="267">
        <f t="shared" si="17"/>
        <v>0</v>
      </c>
      <c r="J136" s="273"/>
      <c r="K136" s="273"/>
      <c r="L136" s="273"/>
      <c r="M136" s="273"/>
      <c r="N136" s="273"/>
      <c r="O136" s="273"/>
      <c r="P136" s="273"/>
      <c r="Q136" s="273"/>
      <c r="R136" s="273"/>
      <c r="S136" s="273"/>
      <c r="T136" s="273"/>
      <c r="U136" s="273"/>
      <c r="V136" s="273"/>
      <c r="W136" s="273"/>
      <c r="X136" s="273"/>
      <c r="Y136" s="273"/>
      <c r="Z136" s="273"/>
      <c r="AA136" s="273"/>
      <c r="AB136" s="273"/>
      <c r="AC136" s="273"/>
      <c r="AD136" s="273"/>
      <c r="AE136" s="273"/>
      <c r="AF136" s="273"/>
      <c r="AG136" s="273"/>
      <c r="AH136" s="273"/>
      <c r="AI136" s="273"/>
      <c r="AJ136" s="273"/>
      <c r="AK136" s="273"/>
      <c r="AL136" s="273"/>
      <c r="AM136" s="273"/>
      <c r="AN136" s="273"/>
      <c r="AO136" s="273"/>
      <c r="AP136" s="273"/>
      <c r="AQ136" s="273"/>
      <c r="AR136" s="273"/>
      <c r="AS136" s="273"/>
      <c r="AT136" s="273"/>
      <c r="AU136" s="273"/>
      <c r="AV136" s="273"/>
      <c r="AW136" s="273"/>
      <c r="AX136" s="273"/>
      <c r="AY136" s="273"/>
      <c r="AZ136" s="273"/>
      <c r="BA136" s="273"/>
      <c r="BB136" s="273"/>
      <c r="BC136" s="273"/>
    </row>
    <row r="137" spans="1:55" s="274" customFormat="1" ht="28.5" customHeight="1" x14ac:dyDescent="0.25">
      <c r="A137" s="270">
        <v>126</v>
      </c>
      <c r="B137" s="271" t="s">
        <v>973</v>
      </c>
      <c r="C137" s="272" t="s">
        <v>898</v>
      </c>
      <c r="D137" s="272">
        <v>1</v>
      </c>
      <c r="E137" s="310">
        <v>0</v>
      </c>
      <c r="F137" s="267">
        <f t="shared" si="15"/>
        <v>0</v>
      </c>
      <c r="G137" s="310">
        <v>0</v>
      </c>
      <c r="H137" s="267">
        <f t="shared" si="16"/>
        <v>0</v>
      </c>
      <c r="I137" s="267">
        <f t="shared" si="17"/>
        <v>0</v>
      </c>
      <c r="J137" s="273"/>
      <c r="K137" s="273"/>
      <c r="L137" s="273"/>
      <c r="M137" s="273"/>
      <c r="N137" s="273"/>
      <c r="O137" s="273"/>
      <c r="P137" s="273"/>
      <c r="Q137" s="273"/>
      <c r="R137" s="273"/>
      <c r="S137" s="273"/>
      <c r="T137" s="273"/>
      <c r="U137" s="273"/>
      <c r="V137" s="273"/>
      <c r="W137" s="273"/>
      <c r="X137" s="273"/>
      <c r="Y137" s="273"/>
      <c r="Z137" s="273"/>
      <c r="AA137" s="273"/>
      <c r="AB137" s="273"/>
      <c r="AC137" s="273"/>
      <c r="AD137" s="273"/>
      <c r="AE137" s="273"/>
      <c r="AF137" s="273"/>
      <c r="AG137" s="273"/>
      <c r="AH137" s="273"/>
      <c r="AI137" s="273"/>
      <c r="AJ137" s="273"/>
      <c r="AK137" s="273"/>
      <c r="AL137" s="273"/>
      <c r="AM137" s="273"/>
      <c r="AN137" s="273"/>
      <c r="AO137" s="273"/>
      <c r="AP137" s="273"/>
      <c r="AQ137" s="273"/>
      <c r="AR137" s="273"/>
      <c r="AS137" s="273"/>
      <c r="AT137" s="273"/>
      <c r="AU137" s="273"/>
      <c r="AV137" s="273"/>
      <c r="AW137" s="273"/>
      <c r="AX137" s="273"/>
      <c r="AY137" s="273"/>
      <c r="AZ137" s="273"/>
      <c r="BA137" s="273"/>
      <c r="BB137" s="273"/>
      <c r="BC137" s="273"/>
    </row>
    <row r="138" spans="1:55" s="274" customFormat="1" ht="28.5" customHeight="1" x14ac:dyDescent="0.25">
      <c r="A138" s="270">
        <v>127</v>
      </c>
      <c r="B138" s="271" t="s">
        <v>974</v>
      </c>
      <c r="C138" s="272" t="s">
        <v>898</v>
      </c>
      <c r="D138" s="272">
        <v>1</v>
      </c>
      <c r="E138" s="310">
        <v>0</v>
      </c>
      <c r="F138" s="267">
        <f t="shared" si="15"/>
        <v>0</v>
      </c>
      <c r="G138" s="310">
        <v>0</v>
      </c>
      <c r="H138" s="267">
        <f t="shared" si="16"/>
        <v>0</v>
      </c>
      <c r="I138" s="267">
        <f t="shared" si="17"/>
        <v>0</v>
      </c>
      <c r="J138" s="273"/>
      <c r="K138" s="273"/>
      <c r="L138" s="273"/>
      <c r="M138" s="273"/>
      <c r="N138" s="273"/>
      <c r="O138" s="273"/>
      <c r="P138" s="273"/>
      <c r="Q138" s="273"/>
      <c r="R138" s="273"/>
      <c r="S138" s="273"/>
      <c r="T138" s="273"/>
      <c r="U138" s="273"/>
      <c r="V138" s="273"/>
      <c r="W138" s="273"/>
      <c r="X138" s="273"/>
      <c r="Y138" s="273"/>
      <c r="Z138" s="273"/>
      <c r="AA138" s="273"/>
      <c r="AB138" s="273"/>
      <c r="AC138" s="273"/>
      <c r="AD138" s="273"/>
      <c r="AE138" s="273"/>
      <c r="AF138" s="273"/>
      <c r="AG138" s="273"/>
      <c r="AH138" s="273"/>
      <c r="AI138" s="273"/>
      <c r="AJ138" s="273"/>
      <c r="AK138" s="273"/>
      <c r="AL138" s="273"/>
      <c r="AM138" s="273"/>
      <c r="AN138" s="273"/>
      <c r="AO138" s="273"/>
      <c r="AP138" s="273"/>
      <c r="AQ138" s="273"/>
      <c r="AR138" s="273"/>
      <c r="AS138" s="273"/>
      <c r="AT138" s="273"/>
      <c r="AU138" s="273"/>
      <c r="AV138" s="273"/>
      <c r="AW138" s="273"/>
      <c r="AX138" s="273"/>
      <c r="AY138" s="273"/>
      <c r="AZ138" s="273"/>
      <c r="BA138" s="273"/>
      <c r="BB138" s="273"/>
      <c r="BC138" s="273"/>
    </row>
    <row r="139" spans="1:55" s="274" customFormat="1" ht="28.5" customHeight="1" x14ac:dyDescent="0.25">
      <c r="A139" s="270">
        <v>128</v>
      </c>
      <c r="B139" s="271" t="s">
        <v>975</v>
      </c>
      <c r="C139" s="272" t="s">
        <v>898</v>
      </c>
      <c r="D139" s="272">
        <v>2</v>
      </c>
      <c r="E139" s="310">
        <v>0</v>
      </c>
      <c r="F139" s="267">
        <f t="shared" si="15"/>
        <v>0</v>
      </c>
      <c r="G139" s="310">
        <v>0</v>
      </c>
      <c r="H139" s="267">
        <f t="shared" si="16"/>
        <v>0</v>
      </c>
      <c r="I139" s="267">
        <f t="shared" si="17"/>
        <v>0</v>
      </c>
      <c r="J139" s="273"/>
      <c r="K139" s="273"/>
      <c r="L139" s="273"/>
      <c r="M139" s="273"/>
      <c r="N139" s="273"/>
      <c r="O139" s="273"/>
      <c r="P139" s="273"/>
      <c r="Q139" s="273"/>
      <c r="R139" s="273"/>
      <c r="S139" s="273"/>
      <c r="T139" s="273"/>
      <c r="U139" s="273"/>
      <c r="V139" s="273"/>
      <c r="W139" s="273"/>
      <c r="X139" s="273"/>
      <c r="Y139" s="273"/>
      <c r="Z139" s="273"/>
      <c r="AA139" s="273"/>
      <c r="AB139" s="273"/>
      <c r="AC139" s="273"/>
      <c r="AD139" s="273"/>
      <c r="AE139" s="273"/>
      <c r="AF139" s="273"/>
      <c r="AG139" s="273"/>
      <c r="AH139" s="273"/>
      <c r="AI139" s="273"/>
      <c r="AJ139" s="273"/>
      <c r="AK139" s="273"/>
      <c r="AL139" s="273"/>
      <c r="AM139" s="273"/>
      <c r="AN139" s="273"/>
      <c r="AO139" s="273"/>
      <c r="AP139" s="273"/>
      <c r="AQ139" s="273"/>
      <c r="AR139" s="273"/>
      <c r="AS139" s="273"/>
      <c r="AT139" s="273"/>
      <c r="AU139" s="273"/>
      <c r="AV139" s="273"/>
      <c r="AW139" s="273"/>
      <c r="AX139" s="273"/>
      <c r="AY139" s="273"/>
      <c r="AZ139" s="273"/>
      <c r="BA139" s="273"/>
      <c r="BB139" s="273"/>
      <c r="BC139" s="273"/>
    </row>
    <row r="140" spans="1:55" s="274" customFormat="1" ht="28.5" customHeight="1" x14ac:dyDescent="0.25">
      <c r="A140" s="270">
        <v>129</v>
      </c>
      <c r="B140" s="271" t="s">
        <v>2272</v>
      </c>
      <c r="C140" s="272" t="s">
        <v>898</v>
      </c>
      <c r="D140" s="272">
        <v>1</v>
      </c>
      <c r="E140" s="310">
        <v>0</v>
      </c>
      <c r="F140" s="267">
        <f t="shared" si="15"/>
        <v>0</v>
      </c>
      <c r="G140" s="310">
        <v>0</v>
      </c>
      <c r="H140" s="267">
        <f t="shared" si="16"/>
        <v>0</v>
      </c>
      <c r="I140" s="267">
        <f t="shared" si="17"/>
        <v>0</v>
      </c>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3"/>
      <c r="AT140" s="273"/>
      <c r="AU140" s="273"/>
      <c r="AV140" s="273"/>
      <c r="AW140" s="273"/>
      <c r="AX140" s="273"/>
      <c r="AY140" s="273"/>
      <c r="AZ140" s="273"/>
      <c r="BA140" s="273"/>
      <c r="BB140" s="273"/>
      <c r="BC140" s="273"/>
    </row>
    <row r="141" spans="1:55" s="274" customFormat="1" ht="28.5" customHeight="1" x14ac:dyDescent="0.25">
      <c r="A141" s="270">
        <v>130</v>
      </c>
      <c r="B141" s="271" t="s">
        <v>976</v>
      </c>
      <c r="C141" s="272" t="s">
        <v>861</v>
      </c>
      <c r="D141" s="272">
        <v>11</v>
      </c>
      <c r="E141" s="310">
        <v>0</v>
      </c>
      <c r="F141" s="267">
        <f t="shared" si="15"/>
        <v>0</v>
      </c>
      <c r="G141" s="310">
        <v>0</v>
      </c>
      <c r="H141" s="267">
        <f t="shared" si="16"/>
        <v>0</v>
      </c>
      <c r="I141" s="267">
        <f t="shared" si="17"/>
        <v>0</v>
      </c>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3"/>
      <c r="AT141" s="273"/>
      <c r="AU141" s="273"/>
      <c r="AV141" s="273"/>
      <c r="AW141" s="273"/>
      <c r="AX141" s="273"/>
      <c r="AY141" s="273"/>
      <c r="AZ141" s="273"/>
      <c r="BA141" s="273"/>
      <c r="BB141" s="273"/>
      <c r="BC141" s="273"/>
    </row>
    <row r="142" spans="1:55" s="274" customFormat="1" ht="28.5" customHeight="1" x14ac:dyDescent="0.25">
      <c r="A142" s="270">
        <v>131</v>
      </c>
      <c r="B142" s="271" t="s">
        <v>977</v>
      </c>
      <c r="C142" s="272" t="s">
        <v>861</v>
      </c>
      <c r="D142" s="272">
        <v>1</v>
      </c>
      <c r="E142" s="310">
        <v>0</v>
      </c>
      <c r="F142" s="267">
        <f t="shared" si="15"/>
        <v>0</v>
      </c>
      <c r="G142" s="310">
        <v>0</v>
      </c>
      <c r="H142" s="267">
        <f t="shared" si="16"/>
        <v>0</v>
      </c>
      <c r="I142" s="267">
        <f t="shared" si="17"/>
        <v>0</v>
      </c>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3"/>
      <c r="AT142" s="273"/>
      <c r="AU142" s="273"/>
      <c r="AV142" s="273"/>
      <c r="AW142" s="273"/>
      <c r="AX142" s="273"/>
      <c r="AY142" s="273"/>
      <c r="AZ142" s="273"/>
      <c r="BA142" s="273"/>
      <c r="BB142" s="273"/>
      <c r="BC142" s="273"/>
    </row>
    <row r="143" spans="1:55" s="274" customFormat="1" ht="28.5" customHeight="1" x14ac:dyDescent="0.25">
      <c r="A143" s="270">
        <v>132</v>
      </c>
      <c r="B143" s="271" t="s">
        <v>978</v>
      </c>
      <c r="C143" s="272" t="s">
        <v>104</v>
      </c>
      <c r="D143" s="272">
        <v>35</v>
      </c>
      <c r="E143" s="310">
        <v>0</v>
      </c>
      <c r="F143" s="267">
        <f t="shared" si="15"/>
        <v>0</v>
      </c>
      <c r="G143" s="310">
        <v>0</v>
      </c>
      <c r="H143" s="267">
        <f t="shared" si="16"/>
        <v>0</v>
      </c>
      <c r="I143" s="267">
        <f t="shared" si="17"/>
        <v>0</v>
      </c>
      <c r="J143" s="273"/>
      <c r="K143" s="273"/>
      <c r="L143" s="273"/>
      <c r="M143" s="273"/>
      <c r="N143" s="273"/>
      <c r="O143" s="273"/>
      <c r="P143" s="273"/>
      <c r="Q143" s="273"/>
      <c r="R143" s="273"/>
      <c r="S143" s="273"/>
      <c r="T143" s="273"/>
      <c r="U143" s="273"/>
      <c r="V143" s="273"/>
      <c r="W143" s="273"/>
      <c r="X143" s="273"/>
      <c r="Y143" s="273"/>
      <c r="Z143" s="273"/>
      <c r="AA143" s="273"/>
      <c r="AB143" s="273"/>
      <c r="AC143" s="273"/>
      <c r="AD143" s="273"/>
      <c r="AE143" s="273"/>
      <c r="AF143" s="273"/>
      <c r="AG143" s="273"/>
      <c r="AH143" s="273"/>
      <c r="AI143" s="273"/>
      <c r="AJ143" s="273"/>
      <c r="AK143" s="273"/>
      <c r="AL143" s="273"/>
      <c r="AM143" s="273"/>
      <c r="AN143" s="273"/>
      <c r="AO143" s="273"/>
      <c r="AP143" s="273"/>
      <c r="AQ143" s="273"/>
      <c r="AR143" s="273"/>
      <c r="AS143" s="273"/>
      <c r="AT143" s="273"/>
      <c r="AU143" s="273"/>
      <c r="AV143" s="273"/>
      <c r="AW143" s="273"/>
      <c r="AX143" s="273"/>
      <c r="AY143" s="273"/>
      <c r="AZ143" s="273"/>
      <c r="BA143" s="273"/>
      <c r="BB143" s="273"/>
      <c r="BC143" s="273"/>
    </row>
    <row r="144" spans="1:55" s="274" customFormat="1" ht="28.5" customHeight="1" x14ac:dyDescent="0.25">
      <c r="A144" s="270">
        <v>133</v>
      </c>
      <c r="B144" s="271" t="s">
        <v>979</v>
      </c>
      <c r="C144" s="272" t="s">
        <v>104</v>
      </c>
      <c r="D144" s="272">
        <v>50</v>
      </c>
      <c r="E144" s="310">
        <v>0</v>
      </c>
      <c r="F144" s="267">
        <f t="shared" si="15"/>
        <v>0</v>
      </c>
      <c r="G144" s="310">
        <v>0</v>
      </c>
      <c r="H144" s="267">
        <f t="shared" si="16"/>
        <v>0</v>
      </c>
      <c r="I144" s="267">
        <f t="shared" si="17"/>
        <v>0</v>
      </c>
      <c r="J144" s="273"/>
      <c r="K144" s="273"/>
      <c r="L144" s="273"/>
      <c r="M144" s="273"/>
      <c r="N144" s="273"/>
      <c r="O144" s="273"/>
      <c r="P144" s="273"/>
      <c r="Q144" s="273"/>
      <c r="R144" s="273"/>
      <c r="S144" s="273"/>
      <c r="T144" s="273"/>
      <c r="U144" s="273"/>
      <c r="V144" s="273"/>
      <c r="W144" s="273"/>
      <c r="X144" s="273"/>
      <c r="Y144" s="273"/>
      <c r="Z144" s="273"/>
      <c r="AA144" s="273"/>
      <c r="AB144" s="273"/>
      <c r="AC144" s="273"/>
      <c r="AD144" s="273"/>
      <c r="AE144" s="273"/>
      <c r="AF144" s="273"/>
      <c r="AG144" s="273"/>
      <c r="AH144" s="273"/>
      <c r="AI144" s="273"/>
      <c r="AJ144" s="273"/>
      <c r="AK144" s="273"/>
      <c r="AL144" s="273"/>
      <c r="AM144" s="273"/>
      <c r="AN144" s="273"/>
      <c r="AO144" s="273"/>
      <c r="AP144" s="273"/>
      <c r="AQ144" s="273"/>
      <c r="AR144" s="273"/>
      <c r="AS144" s="273"/>
      <c r="AT144" s="273"/>
      <c r="AU144" s="273"/>
      <c r="AV144" s="273"/>
      <c r="AW144" s="273"/>
      <c r="AX144" s="273"/>
      <c r="AY144" s="273"/>
      <c r="AZ144" s="273"/>
      <c r="BA144" s="273"/>
      <c r="BB144" s="273"/>
      <c r="BC144" s="273"/>
    </row>
    <row r="145" spans="1:55" s="274" customFormat="1" ht="28.5" customHeight="1" x14ac:dyDescent="0.25">
      <c r="A145" s="270">
        <v>134</v>
      </c>
      <c r="B145" s="271" t="s">
        <v>2273</v>
      </c>
      <c r="C145" s="272" t="s">
        <v>104</v>
      </c>
      <c r="D145" s="272">
        <v>160</v>
      </c>
      <c r="E145" s="310">
        <v>0</v>
      </c>
      <c r="F145" s="267">
        <f t="shared" si="15"/>
        <v>0</v>
      </c>
      <c r="G145" s="310">
        <v>0</v>
      </c>
      <c r="H145" s="267">
        <f t="shared" si="16"/>
        <v>0</v>
      </c>
      <c r="I145" s="267">
        <f t="shared" si="17"/>
        <v>0</v>
      </c>
      <c r="J145" s="273"/>
      <c r="K145" s="273"/>
      <c r="L145" s="273"/>
      <c r="M145" s="273"/>
      <c r="N145" s="273"/>
      <c r="O145" s="273"/>
      <c r="P145" s="273"/>
      <c r="Q145" s="273"/>
      <c r="R145" s="273"/>
      <c r="S145" s="273"/>
      <c r="T145" s="273"/>
      <c r="U145" s="273"/>
      <c r="V145" s="273"/>
      <c r="W145" s="273"/>
      <c r="X145" s="273"/>
      <c r="Y145" s="273"/>
      <c r="Z145" s="273"/>
      <c r="AA145" s="273"/>
      <c r="AB145" s="273"/>
      <c r="AC145" s="273"/>
      <c r="AD145" s="273"/>
      <c r="AE145" s="273"/>
      <c r="AF145" s="273"/>
      <c r="AG145" s="273"/>
      <c r="AH145" s="273"/>
      <c r="AI145" s="273"/>
      <c r="AJ145" s="273"/>
      <c r="AK145" s="273"/>
      <c r="AL145" s="273"/>
      <c r="AM145" s="273"/>
      <c r="AN145" s="273"/>
      <c r="AO145" s="273"/>
      <c r="AP145" s="273"/>
      <c r="AQ145" s="273"/>
      <c r="AR145" s="273"/>
      <c r="AS145" s="273"/>
      <c r="AT145" s="273"/>
      <c r="AU145" s="273"/>
      <c r="AV145" s="273"/>
      <c r="AW145" s="273"/>
      <c r="AX145" s="273"/>
      <c r="AY145" s="273"/>
      <c r="AZ145" s="273"/>
      <c r="BA145" s="273"/>
      <c r="BB145" s="273"/>
      <c r="BC145" s="273"/>
    </row>
    <row r="146" spans="1:55" s="274" customFormat="1" ht="28.5" customHeight="1" x14ac:dyDescent="0.25">
      <c r="A146" s="270">
        <v>135</v>
      </c>
      <c r="B146" s="271" t="s">
        <v>2274</v>
      </c>
      <c r="C146" s="272" t="s">
        <v>104</v>
      </c>
      <c r="D146" s="272">
        <v>220</v>
      </c>
      <c r="E146" s="310">
        <v>0</v>
      </c>
      <c r="F146" s="267">
        <f t="shared" si="15"/>
        <v>0</v>
      </c>
      <c r="G146" s="310">
        <v>0</v>
      </c>
      <c r="H146" s="267">
        <f t="shared" si="16"/>
        <v>0</v>
      </c>
      <c r="I146" s="267">
        <f t="shared" si="17"/>
        <v>0</v>
      </c>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3"/>
      <c r="AT146" s="273"/>
      <c r="AU146" s="273"/>
      <c r="AV146" s="273"/>
      <c r="AW146" s="273"/>
      <c r="AX146" s="273"/>
      <c r="AY146" s="273"/>
      <c r="AZ146" s="273"/>
      <c r="BA146" s="273"/>
      <c r="BB146" s="273"/>
      <c r="BC146" s="273"/>
    </row>
    <row r="147" spans="1:55" s="274" customFormat="1" ht="28.5" customHeight="1" x14ac:dyDescent="0.25">
      <c r="A147" s="270">
        <v>136</v>
      </c>
      <c r="B147" s="271" t="s">
        <v>980</v>
      </c>
      <c r="C147" s="272" t="s">
        <v>861</v>
      </c>
      <c r="D147" s="272">
        <v>150</v>
      </c>
      <c r="E147" s="310">
        <v>0</v>
      </c>
      <c r="F147" s="267">
        <f t="shared" si="15"/>
        <v>0</v>
      </c>
      <c r="G147" s="310">
        <v>0</v>
      </c>
      <c r="H147" s="267">
        <f t="shared" si="16"/>
        <v>0</v>
      </c>
      <c r="I147" s="267">
        <f t="shared" si="17"/>
        <v>0</v>
      </c>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3"/>
      <c r="AT147" s="273"/>
      <c r="AU147" s="273"/>
      <c r="AV147" s="273"/>
      <c r="AW147" s="273"/>
      <c r="AX147" s="273"/>
      <c r="AY147" s="273"/>
      <c r="AZ147" s="273"/>
      <c r="BA147" s="273"/>
      <c r="BB147" s="273"/>
      <c r="BC147" s="273"/>
    </row>
    <row r="148" spans="1:55" ht="20.100000000000001" customHeight="1" x14ac:dyDescent="0.2">
      <c r="A148" s="87">
        <v>137</v>
      </c>
      <c r="B148" s="90"/>
      <c r="C148" s="91"/>
      <c r="D148" s="91"/>
      <c r="E148" s="94"/>
    </row>
    <row r="149" spans="1:55" ht="20.100000000000001" customHeight="1" x14ac:dyDescent="0.25">
      <c r="A149" s="87">
        <v>138</v>
      </c>
      <c r="B149" s="88" t="s">
        <v>692</v>
      </c>
      <c r="C149" s="89"/>
      <c r="D149" s="89"/>
      <c r="E149" s="92"/>
    </row>
    <row r="150" spans="1:55" ht="20.100000000000001" customHeight="1" x14ac:dyDescent="0.25">
      <c r="A150" s="87">
        <v>139</v>
      </c>
      <c r="B150" s="90" t="s">
        <v>2275</v>
      </c>
      <c r="C150" s="91" t="s">
        <v>861</v>
      </c>
      <c r="D150" s="91">
        <v>36</v>
      </c>
      <c r="E150" s="309">
        <v>0</v>
      </c>
      <c r="F150" s="86">
        <f t="shared" ref="F150:F156" si="18">D150*E150</f>
        <v>0</v>
      </c>
      <c r="G150" s="309">
        <v>0</v>
      </c>
      <c r="H150" s="86">
        <f t="shared" ref="H150:H156" si="19">G150*D150</f>
        <v>0</v>
      </c>
      <c r="I150" s="86">
        <f t="shared" ref="I150:I156" si="20">H150+F150</f>
        <v>0</v>
      </c>
    </row>
    <row r="151" spans="1:55" ht="20.100000000000001" customHeight="1" x14ac:dyDescent="0.25">
      <c r="A151" s="87">
        <v>140</v>
      </c>
      <c r="B151" s="90" t="s">
        <v>981</v>
      </c>
      <c r="C151" s="91" t="s">
        <v>861</v>
      </c>
      <c r="D151" s="91">
        <v>3</v>
      </c>
      <c r="E151" s="309">
        <v>0</v>
      </c>
      <c r="F151" s="86">
        <f t="shared" si="18"/>
        <v>0</v>
      </c>
      <c r="G151" s="309">
        <v>0</v>
      </c>
      <c r="H151" s="86">
        <f t="shared" si="19"/>
        <v>0</v>
      </c>
      <c r="I151" s="86">
        <f t="shared" si="20"/>
        <v>0</v>
      </c>
    </row>
    <row r="152" spans="1:55" ht="20.100000000000001" customHeight="1" x14ac:dyDescent="0.25">
      <c r="A152" s="87">
        <v>141</v>
      </c>
      <c r="B152" s="90" t="s">
        <v>2276</v>
      </c>
      <c r="C152" s="91" t="s">
        <v>898</v>
      </c>
      <c r="D152" s="91">
        <v>1</v>
      </c>
      <c r="E152" s="309">
        <v>0</v>
      </c>
      <c r="F152" s="86">
        <f t="shared" si="18"/>
        <v>0</v>
      </c>
      <c r="G152" s="309">
        <v>0</v>
      </c>
      <c r="H152" s="86">
        <f t="shared" si="19"/>
        <v>0</v>
      </c>
      <c r="I152" s="86">
        <f t="shared" si="20"/>
        <v>0</v>
      </c>
    </row>
    <row r="153" spans="1:55" ht="20.100000000000001" customHeight="1" x14ac:dyDescent="0.25">
      <c r="A153" s="87">
        <v>142</v>
      </c>
      <c r="B153" s="90" t="s">
        <v>982</v>
      </c>
      <c r="C153" s="91" t="s">
        <v>898</v>
      </c>
      <c r="D153" s="91">
        <v>1</v>
      </c>
      <c r="E153" s="309">
        <v>0</v>
      </c>
      <c r="F153" s="86">
        <f t="shared" si="18"/>
        <v>0</v>
      </c>
      <c r="G153" s="309">
        <v>0</v>
      </c>
      <c r="H153" s="86">
        <f t="shared" si="19"/>
        <v>0</v>
      </c>
      <c r="I153" s="86">
        <f t="shared" si="20"/>
        <v>0</v>
      </c>
    </row>
    <row r="154" spans="1:55" ht="20.100000000000001" customHeight="1" x14ac:dyDescent="0.25">
      <c r="A154" s="87">
        <v>143</v>
      </c>
      <c r="B154" s="90" t="s">
        <v>983</v>
      </c>
      <c r="C154" s="91" t="s">
        <v>898</v>
      </c>
      <c r="D154" s="91">
        <v>1</v>
      </c>
      <c r="E154" s="86"/>
      <c r="F154" s="86">
        <f t="shared" si="18"/>
        <v>0</v>
      </c>
      <c r="G154" s="309">
        <v>0</v>
      </c>
      <c r="H154" s="86">
        <f t="shared" si="19"/>
        <v>0</v>
      </c>
      <c r="I154" s="86">
        <f t="shared" si="20"/>
        <v>0</v>
      </c>
    </row>
    <row r="155" spans="1:55" ht="20.100000000000001" customHeight="1" x14ac:dyDescent="0.25">
      <c r="A155" s="87">
        <v>144</v>
      </c>
      <c r="B155" s="90" t="s">
        <v>984</v>
      </c>
      <c r="C155" s="91" t="s">
        <v>861</v>
      </c>
      <c r="D155" s="91">
        <v>45</v>
      </c>
      <c r="E155" s="86"/>
      <c r="F155" s="86">
        <f t="shared" si="18"/>
        <v>0</v>
      </c>
      <c r="G155" s="309">
        <v>0</v>
      </c>
      <c r="H155" s="86">
        <f t="shared" si="19"/>
        <v>0</v>
      </c>
      <c r="I155" s="86">
        <f t="shared" si="20"/>
        <v>0</v>
      </c>
    </row>
    <row r="156" spans="1:55" ht="20.100000000000001" customHeight="1" x14ac:dyDescent="0.25">
      <c r="A156" s="87">
        <v>145</v>
      </c>
      <c r="B156" s="90" t="s">
        <v>985</v>
      </c>
      <c r="C156" s="91" t="s">
        <v>986</v>
      </c>
      <c r="D156" s="91">
        <v>160</v>
      </c>
      <c r="E156" s="86"/>
      <c r="F156" s="86">
        <f t="shared" si="18"/>
        <v>0</v>
      </c>
      <c r="G156" s="309">
        <v>0</v>
      </c>
      <c r="H156" s="86">
        <f t="shared" si="19"/>
        <v>0</v>
      </c>
      <c r="I156" s="86">
        <f t="shared" si="20"/>
        <v>0</v>
      </c>
    </row>
    <row r="157" spans="1:55" ht="20.100000000000001" customHeight="1" x14ac:dyDescent="0.25">
      <c r="A157" s="87">
        <v>146</v>
      </c>
      <c r="B157" s="90"/>
      <c r="C157" s="91"/>
      <c r="D157" s="91"/>
      <c r="E157" s="86"/>
      <c r="F157" s="86"/>
      <c r="G157" s="86"/>
      <c r="H157" s="86"/>
      <c r="I157" s="86"/>
    </row>
    <row r="158" spans="1:55" ht="20.100000000000001" customHeight="1" x14ac:dyDescent="0.25">
      <c r="A158" s="87">
        <v>147</v>
      </c>
      <c r="B158" s="90" t="s">
        <v>987</v>
      </c>
      <c r="C158" s="91" t="s">
        <v>718</v>
      </c>
      <c r="D158" s="91">
        <v>3</v>
      </c>
      <c r="E158" s="309">
        <v>0</v>
      </c>
      <c r="F158" s="86"/>
      <c r="G158" s="86"/>
      <c r="H158" s="309">
        <v>0</v>
      </c>
      <c r="I158" s="309">
        <v>0</v>
      </c>
    </row>
    <row r="159" spans="1:55" ht="20.100000000000001" customHeight="1" x14ac:dyDescent="0.25">
      <c r="A159" s="87">
        <v>148</v>
      </c>
      <c r="B159" s="90" t="s">
        <v>988</v>
      </c>
      <c r="C159" s="91" t="s">
        <v>718</v>
      </c>
      <c r="D159" s="91">
        <v>7</v>
      </c>
      <c r="E159" s="309">
        <v>0</v>
      </c>
      <c r="F159" s="86"/>
      <c r="G159" s="86"/>
      <c r="H159" s="309">
        <v>0</v>
      </c>
      <c r="I159" s="309">
        <v>0</v>
      </c>
    </row>
    <row r="160" spans="1:55" ht="20.100000000000001" customHeight="1" x14ac:dyDescent="0.25">
      <c r="A160" s="87">
        <v>149</v>
      </c>
      <c r="B160" s="90" t="s">
        <v>989</v>
      </c>
      <c r="C160" s="91" t="s">
        <v>718</v>
      </c>
      <c r="D160" s="91">
        <v>10</v>
      </c>
      <c r="E160" s="86"/>
      <c r="F160" s="86"/>
      <c r="G160" s="86"/>
      <c r="H160" s="309">
        <v>0</v>
      </c>
      <c r="I160" s="309">
        <v>0</v>
      </c>
    </row>
    <row r="161" spans="1:9" ht="20.100000000000001" customHeight="1" x14ac:dyDescent="0.25">
      <c r="A161" s="87">
        <v>150</v>
      </c>
      <c r="B161" s="90" t="s">
        <v>990</v>
      </c>
      <c r="C161" s="91" t="s">
        <v>898</v>
      </c>
      <c r="D161" s="91">
        <v>1</v>
      </c>
      <c r="E161" s="86"/>
      <c r="F161" s="86"/>
      <c r="G161" s="86"/>
      <c r="H161" s="309">
        <v>0</v>
      </c>
      <c r="I161" s="309">
        <v>0</v>
      </c>
    </row>
    <row r="162" spans="1:9" ht="20.100000000000001" customHeight="1" x14ac:dyDescent="0.25">
      <c r="A162" s="87">
        <v>151</v>
      </c>
      <c r="B162" s="90" t="s">
        <v>991</v>
      </c>
      <c r="C162" s="91" t="s">
        <v>898</v>
      </c>
      <c r="D162" s="91">
        <v>1</v>
      </c>
      <c r="E162" s="86"/>
      <c r="F162" s="86"/>
      <c r="G162" s="86"/>
      <c r="H162" s="309">
        <v>0</v>
      </c>
      <c r="I162" s="309">
        <v>0</v>
      </c>
    </row>
    <row r="163" spans="1:9" ht="20.100000000000001" customHeight="1" x14ac:dyDescent="0.25">
      <c r="A163" s="87">
        <v>152</v>
      </c>
      <c r="B163" s="90" t="s">
        <v>992</v>
      </c>
      <c r="C163" s="91" t="s">
        <v>898</v>
      </c>
      <c r="D163" s="91">
        <v>1</v>
      </c>
      <c r="E163" s="86"/>
      <c r="F163" s="86"/>
      <c r="G163" s="86"/>
      <c r="H163" s="309">
        <v>0</v>
      </c>
      <c r="I163" s="309">
        <v>0</v>
      </c>
    </row>
    <row r="164" spans="1:9" ht="32.25" customHeight="1" x14ac:dyDescent="0.25">
      <c r="A164" s="87">
        <v>153</v>
      </c>
      <c r="B164" s="90" t="s">
        <v>993</v>
      </c>
      <c r="C164" s="91" t="s">
        <v>718</v>
      </c>
      <c r="D164" s="91">
        <v>10</v>
      </c>
      <c r="E164" s="86"/>
      <c r="F164" s="86"/>
      <c r="G164" s="86"/>
      <c r="H164" s="309">
        <v>0</v>
      </c>
      <c r="I164" s="309">
        <v>0</v>
      </c>
    </row>
    <row r="165" spans="1:9" ht="24.75" customHeight="1" x14ac:dyDescent="0.25">
      <c r="B165" s="97" t="s">
        <v>706</v>
      </c>
      <c r="C165" s="98"/>
      <c r="D165" s="98"/>
      <c r="E165" s="99"/>
      <c r="F165" s="100">
        <f>SUM(F13:F164)</f>
        <v>0</v>
      </c>
      <c r="G165" s="101"/>
      <c r="H165" s="100">
        <f>SUM(H13:H164)</f>
        <v>0</v>
      </c>
      <c r="I165" s="100">
        <f>SUM(I13:I164)</f>
        <v>0</v>
      </c>
    </row>
    <row r="166" spans="1:9" ht="24.75" customHeight="1" x14ac:dyDescent="0.25">
      <c r="B166" s="97" t="s">
        <v>994</v>
      </c>
      <c r="C166" s="98"/>
      <c r="D166" s="98"/>
      <c r="E166" s="99"/>
      <c r="F166" s="100"/>
      <c r="G166" s="101"/>
      <c r="H166" s="91">
        <v>1.21</v>
      </c>
      <c r="I166" s="100">
        <f>I165*H166</f>
        <v>0</v>
      </c>
    </row>
  </sheetData>
  <pageMargins left="0.25" right="0.25" top="0.75" bottom="0.75" header="0.3" footer="0.3"/>
  <pageSetup paperSize="9" scale="2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07F5A-1220-4BE4-AEDF-5FF574613CDE}">
  <sheetPr>
    <pageSetUpPr fitToPage="1"/>
  </sheetPr>
  <dimension ref="B2:BM388"/>
  <sheetViews>
    <sheetView showGridLines="0" topLeftCell="A7" workbookViewId="0">
      <selection activeCell="W33" sqref="W33:AE33"/>
    </sheetView>
  </sheetViews>
  <sheetFormatPr defaultRowHeight="11.25" x14ac:dyDescent="0.2"/>
  <cols>
    <col min="1" max="1" width="7.140625" style="251" customWidth="1"/>
    <col min="2" max="2" width="1" style="251" customWidth="1"/>
    <col min="3" max="3" width="3.5703125" style="251" customWidth="1"/>
    <col min="4" max="4" width="3.7109375" style="251" customWidth="1"/>
    <col min="5" max="5" width="14.7109375" style="251" customWidth="1"/>
    <col min="6" max="6" width="86.42578125" style="251" customWidth="1"/>
    <col min="7" max="7" width="6.42578125" style="251" customWidth="1"/>
    <col min="8" max="8" width="12" style="251" customWidth="1"/>
    <col min="9" max="9" width="13.5703125" style="251" customWidth="1"/>
    <col min="10" max="11" width="19.140625" style="251" customWidth="1"/>
    <col min="12" max="12" width="8" style="251" customWidth="1"/>
    <col min="13" max="13" width="9.28515625" style="251" hidden="1" customWidth="1"/>
    <col min="14" max="14" width="9.140625" style="251"/>
    <col min="15" max="20" width="12.140625" style="251" hidden="1" customWidth="1"/>
    <col min="21" max="21" width="14" style="251" hidden="1" customWidth="1"/>
    <col min="22" max="22" width="10.5703125" style="251" customWidth="1"/>
    <col min="23" max="23" width="14" style="251" customWidth="1"/>
    <col min="24" max="24" width="10.5703125" style="251" customWidth="1"/>
    <col min="25" max="25" width="12.85546875" style="251" customWidth="1"/>
    <col min="26" max="26" width="9.42578125" style="251" customWidth="1"/>
    <col min="27" max="27" width="12.85546875" style="251" customWidth="1"/>
    <col min="28" max="28" width="14" style="251" customWidth="1"/>
    <col min="29" max="29" width="9.42578125" style="251" customWidth="1"/>
    <col min="30" max="30" width="12.85546875" style="251" customWidth="1"/>
    <col min="31" max="31" width="14" style="251" customWidth="1"/>
    <col min="32" max="16384" width="9.140625" style="251"/>
  </cols>
  <sheetData>
    <row r="2" spans="2:46" ht="36.950000000000003" customHeight="1" x14ac:dyDescent="0.2">
      <c r="L2" s="415"/>
      <c r="M2" s="415"/>
      <c r="N2" s="415"/>
      <c r="O2" s="415"/>
      <c r="P2" s="415"/>
      <c r="Q2" s="415"/>
      <c r="R2" s="415"/>
      <c r="S2" s="415"/>
      <c r="T2" s="415"/>
      <c r="U2" s="415"/>
      <c r="V2" s="415"/>
      <c r="AT2" s="103" t="s">
        <v>1060</v>
      </c>
    </row>
    <row r="3" spans="2:46" ht="6.95" customHeight="1" x14ac:dyDescent="0.2">
      <c r="B3" s="104"/>
      <c r="C3" s="105"/>
      <c r="D3" s="105"/>
      <c r="E3" s="105"/>
      <c r="F3" s="105"/>
      <c r="G3" s="105"/>
      <c r="H3" s="105"/>
      <c r="I3" s="105"/>
      <c r="J3" s="105"/>
      <c r="K3" s="105"/>
      <c r="L3" s="106"/>
      <c r="AT3" s="103" t="s">
        <v>65</v>
      </c>
    </row>
    <row r="4" spans="2:46" ht="24.95" customHeight="1" x14ac:dyDescent="0.2">
      <c r="B4" s="106"/>
      <c r="D4" s="107" t="s">
        <v>1069</v>
      </c>
      <c r="L4" s="106"/>
      <c r="M4" s="160" t="s">
        <v>1003</v>
      </c>
      <c r="AT4" s="103" t="s">
        <v>999</v>
      </c>
    </row>
    <row r="5" spans="2:46" ht="6.95" customHeight="1" x14ac:dyDescent="0.2">
      <c r="B5" s="106"/>
      <c r="L5" s="106"/>
    </row>
    <row r="6" spans="2:46" ht="12" customHeight="1" x14ac:dyDescent="0.2">
      <c r="B6" s="106"/>
      <c r="D6" s="257" t="s">
        <v>1007</v>
      </c>
      <c r="L6" s="106"/>
    </row>
    <row r="7" spans="2:46" ht="16.5" customHeight="1" x14ac:dyDescent="0.2">
      <c r="B7" s="106"/>
      <c r="E7" s="413" t="str">
        <f>'03 TZBRekapitulace stavby'!K6</f>
        <v>Rekonstrukce administrativní budovy</v>
      </c>
      <c r="F7" s="414"/>
      <c r="G7" s="414"/>
      <c r="H7" s="414"/>
      <c r="L7" s="106"/>
    </row>
    <row r="8" spans="2:46" s="256" customFormat="1" ht="12" customHeight="1" x14ac:dyDescent="0.25">
      <c r="B8" s="112"/>
      <c r="D8" s="257" t="s">
        <v>1070</v>
      </c>
      <c r="L8" s="112"/>
    </row>
    <row r="9" spans="2:46" s="256" customFormat="1" ht="16.5" customHeight="1" x14ac:dyDescent="0.25">
      <c r="B9" s="112"/>
      <c r="E9" s="411" t="s">
        <v>1071</v>
      </c>
      <c r="F9" s="412"/>
      <c r="G9" s="412"/>
      <c r="H9" s="412"/>
      <c r="L9" s="112"/>
    </row>
    <row r="10" spans="2:46" s="256" customFormat="1" x14ac:dyDescent="0.25">
      <c r="B10" s="112"/>
      <c r="L10" s="112"/>
    </row>
    <row r="11" spans="2:46" s="256" customFormat="1" ht="12" customHeight="1" x14ac:dyDescent="0.25">
      <c r="B11" s="112"/>
      <c r="D11" s="257" t="s">
        <v>1009</v>
      </c>
      <c r="F11" s="252" t="s">
        <v>1010</v>
      </c>
      <c r="I11" s="257" t="s">
        <v>1011</v>
      </c>
      <c r="J11" s="252" t="s">
        <v>1010</v>
      </c>
      <c r="L11" s="112"/>
    </row>
    <row r="12" spans="2:46" s="256" customFormat="1" ht="12" customHeight="1" x14ac:dyDescent="0.25">
      <c r="B12" s="112"/>
      <c r="D12" s="257" t="s">
        <v>1012</v>
      </c>
      <c r="F12" s="252" t="s">
        <v>35</v>
      </c>
      <c r="I12" s="257" t="s">
        <v>673</v>
      </c>
      <c r="J12" s="245" t="str">
        <f>'03 TZBRekapitulace stavby'!AN8</f>
        <v>31. 1. 2022</v>
      </c>
      <c r="L12" s="112"/>
    </row>
    <row r="13" spans="2:46" s="256" customFormat="1" ht="10.9" customHeight="1" x14ac:dyDescent="0.25">
      <c r="B13" s="112"/>
      <c r="L13" s="112"/>
    </row>
    <row r="14" spans="2:46" s="256" customFormat="1" ht="12" customHeight="1" x14ac:dyDescent="0.25">
      <c r="B14" s="112"/>
      <c r="D14" s="257" t="s">
        <v>1014</v>
      </c>
      <c r="I14" s="257" t="s">
        <v>1015</v>
      </c>
      <c r="J14" s="252" t="str">
        <f>IF('03 TZBRekapitulace stavby'!AN10="","",'03 TZBRekapitulace stavby'!AN10)</f>
        <v/>
      </c>
      <c r="L14" s="112"/>
    </row>
    <row r="15" spans="2:46" s="256" customFormat="1" ht="18" customHeight="1" x14ac:dyDescent="0.25">
      <c r="B15" s="112"/>
      <c r="E15" s="252" t="str">
        <f>IF('03 TZBRekapitulace stavby'!E11="","",'03 TZBRekapitulace stavby'!E11)</f>
        <v xml:space="preserve"> </v>
      </c>
      <c r="I15" s="257" t="s">
        <v>1016</v>
      </c>
      <c r="J15" s="252" t="str">
        <f>IF('03 TZBRekapitulace stavby'!AN11="","",'03 TZBRekapitulace stavby'!AN11)</f>
        <v/>
      </c>
      <c r="L15" s="112"/>
    </row>
    <row r="16" spans="2:46" s="256" customFormat="1" ht="6.95" customHeight="1" x14ac:dyDescent="0.25">
      <c r="B16" s="112"/>
      <c r="L16" s="112"/>
    </row>
    <row r="17" spans="2:12" s="256" customFormat="1" ht="12" customHeight="1" x14ac:dyDescent="0.25">
      <c r="B17" s="112"/>
      <c r="D17" s="257" t="s">
        <v>2317</v>
      </c>
      <c r="I17" s="257" t="s">
        <v>1015</v>
      </c>
      <c r="J17" s="331" t="str">
        <f>'03 TZBRekapitulace stavby'!AN13</f>
        <v>Vyplň údaj</v>
      </c>
      <c r="L17" s="112"/>
    </row>
    <row r="18" spans="2:12" s="256" customFormat="1" ht="18" customHeight="1" x14ac:dyDescent="0.25">
      <c r="B18" s="112"/>
      <c r="E18" s="416" t="str">
        <f>'03 TZBRekapitulace stavby'!E14</f>
        <v>Vyplň údaj</v>
      </c>
      <c r="F18" s="417"/>
      <c r="G18" s="417"/>
      <c r="H18" s="417"/>
      <c r="I18" s="257" t="s">
        <v>1016</v>
      </c>
      <c r="J18" s="331" t="str">
        <f>'03 TZBRekapitulace stavby'!AN14</f>
        <v>Vyplň údaj</v>
      </c>
      <c r="L18" s="112"/>
    </row>
    <row r="19" spans="2:12" s="256" customFormat="1" ht="6.95" customHeight="1" x14ac:dyDescent="0.25">
      <c r="B19" s="112"/>
      <c r="L19" s="112"/>
    </row>
    <row r="20" spans="2:12" s="256" customFormat="1" ht="12" customHeight="1" x14ac:dyDescent="0.25">
      <c r="B20" s="112"/>
      <c r="D20" s="257" t="s">
        <v>14</v>
      </c>
      <c r="I20" s="257" t="s">
        <v>1015</v>
      </c>
      <c r="J20" s="252" t="str">
        <f>IF('03 TZBRekapitulace stavby'!AN16="","",'03 TZBRekapitulace stavby'!AN16)</f>
        <v/>
      </c>
      <c r="L20" s="112"/>
    </row>
    <row r="21" spans="2:12" s="256" customFormat="1" ht="18" customHeight="1" x14ac:dyDescent="0.25">
      <c r="B21" s="112"/>
      <c r="E21" s="252" t="str">
        <f>IF('03 TZBRekapitulace stavby'!E17="","",'03 TZBRekapitulace stavby'!E17)</f>
        <v xml:space="preserve"> </v>
      </c>
      <c r="I21" s="257" t="s">
        <v>1016</v>
      </c>
      <c r="J21" s="252" t="str">
        <f>IF('03 TZBRekapitulace stavby'!AN17="","",'03 TZBRekapitulace stavby'!AN17)</f>
        <v/>
      </c>
      <c r="L21" s="112"/>
    </row>
    <row r="22" spans="2:12" s="256" customFormat="1" ht="6.95" customHeight="1" x14ac:dyDescent="0.25">
      <c r="B22" s="112"/>
      <c r="L22" s="112"/>
    </row>
    <row r="23" spans="2:12" s="256" customFormat="1" ht="12" customHeight="1" x14ac:dyDescent="0.25">
      <c r="B23" s="112"/>
      <c r="D23" s="257" t="s">
        <v>1018</v>
      </c>
      <c r="I23" s="257" t="s">
        <v>1015</v>
      </c>
      <c r="J23" s="252" t="str">
        <f>IF('03 TZBRekapitulace stavby'!AN19="","",'03 TZBRekapitulace stavby'!AN19)</f>
        <v/>
      </c>
      <c r="L23" s="112"/>
    </row>
    <row r="24" spans="2:12" s="256" customFormat="1" ht="18" customHeight="1" x14ac:dyDescent="0.25">
      <c r="B24" s="112"/>
      <c r="E24" s="252" t="str">
        <f>IF('03 TZBRekapitulace stavby'!E20="","",'03 TZBRekapitulace stavby'!E20)</f>
        <v xml:space="preserve"> </v>
      </c>
      <c r="I24" s="257" t="s">
        <v>1016</v>
      </c>
      <c r="J24" s="252" t="str">
        <f>IF('03 TZBRekapitulace stavby'!AN20="","",'03 TZBRekapitulace stavby'!AN20)</f>
        <v/>
      </c>
      <c r="L24" s="112"/>
    </row>
    <row r="25" spans="2:12" s="256" customFormat="1" ht="6.95" customHeight="1" x14ac:dyDescent="0.25">
      <c r="B25" s="112"/>
      <c r="L25" s="112"/>
    </row>
    <row r="26" spans="2:12" s="256" customFormat="1" ht="12" customHeight="1" x14ac:dyDescent="0.25">
      <c r="B26" s="112"/>
      <c r="D26" s="257" t="s">
        <v>669</v>
      </c>
      <c r="L26" s="112"/>
    </row>
    <row r="27" spans="2:12" s="161" customFormat="1" ht="16.5" customHeight="1" x14ac:dyDescent="0.25">
      <c r="B27" s="162"/>
      <c r="E27" s="418" t="s">
        <v>1010</v>
      </c>
      <c r="F27" s="418"/>
      <c r="G27" s="418"/>
      <c r="H27" s="418"/>
      <c r="L27" s="162"/>
    </row>
    <row r="28" spans="2:12" s="256" customFormat="1" ht="6.95" customHeight="1" x14ac:dyDescent="0.25">
      <c r="B28" s="112"/>
      <c r="L28" s="112"/>
    </row>
    <row r="29" spans="2:12" s="256" customFormat="1" ht="6.95" customHeight="1" x14ac:dyDescent="0.25">
      <c r="B29" s="112"/>
      <c r="D29" s="126"/>
      <c r="E29" s="126"/>
      <c r="F29" s="126"/>
      <c r="G29" s="126"/>
      <c r="H29" s="126"/>
      <c r="I29" s="126"/>
      <c r="J29" s="126"/>
      <c r="K29" s="126"/>
      <c r="L29" s="112"/>
    </row>
    <row r="30" spans="2:12" s="256" customFormat="1" ht="25.35" customHeight="1" x14ac:dyDescent="0.25">
      <c r="B30" s="112"/>
      <c r="D30" s="163" t="s">
        <v>1020</v>
      </c>
      <c r="J30" s="244">
        <f>ROUND(J92, 2)</f>
        <v>0</v>
      </c>
      <c r="L30" s="112"/>
    </row>
    <row r="31" spans="2:12" s="256" customFormat="1" ht="6.95" customHeight="1" x14ac:dyDescent="0.25">
      <c r="B31" s="112"/>
      <c r="D31" s="126"/>
      <c r="E31" s="126"/>
      <c r="F31" s="126"/>
      <c r="G31" s="126"/>
      <c r="H31" s="126"/>
      <c r="I31" s="126"/>
      <c r="J31" s="126"/>
      <c r="K31" s="126"/>
      <c r="L31" s="112"/>
    </row>
    <row r="32" spans="2:12" s="256" customFormat="1" ht="14.45" customHeight="1" x14ac:dyDescent="0.25">
      <c r="B32" s="112"/>
      <c r="F32" s="255" t="s">
        <v>1022</v>
      </c>
      <c r="I32" s="255" t="s">
        <v>1021</v>
      </c>
      <c r="J32" s="255" t="s">
        <v>1023</v>
      </c>
      <c r="L32" s="112"/>
    </row>
    <row r="33" spans="2:12" s="256" customFormat="1" ht="14.45" customHeight="1" x14ac:dyDescent="0.25">
      <c r="B33" s="112"/>
      <c r="D33" s="247" t="s">
        <v>1024</v>
      </c>
      <c r="E33" s="257" t="s">
        <v>1025</v>
      </c>
      <c r="F33" s="164">
        <f>ROUND((SUM(BE92:BE387)),  2)</f>
        <v>0</v>
      </c>
      <c r="I33" s="165">
        <v>0.21</v>
      </c>
      <c r="J33" s="164">
        <f>ROUND(((SUM(BE92:BE387))*I33),  2)</f>
        <v>0</v>
      </c>
      <c r="L33" s="112"/>
    </row>
    <row r="34" spans="2:12" s="256" customFormat="1" ht="14.45" customHeight="1" x14ac:dyDescent="0.25">
      <c r="B34" s="112"/>
      <c r="E34" s="257" t="s">
        <v>1026</v>
      </c>
      <c r="F34" s="164">
        <f>ROUND((SUM(BF92:BF387)),  2)</f>
        <v>0</v>
      </c>
      <c r="I34" s="165">
        <v>0.15</v>
      </c>
      <c r="J34" s="164">
        <f>ROUND(((SUM(BF92:BF387))*I34),  2)</f>
        <v>0</v>
      </c>
      <c r="L34" s="112"/>
    </row>
    <row r="35" spans="2:12" s="256" customFormat="1" ht="14.45" hidden="1" customHeight="1" x14ac:dyDescent="0.25">
      <c r="B35" s="112"/>
      <c r="E35" s="257" t="s">
        <v>1027</v>
      </c>
      <c r="F35" s="164">
        <f>ROUND((SUM(BG92:BG387)),  2)</f>
        <v>0</v>
      </c>
      <c r="I35" s="165">
        <v>0.21</v>
      </c>
      <c r="J35" s="164">
        <f>0</f>
        <v>0</v>
      </c>
      <c r="L35" s="112"/>
    </row>
    <row r="36" spans="2:12" s="256" customFormat="1" ht="14.45" hidden="1" customHeight="1" x14ac:dyDescent="0.25">
      <c r="B36" s="112"/>
      <c r="E36" s="257" t="s">
        <v>1028</v>
      </c>
      <c r="F36" s="164">
        <f>ROUND((SUM(BH92:BH387)),  2)</f>
        <v>0</v>
      </c>
      <c r="I36" s="165">
        <v>0.15</v>
      </c>
      <c r="J36" s="164">
        <f>0</f>
        <v>0</v>
      </c>
      <c r="L36" s="112"/>
    </row>
    <row r="37" spans="2:12" s="256" customFormat="1" ht="14.45" hidden="1" customHeight="1" x14ac:dyDescent="0.25">
      <c r="B37" s="112"/>
      <c r="E37" s="257" t="s">
        <v>1029</v>
      </c>
      <c r="F37" s="164">
        <f>ROUND((SUM(BI92:BI387)),  2)</f>
        <v>0</v>
      </c>
      <c r="I37" s="165">
        <v>0</v>
      </c>
      <c r="J37" s="164">
        <f>0</f>
        <v>0</v>
      </c>
      <c r="L37" s="112"/>
    </row>
    <row r="38" spans="2:12" s="256" customFormat="1" ht="6.95" customHeight="1" x14ac:dyDescent="0.25">
      <c r="B38" s="112"/>
      <c r="L38" s="112"/>
    </row>
    <row r="39" spans="2:12" s="256" customFormat="1" ht="25.35" customHeight="1" x14ac:dyDescent="0.25">
      <c r="B39" s="112"/>
      <c r="C39" s="166"/>
      <c r="D39" s="167" t="s">
        <v>1030</v>
      </c>
      <c r="E39" s="129"/>
      <c r="F39" s="129"/>
      <c r="G39" s="168" t="s">
        <v>1031</v>
      </c>
      <c r="H39" s="169" t="s">
        <v>1032</v>
      </c>
      <c r="I39" s="129"/>
      <c r="J39" s="170">
        <f>SUM(J30:J37)</f>
        <v>0</v>
      </c>
      <c r="K39" s="171"/>
      <c r="L39" s="112"/>
    </row>
    <row r="40" spans="2:12" s="256" customFormat="1" ht="14.45" customHeight="1" x14ac:dyDescent="0.25">
      <c r="B40" s="118"/>
      <c r="C40" s="119"/>
      <c r="D40" s="119"/>
      <c r="E40" s="119"/>
      <c r="F40" s="119"/>
      <c r="G40" s="119"/>
      <c r="H40" s="119"/>
      <c r="I40" s="119"/>
      <c r="J40" s="119"/>
      <c r="K40" s="119"/>
      <c r="L40" s="112"/>
    </row>
    <row r="44" spans="2:12" s="256" customFormat="1" ht="6.95" customHeight="1" x14ac:dyDescent="0.25">
      <c r="B44" s="120"/>
      <c r="C44" s="121"/>
      <c r="D44" s="121"/>
      <c r="E44" s="121"/>
      <c r="F44" s="121"/>
      <c r="G44" s="121"/>
      <c r="H44" s="121"/>
      <c r="I44" s="121"/>
      <c r="J44" s="121"/>
      <c r="K44" s="121"/>
      <c r="L44" s="112"/>
    </row>
    <row r="45" spans="2:12" s="256" customFormat="1" ht="24.95" customHeight="1" x14ac:dyDescent="0.25">
      <c r="B45" s="112"/>
      <c r="C45" s="107" t="s">
        <v>1072</v>
      </c>
      <c r="L45" s="112"/>
    </row>
    <row r="46" spans="2:12" s="256" customFormat="1" ht="6.95" customHeight="1" x14ac:dyDescent="0.25">
      <c r="B46" s="112"/>
      <c r="L46" s="112"/>
    </row>
    <row r="47" spans="2:12" s="256" customFormat="1" ht="12" customHeight="1" x14ac:dyDescent="0.25">
      <c r="B47" s="112"/>
      <c r="C47" s="257" t="s">
        <v>1007</v>
      </c>
      <c r="L47" s="112"/>
    </row>
    <row r="48" spans="2:12" s="256" customFormat="1" ht="16.5" customHeight="1" x14ac:dyDescent="0.25">
      <c r="B48" s="112"/>
      <c r="E48" s="413" t="str">
        <f>E7</f>
        <v>Rekonstrukce administrativní budovy</v>
      </c>
      <c r="F48" s="414"/>
      <c r="G48" s="414"/>
      <c r="H48" s="414"/>
      <c r="L48" s="112"/>
    </row>
    <row r="49" spans="2:47" s="256" customFormat="1" ht="12" customHeight="1" x14ac:dyDescent="0.25">
      <c r="B49" s="112"/>
      <c r="C49" s="257" t="s">
        <v>1070</v>
      </c>
      <c r="L49" s="112"/>
    </row>
    <row r="50" spans="2:47" s="256" customFormat="1" ht="16.5" customHeight="1" x14ac:dyDescent="0.25">
      <c r="B50" s="112"/>
      <c r="E50" s="411" t="str">
        <f>E9</f>
        <v>D14a - Zdravotně technické instalace</v>
      </c>
      <c r="F50" s="412"/>
      <c r="G50" s="412"/>
      <c r="H50" s="412"/>
      <c r="L50" s="112"/>
    </row>
    <row r="51" spans="2:47" s="256" customFormat="1" ht="6.95" customHeight="1" x14ac:dyDescent="0.25">
      <c r="B51" s="112"/>
      <c r="L51" s="112"/>
    </row>
    <row r="52" spans="2:47" s="256" customFormat="1" ht="12" customHeight="1" x14ac:dyDescent="0.25">
      <c r="B52" s="112"/>
      <c r="C52" s="257" t="s">
        <v>1012</v>
      </c>
      <c r="F52" s="252" t="str">
        <f>F12</f>
        <v xml:space="preserve"> </v>
      </c>
      <c r="I52" s="257" t="s">
        <v>673</v>
      </c>
      <c r="J52" s="245" t="str">
        <f>IF(J12="","",J12)</f>
        <v>31. 1. 2022</v>
      </c>
      <c r="L52" s="112"/>
    </row>
    <row r="53" spans="2:47" s="256" customFormat="1" ht="6.95" customHeight="1" x14ac:dyDescent="0.25">
      <c r="B53" s="112"/>
      <c r="L53" s="112"/>
    </row>
    <row r="54" spans="2:47" s="256" customFormat="1" ht="15.2" customHeight="1" x14ac:dyDescent="0.25">
      <c r="B54" s="112"/>
      <c r="C54" s="257" t="s">
        <v>1014</v>
      </c>
      <c r="F54" s="252" t="str">
        <f>E15</f>
        <v xml:space="preserve"> </v>
      </c>
      <c r="I54" s="257" t="s">
        <v>14</v>
      </c>
      <c r="J54" s="253" t="str">
        <f>E21</f>
        <v xml:space="preserve"> </v>
      </c>
      <c r="L54" s="112"/>
    </row>
    <row r="55" spans="2:47" s="256" customFormat="1" ht="15.2" customHeight="1" x14ac:dyDescent="0.25">
      <c r="B55" s="112"/>
      <c r="C55" s="257" t="s">
        <v>2317</v>
      </c>
      <c r="F55" s="252" t="str">
        <f>IF(E18="","",E18)</f>
        <v>Vyplň údaj</v>
      </c>
      <c r="I55" s="257" t="s">
        <v>1018</v>
      </c>
      <c r="J55" s="253" t="str">
        <f>E24</f>
        <v xml:space="preserve"> </v>
      </c>
      <c r="L55" s="112"/>
    </row>
    <row r="56" spans="2:47" s="256" customFormat="1" ht="10.35" customHeight="1" x14ac:dyDescent="0.25">
      <c r="B56" s="112"/>
      <c r="L56" s="112"/>
    </row>
    <row r="57" spans="2:47" s="256" customFormat="1" ht="29.25" customHeight="1" x14ac:dyDescent="0.25">
      <c r="B57" s="112"/>
      <c r="C57" s="172" t="s">
        <v>1073</v>
      </c>
      <c r="D57" s="166"/>
      <c r="E57" s="166"/>
      <c r="F57" s="166"/>
      <c r="G57" s="166"/>
      <c r="H57" s="166"/>
      <c r="I57" s="166"/>
      <c r="J57" s="173" t="s">
        <v>1074</v>
      </c>
      <c r="K57" s="166"/>
      <c r="L57" s="112"/>
    </row>
    <row r="58" spans="2:47" s="256" customFormat="1" ht="10.35" customHeight="1" x14ac:dyDescent="0.25">
      <c r="B58" s="112"/>
      <c r="L58" s="112"/>
    </row>
    <row r="59" spans="2:47" s="256" customFormat="1" ht="22.9" customHeight="1" x14ac:dyDescent="0.25">
      <c r="B59" s="112"/>
      <c r="C59" s="174" t="s">
        <v>1051</v>
      </c>
      <c r="J59" s="244">
        <f>J92</f>
        <v>0</v>
      </c>
      <c r="L59" s="112"/>
      <c r="AU59" s="103" t="s">
        <v>1075</v>
      </c>
    </row>
    <row r="60" spans="2:47" s="175" customFormat="1" ht="24.95" customHeight="1" x14ac:dyDescent="0.25">
      <c r="B60" s="176"/>
      <c r="D60" s="177" t="s">
        <v>1076</v>
      </c>
      <c r="E60" s="178"/>
      <c r="F60" s="178"/>
      <c r="G60" s="178"/>
      <c r="H60" s="178"/>
      <c r="I60" s="178"/>
      <c r="J60" s="179">
        <f>J93</f>
        <v>0</v>
      </c>
      <c r="L60" s="176"/>
    </row>
    <row r="61" spans="2:47" s="180" customFormat="1" ht="19.899999999999999" customHeight="1" x14ac:dyDescent="0.25">
      <c r="B61" s="181"/>
      <c r="D61" s="182" t="s">
        <v>1077</v>
      </c>
      <c r="E61" s="183"/>
      <c r="F61" s="183"/>
      <c r="G61" s="183"/>
      <c r="H61" s="183"/>
      <c r="I61" s="183"/>
      <c r="J61" s="184">
        <f>J94</f>
        <v>0</v>
      </c>
      <c r="L61" s="181"/>
    </row>
    <row r="62" spans="2:47" s="180" customFormat="1" ht="19.899999999999999" customHeight="1" x14ac:dyDescent="0.25">
      <c r="B62" s="181"/>
      <c r="D62" s="182" t="s">
        <v>1078</v>
      </c>
      <c r="E62" s="183"/>
      <c r="F62" s="183"/>
      <c r="G62" s="183"/>
      <c r="H62" s="183"/>
      <c r="I62" s="183"/>
      <c r="J62" s="184">
        <f>J112</f>
        <v>0</v>
      </c>
      <c r="L62" s="181"/>
    </row>
    <row r="63" spans="2:47" s="180" customFormat="1" ht="19.899999999999999" customHeight="1" x14ac:dyDescent="0.25">
      <c r="B63" s="181"/>
      <c r="D63" s="182" t="s">
        <v>1079</v>
      </c>
      <c r="E63" s="183"/>
      <c r="F63" s="183"/>
      <c r="G63" s="183"/>
      <c r="H63" s="183"/>
      <c r="I63" s="183"/>
      <c r="J63" s="184">
        <f>J117</f>
        <v>0</v>
      </c>
      <c r="L63" s="181"/>
    </row>
    <row r="64" spans="2:47" s="180" customFormat="1" ht="19.899999999999999" customHeight="1" x14ac:dyDescent="0.25">
      <c r="B64" s="181"/>
      <c r="D64" s="182" t="s">
        <v>1080</v>
      </c>
      <c r="E64" s="183"/>
      <c r="F64" s="183"/>
      <c r="G64" s="183"/>
      <c r="H64" s="183"/>
      <c r="I64" s="183"/>
      <c r="J64" s="184">
        <f>J120</f>
        <v>0</v>
      </c>
      <c r="L64" s="181"/>
    </row>
    <row r="65" spans="2:12" s="180" customFormat="1" ht="19.899999999999999" customHeight="1" x14ac:dyDescent="0.25">
      <c r="B65" s="181"/>
      <c r="D65" s="182" t="s">
        <v>1081</v>
      </c>
      <c r="E65" s="183"/>
      <c r="F65" s="183"/>
      <c r="G65" s="183"/>
      <c r="H65" s="183"/>
      <c r="I65" s="183"/>
      <c r="J65" s="184">
        <f>J123</f>
        <v>0</v>
      </c>
      <c r="L65" s="181"/>
    </row>
    <row r="66" spans="2:12" s="180" customFormat="1" ht="19.899999999999999" customHeight="1" x14ac:dyDescent="0.25">
      <c r="B66" s="181"/>
      <c r="D66" s="182" t="s">
        <v>1082</v>
      </c>
      <c r="E66" s="183"/>
      <c r="F66" s="183"/>
      <c r="G66" s="183"/>
      <c r="H66" s="183"/>
      <c r="I66" s="183"/>
      <c r="J66" s="184">
        <f>J154</f>
        <v>0</v>
      </c>
      <c r="L66" s="181"/>
    </row>
    <row r="67" spans="2:12" s="180" customFormat="1" ht="19.899999999999999" customHeight="1" x14ac:dyDescent="0.25">
      <c r="B67" s="181"/>
      <c r="D67" s="182" t="s">
        <v>1083</v>
      </c>
      <c r="E67" s="183"/>
      <c r="F67" s="183"/>
      <c r="G67" s="183"/>
      <c r="H67" s="183"/>
      <c r="I67" s="183"/>
      <c r="J67" s="184">
        <f>J177</f>
        <v>0</v>
      </c>
      <c r="L67" s="181"/>
    </row>
    <row r="68" spans="2:12" s="180" customFormat="1" ht="19.899999999999999" customHeight="1" x14ac:dyDescent="0.25">
      <c r="B68" s="181"/>
      <c r="D68" s="182" t="s">
        <v>1084</v>
      </c>
      <c r="E68" s="183"/>
      <c r="F68" s="183"/>
      <c r="G68" s="183"/>
      <c r="H68" s="183"/>
      <c r="I68" s="183"/>
      <c r="J68" s="184">
        <f>J189</f>
        <v>0</v>
      </c>
      <c r="L68" s="181"/>
    </row>
    <row r="69" spans="2:12" s="175" customFormat="1" ht="24.95" customHeight="1" x14ac:dyDescent="0.25">
      <c r="B69" s="176"/>
      <c r="D69" s="177" t="s">
        <v>1085</v>
      </c>
      <c r="E69" s="178"/>
      <c r="F69" s="178"/>
      <c r="G69" s="178"/>
      <c r="H69" s="178"/>
      <c r="I69" s="178"/>
      <c r="J69" s="179">
        <f>J194</f>
        <v>0</v>
      </c>
      <c r="L69" s="176"/>
    </row>
    <row r="70" spans="2:12" s="180" customFormat="1" ht="19.899999999999999" customHeight="1" x14ac:dyDescent="0.25">
      <c r="B70" s="181"/>
      <c r="D70" s="182" t="s">
        <v>1086</v>
      </c>
      <c r="E70" s="183"/>
      <c r="F70" s="183"/>
      <c r="G70" s="183"/>
      <c r="H70" s="183"/>
      <c r="I70" s="183"/>
      <c r="J70" s="184">
        <f>J195</f>
        <v>0</v>
      </c>
      <c r="L70" s="181"/>
    </row>
    <row r="71" spans="2:12" s="180" customFormat="1" ht="19.899999999999999" customHeight="1" x14ac:dyDescent="0.25">
      <c r="B71" s="181"/>
      <c r="D71" s="182" t="s">
        <v>1087</v>
      </c>
      <c r="E71" s="183"/>
      <c r="F71" s="183"/>
      <c r="G71" s="183"/>
      <c r="H71" s="183"/>
      <c r="I71" s="183"/>
      <c r="J71" s="184">
        <f>J248</f>
        <v>0</v>
      </c>
      <c r="L71" s="181"/>
    </row>
    <row r="72" spans="2:12" s="180" customFormat="1" ht="19.899999999999999" customHeight="1" x14ac:dyDescent="0.25">
      <c r="B72" s="181"/>
      <c r="D72" s="182" t="s">
        <v>1088</v>
      </c>
      <c r="E72" s="183"/>
      <c r="F72" s="183"/>
      <c r="G72" s="183"/>
      <c r="H72" s="183"/>
      <c r="I72" s="183"/>
      <c r="J72" s="184">
        <f>J330</f>
        <v>0</v>
      </c>
      <c r="L72" s="181"/>
    </row>
    <row r="73" spans="2:12" s="256" customFormat="1" ht="21.75" customHeight="1" x14ac:dyDescent="0.25">
      <c r="B73" s="112"/>
      <c r="L73" s="112"/>
    </row>
    <row r="74" spans="2:12" s="256" customFormat="1" ht="6.95" customHeight="1" x14ac:dyDescent="0.25">
      <c r="B74" s="118"/>
      <c r="C74" s="119"/>
      <c r="D74" s="119"/>
      <c r="E74" s="119"/>
      <c r="F74" s="119"/>
      <c r="G74" s="119"/>
      <c r="H74" s="119"/>
      <c r="I74" s="119"/>
      <c r="J74" s="119"/>
      <c r="K74" s="119"/>
      <c r="L74" s="112"/>
    </row>
    <row r="78" spans="2:12" s="256" customFormat="1" ht="6.95" customHeight="1" x14ac:dyDescent="0.25">
      <c r="B78" s="120"/>
      <c r="C78" s="121"/>
      <c r="D78" s="121"/>
      <c r="E78" s="121"/>
      <c r="F78" s="121"/>
      <c r="G78" s="121"/>
      <c r="H78" s="121"/>
      <c r="I78" s="121"/>
      <c r="J78" s="121"/>
      <c r="K78" s="121"/>
      <c r="L78" s="112"/>
    </row>
    <row r="79" spans="2:12" s="256" customFormat="1" ht="24.95" customHeight="1" x14ac:dyDescent="0.25">
      <c r="B79" s="112"/>
      <c r="C79" s="107" t="s">
        <v>1089</v>
      </c>
      <c r="L79" s="112"/>
    </row>
    <row r="80" spans="2:12" s="256" customFormat="1" ht="6.95" customHeight="1" x14ac:dyDescent="0.25">
      <c r="B80" s="112"/>
      <c r="L80" s="112"/>
    </row>
    <row r="81" spans="2:65" s="256" customFormat="1" ht="12" customHeight="1" x14ac:dyDescent="0.25">
      <c r="B81" s="112"/>
      <c r="C81" s="257" t="s">
        <v>1007</v>
      </c>
      <c r="L81" s="112"/>
    </row>
    <row r="82" spans="2:65" s="256" customFormat="1" ht="16.5" customHeight="1" x14ac:dyDescent="0.25">
      <c r="B82" s="112"/>
      <c r="E82" s="413" t="str">
        <f>E7</f>
        <v>Rekonstrukce administrativní budovy</v>
      </c>
      <c r="F82" s="414"/>
      <c r="G82" s="414"/>
      <c r="H82" s="414"/>
      <c r="L82" s="112"/>
    </row>
    <row r="83" spans="2:65" s="256" customFormat="1" ht="12" customHeight="1" x14ac:dyDescent="0.25">
      <c r="B83" s="112"/>
      <c r="C83" s="257" t="s">
        <v>1070</v>
      </c>
      <c r="L83" s="112"/>
    </row>
    <row r="84" spans="2:65" s="256" customFormat="1" ht="16.5" customHeight="1" x14ac:dyDescent="0.25">
      <c r="B84" s="112"/>
      <c r="E84" s="411" t="str">
        <f>E9</f>
        <v>D14a - Zdravotně technické instalace</v>
      </c>
      <c r="F84" s="412"/>
      <c r="G84" s="412"/>
      <c r="H84" s="412"/>
      <c r="L84" s="112"/>
    </row>
    <row r="85" spans="2:65" s="256" customFormat="1" ht="6.95" customHeight="1" x14ac:dyDescent="0.25">
      <c r="B85" s="112"/>
      <c r="L85" s="112"/>
    </row>
    <row r="86" spans="2:65" s="256" customFormat="1" ht="12" customHeight="1" x14ac:dyDescent="0.25">
      <c r="B86" s="112"/>
      <c r="C86" s="257" t="s">
        <v>1012</v>
      </c>
      <c r="F86" s="252" t="str">
        <f>F12</f>
        <v xml:space="preserve"> </v>
      </c>
      <c r="I86" s="257" t="s">
        <v>673</v>
      </c>
      <c r="J86" s="245" t="str">
        <f>IF(J12="","",J12)</f>
        <v>31. 1. 2022</v>
      </c>
      <c r="L86" s="112"/>
    </row>
    <row r="87" spans="2:65" s="256" customFormat="1" ht="6.95" customHeight="1" x14ac:dyDescent="0.25">
      <c r="B87" s="112"/>
      <c r="L87" s="112"/>
    </row>
    <row r="88" spans="2:65" s="256" customFormat="1" ht="15.2" customHeight="1" x14ac:dyDescent="0.25">
      <c r="B88" s="112"/>
      <c r="C88" s="257" t="s">
        <v>1014</v>
      </c>
      <c r="F88" s="252" t="str">
        <f>E15</f>
        <v xml:space="preserve"> </v>
      </c>
      <c r="I88" s="257" t="s">
        <v>14</v>
      </c>
      <c r="J88" s="253" t="str">
        <f>E21</f>
        <v xml:space="preserve"> </v>
      </c>
      <c r="L88" s="112"/>
    </row>
    <row r="89" spans="2:65" s="256" customFormat="1" ht="15.2" customHeight="1" x14ac:dyDescent="0.25">
      <c r="B89" s="112"/>
      <c r="C89" s="257" t="s">
        <v>2317</v>
      </c>
      <c r="F89" s="252" t="str">
        <f>IF(E18="","",E18)</f>
        <v>Vyplň údaj</v>
      </c>
      <c r="I89" s="257" t="s">
        <v>1018</v>
      </c>
      <c r="J89" s="253" t="str">
        <f>E24</f>
        <v xml:space="preserve"> </v>
      </c>
      <c r="L89" s="112"/>
    </row>
    <row r="90" spans="2:65" s="256" customFormat="1" ht="10.35" customHeight="1" x14ac:dyDescent="0.25">
      <c r="B90" s="112"/>
      <c r="L90" s="112"/>
    </row>
    <row r="91" spans="2:65" s="185" customFormat="1" ht="29.25" customHeight="1" x14ac:dyDescent="0.25">
      <c r="B91" s="186"/>
      <c r="C91" s="187" t="s">
        <v>1090</v>
      </c>
      <c r="D91" s="188" t="s">
        <v>1038</v>
      </c>
      <c r="E91" s="188" t="s">
        <v>27</v>
      </c>
      <c r="F91" s="188" t="s">
        <v>1035</v>
      </c>
      <c r="G91" s="188" t="s">
        <v>1091</v>
      </c>
      <c r="H91" s="188" t="s">
        <v>30</v>
      </c>
      <c r="I91" s="188" t="s">
        <v>1092</v>
      </c>
      <c r="J91" s="188" t="s">
        <v>1074</v>
      </c>
      <c r="K91" s="189" t="s">
        <v>1093</v>
      </c>
      <c r="L91" s="186"/>
      <c r="M91" s="131" t="s">
        <v>1010</v>
      </c>
      <c r="N91" s="132" t="s">
        <v>1024</v>
      </c>
      <c r="O91" s="132" t="s">
        <v>1094</v>
      </c>
      <c r="P91" s="132" t="s">
        <v>1095</v>
      </c>
      <c r="Q91" s="132" t="s">
        <v>1096</v>
      </c>
      <c r="R91" s="132" t="s">
        <v>1097</v>
      </c>
      <c r="S91" s="132" t="s">
        <v>1098</v>
      </c>
      <c r="T91" s="133" t="s">
        <v>1099</v>
      </c>
    </row>
    <row r="92" spans="2:65" s="256" customFormat="1" ht="22.9" customHeight="1" x14ac:dyDescent="0.25">
      <c r="B92" s="112"/>
      <c r="C92" s="137" t="s">
        <v>1100</v>
      </c>
      <c r="J92" s="190">
        <f>BK92</f>
        <v>0</v>
      </c>
      <c r="L92" s="112"/>
      <c r="M92" s="134"/>
      <c r="N92" s="126"/>
      <c r="O92" s="126"/>
      <c r="P92" s="191">
        <f>P93+P194</f>
        <v>0</v>
      </c>
      <c r="Q92" s="126"/>
      <c r="R92" s="191">
        <f>R93+R194</f>
        <v>86.37340694000001</v>
      </c>
      <c r="S92" s="126"/>
      <c r="T92" s="192">
        <f>T93+T194</f>
        <v>13.437080000000002</v>
      </c>
      <c r="AT92" s="103" t="s">
        <v>1052</v>
      </c>
      <c r="AU92" s="103" t="s">
        <v>1075</v>
      </c>
      <c r="BK92" s="193">
        <f>BK93+BK194</f>
        <v>0</v>
      </c>
    </row>
    <row r="93" spans="2:65" s="194" customFormat="1" ht="25.9" customHeight="1" x14ac:dyDescent="0.2">
      <c r="B93" s="195"/>
      <c r="D93" s="196" t="s">
        <v>1052</v>
      </c>
      <c r="E93" s="197" t="s">
        <v>681</v>
      </c>
      <c r="F93" s="197" t="s">
        <v>1101</v>
      </c>
      <c r="I93" s="327"/>
      <c r="J93" s="198">
        <f>BK93</f>
        <v>0</v>
      </c>
      <c r="L93" s="195"/>
      <c r="M93" s="199"/>
      <c r="P93" s="200">
        <f>P94+P112+P117+P120+P123+P154+P177+P189</f>
        <v>0</v>
      </c>
      <c r="R93" s="200">
        <f>R94+R112+R117+R120+R123+R154+R177+R189</f>
        <v>82.75505994000001</v>
      </c>
      <c r="T93" s="201">
        <f>T94+T112+T117+T120+T123+T154+T177+T189</f>
        <v>9.0689600000000006</v>
      </c>
      <c r="AR93" s="196" t="s">
        <v>55</v>
      </c>
      <c r="AT93" s="202" t="s">
        <v>1052</v>
      </c>
      <c r="AU93" s="202" t="s">
        <v>166</v>
      </c>
      <c r="AY93" s="196" t="s">
        <v>1102</v>
      </c>
      <c r="BK93" s="203">
        <f>BK94+BK112+BK117+BK120+BK123+BK154+BK177+BK189</f>
        <v>0</v>
      </c>
    </row>
    <row r="94" spans="2:65" s="194" customFormat="1" ht="22.9" customHeight="1" x14ac:dyDescent="0.2">
      <c r="B94" s="195"/>
      <c r="D94" s="196" t="s">
        <v>1052</v>
      </c>
      <c r="E94" s="204" t="s">
        <v>55</v>
      </c>
      <c r="F94" s="204" t="s">
        <v>1103</v>
      </c>
      <c r="I94" s="327"/>
      <c r="J94" s="205">
        <f>BK94</f>
        <v>0</v>
      </c>
      <c r="L94" s="195"/>
      <c r="M94" s="199"/>
      <c r="P94" s="200">
        <f>SUM(P95:P111)</f>
        <v>0</v>
      </c>
      <c r="R94" s="200">
        <f>SUM(R95:R111)</f>
        <v>53.2</v>
      </c>
      <c r="T94" s="201">
        <f>SUM(T95:T111)</f>
        <v>0</v>
      </c>
      <c r="AR94" s="196" t="s">
        <v>55</v>
      </c>
      <c r="AT94" s="202" t="s">
        <v>1052</v>
      </c>
      <c r="AU94" s="202" t="s">
        <v>55</v>
      </c>
      <c r="AY94" s="196" t="s">
        <v>1102</v>
      </c>
      <c r="BK94" s="203">
        <f>SUM(BK95:BK111)</f>
        <v>0</v>
      </c>
    </row>
    <row r="95" spans="2:65" s="256" customFormat="1" ht="24.2" customHeight="1" x14ac:dyDescent="0.25">
      <c r="B95" s="112"/>
      <c r="C95" s="206" t="s">
        <v>254</v>
      </c>
      <c r="D95" s="206" t="s">
        <v>1104</v>
      </c>
      <c r="E95" s="207" t="s">
        <v>1105</v>
      </c>
      <c r="F95" s="208" t="s">
        <v>1106</v>
      </c>
      <c r="G95" s="209" t="s">
        <v>737</v>
      </c>
      <c r="H95" s="210">
        <v>133.19999999999999</v>
      </c>
      <c r="I95" s="326"/>
      <c r="J95" s="211">
        <f>ROUND(I95*H95,2)</f>
        <v>0</v>
      </c>
      <c r="K95" s="208" t="s">
        <v>1107</v>
      </c>
      <c r="L95" s="112"/>
      <c r="M95" s="325" t="s">
        <v>1010</v>
      </c>
      <c r="N95" s="212" t="s">
        <v>1025</v>
      </c>
      <c r="P95" s="213">
        <f>O95*H95</f>
        <v>0</v>
      </c>
      <c r="Q95" s="213">
        <v>0</v>
      </c>
      <c r="R95" s="213">
        <f>Q95*H95</f>
        <v>0</v>
      </c>
      <c r="S95" s="213">
        <v>0</v>
      </c>
      <c r="T95" s="214">
        <f>S95*H95</f>
        <v>0</v>
      </c>
      <c r="AR95" s="215" t="s">
        <v>76</v>
      </c>
      <c r="AT95" s="215" t="s">
        <v>1104</v>
      </c>
      <c r="AU95" s="215" t="s">
        <v>65</v>
      </c>
      <c r="AY95" s="103" t="s">
        <v>1102</v>
      </c>
      <c r="BE95" s="216">
        <f>IF(N95="základní",J95,0)</f>
        <v>0</v>
      </c>
      <c r="BF95" s="216">
        <f>IF(N95="snížená",J95,0)</f>
        <v>0</v>
      </c>
      <c r="BG95" s="216">
        <f>IF(N95="zákl. přenesená",J95,0)</f>
        <v>0</v>
      </c>
      <c r="BH95" s="216">
        <f>IF(N95="sníž. přenesená",J95,0)</f>
        <v>0</v>
      </c>
      <c r="BI95" s="216">
        <f>IF(N95="nulová",J95,0)</f>
        <v>0</v>
      </c>
      <c r="BJ95" s="103" t="s">
        <v>55</v>
      </c>
      <c r="BK95" s="216">
        <f>ROUND(I95*H95,2)</f>
        <v>0</v>
      </c>
      <c r="BL95" s="103" t="s">
        <v>76</v>
      </c>
      <c r="BM95" s="215" t="s">
        <v>1108</v>
      </c>
    </row>
    <row r="96" spans="2:65" s="256" customFormat="1" x14ac:dyDescent="0.25">
      <c r="B96" s="112"/>
      <c r="D96" s="217" t="s">
        <v>1109</v>
      </c>
      <c r="F96" s="218" t="s">
        <v>1110</v>
      </c>
      <c r="I96" s="324"/>
      <c r="L96" s="112"/>
      <c r="M96" s="219"/>
      <c r="T96" s="128"/>
      <c r="AT96" s="103" t="s">
        <v>1109</v>
      </c>
      <c r="AU96" s="103" t="s">
        <v>65</v>
      </c>
    </row>
    <row r="97" spans="2:65" s="256" customFormat="1" ht="37.9" customHeight="1" x14ac:dyDescent="0.25">
      <c r="B97" s="112"/>
      <c r="C97" s="206" t="s">
        <v>255</v>
      </c>
      <c r="D97" s="206" t="s">
        <v>1104</v>
      </c>
      <c r="E97" s="207" t="s">
        <v>1111</v>
      </c>
      <c r="F97" s="208" t="s">
        <v>1112</v>
      </c>
      <c r="G97" s="209" t="s">
        <v>737</v>
      </c>
      <c r="H97" s="210">
        <v>106.6</v>
      </c>
      <c r="I97" s="326"/>
      <c r="J97" s="211">
        <f>ROUND(I97*H97,2)</f>
        <v>0</v>
      </c>
      <c r="K97" s="208" t="s">
        <v>1107</v>
      </c>
      <c r="L97" s="112"/>
      <c r="M97" s="325" t="s">
        <v>1010</v>
      </c>
      <c r="N97" s="212" t="s">
        <v>1025</v>
      </c>
      <c r="P97" s="213">
        <f>O97*H97</f>
        <v>0</v>
      </c>
      <c r="Q97" s="213">
        <v>0</v>
      </c>
      <c r="R97" s="213">
        <f>Q97*H97</f>
        <v>0</v>
      </c>
      <c r="S97" s="213">
        <v>0</v>
      </c>
      <c r="T97" s="214">
        <f>S97*H97</f>
        <v>0</v>
      </c>
      <c r="AR97" s="215" t="s">
        <v>76</v>
      </c>
      <c r="AT97" s="215" t="s">
        <v>1104</v>
      </c>
      <c r="AU97" s="215" t="s">
        <v>65</v>
      </c>
      <c r="AY97" s="103" t="s">
        <v>1102</v>
      </c>
      <c r="BE97" s="216">
        <f>IF(N97="základní",J97,0)</f>
        <v>0</v>
      </c>
      <c r="BF97" s="216">
        <f>IF(N97="snížená",J97,0)</f>
        <v>0</v>
      </c>
      <c r="BG97" s="216">
        <f>IF(N97="zákl. přenesená",J97,0)</f>
        <v>0</v>
      </c>
      <c r="BH97" s="216">
        <f>IF(N97="sníž. přenesená",J97,0)</f>
        <v>0</v>
      </c>
      <c r="BI97" s="216">
        <f>IF(N97="nulová",J97,0)</f>
        <v>0</v>
      </c>
      <c r="BJ97" s="103" t="s">
        <v>55</v>
      </c>
      <c r="BK97" s="216">
        <f>ROUND(I97*H97,2)</f>
        <v>0</v>
      </c>
      <c r="BL97" s="103" t="s">
        <v>76</v>
      </c>
      <c r="BM97" s="215" t="s">
        <v>1113</v>
      </c>
    </row>
    <row r="98" spans="2:65" s="256" customFormat="1" x14ac:dyDescent="0.25">
      <c r="B98" s="112"/>
      <c r="D98" s="217" t="s">
        <v>1109</v>
      </c>
      <c r="F98" s="218" t="s">
        <v>1114</v>
      </c>
      <c r="I98" s="324"/>
      <c r="L98" s="112"/>
      <c r="M98" s="219"/>
      <c r="T98" s="128"/>
      <c r="AT98" s="103" t="s">
        <v>1109</v>
      </c>
      <c r="AU98" s="103" t="s">
        <v>65</v>
      </c>
    </row>
    <row r="99" spans="2:65" s="256" customFormat="1" ht="37.9" customHeight="1" x14ac:dyDescent="0.25">
      <c r="B99" s="112"/>
      <c r="C99" s="206" t="s">
        <v>256</v>
      </c>
      <c r="D99" s="206" t="s">
        <v>1104</v>
      </c>
      <c r="E99" s="207" t="s">
        <v>1115</v>
      </c>
      <c r="F99" s="208" t="s">
        <v>1116</v>
      </c>
      <c r="G99" s="209" t="s">
        <v>737</v>
      </c>
      <c r="H99" s="210">
        <v>26.6</v>
      </c>
      <c r="I99" s="326"/>
      <c r="J99" s="211">
        <f>ROUND(I99*H99,2)</f>
        <v>0</v>
      </c>
      <c r="K99" s="208" t="s">
        <v>1107</v>
      </c>
      <c r="L99" s="112"/>
      <c r="M99" s="325" t="s">
        <v>1010</v>
      </c>
      <c r="N99" s="212" t="s">
        <v>1025</v>
      </c>
      <c r="P99" s="213">
        <f>O99*H99</f>
        <v>0</v>
      </c>
      <c r="Q99" s="213">
        <v>0</v>
      </c>
      <c r="R99" s="213">
        <f>Q99*H99</f>
        <v>0</v>
      </c>
      <c r="S99" s="213">
        <v>0</v>
      </c>
      <c r="T99" s="214">
        <f>S99*H99</f>
        <v>0</v>
      </c>
      <c r="AR99" s="215" t="s">
        <v>76</v>
      </c>
      <c r="AT99" s="215" t="s">
        <v>1104</v>
      </c>
      <c r="AU99" s="215" t="s">
        <v>65</v>
      </c>
      <c r="AY99" s="103" t="s">
        <v>1102</v>
      </c>
      <c r="BE99" s="216">
        <f>IF(N99="základní",J99,0)</f>
        <v>0</v>
      </c>
      <c r="BF99" s="216">
        <f>IF(N99="snížená",J99,0)</f>
        <v>0</v>
      </c>
      <c r="BG99" s="216">
        <f>IF(N99="zákl. přenesená",J99,0)</f>
        <v>0</v>
      </c>
      <c r="BH99" s="216">
        <f>IF(N99="sníž. přenesená",J99,0)</f>
        <v>0</v>
      </c>
      <c r="BI99" s="216">
        <f>IF(N99="nulová",J99,0)</f>
        <v>0</v>
      </c>
      <c r="BJ99" s="103" t="s">
        <v>55</v>
      </c>
      <c r="BK99" s="216">
        <f>ROUND(I99*H99,2)</f>
        <v>0</v>
      </c>
      <c r="BL99" s="103" t="s">
        <v>76</v>
      </c>
      <c r="BM99" s="215" t="s">
        <v>1117</v>
      </c>
    </row>
    <row r="100" spans="2:65" s="256" customFormat="1" x14ac:dyDescent="0.25">
      <c r="B100" s="112"/>
      <c r="D100" s="217" t="s">
        <v>1109</v>
      </c>
      <c r="F100" s="218" t="s">
        <v>1118</v>
      </c>
      <c r="I100" s="324"/>
      <c r="L100" s="112"/>
      <c r="M100" s="219"/>
      <c r="T100" s="128"/>
      <c r="AT100" s="103" t="s">
        <v>1109</v>
      </c>
      <c r="AU100" s="103" t="s">
        <v>65</v>
      </c>
    </row>
    <row r="101" spans="2:65" s="256" customFormat="1" ht="37.9" customHeight="1" x14ac:dyDescent="0.25">
      <c r="B101" s="112"/>
      <c r="C101" s="206" t="s">
        <v>257</v>
      </c>
      <c r="D101" s="206" t="s">
        <v>1104</v>
      </c>
      <c r="E101" s="207" t="s">
        <v>1119</v>
      </c>
      <c r="F101" s="208" t="s">
        <v>1120</v>
      </c>
      <c r="G101" s="209" t="s">
        <v>737</v>
      </c>
      <c r="H101" s="210">
        <v>266</v>
      </c>
      <c r="I101" s="326"/>
      <c r="J101" s="211">
        <f>ROUND(I101*H101,2)</f>
        <v>0</v>
      </c>
      <c r="K101" s="208" t="s">
        <v>1107</v>
      </c>
      <c r="L101" s="112"/>
      <c r="M101" s="325" t="s">
        <v>1010</v>
      </c>
      <c r="N101" s="212" t="s">
        <v>1025</v>
      </c>
      <c r="P101" s="213">
        <f>O101*H101</f>
        <v>0</v>
      </c>
      <c r="Q101" s="213">
        <v>0</v>
      </c>
      <c r="R101" s="213">
        <f>Q101*H101</f>
        <v>0</v>
      </c>
      <c r="S101" s="213">
        <v>0</v>
      </c>
      <c r="T101" s="214">
        <f>S101*H101</f>
        <v>0</v>
      </c>
      <c r="AR101" s="215" t="s">
        <v>76</v>
      </c>
      <c r="AT101" s="215" t="s">
        <v>1104</v>
      </c>
      <c r="AU101" s="215" t="s">
        <v>65</v>
      </c>
      <c r="AY101" s="103" t="s">
        <v>1102</v>
      </c>
      <c r="BE101" s="216">
        <f>IF(N101="základní",J101,0)</f>
        <v>0</v>
      </c>
      <c r="BF101" s="216">
        <f>IF(N101="snížená",J101,0)</f>
        <v>0</v>
      </c>
      <c r="BG101" s="216">
        <f>IF(N101="zákl. přenesená",J101,0)</f>
        <v>0</v>
      </c>
      <c r="BH101" s="216">
        <f>IF(N101="sníž. přenesená",J101,0)</f>
        <v>0</v>
      </c>
      <c r="BI101" s="216">
        <f>IF(N101="nulová",J101,0)</f>
        <v>0</v>
      </c>
      <c r="BJ101" s="103" t="s">
        <v>55</v>
      </c>
      <c r="BK101" s="216">
        <f>ROUND(I101*H101,2)</f>
        <v>0</v>
      </c>
      <c r="BL101" s="103" t="s">
        <v>76</v>
      </c>
      <c r="BM101" s="215" t="s">
        <v>1121</v>
      </c>
    </row>
    <row r="102" spans="2:65" s="256" customFormat="1" x14ac:dyDescent="0.25">
      <c r="B102" s="112"/>
      <c r="D102" s="217" t="s">
        <v>1109</v>
      </c>
      <c r="F102" s="218" t="s">
        <v>1122</v>
      </c>
      <c r="I102" s="324"/>
      <c r="L102" s="112"/>
      <c r="M102" s="219"/>
      <c r="T102" s="128"/>
      <c r="AT102" s="103" t="s">
        <v>1109</v>
      </c>
      <c r="AU102" s="103" t="s">
        <v>65</v>
      </c>
    </row>
    <row r="103" spans="2:65" s="256" customFormat="1" ht="24.2" customHeight="1" x14ac:dyDescent="0.25">
      <c r="B103" s="112"/>
      <c r="C103" s="206" t="s">
        <v>258</v>
      </c>
      <c r="D103" s="206" t="s">
        <v>1104</v>
      </c>
      <c r="E103" s="207" t="s">
        <v>1123</v>
      </c>
      <c r="F103" s="208" t="s">
        <v>1124</v>
      </c>
      <c r="G103" s="209" t="s">
        <v>1125</v>
      </c>
      <c r="H103" s="210">
        <v>71.022000000000006</v>
      </c>
      <c r="I103" s="326"/>
      <c r="J103" s="211">
        <f>ROUND(I103*H103,2)</f>
        <v>0</v>
      </c>
      <c r="K103" s="208" t="s">
        <v>1107</v>
      </c>
      <c r="L103" s="112"/>
      <c r="M103" s="325" t="s">
        <v>1010</v>
      </c>
      <c r="N103" s="212" t="s">
        <v>1025</v>
      </c>
      <c r="P103" s="213">
        <f>O103*H103</f>
        <v>0</v>
      </c>
      <c r="Q103" s="213">
        <v>0</v>
      </c>
      <c r="R103" s="213">
        <f>Q103*H103</f>
        <v>0</v>
      </c>
      <c r="S103" s="213">
        <v>0</v>
      </c>
      <c r="T103" s="214">
        <f>S103*H103</f>
        <v>0</v>
      </c>
      <c r="AR103" s="215" t="s">
        <v>76</v>
      </c>
      <c r="AT103" s="215" t="s">
        <v>1104</v>
      </c>
      <c r="AU103" s="215" t="s">
        <v>65</v>
      </c>
      <c r="AY103" s="103" t="s">
        <v>1102</v>
      </c>
      <c r="BE103" s="216">
        <f>IF(N103="základní",J103,0)</f>
        <v>0</v>
      </c>
      <c r="BF103" s="216">
        <f>IF(N103="snížená",J103,0)</f>
        <v>0</v>
      </c>
      <c r="BG103" s="216">
        <f>IF(N103="zákl. přenesená",J103,0)</f>
        <v>0</v>
      </c>
      <c r="BH103" s="216">
        <f>IF(N103="sníž. přenesená",J103,0)</f>
        <v>0</v>
      </c>
      <c r="BI103" s="216">
        <f>IF(N103="nulová",J103,0)</f>
        <v>0</v>
      </c>
      <c r="BJ103" s="103" t="s">
        <v>55</v>
      </c>
      <c r="BK103" s="216">
        <f>ROUND(I103*H103,2)</f>
        <v>0</v>
      </c>
      <c r="BL103" s="103" t="s">
        <v>76</v>
      </c>
      <c r="BM103" s="215" t="s">
        <v>1126</v>
      </c>
    </row>
    <row r="104" spans="2:65" s="256" customFormat="1" x14ac:dyDescent="0.25">
      <c r="B104" s="112"/>
      <c r="D104" s="217" t="s">
        <v>1109</v>
      </c>
      <c r="F104" s="218" t="s">
        <v>1127</v>
      </c>
      <c r="I104" s="324"/>
      <c r="L104" s="112"/>
      <c r="M104" s="219"/>
      <c r="T104" s="128"/>
      <c r="AT104" s="103" t="s">
        <v>1109</v>
      </c>
      <c r="AU104" s="103" t="s">
        <v>65</v>
      </c>
    </row>
    <row r="105" spans="2:65" s="220" customFormat="1" x14ac:dyDescent="0.25">
      <c r="B105" s="221"/>
      <c r="D105" s="222" t="s">
        <v>1128</v>
      </c>
      <c r="F105" s="223" t="s">
        <v>1129</v>
      </c>
      <c r="H105" s="224">
        <v>71.022000000000006</v>
      </c>
      <c r="I105" s="330"/>
      <c r="L105" s="221"/>
      <c r="M105" s="225"/>
      <c r="T105" s="226"/>
      <c r="AT105" s="227" t="s">
        <v>1128</v>
      </c>
      <c r="AU105" s="227" t="s">
        <v>65</v>
      </c>
      <c r="AV105" s="220" t="s">
        <v>65</v>
      </c>
      <c r="AW105" s="220" t="s">
        <v>999</v>
      </c>
      <c r="AX105" s="220" t="s">
        <v>55</v>
      </c>
      <c r="AY105" s="227" t="s">
        <v>1102</v>
      </c>
    </row>
    <row r="106" spans="2:65" s="256" customFormat="1" ht="24.2" customHeight="1" x14ac:dyDescent="0.25">
      <c r="B106" s="112"/>
      <c r="C106" s="206" t="s">
        <v>261</v>
      </c>
      <c r="D106" s="206" t="s">
        <v>1104</v>
      </c>
      <c r="E106" s="207" t="s">
        <v>1130</v>
      </c>
      <c r="F106" s="208" t="s">
        <v>1131</v>
      </c>
      <c r="G106" s="209" t="s">
        <v>737</v>
      </c>
      <c r="H106" s="210">
        <v>106.6</v>
      </c>
      <c r="I106" s="326"/>
      <c r="J106" s="211">
        <f>ROUND(I106*H106,2)</f>
        <v>0</v>
      </c>
      <c r="K106" s="208" t="s">
        <v>1107</v>
      </c>
      <c r="L106" s="112"/>
      <c r="M106" s="325" t="s">
        <v>1010</v>
      </c>
      <c r="N106" s="212" t="s">
        <v>1025</v>
      </c>
      <c r="P106" s="213">
        <f>O106*H106</f>
        <v>0</v>
      </c>
      <c r="Q106" s="213">
        <v>0</v>
      </c>
      <c r="R106" s="213">
        <f>Q106*H106</f>
        <v>0</v>
      </c>
      <c r="S106" s="213">
        <v>0</v>
      </c>
      <c r="T106" s="214">
        <f>S106*H106</f>
        <v>0</v>
      </c>
      <c r="AR106" s="215" t="s">
        <v>76</v>
      </c>
      <c r="AT106" s="215" t="s">
        <v>1104</v>
      </c>
      <c r="AU106" s="215" t="s">
        <v>65</v>
      </c>
      <c r="AY106" s="103" t="s">
        <v>1102</v>
      </c>
      <c r="BE106" s="216">
        <f>IF(N106="základní",J106,0)</f>
        <v>0</v>
      </c>
      <c r="BF106" s="216">
        <f>IF(N106="snížená",J106,0)</f>
        <v>0</v>
      </c>
      <c r="BG106" s="216">
        <f>IF(N106="zákl. přenesená",J106,0)</f>
        <v>0</v>
      </c>
      <c r="BH106" s="216">
        <f>IF(N106="sníž. přenesená",J106,0)</f>
        <v>0</v>
      </c>
      <c r="BI106" s="216">
        <f>IF(N106="nulová",J106,0)</f>
        <v>0</v>
      </c>
      <c r="BJ106" s="103" t="s">
        <v>55</v>
      </c>
      <c r="BK106" s="216">
        <f>ROUND(I106*H106,2)</f>
        <v>0</v>
      </c>
      <c r="BL106" s="103" t="s">
        <v>76</v>
      </c>
      <c r="BM106" s="215" t="s">
        <v>1132</v>
      </c>
    </row>
    <row r="107" spans="2:65" s="256" customFormat="1" x14ac:dyDescent="0.25">
      <c r="B107" s="112"/>
      <c r="D107" s="217" t="s">
        <v>1109</v>
      </c>
      <c r="F107" s="218" t="s">
        <v>1133</v>
      </c>
      <c r="I107" s="324"/>
      <c r="L107" s="112"/>
      <c r="M107" s="219"/>
      <c r="T107" s="128"/>
      <c r="AT107" s="103" t="s">
        <v>1109</v>
      </c>
      <c r="AU107" s="103" t="s">
        <v>65</v>
      </c>
    </row>
    <row r="108" spans="2:65" s="256" customFormat="1" ht="37.9" customHeight="1" x14ac:dyDescent="0.25">
      <c r="B108" s="112"/>
      <c r="C108" s="206" t="s">
        <v>99</v>
      </c>
      <c r="D108" s="206" t="s">
        <v>1104</v>
      </c>
      <c r="E108" s="207" t="s">
        <v>1134</v>
      </c>
      <c r="F108" s="208" t="s">
        <v>1135</v>
      </c>
      <c r="G108" s="209" t="s">
        <v>737</v>
      </c>
      <c r="H108" s="210">
        <v>26.6</v>
      </c>
      <c r="I108" s="326"/>
      <c r="J108" s="211">
        <f>ROUND(I108*H108,2)</f>
        <v>0</v>
      </c>
      <c r="K108" s="208" t="s">
        <v>1107</v>
      </c>
      <c r="L108" s="112"/>
      <c r="M108" s="325" t="s">
        <v>1010</v>
      </c>
      <c r="N108" s="212" t="s">
        <v>1025</v>
      </c>
      <c r="P108" s="213">
        <f>O108*H108</f>
        <v>0</v>
      </c>
      <c r="Q108" s="213">
        <v>0</v>
      </c>
      <c r="R108" s="213">
        <f>Q108*H108</f>
        <v>0</v>
      </c>
      <c r="S108" s="213">
        <v>0</v>
      </c>
      <c r="T108" s="214">
        <f>S108*H108</f>
        <v>0</v>
      </c>
      <c r="AR108" s="215" t="s">
        <v>76</v>
      </c>
      <c r="AT108" s="215" t="s">
        <v>1104</v>
      </c>
      <c r="AU108" s="215" t="s">
        <v>65</v>
      </c>
      <c r="AY108" s="103" t="s">
        <v>1102</v>
      </c>
      <c r="BE108" s="216">
        <f>IF(N108="základní",J108,0)</f>
        <v>0</v>
      </c>
      <c r="BF108" s="216">
        <f>IF(N108="snížená",J108,0)</f>
        <v>0</v>
      </c>
      <c r="BG108" s="216">
        <f>IF(N108="zákl. přenesená",J108,0)</f>
        <v>0</v>
      </c>
      <c r="BH108" s="216">
        <f>IF(N108="sníž. přenesená",J108,0)</f>
        <v>0</v>
      </c>
      <c r="BI108" s="216">
        <f>IF(N108="nulová",J108,0)</f>
        <v>0</v>
      </c>
      <c r="BJ108" s="103" t="s">
        <v>55</v>
      </c>
      <c r="BK108" s="216">
        <f>ROUND(I108*H108,2)</f>
        <v>0</v>
      </c>
      <c r="BL108" s="103" t="s">
        <v>76</v>
      </c>
      <c r="BM108" s="215" t="s">
        <v>1136</v>
      </c>
    </row>
    <row r="109" spans="2:65" s="256" customFormat="1" x14ac:dyDescent="0.25">
      <c r="B109" s="112"/>
      <c r="D109" s="217" t="s">
        <v>1109</v>
      </c>
      <c r="F109" s="218" t="s">
        <v>1137</v>
      </c>
      <c r="I109" s="324"/>
      <c r="L109" s="112"/>
      <c r="M109" s="219"/>
      <c r="T109" s="128"/>
      <c r="AT109" s="103" t="s">
        <v>1109</v>
      </c>
      <c r="AU109" s="103" t="s">
        <v>65</v>
      </c>
    </row>
    <row r="110" spans="2:65" s="256" customFormat="1" ht="16.5" customHeight="1" x14ac:dyDescent="0.25">
      <c r="B110" s="112"/>
      <c r="C110" s="228" t="s">
        <v>108</v>
      </c>
      <c r="D110" s="228" t="s">
        <v>1138</v>
      </c>
      <c r="E110" s="229" t="s">
        <v>1139</v>
      </c>
      <c r="F110" s="230" t="s">
        <v>1140</v>
      </c>
      <c r="G110" s="231" t="s">
        <v>1125</v>
      </c>
      <c r="H110" s="232">
        <v>53.2</v>
      </c>
      <c r="I110" s="329"/>
      <c r="J110" s="233">
        <f>ROUND(I110*H110,2)</f>
        <v>0</v>
      </c>
      <c r="K110" s="230" t="s">
        <v>1107</v>
      </c>
      <c r="L110" s="234"/>
      <c r="M110" s="328" t="s">
        <v>1010</v>
      </c>
      <c r="N110" s="235" t="s">
        <v>1025</v>
      </c>
      <c r="P110" s="213">
        <f>O110*H110</f>
        <v>0</v>
      </c>
      <c r="Q110" s="213">
        <v>1</v>
      </c>
      <c r="R110" s="213">
        <f>Q110*H110</f>
        <v>53.2</v>
      </c>
      <c r="S110" s="213">
        <v>0</v>
      </c>
      <c r="T110" s="214">
        <f>S110*H110</f>
        <v>0</v>
      </c>
      <c r="AR110" s="215" t="s">
        <v>101</v>
      </c>
      <c r="AT110" s="215" t="s">
        <v>1138</v>
      </c>
      <c r="AU110" s="215" t="s">
        <v>65</v>
      </c>
      <c r="AY110" s="103" t="s">
        <v>1102</v>
      </c>
      <c r="BE110" s="216">
        <f>IF(N110="základní",J110,0)</f>
        <v>0</v>
      </c>
      <c r="BF110" s="216">
        <f>IF(N110="snížená",J110,0)</f>
        <v>0</v>
      </c>
      <c r="BG110" s="216">
        <f>IF(N110="zákl. přenesená",J110,0)</f>
        <v>0</v>
      </c>
      <c r="BH110" s="216">
        <f>IF(N110="sníž. přenesená",J110,0)</f>
        <v>0</v>
      </c>
      <c r="BI110" s="216">
        <f>IF(N110="nulová",J110,0)</f>
        <v>0</v>
      </c>
      <c r="BJ110" s="103" t="s">
        <v>55</v>
      </c>
      <c r="BK110" s="216">
        <f>ROUND(I110*H110,2)</f>
        <v>0</v>
      </c>
      <c r="BL110" s="103" t="s">
        <v>76</v>
      </c>
      <c r="BM110" s="215" t="s">
        <v>1141</v>
      </c>
    </row>
    <row r="111" spans="2:65" s="220" customFormat="1" x14ac:dyDescent="0.25">
      <c r="B111" s="221"/>
      <c r="D111" s="222" t="s">
        <v>1128</v>
      </c>
      <c r="F111" s="223" t="s">
        <v>1142</v>
      </c>
      <c r="H111" s="224">
        <v>53.2</v>
      </c>
      <c r="I111" s="330"/>
      <c r="L111" s="221"/>
      <c r="M111" s="225"/>
      <c r="T111" s="226"/>
      <c r="AT111" s="227" t="s">
        <v>1128</v>
      </c>
      <c r="AU111" s="227" t="s">
        <v>65</v>
      </c>
      <c r="AV111" s="220" t="s">
        <v>65</v>
      </c>
      <c r="AW111" s="220" t="s">
        <v>999</v>
      </c>
      <c r="AX111" s="220" t="s">
        <v>55</v>
      </c>
      <c r="AY111" s="227" t="s">
        <v>1102</v>
      </c>
    </row>
    <row r="112" spans="2:65" s="194" customFormat="1" ht="22.9" customHeight="1" x14ac:dyDescent="0.2">
      <c r="B112" s="195"/>
      <c r="D112" s="196" t="s">
        <v>1052</v>
      </c>
      <c r="E112" s="204" t="s">
        <v>59</v>
      </c>
      <c r="F112" s="204" t="s">
        <v>1143</v>
      </c>
      <c r="I112" s="327"/>
      <c r="J112" s="205">
        <f>BK112</f>
        <v>0</v>
      </c>
      <c r="L112" s="195"/>
      <c r="M112" s="199"/>
      <c r="P112" s="200">
        <f>SUM(P113:P116)</f>
        <v>0</v>
      </c>
      <c r="R112" s="200">
        <f>SUM(R113:R116)</f>
        <v>0.40178999999999998</v>
      </c>
      <c r="T112" s="201">
        <f>SUM(T113:T116)</f>
        <v>0</v>
      </c>
      <c r="AR112" s="196" t="s">
        <v>55</v>
      </c>
      <c r="AT112" s="202" t="s">
        <v>1052</v>
      </c>
      <c r="AU112" s="202" t="s">
        <v>55</v>
      </c>
      <c r="AY112" s="196" t="s">
        <v>1102</v>
      </c>
      <c r="BK112" s="203">
        <f>SUM(BK113:BK116)</f>
        <v>0</v>
      </c>
    </row>
    <row r="113" spans="2:65" s="256" customFormat="1" ht="21.75" customHeight="1" x14ac:dyDescent="0.25">
      <c r="B113" s="112"/>
      <c r="C113" s="206" t="s">
        <v>184</v>
      </c>
      <c r="D113" s="206" t="s">
        <v>1104</v>
      </c>
      <c r="E113" s="207" t="s">
        <v>1144</v>
      </c>
      <c r="F113" s="208" t="s">
        <v>1145</v>
      </c>
      <c r="G113" s="209" t="s">
        <v>113</v>
      </c>
      <c r="H113" s="210">
        <v>28</v>
      </c>
      <c r="I113" s="326"/>
      <c r="J113" s="211">
        <f>ROUND(I113*H113,2)</f>
        <v>0</v>
      </c>
      <c r="K113" s="208" t="s">
        <v>1146</v>
      </c>
      <c r="L113" s="112"/>
      <c r="M113" s="325" t="s">
        <v>1010</v>
      </c>
      <c r="N113" s="212" t="s">
        <v>1025</v>
      </c>
      <c r="P113" s="213">
        <f>O113*H113</f>
        <v>0</v>
      </c>
      <c r="Q113" s="213">
        <v>1.2619999999999999E-2</v>
      </c>
      <c r="R113" s="213">
        <f>Q113*H113</f>
        <v>0.35336000000000001</v>
      </c>
      <c r="S113" s="213">
        <v>0</v>
      </c>
      <c r="T113" s="214">
        <f>S113*H113</f>
        <v>0</v>
      </c>
      <c r="AR113" s="215" t="s">
        <v>76</v>
      </c>
      <c r="AT113" s="215" t="s">
        <v>1104</v>
      </c>
      <c r="AU113" s="215" t="s">
        <v>65</v>
      </c>
      <c r="AY113" s="103" t="s">
        <v>1102</v>
      </c>
      <c r="BE113" s="216">
        <f>IF(N113="základní",J113,0)</f>
        <v>0</v>
      </c>
      <c r="BF113" s="216">
        <f>IF(N113="snížená",J113,0)</f>
        <v>0</v>
      </c>
      <c r="BG113" s="216">
        <f>IF(N113="zákl. přenesená",J113,0)</f>
        <v>0</v>
      </c>
      <c r="BH113" s="216">
        <f>IF(N113="sníž. přenesená",J113,0)</f>
        <v>0</v>
      </c>
      <c r="BI113" s="216">
        <f>IF(N113="nulová",J113,0)</f>
        <v>0</v>
      </c>
      <c r="BJ113" s="103" t="s">
        <v>55</v>
      </c>
      <c r="BK113" s="216">
        <f>ROUND(I113*H113,2)</f>
        <v>0</v>
      </c>
      <c r="BL113" s="103" t="s">
        <v>76</v>
      </c>
      <c r="BM113" s="215" t="s">
        <v>1147</v>
      </c>
    </row>
    <row r="114" spans="2:65" s="256" customFormat="1" x14ac:dyDescent="0.25">
      <c r="B114" s="112"/>
      <c r="D114" s="217" t="s">
        <v>1109</v>
      </c>
      <c r="F114" s="218" t="s">
        <v>1148</v>
      </c>
      <c r="I114" s="324"/>
      <c r="L114" s="112"/>
      <c r="M114" s="219"/>
      <c r="T114" s="128"/>
      <c r="AT114" s="103" t="s">
        <v>1109</v>
      </c>
      <c r="AU114" s="103" t="s">
        <v>65</v>
      </c>
    </row>
    <row r="115" spans="2:65" s="256" customFormat="1" ht="24.2" customHeight="1" x14ac:dyDescent="0.25">
      <c r="B115" s="112"/>
      <c r="C115" s="206" t="s">
        <v>183</v>
      </c>
      <c r="D115" s="206" t="s">
        <v>1104</v>
      </c>
      <c r="E115" s="207" t="s">
        <v>1149</v>
      </c>
      <c r="F115" s="208" t="s">
        <v>1150</v>
      </c>
      <c r="G115" s="209" t="s">
        <v>113</v>
      </c>
      <c r="H115" s="210">
        <v>1</v>
      </c>
      <c r="I115" s="326"/>
      <c r="J115" s="211">
        <f>ROUND(I115*H115,2)</f>
        <v>0</v>
      </c>
      <c r="K115" s="208" t="s">
        <v>1146</v>
      </c>
      <c r="L115" s="112"/>
      <c r="M115" s="325" t="s">
        <v>1010</v>
      </c>
      <c r="N115" s="212" t="s">
        <v>1025</v>
      </c>
      <c r="P115" s="213">
        <f>O115*H115</f>
        <v>0</v>
      </c>
      <c r="Q115" s="213">
        <v>4.8430000000000001E-2</v>
      </c>
      <c r="R115" s="213">
        <f>Q115*H115</f>
        <v>4.8430000000000001E-2</v>
      </c>
      <c r="S115" s="213">
        <v>0</v>
      </c>
      <c r="T115" s="214">
        <f>S115*H115</f>
        <v>0</v>
      </c>
      <c r="AR115" s="215" t="s">
        <v>76</v>
      </c>
      <c r="AT115" s="215" t="s">
        <v>1104</v>
      </c>
      <c r="AU115" s="215" t="s">
        <v>65</v>
      </c>
      <c r="AY115" s="103" t="s">
        <v>1102</v>
      </c>
      <c r="BE115" s="216">
        <f>IF(N115="základní",J115,0)</f>
        <v>0</v>
      </c>
      <c r="BF115" s="216">
        <f>IF(N115="snížená",J115,0)</f>
        <v>0</v>
      </c>
      <c r="BG115" s="216">
        <f>IF(N115="zákl. přenesená",J115,0)</f>
        <v>0</v>
      </c>
      <c r="BH115" s="216">
        <f>IF(N115="sníž. přenesená",J115,0)</f>
        <v>0</v>
      </c>
      <c r="BI115" s="216">
        <f>IF(N115="nulová",J115,0)</f>
        <v>0</v>
      </c>
      <c r="BJ115" s="103" t="s">
        <v>55</v>
      </c>
      <c r="BK115" s="216">
        <f>ROUND(I115*H115,2)</f>
        <v>0</v>
      </c>
      <c r="BL115" s="103" t="s">
        <v>76</v>
      </c>
      <c r="BM115" s="215" t="s">
        <v>1151</v>
      </c>
    </row>
    <row r="116" spans="2:65" s="256" customFormat="1" x14ac:dyDescent="0.25">
      <c r="B116" s="112"/>
      <c r="D116" s="217" t="s">
        <v>1109</v>
      </c>
      <c r="F116" s="218" t="s">
        <v>1152</v>
      </c>
      <c r="I116" s="324"/>
      <c r="L116" s="112"/>
      <c r="M116" s="219"/>
      <c r="T116" s="128"/>
      <c r="AT116" s="103" t="s">
        <v>1109</v>
      </c>
      <c r="AU116" s="103" t="s">
        <v>65</v>
      </c>
    </row>
    <row r="117" spans="2:65" s="194" customFormat="1" ht="22.9" customHeight="1" x14ac:dyDescent="0.2">
      <c r="B117" s="195"/>
      <c r="D117" s="196" t="s">
        <v>1052</v>
      </c>
      <c r="E117" s="204" t="s">
        <v>76</v>
      </c>
      <c r="F117" s="204" t="s">
        <v>1153</v>
      </c>
      <c r="I117" s="327"/>
      <c r="J117" s="205">
        <f>BK117</f>
        <v>0</v>
      </c>
      <c r="L117" s="195"/>
      <c r="M117" s="199"/>
      <c r="P117" s="200">
        <f>SUM(P118:P119)</f>
        <v>0</v>
      </c>
      <c r="R117" s="200">
        <f>SUM(R118:R119)</f>
        <v>15.731206400000001</v>
      </c>
      <c r="T117" s="201">
        <f>SUM(T118:T119)</f>
        <v>0</v>
      </c>
      <c r="AR117" s="196" t="s">
        <v>55</v>
      </c>
      <c r="AT117" s="202" t="s">
        <v>1052</v>
      </c>
      <c r="AU117" s="202" t="s">
        <v>55</v>
      </c>
      <c r="AY117" s="196" t="s">
        <v>1102</v>
      </c>
      <c r="BK117" s="203">
        <f>SUM(BK118:BK119)</f>
        <v>0</v>
      </c>
    </row>
    <row r="118" spans="2:65" s="256" customFormat="1" ht="16.5" customHeight="1" x14ac:dyDescent="0.25">
      <c r="B118" s="112"/>
      <c r="C118" s="206" t="s">
        <v>253</v>
      </c>
      <c r="D118" s="206" t="s">
        <v>1104</v>
      </c>
      <c r="E118" s="207" t="s">
        <v>1154</v>
      </c>
      <c r="F118" s="208" t="s">
        <v>1155</v>
      </c>
      <c r="G118" s="209" t="s">
        <v>737</v>
      </c>
      <c r="H118" s="210">
        <v>8.32</v>
      </c>
      <c r="I118" s="326"/>
      <c r="J118" s="211">
        <f>ROUND(I118*H118,2)</f>
        <v>0</v>
      </c>
      <c r="K118" s="208" t="s">
        <v>1107</v>
      </c>
      <c r="L118" s="112"/>
      <c r="M118" s="325" t="s">
        <v>1010</v>
      </c>
      <c r="N118" s="212" t="s">
        <v>1025</v>
      </c>
      <c r="P118" s="213">
        <f>O118*H118</f>
        <v>0</v>
      </c>
      <c r="Q118" s="213">
        <v>1.8907700000000001</v>
      </c>
      <c r="R118" s="213">
        <f>Q118*H118</f>
        <v>15.731206400000001</v>
      </c>
      <c r="S118" s="213">
        <v>0</v>
      </c>
      <c r="T118" s="214">
        <f>S118*H118</f>
        <v>0</v>
      </c>
      <c r="AR118" s="215" t="s">
        <v>76</v>
      </c>
      <c r="AT118" s="215" t="s">
        <v>1104</v>
      </c>
      <c r="AU118" s="215" t="s">
        <v>65</v>
      </c>
      <c r="AY118" s="103" t="s">
        <v>1102</v>
      </c>
      <c r="BE118" s="216">
        <f>IF(N118="základní",J118,0)</f>
        <v>0</v>
      </c>
      <c r="BF118" s="216">
        <f>IF(N118="snížená",J118,0)</f>
        <v>0</v>
      </c>
      <c r="BG118" s="216">
        <f>IF(N118="zákl. přenesená",J118,0)</f>
        <v>0</v>
      </c>
      <c r="BH118" s="216">
        <f>IF(N118="sníž. přenesená",J118,0)</f>
        <v>0</v>
      </c>
      <c r="BI118" s="216">
        <f>IF(N118="nulová",J118,0)</f>
        <v>0</v>
      </c>
      <c r="BJ118" s="103" t="s">
        <v>55</v>
      </c>
      <c r="BK118" s="216">
        <f>ROUND(I118*H118,2)</f>
        <v>0</v>
      </c>
      <c r="BL118" s="103" t="s">
        <v>76</v>
      </c>
      <c r="BM118" s="215" t="s">
        <v>1156</v>
      </c>
    </row>
    <row r="119" spans="2:65" s="256" customFormat="1" x14ac:dyDescent="0.25">
      <c r="B119" s="112"/>
      <c r="D119" s="217" t="s">
        <v>1109</v>
      </c>
      <c r="F119" s="218" t="s">
        <v>1157</v>
      </c>
      <c r="I119" s="324"/>
      <c r="L119" s="112"/>
      <c r="M119" s="219"/>
      <c r="T119" s="128"/>
      <c r="AT119" s="103" t="s">
        <v>1109</v>
      </c>
      <c r="AU119" s="103" t="s">
        <v>65</v>
      </c>
    </row>
    <row r="120" spans="2:65" s="194" customFormat="1" ht="22.9" customHeight="1" x14ac:dyDescent="0.2">
      <c r="B120" s="195"/>
      <c r="D120" s="196" t="s">
        <v>1052</v>
      </c>
      <c r="E120" s="204" t="s">
        <v>88</v>
      </c>
      <c r="F120" s="204" t="s">
        <v>1158</v>
      </c>
      <c r="I120" s="327"/>
      <c r="J120" s="205">
        <f>BK120</f>
        <v>0</v>
      </c>
      <c r="L120" s="195"/>
      <c r="M120" s="199"/>
      <c r="P120" s="200">
        <f>SUM(P121:P122)</f>
        <v>0</v>
      </c>
      <c r="R120" s="200">
        <f>SUM(R121:R122)</f>
        <v>5.3760000000000003</v>
      </c>
      <c r="T120" s="201">
        <f>SUM(T121:T122)</f>
        <v>0</v>
      </c>
      <c r="AR120" s="196" t="s">
        <v>55</v>
      </c>
      <c r="AT120" s="202" t="s">
        <v>1052</v>
      </c>
      <c r="AU120" s="202" t="s">
        <v>55</v>
      </c>
      <c r="AY120" s="196" t="s">
        <v>1102</v>
      </c>
      <c r="BK120" s="203">
        <f>SUM(BK121:BK122)</f>
        <v>0</v>
      </c>
    </row>
    <row r="121" spans="2:65" s="256" customFormat="1" ht="16.5" customHeight="1" x14ac:dyDescent="0.25">
      <c r="B121" s="112"/>
      <c r="C121" s="206" t="s">
        <v>248</v>
      </c>
      <c r="D121" s="206" t="s">
        <v>1104</v>
      </c>
      <c r="E121" s="207" t="s">
        <v>1159</v>
      </c>
      <c r="F121" s="208" t="s">
        <v>1160</v>
      </c>
      <c r="G121" s="209" t="s">
        <v>58</v>
      </c>
      <c r="H121" s="210">
        <v>134.4</v>
      </c>
      <c r="I121" s="326"/>
      <c r="J121" s="211">
        <f>ROUND(I121*H121,2)</f>
        <v>0</v>
      </c>
      <c r="K121" s="208" t="s">
        <v>1161</v>
      </c>
      <c r="L121" s="112"/>
      <c r="M121" s="325" t="s">
        <v>1010</v>
      </c>
      <c r="N121" s="212" t="s">
        <v>1025</v>
      </c>
      <c r="P121" s="213">
        <f>O121*H121</f>
        <v>0</v>
      </c>
      <c r="Q121" s="213">
        <v>0.04</v>
      </c>
      <c r="R121" s="213">
        <f>Q121*H121</f>
        <v>5.3760000000000003</v>
      </c>
      <c r="S121" s="213">
        <v>0</v>
      </c>
      <c r="T121" s="214">
        <f>S121*H121</f>
        <v>0</v>
      </c>
      <c r="AR121" s="215" t="s">
        <v>76</v>
      </c>
      <c r="AT121" s="215" t="s">
        <v>1104</v>
      </c>
      <c r="AU121" s="215" t="s">
        <v>65</v>
      </c>
      <c r="AY121" s="103" t="s">
        <v>1102</v>
      </c>
      <c r="BE121" s="216">
        <f>IF(N121="základní",J121,0)</f>
        <v>0</v>
      </c>
      <c r="BF121" s="216">
        <f>IF(N121="snížená",J121,0)</f>
        <v>0</v>
      </c>
      <c r="BG121" s="216">
        <f>IF(N121="zákl. přenesená",J121,0)</f>
        <v>0</v>
      </c>
      <c r="BH121" s="216">
        <f>IF(N121="sníž. přenesená",J121,0)</f>
        <v>0</v>
      </c>
      <c r="BI121" s="216">
        <f>IF(N121="nulová",J121,0)</f>
        <v>0</v>
      </c>
      <c r="BJ121" s="103" t="s">
        <v>55</v>
      </c>
      <c r="BK121" s="216">
        <f>ROUND(I121*H121,2)</f>
        <v>0</v>
      </c>
      <c r="BL121" s="103" t="s">
        <v>76</v>
      </c>
      <c r="BM121" s="215" t="s">
        <v>1162</v>
      </c>
    </row>
    <row r="122" spans="2:65" s="256" customFormat="1" x14ac:dyDescent="0.25">
      <c r="B122" s="112"/>
      <c r="D122" s="217" t="s">
        <v>1109</v>
      </c>
      <c r="F122" s="218" t="s">
        <v>1163</v>
      </c>
      <c r="I122" s="324"/>
      <c r="L122" s="112"/>
      <c r="M122" s="219"/>
      <c r="T122" s="128"/>
      <c r="AT122" s="103" t="s">
        <v>1109</v>
      </c>
      <c r="AU122" s="103" t="s">
        <v>65</v>
      </c>
    </row>
    <row r="123" spans="2:65" s="194" customFormat="1" ht="22.9" customHeight="1" x14ac:dyDescent="0.2">
      <c r="B123" s="195"/>
      <c r="D123" s="196" t="s">
        <v>1052</v>
      </c>
      <c r="E123" s="204" t="s">
        <v>101</v>
      </c>
      <c r="F123" s="204" t="s">
        <v>1164</v>
      </c>
      <c r="I123" s="327"/>
      <c r="J123" s="205">
        <f>BK123</f>
        <v>0</v>
      </c>
      <c r="L123" s="195"/>
      <c r="M123" s="199"/>
      <c r="P123" s="200">
        <f>SUM(P124:P153)</f>
        <v>0</v>
      </c>
      <c r="R123" s="200">
        <f>SUM(R124:R153)</f>
        <v>8.0332330399999989</v>
      </c>
      <c r="T123" s="201">
        <f>SUM(T124:T153)</f>
        <v>0</v>
      </c>
      <c r="AR123" s="196" t="s">
        <v>55</v>
      </c>
      <c r="AT123" s="202" t="s">
        <v>1052</v>
      </c>
      <c r="AU123" s="202" t="s">
        <v>55</v>
      </c>
      <c r="AY123" s="196" t="s">
        <v>1102</v>
      </c>
      <c r="BK123" s="203">
        <f>SUM(BK124:BK153)</f>
        <v>0</v>
      </c>
    </row>
    <row r="124" spans="2:65" s="256" customFormat="1" ht="24.2" customHeight="1" x14ac:dyDescent="0.25">
      <c r="B124" s="112"/>
      <c r="C124" s="206" t="s">
        <v>249</v>
      </c>
      <c r="D124" s="206" t="s">
        <v>1104</v>
      </c>
      <c r="E124" s="207" t="s">
        <v>1165</v>
      </c>
      <c r="F124" s="208" t="s">
        <v>1166</v>
      </c>
      <c r="G124" s="209" t="s">
        <v>104</v>
      </c>
      <c r="H124" s="210">
        <v>5.6</v>
      </c>
      <c r="I124" s="326"/>
      <c r="J124" s="211">
        <f>ROUND(I124*H124,2)</f>
        <v>0</v>
      </c>
      <c r="K124" s="208" t="s">
        <v>1146</v>
      </c>
      <c r="L124" s="112"/>
      <c r="M124" s="325" t="s">
        <v>1010</v>
      </c>
      <c r="N124" s="212" t="s">
        <v>1025</v>
      </c>
      <c r="P124" s="213">
        <f>O124*H124</f>
        <v>0</v>
      </c>
      <c r="Q124" s="213">
        <v>0</v>
      </c>
      <c r="R124" s="213">
        <f>Q124*H124</f>
        <v>0</v>
      </c>
      <c r="S124" s="213">
        <v>0</v>
      </c>
      <c r="T124" s="214">
        <f>S124*H124</f>
        <v>0</v>
      </c>
      <c r="AR124" s="215" t="s">
        <v>76</v>
      </c>
      <c r="AT124" s="215" t="s">
        <v>1104</v>
      </c>
      <c r="AU124" s="215" t="s">
        <v>65</v>
      </c>
      <c r="AY124" s="103" t="s">
        <v>1102</v>
      </c>
      <c r="BE124" s="216">
        <f>IF(N124="základní",J124,0)</f>
        <v>0</v>
      </c>
      <c r="BF124" s="216">
        <f>IF(N124="snížená",J124,0)</f>
        <v>0</v>
      </c>
      <c r="BG124" s="216">
        <f>IF(N124="zákl. přenesená",J124,0)</f>
        <v>0</v>
      </c>
      <c r="BH124" s="216">
        <f>IF(N124="sníž. přenesená",J124,0)</f>
        <v>0</v>
      </c>
      <c r="BI124" s="216">
        <f>IF(N124="nulová",J124,0)</f>
        <v>0</v>
      </c>
      <c r="BJ124" s="103" t="s">
        <v>55</v>
      </c>
      <c r="BK124" s="216">
        <f>ROUND(I124*H124,2)</f>
        <v>0</v>
      </c>
      <c r="BL124" s="103" t="s">
        <v>76</v>
      </c>
      <c r="BM124" s="215" t="s">
        <v>1167</v>
      </c>
    </row>
    <row r="125" spans="2:65" s="256" customFormat="1" x14ac:dyDescent="0.25">
      <c r="B125" s="112"/>
      <c r="D125" s="217" t="s">
        <v>1109</v>
      </c>
      <c r="F125" s="218" t="s">
        <v>1168</v>
      </c>
      <c r="I125" s="324"/>
      <c r="L125" s="112"/>
      <c r="M125" s="219"/>
      <c r="T125" s="128"/>
      <c r="AT125" s="103" t="s">
        <v>1109</v>
      </c>
      <c r="AU125" s="103" t="s">
        <v>65</v>
      </c>
    </row>
    <row r="126" spans="2:65" s="256" customFormat="1" ht="16.5" customHeight="1" x14ac:dyDescent="0.25">
      <c r="B126" s="112"/>
      <c r="C126" s="228" t="s">
        <v>251</v>
      </c>
      <c r="D126" s="228" t="s">
        <v>1138</v>
      </c>
      <c r="E126" s="229" t="s">
        <v>1169</v>
      </c>
      <c r="F126" s="230" t="s">
        <v>1170</v>
      </c>
      <c r="G126" s="231" t="s">
        <v>104</v>
      </c>
      <c r="H126" s="232">
        <v>5.6840000000000002</v>
      </c>
      <c r="I126" s="329"/>
      <c r="J126" s="233">
        <f>ROUND(I126*H126,2)</f>
        <v>0</v>
      </c>
      <c r="K126" s="230" t="s">
        <v>1146</v>
      </c>
      <c r="L126" s="234"/>
      <c r="M126" s="328" t="s">
        <v>1010</v>
      </c>
      <c r="N126" s="235" t="s">
        <v>1025</v>
      </c>
      <c r="P126" s="213">
        <f>O126*H126</f>
        <v>0</v>
      </c>
      <c r="Q126" s="213">
        <v>1.06E-3</v>
      </c>
      <c r="R126" s="213">
        <f>Q126*H126</f>
        <v>6.0250399999999997E-3</v>
      </c>
      <c r="S126" s="213">
        <v>0</v>
      </c>
      <c r="T126" s="214">
        <f>S126*H126</f>
        <v>0</v>
      </c>
      <c r="AR126" s="215" t="s">
        <v>101</v>
      </c>
      <c r="AT126" s="215" t="s">
        <v>1138</v>
      </c>
      <c r="AU126" s="215" t="s">
        <v>65</v>
      </c>
      <c r="AY126" s="103" t="s">
        <v>1102</v>
      </c>
      <c r="BE126" s="216">
        <f>IF(N126="základní",J126,0)</f>
        <v>0</v>
      </c>
      <c r="BF126" s="216">
        <f>IF(N126="snížená",J126,0)</f>
        <v>0</v>
      </c>
      <c r="BG126" s="216">
        <f>IF(N126="zákl. přenesená",J126,0)</f>
        <v>0</v>
      </c>
      <c r="BH126" s="216">
        <f>IF(N126="sníž. přenesená",J126,0)</f>
        <v>0</v>
      </c>
      <c r="BI126" s="216">
        <f>IF(N126="nulová",J126,0)</f>
        <v>0</v>
      </c>
      <c r="BJ126" s="103" t="s">
        <v>55</v>
      </c>
      <c r="BK126" s="216">
        <f>ROUND(I126*H126,2)</f>
        <v>0</v>
      </c>
      <c r="BL126" s="103" t="s">
        <v>76</v>
      </c>
      <c r="BM126" s="215" t="s">
        <v>1171</v>
      </c>
    </row>
    <row r="127" spans="2:65" s="220" customFormat="1" x14ac:dyDescent="0.25">
      <c r="B127" s="221"/>
      <c r="D127" s="222" t="s">
        <v>1128</v>
      </c>
      <c r="F127" s="223" t="s">
        <v>1172</v>
      </c>
      <c r="H127" s="224">
        <v>5.6840000000000002</v>
      </c>
      <c r="I127" s="330"/>
      <c r="L127" s="221"/>
      <c r="M127" s="225"/>
      <c r="T127" s="226"/>
      <c r="AT127" s="227" t="s">
        <v>1128</v>
      </c>
      <c r="AU127" s="227" t="s">
        <v>65</v>
      </c>
      <c r="AV127" s="220" t="s">
        <v>65</v>
      </c>
      <c r="AW127" s="220" t="s">
        <v>999</v>
      </c>
      <c r="AX127" s="220" t="s">
        <v>55</v>
      </c>
      <c r="AY127" s="227" t="s">
        <v>1102</v>
      </c>
    </row>
    <row r="128" spans="2:65" s="256" customFormat="1" ht="24.2" customHeight="1" x14ac:dyDescent="0.25">
      <c r="B128" s="112"/>
      <c r="C128" s="206" t="s">
        <v>68</v>
      </c>
      <c r="D128" s="206" t="s">
        <v>1104</v>
      </c>
      <c r="E128" s="207" t="s">
        <v>1173</v>
      </c>
      <c r="F128" s="208" t="s">
        <v>1174</v>
      </c>
      <c r="G128" s="209" t="s">
        <v>104</v>
      </c>
      <c r="H128" s="210">
        <v>48.2</v>
      </c>
      <c r="I128" s="326"/>
      <c r="J128" s="211">
        <f>ROUND(I128*H128,2)</f>
        <v>0</v>
      </c>
      <c r="K128" s="208" t="s">
        <v>1146</v>
      </c>
      <c r="L128" s="112"/>
      <c r="M128" s="325" t="s">
        <v>1010</v>
      </c>
      <c r="N128" s="212" t="s">
        <v>1025</v>
      </c>
      <c r="P128" s="213">
        <f>O128*H128</f>
        <v>0</v>
      </c>
      <c r="Q128" s="213">
        <v>1.31E-3</v>
      </c>
      <c r="R128" s="213">
        <f>Q128*H128</f>
        <v>6.3142000000000004E-2</v>
      </c>
      <c r="S128" s="213">
        <v>0</v>
      </c>
      <c r="T128" s="214">
        <f>S128*H128</f>
        <v>0</v>
      </c>
      <c r="AR128" s="215" t="s">
        <v>76</v>
      </c>
      <c r="AT128" s="215" t="s">
        <v>1104</v>
      </c>
      <c r="AU128" s="215" t="s">
        <v>65</v>
      </c>
      <c r="AY128" s="103" t="s">
        <v>1102</v>
      </c>
      <c r="BE128" s="216">
        <f>IF(N128="základní",J128,0)</f>
        <v>0</v>
      </c>
      <c r="BF128" s="216">
        <f>IF(N128="snížená",J128,0)</f>
        <v>0</v>
      </c>
      <c r="BG128" s="216">
        <f>IF(N128="zákl. přenesená",J128,0)</f>
        <v>0</v>
      </c>
      <c r="BH128" s="216">
        <f>IF(N128="sníž. přenesená",J128,0)</f>
        <v>0</v>
      </c>
      <c r="BI128" s="216">
        <f>IF(N128="nulová",J128,0)</f>
        <v>0</v>
      </c>
      <c r="BJ128" s="103" t="s">
        <v>55</v>
      </c>
      <c r="BK128" s="216">
        <f>ROUND(I128*H128,2)</f>
        <v>0</v>
      </c>
      <c r="BL128" s="103" t="s">
        <v>76</v>
      </c>
      <c r="BM128" s="215" t="s">
        <v>1175</v>
      </c>
    </row>
    <row r="129" spans="2:65" s="256" customFormat="1" x14ac:dyDescent="0.25">
      <c r="B129" s="112"/>
      <c r="D129" s="217" t="s">
        <v>1109</v>
      </c>
      <c r="F129" s="218" t="s">
        <v>1176</v>
      </c>
      <c r="I129" s="324"/>
      <c r="L129" s="112"/>
      <c r="M129" s="219"/>
      <c r="T129" s="128"/>
      <c r="AT129" s="103" t="s">
        <v>1109</v>
      </c>
      <c r="AU129" s="103" t="s">
        <v>65</v>
      </c>
    </row>
    <row r="130" spans="2:65" s="256" customFormat="1" ht="24.2" customHeight="1" x14ac:dyDescent="0.25">
      <c r="B130" s="112"/>
      <c r="C130" s="206" t="s">
        <v>130</v>
      </c>
      <c r="D130" s="206" t="s">
        <v>1104</v>
      </c>
      <c r="E130" s="207" t="s">
        <v>1177</v>
      </c>
      <c r="F130" s="208" t="s">
        <v>1178</v>
      </c>
      <c r="G130" s="209" t="s">
        <v>104</v>
      </c>
      <c r="H130" s="210">
        <v>47.8</v>
      </c>
      <c r="I130" s="326"/>
      <c r="J130" s="211">
        <f>ROUND(I130*H130,2)</f>
        <v>0</v>
      </c>
      <c r="K130" s="208" t="s">
        <v>1146</v>
      </c>
      <c r="L130" s="112"/>
      <c r="M130" s="325" t="s">
        <v>1010</v>
      </c>
      <c r="N130" s="212" t="s">
        <v>1025</v>
      </c>
      <c r="P130" s="213">
        <f>O130*H130</f>
        <v>0</v>
      </c>
      <c r="Q130" s="213">
        <v>7.4599999999999996E-3</v>
      </c>
      <c r="R130" s="213">
        <f>Q130*H130</f>
        <v>0.35658799999999996</v>
      </c>
      <c r="S130" s="213">
        <v>0</v>
      </c>
      <c r="T130" s="214">
        <f>S130*H130</f>
        <v>0</v>
      </c>
      <c r="AR130" s="215" t="s">
        <v>76</v>
      </c>
      <c r="AT130" s="215" t="s">
        <v>1104</v>
      </c>
      <c r="AU130" s="215" t="s">
        <v>65</v>
      </c>
      <c r="AY130" s="103" t="s">
        <v>1102</v>
      </c>
      <c r="BE130" s="216">
        <f>IF(N130="základní",J130,0)</f>
        <v>0</v>
      </c>
      <c r="BF130" s="216">
        <f>IF(N130="snížená",J130,0)</f>
        <v>0</v>
      </c>
      <c r="BG130" s="216">
        <f>IF(N130="zákl. přenesená",J130,0)</f>
        <v>0</v>
      </c>
      <c r="BH130" s="216">
        <f>IF(N130="sníž. přenesená",J130,0)</f>
        <v>0</v>
      </c>
      <c r="BI130" s="216">
        <f>IF(N130="nulová",J130,0)</f>
        <v>0</v>
      </c>
      <c r="BJ130" s="103" t="s">
        <v>55</v>
      </c>
      <c r="BK130" s="216">
        <f>ROUND(I130*H130,2)</f>
        <v>0</v>
      </c>
      <c r="BL130" s="103" t="s">
        <v>76</v>
      </c>
      <c r="BM130" s="215" t="s">
        <v>1179</v>
      </c>
    </row>
    <row r="131" spans="2:65" s="256" customFormat="1" x14ac:dyDescent="0.25">
      <c r="B131" s="112"/>
      <c r="D131" s="217" t="s">
        <v>1109</v>
      </c>
      <c r="F131" s="218" t="s">
        <v>1180</v>
      </c>
      <c r="I131" s="324"/>
      <c r="L131" s="112"/>
      <c r="M131" s="219"/>
      <c r="T131" s="128"/>
      <c r="AT131" s="103" t="s">
        <v>1109</v>
      </c>
      <c r="AU131" s="103" t="s">
        <v>65</v>
      </c>
    </row>
    <row r="132" spans="2:65" s="256" customFormat="1" ht="24.2" customHeight="1" x14ac:dyDescent="0.25">
      <c r="B132" s="112"/>
      <c r="C132" s="206" t="s">
        <v>210</v>
      </c>
      <c r="D132" s="206" t="s">
        <v>1104</v>
      </c>
      <c r="E132" s="207" t="s">
        <v>1181</v>
      </c>
      <c r="F132" s="208" t="s">
        <v>1182</v>
      </c>
      <c r="G132" s="209" t="s">
        <v>104</v>
      </c>
      <c r="H132" s="210">
        <v>3.1</v>
      </c>
      <c r="I132" s="326"/>
      <c r="J132" s="211">
        <f>ROUND(I132*H132,2)</f>
        <v>0</v>
      </c>
      <c r="K132" s="208" t="s">
        <v>1146</v>
      </c>
      <c r="L132" s="112"/>
      <c r="M132" s="325" t="s">
        <v>1010</v>
      </c>
      <c r="N132" s="212" t="s">
        <v>1025</v>
      </c>
      <c r="P132" s="213">
        <f>O132*H132</f>
        <v>0</v>
      </c>
      <c r="Q132" s="213">
        <v>1.235E-2</v>
      </c>
      <c r="R132" s="213">
        <f>Q132*H132</f>
        <v>3.8285E-2</v>
      </c>
      <c r="S132" s="213">
        <v>0</v>
      </c>
      <c r="T132" s="214">
        <f>S132*H132</f>
        <v>0</v>
      </c>
      <c r="AR132" s="215" t="s">
        <v>76</v>
      </c>
      <c r="AT132" s="215" t="s">
        <v>1104</v>
      </c>
      <c r="AU132" s="215" t="s">
        <v>65</v>
      </c>
      <c r="AY132" s="103" t="s">
        <v>1102</v>
      </c>
      <c r="BE132" s="216">
        <f>IF(N132="základní",J132,0)</f>
        <v>0</v>
      </c>
      <c r="BF132" s="216">
        <f>IF(N132="snížená",J132,0)</f>
        <v>0</v>
      </c>
      <c r="BG132" s="216">
        <f>IF(N132="zákl. přenesená",J132,0)</f>
        <v>0</v>
      </c>
      <c r="BH132" s="216">
        <f>IF(N132="sníž. přenesená",J132,0)</f>
        <v>0</v>
      </c>
      <c r="BI132" s="216">
        <f>IF(N132="nulová",J132,0)</f>
        <v>0</v>
      </c>
      <c r="BJ132" s="103" t="s">
        <v>55</v>
      </c>
      <c r="BK132" s="216">
        <f>ROUND(I132*H132,2)</f>
        <v>0</v>
      </c>
      <c r="BL132" s="103" t="s">
        <v>76</v>
      </c>
      <c r="BM132" s="215" t="s">
        <v>1183</v>
      </c>
    </row>
    <row r="133" spans="2:65" s="256" customFormat="1" x14ac:dyDescent="0.25">
      <c r="B133" s="112"/>
      <c r="D133" s="217" t="s">
        <v>1109</v>
      </c>
      <c r="F133" s="218" t="s">
        <v>1184</v>
      </c>
      <c r="I133" s="324"/>
      <c r="L133" s="112"/>
      <c r="M133" s="219"/>
      <c r="T133" s="128"/>
      <c r="AT133" s="103" t="s">
        <v>1109</v>
      </c>
      <c r="AU133" s="103" t="s">
        <v>65</v>
      </c>
    </row>
    <row r="134" spans="2:65" s="256" customFormat="1" ht="24.2" customHeight="1" x14ac:dyDescent="0.25">
      <c r="B134" s="112"/>
      <c r="C134" s="206" t="s">
        <v>214</v>
      </c>
      <c r="D134" s="206" t="s">
        <v>1104</v>
      </c>
      <c r="E134" s="207" t="s">
        <v>1185</v>
      </c>
      <c r="F134" s="208" t="s">
        <v>1186</v>
      </c>
      <c r="G134" s="209" t="s">
        <v>104</v>
      </c>
      <c r="H134" s="210">
        <v>0.7</v>
      </c>
      <c r="I134" s="326"/>
      <c r="J134" s="211">
        <f>ROUND(I134*H134,2)</f>
        <v>0</v>
      </c>
      <c r="K134" s="208" t="s">
        <v>1146</v>
      </c>
      <c r="L134" s="112"/>
      <c r="M134" s="325" t="s">
        <v>1010</v>
      </c>
      <c r="N134" s="212" t="s">
        <v>1025</v>
      </c>
      <c r="P134" s="213">
        <f>O134*H134</f>
        <v>0</v>
      </c>
      <c r="Q134" s="213">
        <v>1.9689999999999999E-2</v>
      </c>
      <c r="R134" s="213">
        <f>Q134*H134</f>
        <v>1.3782999999999998E-2</v>
      </c>
      <c r="S134" s="213">
        <v>0</v>
      </c>
      <c r="T134" s="214">
        <f>S134*H134</f>
        <v>0</v>
      </c>
      <c r="AR134" s="215" t="s">
        <v>76</v>
      </c>
      <c r="AT134" s="215" t="s">
        <v>1104</v>
      </c>
      <c r="AU134" s="215" t="s">
        <v>65</v>
      </c>
      <c r="AY134" s="103" t="s">
        <v>1102</v>
      </c>
      <c r="BE134" s="216">
        <f>IF(N134="základní",J134,0)</f>
        <v>0</v>
      </c>
      <c r="BF134" s="216">
        <f>IF(N134="snížená",J134,0)</f>
        <v>0</v>
      </c>
      <c r="BG134" s="216">
        <f>IF(N134="zákl. přenesená",J134,0)</f>
        <v>0</v>
      </c>
      <c r="BH134" s="216">
        <f>IF(N134="sníž. přenesená",J134,0)</f>
        <v>0</v>
      </c>
      <c r="BI134" s="216">
        <f>IF(N134="nulová",J134,0)</f>
        <v>0</v>
      </c>
      <c r="BJ134" s="103" t="s">
        <v>55</v>
      </c>
      <c r="BK134" s="216">
        <f>ROUND(I134*H134,2)</f>
        <v>0</v>
      </c>
      <c r="BL134" s="103" t="s">
        <v>76</v>
      </c>
      <c r="BM134" s="215" t="s">
        <v>1187</v>
      </c>
    </row>
    <row r="135" spans="2:65" s="256" customFormat="1" x14ac:dyDescent="0.25">
      <c r="B135" s="112"/>
      <c r="D135" s="217" t="s">
        <v>1109</v>
      </c>
      <c r="F135" s="218" t="s">
        <v>1188</v>
      </c>
      <c r="I135" s="324"/>
      <c r="L135" s="112"/>
      <c r="M135" s="219"/>
      <c r="T135" s="128"/>
      <c r="AT135" s="103" t="s">
        <v>1109</v>
      </c>
      <c r="AU135" s="103" t="s">
        <v>65</v>
      </c>
    </row>
    <row r="136" spans="2:65" s="256" customFormat="1" ht="24.2" customHeight="1" x14ac:dyDescent="0.25">
      <c r="B136" s="112"/>
      <c r="C136" s="206" t="s">
        <v>215</v>
      </c>
      <c r="D136" s="206" t="s">
        <v>1104</v>
      </c>
      <c r="E136" s="207" t="s">
        <v>1189</v>
      </c>
      <c r="F136" s="208" t="s">
        <v>1190</v>
      </c>
      <c r="G136" s="209" t="s">
        <v>104</v>
      </c>
      <c r="H136" s="210">
        <v>2</v>
      </c>
      <c r="I136" s="326"/>
      <c r="J136" s="211">
        <f>ROUND(I136*H136,2)</f>
        <v>0</v>
      </c>
      <c r="K136" s="208" t="s">
        <v>1146</v>
      </c>
      <c r="L136" s="112"/>
      <c r="M136" s="325" t="s">
        <v>1010</v>
      </c>
      <c r="N136" s="212" t="s">
        <v>1025</v>
      </c>
      <c r="P136" s="213">
        <f>O136*H136</f>
        <v>0</v>
      </c>
      <c r="Q136" s="213">
        <v>2.9579999999999999E-2</v>
      </c>
      <c r="R136" s="213">
        <f>Q136*H136</f>
        <v>5.9159999999999997E-2</v>
      </c>
      <c r="S136" s="213">
        <v>0</v>
      </c>
      <c r="T136" s="214">
        <f>S136*H136</f>
        <v>0</v>
      </c>
      <c r="AR136" s="215" t="s">
        <v>76</v>
      </c>
      <c r="AT136" s="215" t="s">
        <v>1104</v>
      </c>
      <c r="AU136" s="215" t="s">
        <v>65</v>
      </c>
      <c r="AY136" s="103" t="s">
        <v>1102</v>
      </c>
      <c r="BE136" s="216">
        <f>IF(N136="základní",J136,0)</f>
        <v>0</v>
      </c>
      <c r="BF136" s="216">
        <f>IF(N136="snížená",J136,0)</f>
        <v>0</v>
      </c>
      <c r="BG136" s="216">
        <f>IF(N136="zákl. přenesená",J136,0)</f>
        <v>0</v>
      </c>
      <c r="BH136" s="216">
        <f>IF(N136="sníž. přenesená",J136,0)</f>
        <v>0</v>
      </c>
      <c r="BI136" s="216">
        <f>IF(N136="nulová",J136,0)</f>
        <v>0</v>
      </c>
      <c r="BJ136" s="103" t="s">
        <v>55</v>
      </c>
      <c r="BK136" s="216">
        <f>ROUND(I136*H136,2)</f>
        <v>0</v>
      </c>
      <c r="BL136" s="103" t="s">
        <v>76</v>
      </c>
      <c r="BM136" s="215" t="s">
        <v>1191</v>
      </c>
    </row>
    <row r="137" spans="2:65" s="256" customFormat="1" x14ac:dyDescent="0.25">
      <c r="B137" s="112"/>
      <c r="D137" s="217" t="s">
        <v>1109</v>
      </c>
      <c r="F137" s="218" t="s">
        <v>1192</v>
      </c>
      <c r="I137" s="324"/>
      <c r="L137" s="112"/>
      <c r="M137" s="219"/>
      <c r="T137" s="128"/>
      <c r="AT137" s="103" t="s">
        <v>1109</v>
      </c>
      <c r="AU137" s="103" t="s">
        <v>65</v>
      </c>
    </row>
    <row r="138" spans="2:65" s="256" customFormat="1" ht="24.2" customHeight="1" x14ac:dyDescent="0.25">
      <c r="B138" s="112"/>
      <c r="C138" s="206" t="s">
        <v>266</v>
      </c>
      <c r="D138" s="206" t="s">
        <v>1104</v>
      </c>
      <c r="E138" s="207" t="s">
        <v>1193</v>
      </c>
      <c r="F138" s="208" t="s">
        <v>1194</v>
      </c>
      <c r="G138" s="209" t="s">
        <v>113</v>
      </c>
      <c r="H138" s="210">
        <v>1</v>
      </c>
      <c r="I138" s="326"/>
      <c r="J138" s="211">
        <f>ROUND(I138*H138,2)</f>
        <v>0</v>
      </c>
      <c r="K138" s="208" t="s">
        <v>1146</v>
      </c>
      <c r="L138" s="112"/>
      <c r="M138" s="325" t="s">
        <v>1010</v>
      </c>
      <c r="N138" s="212" t="s">
        <v>1025</v>
      </c>
      <c r="P138" s="213">
        <f>O138*H138</f>
        <v>0</v>
      </c>
      <c r="Q138" s="213">
        <v>0</v>
      </c>
      <c r="R138" s="213">
        <f>Q138*H138</f>
        <v>0</v>
      </c>
      <c r="S138" s="213">
        <v>0</v>
      </c>
      <c r="T138" s="214">
        <f>S138*H138</f>
        <v>0</v>
      </c>
      <c r="AR138" s="215" t="s">
        <v>76</v>
      </c>
      <c r="AT138" s="215" t="s">
        <v>1104</v>
      </c>
      <c r="AU138" s="215" t="s">
        <v>65</v>
      </c>
      <c r="AY138" s="103" t="s">
        <v>1102</v>
      </c>
      <c r="BE138" s="216">
        <f>IF(N138="základní",J138,0)</f>
        <v>0</v>
      </c>
      <c r="BF138" s="216">
        <f>IF(N138="snížená",J138,0)</f>
        <v>0</v>
      </c>
      <c r="BG138" s="216">
        <f>IF(N138="zákl. přenesená",J138,0)</f>
        <v>0</v>
      </c>
      <c r="BH138" s="216">
        <f>IF(N138="sníž. přenesená",J138,0)</f>
        <v>0</v>
      </c>
      <c r="BI138" s="216">
        <f>IF(N138="nulová",J138,0)</f>
        <v>0</v>
      </c>
      <c r="BJ138" s="103" t="s">
        <v>55</v>
      </c>
      <c r="BK138" s="216">
        <f>ROUND(I138*H138,2)</f>
        <v>0</v>
      </c>
      <c r="BL138" s="103" t="s">
        <v>76</v>
      </c>
      <c r="BM138" s="215" t="s">
        <v>1195</v>
      </c>
    </row>
    <row r="139" spans="2:65" s="256" customFormat="1" x14ac:dyDescent="0.25">
      <c r="B139" s="112"/>
      <c r="D139" s="217" t="s">
        <v>1109</v>
      </c>
      <c r="F139" s="218" t="s">
        <v>1196</v>
      </c>
      <c r="I139" s="324"/>
      <c r="L139" s="112"/>
      <c r="M139" s="219"/>
      <c r="T139" s="128"/>
      <c r="AT139" s="103" t="s">
        <v>1109</v>
      </c>
      <c r="AU139" s="103" t="s">
        <v>65</v>
      </c>
    </row>
    <row r="140" spans="2:65" s="256" customFormat="1" ht="16.5" customHeight="1" x14ac:dyDescent="0.25">
      <c r="B140" s="112"/>
      <c r="C140" s="228" t="s">
        <v>267</v>
      </c>
      <c r="D140" s="228" t="s">
        <v>1138</v>
      </c>
      <c r="E140" s="229" t="s">
        <v>1197</v>
      </c>
      <c r="F140" s="230" t="s">
        <v>1198</v>
      </c>
      <c r="G140" s="231" t="s">
        <v>113</v>
      </c>
      <c r="H140" s="232">
        <v>1</v>
      </c>
      <c r="I140" s="329"/>
      <c r="J140" s="233">
        <f>ROUND(I140*H140,2)</f>
        <v>0</v>
      </c>
      <c r="K140" s="230" t="s">
        <v>1146</v>
      </c>
      <c r="L140" s="234"/>
      <c r="M140" s="328" t="s">
        <v>1010</v>
      </c>
      <c r="N140" s="235" t="s">
        <v>1025</v>
      </c>
      <c r="P140" s="213">
        <f>O140*H140</f>
        <v>0</v>
      </c>
      <c r="Q140" s="213">
        <v>0.01</v>
      </c>
      <c r="R140" s="213">
        <f>Q140*H140</f>
        <v>0.01</v>
      </c>
      <c r="S140" s="213">
        <v>0</v>
      </c>
      <c r="T140" s="214">
        <f>S140*H140</f>
        <v>0</v>
      </c>
      <c r="AR140" s="215" t="s">
        <v>101</v>
      </c>
      <c r="AT140" s="215" t="s">
        <v>1138</v>
      </c>
      <c r="AU140" s="215" t="s">
        <v>65</v>
      </c>
      <c r="AY140" s="103" t="s">
        <v>1102</v>
      </c>
      <c r="BE140" s="216">
        <f>IF(N140="základní",J140,0)</f>
        <v>0</v>
      </c>
      <c r="BF140" s="216">
        <f>IF(N140="snížená",J140,0)</f>
        <v>0</v>
      </c>
      <c r="BG140" s="216">
        <f>IF(N140="zákl. přenesená",J140,0)</f>
        <v>0</v>
      </c>
      <c r="BH140" s="216">
        <f>IF(N140="sníž. přenesená",J140,0)</f>
        <v>0</v>
      </c>
      <c r="BI140" s="216">
        <f>IF(N140="nulová",J140,0)</f>
        <v>0</v>
      </c>
      <c r="BJ140" s="103" t="s">
        <v>55</v>
      </c>
      <c r="BK140" s="216">
        <f>ROUND(I140*H140,2)</f>
        <v>0</v>
      </c>
      <c r="BL140" s="103" t="s">
        <v>76</v>
      </c>
      <c r="BM140" s="215" t="s">
        <v>1199</v>
      </c>
    </row>
    <row r="141" spans="2:65" s="256" customFormat="1" ht="16.5" customHeight="1" x14ac:dyDescent="0.25">
      <c r="B141" s="112"/>
      <c r="C141" s="206" t="s">
        <v>263</v>
      </c>
      <c r="D141" s="206" t="s">
        <v>1104</v>
      </c>
      <c r="E141" s="207" t="s">
        <v>1200</v>
      </c>
      <c r="F141" s="208" t="s">
        <v>1201</v>
      </c>
      <c r="G141" s="209" t="s">
        <v>104</v>
      </c>
      <c r="H141" s="210">
        <v>5.6</v>
      </c>
      <c r="I141" s="326"/>
      <c r="J141" s="211">
        <f>ROUND(I141*H141,2)</f>
        <v>0</v>
      </c>
      <c r="K141" s="208" t="s">
        <v>1107</v>
      </c>
      <c r="L141" s="112"/>
      <c r="M141" s="325" t="s">
        <v>1010</v>
      </c>
      <c r="N141" s="212" t="s">
        <v>1025</v>
      </c>
      <c r="P141" s="213">
        <f>O141*H141</f>
        <v>0</v>
      </c>
      <c r="Q141" s="213">
        <v>0</v>
      </c>
      <c r="R141" s="213">
        <f>Q141*H141</f>
        <v>0</v>
      </c>
      <c r="S141" s="213">
        <v>0</v>
      </c>
      <c r="T141" s="214">
        <f>S141*H141</f>
        <v>0</v>
      </c>
      <c r="AR141" s="215" t="s">
        <v>76</v>
      </c>
      <c r="AT141" s="215" t="s">
        <v>1104</v>
      </c>
      <c r="AU141" s="215" t="s">
        <v>65</v>
      </c>
      <c r="AY141" s="103" t="s">
        <v>1102</v>
      </c>
      <c r="BE141" s="216">
        <f>IF(N141="základní",J141,0)</f>
        <v>0</v>
      </c>
      <c r="BF141" s="216">
        <f>IF(N141="snížená",J141,0)</f>
        <v>0</v>
      </c>
      <c r="BG141" s="216">
        <f>IF(N141="zákl. přenesená",J141,0)</f>
        <v>0</v>
      </c>
      <c r="BH141" s="216">
        <f>IF(N141="sníž. přenesená",J141,0)</f>
        <v>0</v>
      </c>
      <c r="BI141" s="216">
        <f>IF(N141="nulová",J141,0)</f>
        <v>0</v>
      </c>
      <c r="BJ141" s="103" t="s">
        <v>55</v>
      </c>
      <c r="BK141" s="216">
        <f>ROUND(I141*H141,2)</f>
        <v>0</v>
      </c>
      <c r="BL141" s="103" t="s">
        <v>76</v>
      </c>
      <c r="BM141" s="215" t="s">
        <v>1202</v>
      </c>
    </row>
    <row r="142" spans="2:65" s="256" customFormat="1" x14ac:dyDescent="0.25">
      <c r="B142" s="112"/>
      <c r="D142" s="217" t="s">
        <v>1109</v>
      </c>
      <c r="F142" s="218" t="s">
        <v>1203</v>
      </c>
      <c r="I142" s="324"/>
      <c r="L142" s="112"/>
      <c r="M142" s="219"/>
      <c r="T142" s="128"/>
      <c r="AT142" s="103" t="s">
        <v>1109</v>
      </c>
      <c r="AU142" s="103" t="s">
        <v>65</v>
      </c>
    </row>
    <row r="143" spans="2:65" s="256" customFormat="1" ht="16.5" customHeight="1" x14ac:dyDescent="0.25">
      <c r="B143" s="112"/>
      <c r="C143" s="206" t="s">
        <v>265</v>
      </c>
      <c r="D143" s="206" t="s">
        <v>1104</v>
      </c>
      <c r="E143" s="207" t="s">
        <v>1204</v>
      </c>
      <c r="F143" s="208" t="s">
        <v>1205</v>
      </c>
      <c r="G143" s="209" t="s">
        <v>104</v>
      </c>
      <c r="H143" s="210">
        <v>5.6</v>
      </c>
      <c r="I143" s="326"/>
      <c r="J143" s="211">
        <f>ROUND(I143*H143,2)</f>
        <v>0</v>
      </c>
      <c r="K143" s="208" t="s">
        <v>1107</v>
      </c>
      <c r="L143" s="112"/>
      <c r="M143" s="325" t="s">
        <v>1010</v>
      </c>
      <c r="N143" s="212" t="s">
        <v>1025</v>
      </c>
      <c r="P143" s="213">
        <f>O143*H143</f>
        <v>0</v>
      </c>
      <c r="Q143" s="213">
        <v>0</v>
      </c>
      <c r="R143" s="213">
        <f>Q143*H143</f>
        <v>0</v>
      </c>
      <c r="S143" s="213">
        <v>0</v>
      </c>
      <c r="T143" s="214">
        <f>S143*H143</f>
        <v>0</v>
      </c>
      <c r="AR143" s="215" t="s">
        <v>76</v>
      </c>
      <c r="AT143" s="215" t="s">
        <v>1104</v>
      </c>
      <c r="AU143" s="215" t="s">
        <v>65</v>
      </c>
      <c r="AY143" s="103" t="s">
        <v>1102</v>
      </c>
      <c r="BE143" s="216">
        <f>IF(N143="základní",J143,0)</f>
        <v>0</v>
      </c>
      <c r="BF143" s="216">
        <f>IF(N143="snížená",J143,0)</f>
        <v>0</v>
      </c>
      <c r="BG143" s="216">
        <f>IF(N143="zákl. přenesená",J143,0)</f>
        <v>0</v>
      </c>
      <c r="BH143" s="216">
        <f>IF(N143="sníž. přenesená",J143,0)</f>
        <v>0</v>
      </c>
      <c r="BI143" s="216">
        <f>IF(N143="nulová",J143,0)</f>
        <v>0</v>
      </c>
      <c r="BJ143" s="103" t="s">
        <v>55</v>
      </c>
      <c r="BK143" s="216">
        <f>ROUND(I143*H143,2)</f>
        <v>0</v>
      </c>
      <c r="BL143" s="103" t="s">
        <v>76</v>
      </c>
      <c r="BM143" s="215" t="s">
        <v>1206</v>
      </c>
    </row>
    <row r="144" spans="2:65" s="256" customFormat="1" x14ac:dyDescent="0.25">
      <c r="B144" s="112"/>
      <c r="D144" s="217" t="s">
        <v>1109</v>
      </c>
      <c r="F144" s="218" t="s">
        <v>1207</v>
      </c>
      <c r="I144" s="324"/>
      <c r="L144" s="112"/>
      <c r="M144" s="219"/>
      <c r="T144" s="128"/>
      <c r="AT144" s="103" t="s">
        <v>1109</v>
      </c>
      <c r="AU144" s="103" t="s">
        <v>65</v>
      </c>
    </row>
    <row r="145" spans="2:65" s="256" customFormat="1" ht="16.5" customHeight="1" x14ac:dyDescent="0.25">
      <c r="B145" s="112"/>
      <c r="C145" s="206" t="s">
        <v>211</v>
      </c>
      <c r="D145" s="206" t="s">
        <v>1104</v>
      </c>
      <c r="E145" s="207" t="s">
        <v>1208</v>
      </c>
      <c r="F145" s="208" t="s">
        <v>1209</v>
      </c>
      <c r="G145" s="209" t="s">
        <v>104</v>
      </c>
      <c r="H145" s="210">
        <v>96</v>
      </c>
      <c r="I145" s="326"/>
      <c r="J145" s="211">
        <f>ROUND(I145*H145,2)</f>
        <v>0</v>
      </c>
      <c r="K145" s="208" t="s">
        <v>1146</v>
      </c>
      <c r="L145" s="112"/>
      <c r="M145" s="325" t="s">
        <v>1010</v>
      </c>
      <c r="N145" s="212" t="s">
        <v>1025</v>
      </c>
      <c r="P145" s="213">
        <f>O145*H145</f>
        <v>0</v>
      </c>
      <c r="Q145" s="213">
        <v>0</v>
      </c>
      <c r="R145" s="213">
        <f>Q145*H145</f>
        <v>0</v>
      </c>
      <c r="S145" s="213">
        <v>0</v>
      </c>
      <c r="T145" s="214">
        <f>S145*H145</f>
        <v>0</v>
      </c>
      <c r="AR145" s="215" t="s">
        <v>76</v>
      </c>
      <c r="AT145" s="215" t="s">
        <v>1104</v>
      </c>
      <c r="AU145" s="215" t="s">
        <v>65</v>
      </c>
      <c r="AY145" s="103" t="s">
        <v>1102</v>
      </c>
      <c r="BE145" s="216">
        <f>IF(N145="základní",J145,0)</f>
        <v>0</v>
      </c>
      <c r="BF145" s="216">
        <f>IF(N145="snížená",J145,0)</f>
        <v>0</v>
      </c>
      <c r="BG145" s="216">
        <f>IF(N145="zákl. přenesená",J145,0)</f>
        <v>0</v>
      </c>
      <c r="BH145" s="216">
        <f>IF(N145="sníž. přenesená",J145,0)</f>
        <v>0</v>
      </c>
      <c r="BI145" s="216">
        <f>IF(N145="nulová",J145,0)</f>
        <v>0</v>
      </c>
      <c r="BJ145" s="103" t="s">
        <v>55</v>
      </c>
      <c r="BK145" s="216">
        <f>ROUND(I145*H145,2)</f>
        <v>0</v>
      </c>
      <c r="BL145" s="103" t="s">
        <v>76</v>
      </c>
      <c r="BM145" s="215" t="s">
        <v>1210</v>
      </c>
    </row>
    <row r="146" spans="2:65" s="256" customFormat="1" x14ac:dyDescent="0.25">
      <c r="B146" s="112"/>
      <c r="D146" s="217" t="s">
        <v>1109</v>
      </c>
      <c r="F146" s="218" t="s">
        <v>1211</v>
      </c>
      <c r="I146" s="324"/>
      <c r="L146" s="112"/>
      <c r="M146" s="219"/>
      <c r="T146" s="128"/>
      <c r="AT146" s="103" t="s">
        <v>1109</v>
      </c>
      <c r="AU146" s="103" t="s">
        <v>65</v>
      </c>
    </row>
    <row r="147" spans="2:65" s="256" customFormat="1" ht="16.5" customHeight="1" x14ac:dyDescent="0.25">
      <c r="B147" s="112"/>
      <c r="C147" s="206" t="s">
        <v>212</v>
      </c>
      <c r="D147" s="206" t="s">
        <v>1104</v>
      </c>
      <c r="E147" s="207" t="s">
        <v>1212</v>
      </c>
      <c r="F147" s="208" t="s">
        <v>1213</v>
      </c>
      <c r="G147" s="209" t="s">
        <v>104</v>
      </c>
      <c r="H147" s="210">
        <v>3.1</v>
      </c>
      <c r="I147" s="326"/>
      <c r="J147" s="211">
        <f>ROUND(I147*H147,2)</f>
        <v>0</v>
      </c>
      <c r="K147" s="208" t="s">
        <v>1146</v>
      </c>
      <c r="L147" s="112"/>
      <c r="M147" s="325" t="s">
        <v>1010</v>
      </c>
      <c r="N147" s="212" t="s">
        <v>1025</v>
      </c>
      <c r="P147" s="213">
        <f>O147*H147</f>
        <v>0</v>
      </c>
      <c r="Q147" s="213">
        <v>0</v>
      </c>
      <c r="R147" s="213">
        <f>Q147*H147</f>
        <v>0</v>
      </c>
      <c r="S147" s="213">
        <v>0</v>
      </c>
      <c r="T147" s="214">
        <f>S147*H147</f>
        <v>0</v>
      </c>
      <c r="AR147" s="215" t="s">
        <v>76</v>
      </c>
      <c r="AT147" s="215" t="s">
        <v>1104</v>
      </c>
      <c r="AU147" s="215" t="s">
        <v>65</v>
      </c>
      <c r="AY147" s="103" t="s">
        <v>1102</v>
      </c>
      <c r="BE147" s="216">
        <f>IF(N147="základní",J147,0)</f>
        <v>0</v>
      </c>
      <c r="BF147" s="216">
        <f>IF(N147="snížená",J147,0)</f>
        <v>0</v>
      </c>
      <c r="BG147" s="216">
        <f>IF(N147="zákl. přenesená",J147,0)</f>
        <v>0</v>
      </c>
      <c r="BH147" s="216">
        <f>IF(N147="sníž. přenesená",J147,0)</f>
        <v>0</v>
      </c>
      <c r="BI147" s="216">
        <f>IF(N147="nulová",J147,0)</f>
        <v>0</v>
      </c>
      <c r="BJ147" s="103" t="s">
        <v>55</v>
      </c>
      <c r="BK147" s="216">
        <f>ROUND(I147*H147,2)</f>
        <v>0</v>
      </c>
      <c r="BL147" s="103" t="s">
        <v>76</v>
      </c>
      <c r="BM147" s="215" t="s">
        <v>1214</v>
      </c>
    </row>
    <row r="148" spans="2:65" s="256" customFormat="1" x14ac:dyDescent="0.25">
      <c r="B148" s="112"/>
      <c r="D148" s="217" t="s">
        <v>1109</v>
      </c>
      <c r="F148" s="218" t="s">
        <v>1215</v>
      </c>
      <c r="I148" s="324"/>
      <c r="L148" s="112"/>
      <c r="M148" s="219"/>
      <c r="T148" s="128"/>
      <c r="AT148" s="103" t="s">
        <v>1109</v>
      </c>
      <c r="AU148" s="103" t="s">
        <v>65</v>
      </c>
    </row>
    <row r="149" spans="2:65" s="256" customFormat="1" ht="16.5" customHeight="1" x14ac:dyDescent="0.25">
      <c r="B149" s="112"/>
      <c r="C149" s="206" t="s">
        <v>213</v>
      </c>
      <c r="D149" s="206" t="s">
        <v>1104</v>
      </c>
      <c r="E149" s="207" t="s">
        <v>1216</v>
      </c>
      <c r="F149" s="208" t="s">
        <v>1217</v>
      </c>
      <c r="G149" s="209" t="s">
        <v>113</v>
      </c>
      <c r="H149" s="210">
        <v>16</v>
      </c>
      <c r="I149" s="326"/>
      <c r="J149" s="211">
        <f>ROUND(I149*H149,2)</f>
        <v>0</v>
      </c>
      <c r="K149" s="208" t="s">
        <v>1146</v>
      </c>
      <c r="L149" s="112"/>
      <c r="M149" s="325" t="s">
        <v>1010</v>
      </c>
      <c r="N149" s="212" t="s">
        <v>1025</v>
      </c>
      <c r="P149" s="213">
        <f>O149*H149</f>
        <v>0</v>
      </c>
      <c r="Q149" s="213">
        <v>0.45937</v>
      </c>
      <c r="R149" s="213">
        <f>Q149*H149</f>
        <v>7.34992</v>
      </c>
      <c r="S149" s="213">
        <v>0</v>
      </c>
      <c r="T149" s="214">
        <f>S149*H149</f>
        <v>0</v>
      </c>
      <c r="AR149" s="215" t="s">
        <v>76</v>
      </c>
      <c r="AT149" s="215" t="s">
        <v>1104</v>
      </c>
      <c r="AU149" s="215" t="s">
        <v>65</v>
      </c>
      <c r="AY149" s="103" t="s">
        <v>1102</v>
      </c>
      <c r="BE149" s="216">
        <f>IF(N149="základní",J149,0)</f>
        <v>0</v>
      </c>
      <c r="BF149" s="216">
        <f>IF(N149="snížená",J149,0)</f>
        <v>0</v>
      </c>
      <c r="BG149" s="216">
        <f>IF(N149="zákl. přenesená",J149,0)</f>
        <v>0</v>
      </c>
      <c r="BH149" s="216">
        <f>IF(N149="sníž. přenesená",J149,0)</f>
        <v>0</v>
      </c>
      <c r="BI149" s="216">
        <f>IF(N149="nulová",J149,0)</f>
        <v>0</v>
      </c>
      <c r="BJ149" s="103" t="s">
        <v>55</v>
      </c>
      <c r="BK149" s="216">
        <f>ROUND(I149*H149,2)</f>
        <v>0</v>
      </c>
      <c r="BL149" s="103" t="s">
        <v>76</v>
      </c>
      <c r="BM149" s="215" t="s">
        <v>1218</v>
      </c>
    </row>
    <row r="150" spans="2:65" s="256" customFormat="1" x14ac:dyDescent="0.25">
      <c r="B150" s="112"/>
      <c r="D150" s="217" t="s">
        <v>1109</v>
      </c>
      <c r="F150" s="218" t="s">
        <v>1219</v>
      </c>
      <c r="I150" s="324"/>
      <c r="L150" s="112"/>
      <c r="M150" s="219"/>
      <c r="T150" s="128"/>
      <c r="AT150" s="103" t="s">
        <v>1109</v>
      </c>
      <c r="AU150" s="103" t="s">
        <v>65</v>
      </c>
    </row>
    <row r="151" spans="2:65" s="256" customFormat="1" ht="16.5" customHeight="1" x14ac:dyDescent="0.25">
      <c r="B151" s="112"/>
      <c r="C151" s="206" t="s">
        <v>268</v>
      </c>
      <c r="D151" s="206" t="s">
        <v>1104</v>
      </c>
      <c r="E151" s="207" t="s">
        <v>1220</v>
      </c>
      <c r="F151" s="208" t="s">
        <v>1221</v>
      </c>
      <c r="G151" s="209" t="s">
        <v>113</v>
      </c>
      <c r="H151" s="210">
        <v>1</v>
      </c>
      <c r="I151" s="326"/>
      <c r="J151" s="211">
        <f>ROUND(I151*H151,2)</f>
        <v>0</v>
      </c>
      <c r="K151" s="208" t="s">
        <v>1107</v>
      </c>
      <c r="L151" s="112"/>
      <c r="M151" s="325" t="s">
        <v>1010</v>
      </c>
      <c r="N151" s="212" t="s">
        <v>1025</v>
      </c>
      <c r="P151" s="213">
        <f>O151*H151</f>
        <v>0</v>
      </c>
      <c r="Q151" s="213">
        <v>0.12303</v>
      </c>
      <c r="R151" s="213">
        <f>Q151*H151</f>
        <v>0.12303</v>
      </c>
      <c r="S151" s="213">
        <v>0</v>
      </c>
      <c r="T151" s="214">
        <f>S151*H151</f>
        <v>0</v>
      </c>
      <c r="AR151" s="215" t="s">
        <v>76</v>
      </c>
      <c r="AT151" s="215" t="s">
        <v>1104</v>
      </c>
      <c r="AU151" s="215" t="s">
        <v>65</v>
      </c>
      <c r="AY151" s="103" t="s">
        <v>1102</v>
      </c>
      <c r="BE151" s="216">
        <f>IF(N151="základní",J151,0)</f>
        <v>0</v>
      </c>
      <c r="BF151" s="216">
        <f>IF(N151="snížená",J151,0)</f>
        <v>0</v>
      </c>
      <c r="BG151" s="216">
        <f>IF(N151="zákl. přenesená",J151,0)</f>
        <v>0</v>
      </c>
      <c r="BH151" s="216">
        <f>IF(N151="sníž. přenesená",J151,0)</f>
        <v>0</v>
      </c>
      <c r="BI151" s="216">
        <f>IF(N151="nulová",J151,0)</f>
        <v>0</v>
      </c>
      <c r="BJ151" s="103" t="s">
        <v>55</v>
      </c>
      <c r="BK151" s="216">
        <f>ROUND(I151*H151,2)</f>
        <v>0</v>
      </c>
      <c r="BL151" s="103" t="s">
        <v>76</v>
      </c>
      <c r="BM151" s="215" t="s">
        <v>1222</v>
      </c>
    </row>
    <row r="152" spans="2:65" s="256" customFormat="1" x14ac:dyDescent="0.25">
      <c r="B152" s="112"/>
      <c r="D152" s="217" t="s">
        <v>1109</v>
      </c>
      <c r="F152" s="218" t="s">
        <v>1223</v>
      </c>
      <c r="I152" s="324"/>
      <c r="L152" s="112"/>
      <c r="M152" s="219"/>
      <c r="T152" s="128"/>
      <c r="AT152" s="103" t="s">
        <v>1109</v>
      </c>
      <c r="AU152" s="103" t="s">
        <v>65</v>
      </c>
    </row>
    <row r="153" spans="2:65" s="256" customFormat="1" ht="16.5" customHeight="1" x14ac:dyDescent="0.25">
      <c r="B153" s="112"/>
      <c r="C153" s="228" t="s">
        <v>269</v>
      </c>
      <c r="D153" s="228" t="s">
        <v>1138</v>
      </c>
      <c r="E153" s="229" t="s">
        <v>1224</v>
      </c>
      <c r="F153" s="230" t="s">
        <v>1225</v>
      </c>
      <c r="G153" s="231" t="s">
        <v>113</v>
      </c>
      <c r="H153" s="232">
        <v>1</v>
      </c>
      <c r="I153" s="329"/>
      <c r="J153" s="233">
        <f>ROUND(I153*H153,2)</f>
        <v>0</v>
      </c>
      <c r="K153" s="230" t="s">
        <v>1107</v>
      </c>
      <c r="L153" s="234"/>
      <c r="M153" s="328" t="s">
        <v>1010</v>
      </c>
      <c r="N153" s="235" t="s">
        <v>1025</v>
      </c>
      <c r="P153" s="213">
        <f>O153*H153</f>
        <v>0</v>
      </c>
      <c r="Q153" s="213">
        <v>1.3299999999999999E-2</v>
      </c>
      <c r="R153" s="213">
        <f>Q153*H153</f>
        <v>1.3299999999999999E-2</v>
      </c>
      <c r="S153" s="213">
        <v>0</v>
      </c>
      <c r="T153" s="214">
        <f>S153*H153</f>
        <v>0</v>
      </c>
      <c r="AR153" s="215" t="s">
        <v>101</v>
      </c>
      <c r="AT153" s="215" t="s">
        <v>1138</v>
      </c>
      <c r="AU153" s="215" t="s">
        <v>65</v>
      </c>
      <c r="AY153" s="103" t="s">
        <v>1102</v>
      </c>
      <c r="BE153" s="216">
        <f>IF(N153="základní",J153,0)</f>
        <v>0</v>
      </c>
      <c r="BF153" s="216">
        <f>IF(N153="snížená",J153,0)</f>
        <v>0</v>
      </c>
      <c r="BG153" s="216">
        <f>IF(N153="zákl. přenesená",J153,0)</f>
        <v>0</v>
      </c>
      <c r="BH153" s="216">
        <f>IF(N153="sníž. přenesená",J153,0)</f>
        <v>0</v>
      </c>
      <c r="BI153" s="216">
        <f>IF(N153="nulová",J153,0)</f>
        <v>0</v>
      </c>
      <c r="BJ153" s="103" t="s">
        <v>55</v>
      </c>
      <c r="BK153" s="216">
        <f>ROUND(I153*H153,2)</f>
        <v>0</v>
      </c>
      <c r="BL153" s="103" t="s">
        <v>76</v>
      </c>
      <c r="BM153" s="215" t="s">
        <v>1226</v>
      </c>
    </row>
    <row r="154" spans="2:65" s="194" customFormat="1" ht="22.9" customHeight="1" x14ac:dyDescent="0.2">
      <c r="B154" s="195"/>
      <c r="D154" s="196" t="s">
        <v>1052</v>
      </c>
      <c r="E154" s="204" t="s">
        <v>110</v>
      </c>
      <c r="F154" s="204" t="s">
        <v>1227</v>
      </c>
      <c r="I154" s="327"/>
      <c r="J154" s="205">
        <f>BK154</f>
        <v>0</v>
      </c>
      <c r="L154" s="195"/>
      <c r="M154" s="199"/>
      <c r="P154" s="200">
        <f>SUM(P155:P176)</f>
        <v>0</v>
      </c>
      <c r="R154" s="200">
        <f>SUM(R155:R176)</f>
        <v>1.2830500000000002E-2</v>
      </c>
      <c r="T154" s="201">
        <f>SUM(T155:T176)</f>
        <v>9.0689600000000006</v>
      </c>
      <c r="AR154" s="196" t="s">
        <v>55</v>
      </c>
      <c r="AT154" s="202" t="s">
        <v>1052</v>
      </c>
      <c r="AU154" s="202" t="s">
        <v>55</v>
      </c>
      <c r="AY154" s="196" t="s">
        <v>1102</v>
      </c>
      <c r="BK154" s="203">
        <f>SUM(BK155:BK176)</f>
        <v>0</v>
      </c>
    </row>
    <row r="155" spans="2:65" s="256" customFormat="1" ht="21.75" customHeight="1" x14ac:dyDescent="0.25">
      <c r="B155" s="112"/>
      <c r="C155" s="206" t="s">
        <v>332</v>
      </c>
      <c r="D155" s="206" t="s">
        <v>1104</v>
      </c>
      <c r="E155" s="207" t="s">
        <v>1228</v>
      </c>
      <c r="F155" s="208" t="s">
        <v>1229</v>
      </c>
      <c r="G155" s="209" t="s">
        <v>104</v>
      </c>
      <c r="H155" s="210">
        <v>266</v>
      </c>
      <c r="I155" s="326"/>
      <c r="J155" s="211">
        <f>ROUND(I155*H155,2)</f>
        <v>0</v>
      </c>
      <c r="K155" s="208" t="s">
        <v>1146</v>
      </c>
      <c r="L155" s="112"/>
      <c r="M155" s="325" t="s">
        <v>1010</v>
      </c>
      <c r="N155" s="212" t="s">
        <v>1025</v>
      </c>
      <c r="P155" s="213">
        <f>O155*H155</f>
        <v>0</v>
      </c>
      <c r="Q155" s="213">
        <v>0</v>
      </c>
      <c r="R155" s="213">
        <f>Q155*H155</f>
        <v>0</v>
      </c>
      <c r="S155" s="213">
        <v>6.0000000000000001E-3</v>
      </c>
      <c r="T155" s="214">
        <f>S155*H155</f>
        <v>1.5960000000000001</v>
      </c>
      <c r="AR155" s="215" t="s">
        <v>76</v>
      </c>
      <c r="AT155" s="215" t="s">
        <v>1104</v>
      </c>
      <c r="AU155" s="215" t="s">
        <v>65</v>
      </c>
      <c r="AY155" s="103" t="s">
        <v>1102</v>
      </c>
      <c r="BE155" s="216">
        <f>IF(N155="základní",J155,0)</f>
        <v>0</v>
      </c>
      <c r="BF155" s="216">
        <f>IF(N155="snížená",J155,0)</f>
        <v>0</v>
      </c>
      <c r="BG155" s="216">
        <f>IF(N155="zákl. přenesená",J155,0)</f>
        <v>0</v>
      </c>
      <c r="BH155" s="216">
        <f>IF(N155="sníž. přenesená",J155,0)</f>
        <v>0</v>
      </c>
      <c r="BI155" s="216">
        <f>IF(N155="nulová",J155,0)</f>
        <v>0</v>
      </c>
      <c r="BJ155" s="103" t="s">
        <v>55</v>
      </c>
      <c r="BK155" s="216">
        <f>ROUND(I155*H155,2)</f>
        <v>0</v>
      </c>
      <c r="BL155" s="103" t="s">
        <v>76</v>
      </c>
      <c r="BM155" s="215" t="s">
        <v>1230</v>
      </c>
    </row>
    <row r="156" spans="2:65" s="256" customFormat="1" x14ac:dyDescent="0.25">
      <c r="B156" s="112"/>
      <c r="D156" s="217" t="s">
        <v>1109</v>
      </c>
      <c r="F156" s="218" t="s">
        <v>1231</v>
      </c>
      <c r="I156" s="324"/>
      <c r="L156" s="112"/>
      <c r="M156" s="219"/>
      <c r="T156" s="128"/>
      <c r="AT156" s="103" t="s">
        <v>1109</v>
      </c>
      <c r="AU156" s="103" t="s">
        <v>65</v>
      </c>
    </row>
    <row r="157" spans="2:65" s="256" customFormat="1" ht="21.75" customHeight="1" x14ac:dyDescent="0.25">
      <c r="B157" s="112"/>
      <c r="C157" s="206" t="s">
        <v>247</v>
      </c>
      <c r="D157" s="206" t="s">
        <v>1104</v>
      </c>
      <c r="E157" s="207" t="s">
        <v>1232</v>
      </c>
      <c r="F157" s="208" t="s">
        <v>1233</v>
      </c>
      <c r="G157" s="209" t="s">
        <v>104</v>
      </c>
      <c r="H157" s="210">
        <v>107.2</v>
      </c>
      <c r="I157" s="326"/>
      <c r="J157" s="211">
        <f>ROUND(I157*H157,2)</f>
        <v>0</v>
      </c>
      <c r="K157" s="208" t="s">
        <v>1146</v>
      </c>
      <c r="L157" s="112"/>
      <c r="M157" s="325" t="s">
        <v>1010</v>
      </c>
      <c r="N157" s="212" t="s">
        <v>1025</v>
      </c>
      <c r="P157" s="213">
        <f>O157*H157</f>
        <v>0</v>
      </c>
      <c r="Q157" s="213">
        <v>0</v>
      </c>
      <c r="R157" s="213">
        <f>Q157*H157</f>
        <v>0</v>
      </c>
      <c r="S157" s="213">
        <v>8.9999999999999993E-3</v>
      </c>
      <c r="T157" s="214">
        <f>S157*H157</f>
        <v>0.96479999999999999</v>
      </c>
      <c r="AR157" s="215" t="s">
        <v>76</v>
      </c>
      <c r="AT157" s="215" t="s">
        <v>1104</v>
      </c>
      <c r="AU157" s="215" t="s">
        <v>65</v>
      </c>
      <c r="AY157" s="103" t="s">
        <v>1102</v>
      </c>
      <c r="BE157" s="216">
        <f>IF(N157="základní",J157,0)</f>
        <v>0</v>
      </c>
      <c r="BF157" s="216">
        <f>IF(N157="snížená",J157,0)</f>
        <v>0</v>
      </c>
      <c r="BG157" s="216">
        <f>IF(N157="zákl. přenesená",J157,0)</f>
        <v>0</v>
      </c>
      <c r="BH157" s="216">
        <f>IF(N157="sníž. přenesená",J157,0)</f>
        <v>0</v>
      </c>
      <c r="BI157" s="216">
        <f>IF(N157="nulová",J157,0)</f>
        <v>0</v>
      </c>
      <c r="BJ157" s="103" t="s">
        <v>55</v>
      </c>
      <c r="BK157" s="216">
        <f>ROUND(I157*H157,2)</f>
        <v>0</v>
      </c>
      <c r="BL157" s="103" t="s">
        <v>76</v>
      </c>
      <c r="BM157" s="215" t="s">
        <v>1234</v>
      </c>
    </row>
    <row r="158" spans="2:65" s="256" customFormat="1" x14ac:dyDescent="0.25">
      <c r="B158" s="112"/>
      <c r="D158" s="217" t="s">
        <v>1109</v>
      </c>
      <c r="F158" s="218" t="s">
        <v>1235</v>
      </c>
      <c r="I158" s="324"/>
      <c r="L158" s="112"/>
      <c r="M158" s="219"/>
      <c r="T158" s="128"/>
      <c r="AT158" s="103" t="s">
        <v>1109</v>
      </c>
      <c r="AU158" s="103" t="s">
        <v>65</v>
      </c>
    </row>
    <row r="159" spans="2:65" s="256" customFormat="1" ht="24.2" customHeight="1" x14ac:dyDescent="0.25">
      <c r="B159" s="112"/>
      <c r="C159" s="206" t="s">
        <v>246</v>
      </c>
      <c r="D159" s="206" t="s">
        <v>1104</v>
      </c>
      <c r="E159" s="207" t="s">
        <v>1236</v>
      </c>
      <c r="F159" s="208" t="s">
        <v>1237</v>
      </c>
      <c r="G159" s="209" t="s">
        <v>104</v>
      </c>
      <c r="H159" s="210">
        <v>13.2</v>
      </c>
      <c r="I159" s="326"/>
      <c r="J159" s="211">
        <f>ROUND(I159*H159,2)</f>
        <v>0</v>
      </c>
      <c r="K159" s="208" t="s">
        <v>1146</v>
      </c>
      <c r="L159" s="112"/>
      <c r="M159" s="325" t="s">
        <v>1010</v>
      </c>
      <c r="N159" s="212" t="s">
        <v>1025</v>
      </c>
      <c r="P159" s="213">
        <f>O159*H159</f>
        <v>0</v>
      </c>
      <c r="Q159" s="213">
        <v>0</v>
      </c>
      <c r="R159" s="213">
        <f>Q159*H159</f>
        <v>0</v>
      </c>
      <c r="S159" s="213">
        <v>1.7999999999999999E-2</v>
      </c>
      <c r="T159" s="214">
        <f>S159*H159</f>
        <v>0.23759999999999998</v>
      </c>
      <c r="AR159" s="215" t="s">
        <v>76</v>
      </c>
      <c r="AT159" s="215" t="s">
        <v>1104</v>
      </c>
      <c r="AU159" s="215" t="s">
        <v>65</v>
      </c>
      <c r="AY159" s="103" t="s">
        <v>1102</v>
      </c>
      <c r="BE159" s="216">
        <f>IF(N159="základní",J159,0)</f>
        <v>0</v>
      </c>
      <c r="BF159" s="216">
        <f>IF(N159="snížená",J159,0)</f>
        <v>0</v>
      </c>
      <c r="BG159" s="216">
        <f>IF(N159="zákl. přenesená",J159,0)</f>
        <v>0</v>
      </c>
      <c r="BH159" s="216">
        <f>IF(N159="sníž. přenesená",J159,0)</f>
        <v>0</v>
      </c>
      <c r="BI159" s="216">
        <f>IF(N159="nulová",J159,0)</f>
        <v>0</v>
      </c>
      <c r="BJ159" s="103" t="s">
        <v>55</v>
      </c>
      <c r="BK159" s="216">
        <f>ROUND(I159*H159,2)</f>
        <v>0</v>
      </c>
      <c r="BL159" s="103" t="s">
        <v>76</v>
      </c>
      <c r="BM159" s="215" t="s">
        <v>1238</v>
      </c>
    </row>
    <row r="160" spans="2:65" s="256" customFormat="1" x14ac:dyDescent="0.25">
      <c r="B160" s="112"/>
      <c r="D160" s="217" t="s">
        <v>1109</v>
      </c>
      <c r="F160" s="218" t="s">
        <v>1239</v>
      </c>
      <c r="I160" s="324"/>
      <c r="L160" s="112"/>
      <c r="M160" s="219"/>
      <c r="T160" s="128"/>
      <c r="AT160" s="103" t="s">
        <v>1109</v>
      </c>
      <c r="AU160" s="103" t="s">
        <v>65</v>
      </c>
    </row>
    <row r="161" spans="2:65" s="256" customFormat="1" ht="24.2" customHeight="1" x14ac:dyDescent="0.25">
      <c r="B161" s="112"/>
      <c r="C161" s="206" t="s">
        <v>245</v>
      </c>
      <c r="D161" s="206" t="s">
        <v>1104</v>
      </c>
      <c r="E161" s="207" t="s">
        <v>1240</v>
      </c>
      <c r="F161" s="208" t="s">
        <v>1241</v>
      </c>
      <c r="G161" s="209" t="s">
        <v>104</v>
      </c>
      <c r="H161" s="210">
        <v>151.1</v>
      </c>
      <c r="I161" s="326"/>
      <c r="J161" s="211">
        <f>ROUND(I161*H161,2)</f>
        <v>0</v>
      </c>
      <c r="K161" s="208" t="s">
        <v>1146</v>
      </c>
      <c r="L161" s="112"/>
      <c r="M161" s="325" t="s">
        <v>1010</v>
      </c>
      <c r="N161" s="212" t="s">
        <v>1025</v>
      </c>
      <c r="P161" s="213">
        <f>O161*H161</f>
        <v>0</v>
      </c>
      <c r="Q161" s="213">
        <v>0</v>
      </c>
      <c r="R161" s="213">
        <f>Q161*H161</f>
        <v>0</v>
      </c>
      <c r="S161" s="213">
        <v>0.04</v>
      </c>
      <c r="T161" s="214">
        <f>S161*H161</f>
        <v>6.0439999999999996</v>
      </c>
      <c r="AR161" s="215" t="s">
        <v>76</v>
      </c>
      <c r="AT161" s="215" t="s">
        <v>1104</v>
      </c>
      <c r="AU161" s="215" t="s">
        <v>65</v>
      </c>
      <c r="AY161" s="103" t="s">
        <v>1102</v>
      </c>
      <c r="BE161" s="216">
        <f>IF(N161="základní",J161,0)</f>
        <v>0</v>
      </c>
      <c r="BF161" s="216">
        <f>IF(N161="snížená",J161,0)</f>
        <v>0</v>
      </c>
      <c r="BG161" s="216">
        <f>IF(N161="zákl. přenesená",J161,0)</f>
        <v>0</v>
      </c>
      <c r="BH161" s="216">
        <f>IF(N161="sníž. přenesená",J161,0)</f>
        <v>0</v>
      </c>
      <c r="BI161" s="216">
        <f>IF(N161="nulová",J161,0)</f>
        <v>0</v>
      </c>
      <c r="BJ161" s="103" t="s">
        <v>55</v>
      </c>
      <c r="BK161" s="216">
        <f>ROUND(I161*H161,2)</f>
        <v>0</v>
      </c>
      <c r="BL161" s="103" t="s">
        <v>76</v>
      </c>
      <c r="BM161" s="215" t="s">
        <v>1242</v>
      </c>
    </row>
    <row r="162" spans="2:65" s="256" customFormat="1" x14ac:dyDescent="0.25">
      <c r="B162" s="112"/>
      <c r="D162" s="217" t="s">
        <v>1109</v>
      </c>
      <c r="F162" s="218" t="s">
        <v>1243</v>
      </c>
      <c r="I162" s="324"/>
      <c r="L162" s="112"/>
      <c r="M162" s="219"/>
      <c r="T162" s="128"/>
      <c r="AT162" s="103" t="s">
        <v>1109</v>
      </c>
      <c r="AU162" s="103" t="s">
        <v>65</v>
      </c>
    </row>
    <row r="163" spans="2:65" s="256" customFormat="1" ht="24.2" customHeight="1" x14ac:dyDescent="0.25">
      <c r="B163" s="112"/>
      <c r="C163" s="206" t="s">
        <v>337</v>
      </c>
      <c r="D163" s="206" t="s">
        <v>1104</v>
      </c>
      <c r="E163" s="207" t="s">
        <v>1244</v>
      </c>
      <c r="F163" s="208" t="s">
        <v>1245</v>
      </c>
      <c r="G163" s="209" t="s">
        <v>104</v>
      </c>
      <c r="H163" s="210">
        <v>0.4</v>
      </c>
      <c r="I163" s="326"/>
      <c r="J163" s="211">
        <f>ROUND(I163*H163,2)</f>
        <v>0</v>
      </c>
      <c r="K163" s="208" t="s">
        <v>1146</v>
      </c>
      <c r="L163" s="112"/>
      <c r="M163" s="325" t="s">
        <v>1010</v>
      </c>
      <c r="N163" s="212" t="s">
        <v>1025</v>
      </c>
      <c r="P163" s="213">
        <f>O163*H163</f>
        <v>0</v>
      </c>
      <c r="Q163" s="213">
        <v>7.6000000000000004E-4</v>
      </c>
      <c r="R163" s="213">
        <f>Q163*H163</f>
        <v>3.0400000000000002E-4</v>
      </c>
      <c r="S163" s="213">
        <v>2.0999999999999999E-3</v>
      </c>
      <c r="T163" s="214">
        <f>S163*H163</f>
        <v>8.4000000000000003E-4</v>
      </c>
      <c r="AR163" s="215" t="s">
        <v>76</v>
      </c>
      <c r="AT163" s="215" t="s">
        <v>1104</v>
      </c>
      <c r="AU163" s="215" t="s">
        <v>65</v>
      </c>
      <c r="AY163" s="103" t="s">
        <v>1102</v>
      </c>
      <c r="BE163" s="216">
        <f>IF(N163="základní",J163,0)</f>
        <v>0</v>
      </c>
      <c r="BF163" s="216">
        <f>IF(N163="snížená",J163,0)</f>
        <v>0</v>
      </c>
      <c r="BG163" s="216">
        <f>IF(N163="zákl. přenesená",J163,0)</f>
        <v>0</v>
      </c>
      <c r="BH163" s="216">
        <f>IF(N163="sníž. přenesená",J163,0)</f>
        <v>0</v>
      </c>
      <c r="BI163" s="216">
        <f>IF(N163="nulová",J163,0)</f>
        <v>0</v>
      </c>
      <c r="BJ163" s="103" t="s">
        <v>55</v>
      </c>
      <c r="BK163" s="216">
        <f>ROUND(I163*H163,2)</f>
        <v>0</v>
      </c>
      <c r="BL163" s="103" t="s">
        <v>76</v>
      </c>
      <c r="BM163" s="215" t="s">
        <v>1246</v>
      </c>
    </row>
    <row r="164" spans="2:65" s="256" customFormat="1" x14ac:dyDescent="0.25">
      <c r="B164" s="112"/>
      <c r="D164" s="217" t="s">
        <v>1109</v>
      </c>
      <c r="F164" s="218" t="s">
        <v>1247</v>
      </c>
      <c r="I164" s="324"/>
      <c r="L164" s="112"/>
      <c r="M164" s="219"/>
      <c r="T164" s="128"/>
      <c r="AT164" s="103" t="s">
        <v>1109</v>
      </c>
      <c r="AU164" s="103" t="s">
        <v>65</v>
      </c>
    </row>
    <row r="165" spans="2:65" s="256" customFormat="1" ht="24.2" customHeight="1" x14ac:dyDescent="0.25">
      <c r="B165" s="112"/>
      <c r="C165" s="206" t="s">
        <v>336</v>
      </c>
      <c r="D165" s="206" t="s">
        <v>1104</v>
      </c>
      <c r="E165" s="207" t="s">
        <v>1248</v>
      </c>
      <c r="F165" s="208" t="s">
        <v>1249</v>
      </c>
      <c r="G165" s="209" t="s">
        <v>104</v>
      </c>
      <c r="H165" s="210">
        <v>0.4</v>
      </c>
      <c r="I165" s="326"/>
      <c r="J165" s="211">
        <f>ROUND(I165*H165,2)</f>
        <v>0</v>
      </c>
      <c r="K165" s="208" t="s">
        <v>1146</v>
      </c>
      <c r="L165" s="112"/>
      <c r="M165" s="325" t="s">
        <v>1010</v>
      </c>
      <c r="N165" s="212" t="s">
        <v>1025</v>
      </c>
      <c r="P165" s="213">
        <f>O165*H165</f>
        <v>0</v>
      </c>
      <c r="Q165" s="213">
        <v>9.7000000000000005E-4</v>
      </c>
      <c r="R165" s="213">
        <f>Q165*H165</f>
        <v>3.8800000000000005E-4</v>
      </c>
      <c r="S165" s="213">
        <v>4.3E-3</v>
      </c>
      <c r="T165" s="214">
        <f>S165*H165</f>
        <v>1.7200000000000002E-3</v>
      </c>
      <c r="AR165" s="215" t="s">
        <v>76</v>
      </c>
      <c r="AT165" s="215" t="s">
        <v>1104</v>
      </c>
      <c r="AU165" s="215" t="s">
        <v>65</v>
      </c>
      <c r="AY165" s="103" t="s">
        <v>1102</v>
      </c>
      <c r="BE165" s="216">
        <f>IF(N165="základní",J165,0)</f>
        <v>0</v>
      </c>
      <c r="BF165" s="216">
        <f>IF(N165="snížená",J165,0)</f>
        <v>0</v>
      </c>
      <c r="BG165" s="216">
        <f>IF(N165="zákl. přenesená",J165,0)</f>
        <v>0</v>
      </c>
      <c r="BH165" s="216">
        <f>IF(N165="sníž. přenesená",J165,0)</f>
        <v>0</v>
      </c>
      <c r="BI165" s="216">
        <f>IF(N165="nulová",J165,0)</f>
        <v>0</v>
      </c>
      <c r="BJ165" s="103" t="s">
        <v>55</v>
      </c>
      <c r="BK165" s="216">
        <f>ROUND(I165*H165,2)</f>
        <v>0</v>
      </c>
      <c r="BL165" s="103" t="s">
        <v>76</v>
      </c>
      <c r="BM165" s="215" t="s">
        <v>1250</v>
      </c>
    </row>
    <row r="166" spans="2:65" s="256" customFormat="1" x14ac:dyDescent="0.25">
      <c r="B166" s="112"/>
      <c r="D166" s="217" t="s">
        <v>1109</v>
      </c>
      <c r="F166" s="218" t="s">
        <v>1251</v>
      </c>
      <c r="I166" s="324"/>
      <c r="L166" s="112"/>
      <c r="M166" s="219"/>
      <c r="T166" s="128"/>
      <c r="AT166" s="103" t="s">
        <v>1109</v>
      </c>
      <c r="AU166" s="103" t="s">
        <v>65</v>
      </c>
    </row>
    <row r="167" spans="2:65" s="256" customFormat="1" ht="24.2" customHeight="1" x14ac:dyDescent="0.25">
      <c r="B167" s="112"/>
      <c r="C167" s="206" t="s">
        <v>334</v>
      </c>
      <c r="D167" s="206" t="s">
        <v>1104</v>
      </c>
      <c r="E167" s="207" t="s">
        <v>1252</v>
      </c>
      <c r="F167" s="208" t="s">
        <v>1253</v>
      </c>
      <c r="G167" s="209" t="s">
        <v>104</v>
      </c>
      <c r="H167" s="210">
        <v>0.4</v>
      </c>
      <c r="I167" s="326"/>
      <c r="J167" s="211">
        <f>ROUND(I167*H167,2)</f>
        <v>0</v>
      </c>
      <c r="K167" s="208" t="s">
        <v>1146</v>
      </c>
      <c r="L167" s="112"/>
      <c r="M167" s="325" t="s">
        <v>1010</v>
      </c>
      <c r="N167" s="212" t="s">
        <v>1025</v>
      </c>
      <c r="P167" s="213">
        <f>O167*H167</f>
        <v>0</v>
      </c>
      <c r="Q167" s="213">
        <v>1.08E-3</v>
      </c>
      <c r="R167" s="213">
        <f>Q167*H167</f>
        <v>4.3200000000000004E-4</v>
      </c>
      <c r="S167" s="213">
        <v>8.5000000000000006E-3</v>
      </c>
      <c r="T167" s="214">
        <f>S167*H167</f>
        <v>3.4000000000000002E-3</v>
      </c>
      <c r="AR167" s="215" t="s">
        <v>76</v>
      </c>
      <c r="AT167" s="215" t="s">
        <v>1104</v>
      </c>
      <c r="AU167" s="215" t="s">
        <v>65</v>
      </c>
      <c r="AY167" s="103" t="s">
        <v>1102</v>
      </c>
      <c r="BE167" s="216">
        <f>IF(N167="základní",J167,0)</f>
        <v>0</v>
      </c>
      <c r="BF167" s="216">
        <f>IF(N167="snížená",J167,0)</f>
        <v>0</v>
      </c>
      <c r="BG167" s="216">
        <f>IF(N167="zákl. přenesená",J167,0)</f>
        <v>0</v>
      </c>
      <c r="BH167" s="216">
        <f>IF(N167="sníž. přenesená",J167,0)</f>
        <v>0</v>
      </c>
      <c r="BI167" s="216">
        <f>IF(N167="nulová",J167,0)</f>
        <v>0</v>
      </c>
      <c r="BJ167" s="103" t="s">
        <v>55</v>
      </c>
      <c r="BK167" s="216">
        <f>ROUND(I167*H167,2)</f>
        <v>0</v>
      </c>
      <c r="BL167" s="103" t="s">
        <v>76</v>
      </c>
      <c r="BM167" s="215" t="s">
        <v>1254</v>
      </c>
    </row>
    <row r="168" spans="2:65" s="256" customFormat="1" x14ac:dyDescent="0.25">
      <c r="B168" s="112"/>
      <c r="D168" s="217" t="s">
        <v>1109</v>
      </c>
      <c r="F168" s="218" t="s">
        <v>1255</v>
      </c>
      <c r="I168" s="324"/>
      <c r="L168" s="112"/>
      <c r="M168" s="219"/>
      <c r="T168" s="128"/>
      <c r="AT168" s="103" t="s">
        <v>1109</v>
      </c>
      <c r="AU168" s="103" t="s">
        <v>65</v>
      </c>
    </row>
    <row r="169" spans="2:65" s="256" customFormat="1" ht="24.2" customHeight="1" x14ac:dyDescent="0.25">
      <c r="B169" s="112"/>
      <c r="C169" s="206" t="s">
        <v>241</v>
      </c>
      <c r="D169" s="206" t="s">
        <v>1104</v>
      </c>
      <c r="E169" s="207" t="s">
        <v>1256</v>
      </c>
      <c r="F169" s="208" t="s">
        <v>1257</v>
      </c>
      <c r="G169" s="209" t="s">
        <v>104</v>
      </c>
      <c r="H169" s="210">
        <v>0.4</v>
      </c>
      <c r="I169" s="326"/>
      <c r="J169" s="211">
        <f>ROUND(I169*H169,2)</f>
        <v>0</v>
      </c>
      <c r="K169" s="208" t="s">
        <v>1146</v>
      </c>
      <c r="L169" s="112"/>
      <c r="M169" s="325" t="s">
        <v>1010</v>
      </c>
      <c r="N169" s="212" t="s">
        <v>1025</v>
      </c>
      <c r="P169" s="213">
        <f>O169*H169</f>
        <v>0</v>
      </c>
      <c r="Q169" s="213">
        <v>1.1299999999999999E-3</v>
      </c>
      <c r="R169" s="213">
        <f>Q169*H169</f>
        <v>4.5199999999999998E-4</v>
      </c>
      <c r="S169" s="213">
        <v>1.0999999999999999E-2</v>
      </c>
      <c r="T169" s="214">
        <f>S169*H169</f>
        <v>4.4000000000000003E-3</v>
      </c>
      <c r="AR169" s="215" t="s">
        <v>76</v>
      </c>
      <c r="AT169" s="215" t="s">
        <v>1104</v>
      </c>
      <c r="AU169" s="215" t="s">
        <v>65</v>
      </c>
      <c r="AY169" s="103" t="s">
        <v>1102</v>
      </c>
      <c r="BE169" s="216">
        <f>IF(N169="základní",J169,0)</f>
        <v>0</v>
      </c>
      <c r="BF169" s="216">
        <f>IF(N169="snížená",J169,0)</f>
        <v>0</v>
      </c>
      <c r="BG169" s="216">
        <f>IF(N169="zákl. přenesená",J169,0)</f>
        <v>0</v>
      </c>
      <c r="BH169" s="216">
        <f>IF(N169="sníž. přenesená",J169,0)</f>
        <v>0</v>
      </c>
      <c r="BI169" s="216">
        <f>IF(N169="nulová",J169,0)</f>
        <v>0</v>
      </c>
      <c r="BJ169" s="103" t="s">
        <v>55</v>
      </c>
      <c r="BK169" s="216">
        <f>ROUND(I169*H169,2)</f>
        <v>0</v>
      </c>
      <c r="BL169" s="103" t="s">
        <v>76</v>
      </c>
      <c r="BM169" s="215" t="s">
        <v>1258</v>
      </c>
    </row>
    <row r="170" spans="2:65" s="256" customFormat="1" x14ac:dyDescent="0.25">
      <c r="B170" s="112"/>
      <c r="D170" s="217" t="s">
        <v>1109</v>
      </c>
      <c r="F170" s="218" t="s">
        <v>1259</v>
      </c>
      <c r="I170" s="324"/>
      <c r="L170" s="112"/>
      <c r="M170" s="219"/>
      <c r="T170" s="128"/>
      <c r="AT170" s="103" t="s">
        <v>1109</v>
      </c>
      <c r="AU170" s="103" t="s">
        <v>65</v>
      </c>
    </row>
    <row r="171" spans="2:65" s="256" customFormat="1" ht="24.2" customHeight="1" x14ac:dyDescent="0.25">
      <c r="B171" s="112"/>
      <c r="C171" s="206" t="s">
        <v>244</v>
      </c>
      <c r="D171" s="206" t="s">
        <v>1104</v>
      </c>
      <c r="E171" s="207" t="s">
        <v>1260</v>
      </c>
      <c r="F171" s="208" t="s">
        <v>1261</v>
      </c>
      <c r="G171" s="209" t="s">
        <v>104</v>
      </c>
      <c r="H171" s="210">
        <v>8</v>
      </c>
      <c r="I171" s="326"/>
      <c r="J171" s="211">
        <f>ROUND(I171*H171,2)</f>
        <v>0</v>
      </c>
      <c r="K171" s="208" t="s">
        <v>1146</v>
      </c>
      <c r="L171" s="112"/>
      <c r="M171" s="325" t="s">
        <v>1010</v>
      </c>
      <c r="N171" s="212" t="s">
        <v>1025</v>
      </c>
      <c r="P171" s="213">
        <f>O171*H171</f>
        <v>0</v>
      </c>
      <c r="Q171" s="213">
        <v>1.32E-3</v>
      </c>
      <c r="R171" s="213">
        <f>Q171*H171</f>
        <v>1.056E-2</v>
      </c>
      <c r="S171" s="213">
        <v>2.5000000000000001E-2</v>
      </c>
      <c r="T171" s="214">
        <f>S171*H171</f>
        <v>0.2</v>
      </c>
      <c r="AR171" s="215" t="s">
        <v>76</v>
      </c>
      <c r="AT171" s="215" t="s">
        <v>1104</v>
      </c>
      <c r="AU171" s="215" t="s">
        <v>65</v>
      </c>
      <c r="AY171" s="103" t="s">
        <v>1102</v>
      </c>
      <c r="BE171" s="216">
        <f>IF(N171="základní",J171,0)</f>
        <v>0</v>
      </c>
      <c r="BF171" s="216">
        <f>IF(N171="snížená",J171,0)</f>
        <v>0</v>
      </c>
      <c r="BG171" s="216">
        <f>IF(N171="zákl. přenesená",J171,0)</f>
        <v>0</v>
      </c>
      <c r="BH171" s="216">
        <f>IF(N171="sníž. přenesená",J171,0)</f>
        <v>0</v>
      </c>
      <c r="BI171" s="216">
        <f>IF(N171="nulová",J171,0)</f>
        <v>0</v>
      </c>
      <c r="BJ171" s="103" t="s">
        <v>55</v>
      </c>
      <c r="BK171" s="216">
        <f>ROUND(I171*H171,2)</f>
        <v>0</v>
      </c>
      <c r="BL171" s="103" t="s">
        <v>76</v>
      </c>
      <c r="BM171" s="215" t="s">
        <v>1262</v>
      </c>
    </row>
    <row r="172" spans="2:65" s="256" customFormat="1" x14ac:dyDescent="0.25">
      <c r="B172" s="112"/>
      <c r="D172" s="217" t="s">
        <v>1109</v>
      </c>
      <c r="F172" s="218" t="s">
        <v>1263</v>
      </c>
      <c r="I172" s="324"/>
      <c r="L172" s="112"/>
      <c r="M172" s="219"/>
      <c r="T172" s="128"/>
      <c r="AT172" s="103" t="s">
        <v>1109</v>
      </c>
      <c r="AU172" s="103" t="s">
        <v>65</v>
      </c>
    </row>
    <row r="173" spans="2:65" s="256" customFormat="1" ht="24.2" customHeight="1" x14ac:dyDescent="0.25">
      <c r="B173" s="112"/>
      <c r="C173" s="206" t="s">
        <v>181</v>
      </c>
      <c r="D173" s="206" t="s">
        <v>1104</v>
      </c>
      <c r="E173" s="207" t="s">
        <v>1264</v>
      </c>
      <c r="F173" s="208" t="s">
        <v>1265</v>
      </c>
      <c r="G173" s="209" t="s">
        <v>104</v>
      </c>
      <c r="H173" s="210">
        <v>0.15</v>
      </c>
      <c r="I173" s="326"/>
      <c r="J173" s="211">
        <f>ROUND(I173*H173,2)</f>
        <v>0</v>
      </c>
      <c r="K173" s="208" t="s">
        <v>1146</v>
      </c>
      <c r="L173" s="112"/>
      <c r="M173" s="325" t="s">
        <v>1010</v>
      </c>
      <c r="N173" s="212" t="s">
        <v>1025</v>
      </c>
      <c r="P173" s="213">
        <f>O173*H173</f>
        <v>0</v>
      </c>
      <c r="Q173" s="213">
        <v>1.47E-3</v>
      </c>
      <c r="R173" s="213">
        <f>Q173*H173</f>
        <v>2.2049999999999999E-4</v>
      </c>
      <c r="S173" s="213">
        <v>3.9E-2</v>
      </c>
      <c r="T173" s="214">
        <f>S173*H173</f>
        <v>5.8500000000000002E-3</v>
      </c>
      <c r="AR173" s="215" t="s">
        <v>76</v>
      </c>
      <c r="AT173" s="215" t="s">
        <v>1104</v>
      </c>
      <c r="AU173" s="215" t="s">
        <v>65</v>
      </c>
      <c r="AY173" s="103" t="s">
        <v>1102</v>
      </c>
      <c r="BE173" s="216">
        <f>IF(N173="základní",J173,0)</f>
        <v>0</v>
      </c>
      <c r="BF173" s="216">
        <f>IF(N173="snížená",J173,0)</f>
        <v>0</v>
      </c>
      <c r="BG173" s="216">
        <f>IF(N173="zákl. přenesená",J173,0)</f>
        <v>0</v>
      </c>
      <c r="BH173" s="216">
        <f>IF(N173="sníž. přenesená",J173,0)</f>
        <v>0</v>
      </c>
      <c r="BI173" s="216">
        <f>IF(N173="nulová",J173,0)</f>
        <v>0</v>
      </c>
      <c r="BJ173" s="103" t="s">
        <v>55</v>
      </c>
      <c r="BK173" s="216">
        <f>ROUND(I173*H173,2)</f>
        <v>0</v>
      </c>
      <c r="BL173" s="103" t="s">
        <v>76</v>
      </c>
      <c r="BM173" s="215" t="s">
        <v>1266</v>
      </c>
    </row>
    <row r="174" spans="2:65" s="256" customFormat="1" x14ac:dyDescent="0.25">
      <c r="B174" s="112"/>
      <c r="D174" s="217" t="s">
        <v>1109</v>
      </c>
      <c r="F174" s="218" t="s">
        <v>1267</v>
      </c>
      <c r="I174" s="324"/>
      <c r="L174" s="112"/>
      <c r="M174" s="219"/>
      <c r="T174" s="128"/>
      <c r="AT174" s="103" t="s">
        <v>1109</v>
      </c>
      <c r="AU174" s="103" t="s">
        <v>65</v>
      </c>
    </row>
    <row r="175" spans="2:65" s="256" customFormat="1" ht="24.2" customHeight="1" x14ac:dyDescent="0.25">
      <c r="B175" s="112"/>
      <c r="C175" s="206" t="s">
        <v>182</v>
      </c>
      <c r="D175" s="206" t="s">
        <v>1104</v>
      </c>
      <c r="E175" s="207" t="s">
        <v>1268</v>
      </c>
      <c r="F175" s="208" t="s">
        <v>1269</v>
      </c>
      <c r="G175" s="209" t="s">
        <v>104</v>
      </c>
      <c r="H175" s="210">
        <v>0.15</v>
      </c>
      <c r="I175" s="326"/>
      <c r="J175" s="211">
        <f>ROUND(I175*H175,2)</f>
        <v>0</v>
      </c>
      <c r="K175" s="208" t="s">
        <v>1146</v>
      </c>
      <c r="L175" s="112"/>
      <c r="M175" s="325" t="s">
        <v>1010</v>
      </c>
      <c r="N175" s="212" t="s">
        <v>1025</v>
      </c>
      <c r="P175" s="213">
        <f>O175*H175</f>
        <v>0</v>
      </c>
      <c r="Q175" s="213">
        <v>3.16E-3</v>
      </c>
      <c r="R175" s="213">
        <f>Q175*H175</f>
        <v>4.7399999999999997E-4</v>
      </c>
      <c r="S175" s="213">
        <v>6.9000000000000006E-2</v>
      </c>
      <c r="T175" s="214">
        <f>S175*H175</f>
        <v>1.035E-2</v>
      </c>
      <c r="AR175" s="215" t="s">
        <v>76</v>
      </c>
      <c r="AT175" s="215" t="s">
        <v>1104</v>
      </c>
      <c r="AU175" s="215" t="s">
        <v>65</v>
      </c>
      <c r="AY175" s="103" t="s">
        <v>1102</v>
      </c>
      <c r="BE175" s="216">
        <f>IF(N175="základní",J175,0)</f>
        <v>0</v>
      </c>
      <c r="BF175" s="216">
        <f>IF(N175="snížená",J175,0)</f>
        <v>0</v>
      </c>
      <c r="BG175" s="216">
        <f>IF(N175="zákl. přenesená",J175,0)</f>
        <v>0</v>
      </c>
      <c r="BH175" s="216">
        <f>IF(N175="sníž. přenesená",J175,0)</f>
        <v>0</v>
      </c>
      <c r="BI175" s="216">
        <f>IF(N175="nulová",J175,0)</f>
        <v>0</v>
      </c>
      <c r="BJ175" s="103" t="s">
        <v>55</v>
      </c>
      <c r="BK175" s="216">
        <f>ROUND(I175*H175,2)</f>
        <v>0</v>
      </c>
      <c r="BL175" s="103" t="s">
        <v>76</v>
      </c>
      <c r="BM175" s="215" t="s">
        <v>1270</v>
      </c>
    </row>
    <row r="176" spans="2:65" s="256" customFormat="1" x14ac:dyDescent="0.25">
      <c r="B176" s="112"/>
      <c r="D176" s="217" t="s">
        <v>1109</v>
      </c>
      <c r="F176" s="218" t="s">
        <v>1271</v>
      </c>
      <c r="I176" s="324"/>
      <c r="L176" s="112"/>
      <c r="M176" s="219"/>
      <c r="T176" s="128"/>
      <c r="AT176" s="103" t="s">
        <v>1109</v>
      </c>
      <c r="AU176" s="103" t="s">
        <v>65</v>
      </c>
    </row>
    <row r="177" spans="2:65" s="194" customFormat="1" ht="22.9" customHeight="1" x14ac:dyDescent="0.2">
      <c r="B177" s="195"/>
      <c r="D177" s="196" t="s">
        <v>1052</v>
      </c>
      <c r="E177" s="204" t="s">
        <v>1272</v>
      </c>
      <c r="F177" s="204" t="s">
        <v>1273</v>
      </c>
      <c r="I177" s="327"/>
      <c r="J177" s="205">
        <f>BK177</f>
        <v>0</v>
      </c>
      <c r="L177" s="195"/>
      <c r="M177" s="199"/>
      <c r="P177" s="200">
        <f>SUM(P178:P188)</f>
        <v>0</v>
      </c>
      <c r="R177" s="200">
        <f>SUM(R178:R188)</f>
        <v>0</v>
      </c>
      <c r="T177" s="201">
        <f>SUM(T178:T188)</f>
        <v>0</v>
      </c>
      <c r="AR177" s="196" t="s">
        <v>55</v>
      </c>
      <c r="AT177" s="202" t="s">
        <v>1052</v>
      </c>
      <c r="AU177" s="202" t="s">
        <v>55</v>
      </c>
      <c r="AY177" s="196" t="s">
        <v>1102</v>
      </c>
      <c r="BK177" s="203">
        <f>SUM(BK178:BK188)</f>
        <v>0</v>
      </c>
    </row>
    <row r="178" spans="2:65" s="256" customFormat="1" ht="24.2" customHeight="1" x14ac:dyDescent="0.25">
      <c r="B178" s="112"/>
      <c r="C178" s="206" t="s">
        <v>118</v>
      </c>
      <c r="D178" s="206" t="s">
        <v>1104</v>
      </c>
      <c r="E178" s="207" t="s">
        <v>1274</v>
      </c>
      <c r="F178" s="208" t="s">
        <v>1275</v>
      </c>
      <c r="G178" s="209" t="s">
        <v>1125</v>
      </c>
      <c r="H178" s="210">
        <v>13.436999999999999</v>
      </c>
      <c r="I178" s="326"/>
      <c r="J178" s="211">
        <f>ROUND(I178*H178,2)</f>
        <v>0</v>
      </c>
      <c r="K178" s="208" t="s">
        <v>1161</v>
      </c>
      <c r="L178" s="112"/>
      <c r="M178" s="325" t="s">
        <v>1010</v>
      </c>
      <c r="N178" s="212" t="s">
        <v>1025</v>
      </c>
      <c r="P178" s="213">
        <f>O178*H178</f>
        <v>0</v>
      </c>
      <c r="Q178" s="213">
        <v>0</v>
      </c>
      <c r="R178" s="213">
        <f>Q178*H178</f>
        <v>0</v>
      </c>
      <c r="S178" s="213">
        <v>0</v>
      </c>
      <c r="T178" s="214">
        <f>S178*H178</f>
        <v>0</v>
      </c>
      <c r="AR178" s="215" t="s">
        <v>76</v>
      </c>
      <c r="AT178" s="215" t="s">
        <v>1104</v>
      </c>
      <c r="AU178" s="215" t="s">
        <v>65</v>
      </c>
      <c r="AY178" s="103" t="s">
        <v>1102</v>
      </c>
      <c r="BE178" s="216">
        <f>IF(N178="základní",J178,0)</f>
        <v>0</v>
      </c>
      <c r="BF178" s="216">
        <f>IF(N178="snížená",J178,0)</f>
        <v>0</v>
      </c>
      <c r="BG178" s="216">
        <f>IF(N178="zákl. přenesená",J178,0)</f>
        <v>0</v>
      </c>
      <c r="BH178" s="216">
        <f>IF(N178="sníž. přenesená",J178,0)</f>
        <v>0</v>
      </c>
      <c r="BI178" s="216">
        <f>IF(N178="nulová",J178,0)</f>
        <v>0</v>
      </c>
      <c r="BJ178" s="103" t="s">
        <v>55</v>
      </c>
      <c r="BK178" s="216">
        <f>ROUND(I178*H178,2)</f>
        <v>0</v>
      </c>
      <c r="BL178" s="103" t="s">
        <v>76</v>
      </c>
      <c r="BM178" s="215" t="s">
        <v>1276</v>
      </c>
    </row>
    <row r="179" spans="2:65" s="256" customFormat="1" x14ac:dyDescent="0.25">
      <c r="B179" s="112"/>
      <c r="D179" s="217" t="s">
        <v>1109</v>
      </c>
      <c r="F179" s="218" t="s">
        <v>1277</v>
      </c>
      <c r="I179" s="324"/>
      <c r="L179" s="112"/>
      <c r="M179" s="219"/>
      <c r="T179" s="128"/>
      <c r="AT179" s="103" t="s">
        <v>1109</v>
      </c>
      <c r="AU179" s="103" t="s">
        <v>65</v>
      </c>
    </row>
    <row r="180" spans="2:65" s="256" customFormat="1" ht="21.75" customHeight="1" x14ac:dyDescent="0.25">
      <c r="B180" s="112"/>
      <c r="C180" s="206" t="s">
        <v>119</v>
      </c>
      <c r="D180" s="206" t="s">
        <v>1104</v>
      </c>
      <c r="E180" s="207" t="s">
        <v>1278</v>
      </c>
      <c r="F180" s="208" t="s">
        <v>1279</v>
      </c>
      <c r="G180" s="209" t="s">
        <v>1125</v>
      </c>
      <c r="H180" s="210">
        <v>13.436999999999999</v>
      </c>
      <c r="I180" s="326"/>
      <c r="J180" s="211">
        <f>ROUND(I180*H180,2)</f>
        <v>0</v>
      </c>
      <c r="K180" s="208" t="s">
        <v>1107</v>
      </c>
      <c r="L180" s="112"/>
      <c r="M180" s="325" t="s">
        <v>1010</v>
      </c>
      <c r="N180" s="212" t="s">
        <v>1025</v>
      </c>
      <c r="P180" s="213">
        <f>O180*H180</f>
        <v>0</v>
      </c>
      <c r="Q180" s="213">
        <v>0</v>
      </c>
      <c r="R180" s="213">
        <f>Q180*H180</f>
        <v>0</v>
      </c>
      <c r="S180" s="213">
        <v>0</v>
      </c>
      <c r="T180" s="214">
        <f>S180*H180</f>
        <v>0</v>
      </c>
      <c r="AR180" s="215" t="s">
        <v>126</v>
      </c>
      <c r="AT180" s="215" t="s">
        <v>1104</v>
      </c>
      <c r="AU180" s="215" t="s">
        <v>65</v>
      </c>
      <c r="AY180" s="103" t="s">
        <v>1102</v>
      </c>
      <c r="BE180" s="216">
        <f>IF(N180="základní",J180,0)</f>
        <v>0</v>
      </c>
      <c r="BF180" s="216">
        <f>IF(N180="snížená",J180,0)</f>
        <v>0</v>
      </c>
      <c r="BG180" s="216">
        <f>IF(N180="zákl. přenesená",J180,0)</f>
        <v>0</v>
      </c>
      <c r="BH180" s="216">
        <f>IF(N180="sníž. přenesená",J180,0)</f>
        <v>0</v>
      </c>
      <c r="BI180" s="216">
        <f>IF(N180="nulová",J180,0)</f>
        <v>0</v>
      </c>
      <c r="BJ180" s="103" t="s">
        <v>55</v>
      </c>
      <c r="BK180" s="216">
        <f>ROUND(I180*H180,2)</f>
        <v>0</v>
      </c>
      <c r="BL180" s="103" t="s">
        <v>126</v>
      </c>
      <c r="BM180" s="215" t="s">
        <v>1280</v>
      </c>
    </row>
    <row r="181" spans="2:65" s="256" customFormat="1" x14ac:dyDescent="0.25">
      <c r="B181" s="112"/>
      <c r="D181" s="217" t="s">
        <v>1109</v>
      </c>
      <c r="F181" s="218" t="s">
        <v>1281</v>
      </c>
      <c r="I181" s="324"/>
      <c r="L181" s="112"/>
      <c r="M181" s="219"/>
      <c r="T181" s="128"/>
      <c r="AT181" s="103" t="s">
        <v>1109</v>
      </c>
      <c r="AU181" s="103" t="s">
        <v>65</v>
      </c>
    </row>
    <row r="182" spans="2:65" s="256" customFormat="1" ht="24.2" customHeight="1" x14ac:dyDescent="0.25">
      <c r="B182" s="112"/>
      <c r="C182" s="206" t="s">
        <v>120</v>
      </c>
      <c r="D182" s="206" t="s">
        <v>1104</v>
      </c>
      <c r="E182" s="207" t="s">
        <v>1282</v>
      </c>
      <c r="F182" s="208" t="s">
        <v>1283</v>
      </c>
      <c r="G182" s="209" t="s">
        <v>1125</v>
      </c>
      <c r="H182" s="210">
        <v>134.37</v>
      </c>
      <c r="I182" s="326"/>
      <c r="J182" s="211">
        <f>ROUND(I182*H182,2)</f>
        <v>0</v>
      </c>
      <c r="K182" s="208" t="s">
        <v>1107</v>
      </c>
      <c r="L182" s="112"/>
      <c r="M182" s="325" t="s">
        <v>1010</v>
      </c>
      <c r="N182" s="212" t="s">
        <v>1025</v>
      </c>
      <c r="P182" s="213">
        <f>O182*H182</f>
        <v>0</v>
      </c>
      <c r="Q182" s="213">
        <v>0</v>
      </c>
      <c r="R182" s="213">
        <f>Q182*H182</f>
        <v>0</v>
      </c>
      <c r="S182" s="213">
        <v>0</v>
      </c>
      <c r="T182" s="214">
        <f>S182*H182</f>
        <v>0</v>
      </c>
      <c r="AR182" s="215" t="s">
        <v>76</v>
      </c>
      <c r="AT182" s="215" t="s">
        <v>1104</v>
      </c>
      <c r="AU182" s="215" t="s">
        <v>65</v>
      </c>
      <c r="AY182" s="103" t="s">
        <v>1102</v>
      </c>
      <c r="BE182" s="216">
        <f>IF(N182="základní",J182,0)</f>
        <v>0</v>
      </c>
      <c r="BF182" s="216">
        <f>IF(N182="snížená",J182,0)</f>
        <v>0</v>
      </c>
      <c r="BG182" s="216">
        <f>IF(N182="zákl. přenesená",J182,0)</f>
        <v>0</v>
      </c>
      <c r="BH182" s="216">
        <f>IF(N182="sníž. přenesená",J182,0)</f>
        <v>0</v>
      </c>
      <c r="BI182" s="216">
        <f>IF(N182="nulová",J182,0)</f>
        <v>0</v>
      </c>
      <c r="BJ182" s="103" t="s">
        <v>55</v>
      </c>
      <c r="BK182" s="216">
        <f>ROUND(I182*H182,2)</f>
        <v>0</v>
      </c>
      <c r="BL182" s="103" t="s">
        <v>76</v>
      </c>
      <c r="BM182" s="215" t="s">
        <v>1284</v>
      </c>
    </row>
    <row r="183" spans="2:65" s="256" customFormat="1" x14ac:dyDescent="0.25">
      <c r="B183" s="112"/>
      <c r="D183" s="217" t="s">
        <v>1109</v>
      </c>
      <c r="F183" s="218" t="s">
        <v>1285</v>
      </c>
      <c r="I183" s="324"/>
      <c r="L183" s="112"/>
      <c r="M183" s="219"/>
      <c r="T183" s="128"/>
      <c r="AT183" s="103" t="s">
        <v>1109</v>
      </c>
      <c r="AU183" s="103" t="s">
        <v>65</v>
      </c>
    </row>
    <row r="184" spans="2:65" s="220" customFormat="1" x14ac:dyDescent="0.25">
      <c r="B184" s="221"/>
      <c r="D184" s="222" t="s">
        <v>1128</v>
      </c>
      <c r="F184" s="223" t="s">
        <v>1286</v>
      </c>
      <c r="H184" s="224">
        <v>134.37</v>
      </c>
      <c r="I184" s="330"/>
      <c r="L184" s="221"/>
      <c r="M184" s="225"/>
      <c r="T184" s="226"/>
      <c r="AT184" s="227" t="s">
        <v>1128</v>
      </c>
      <c r="AU184" s="227" t="s">
        <v>65</v>
      </c>
      <c r="AV184" s="220" t="s">
        <v>65</v>
      </c>
      <c r="AW184" s="220" t="s">
        <v>999</v>
      </c>
      <c r="AX184" s="220" t="s">
        <v>55</v>
      </c>
      <c r="AY184" s="227" t="s">
        <v>1102</v>
      </c>
    </row>
    <row r="185" spans="2:65" s="256" customFormat="1" ht="24.2" customHeight="1" x14ac:dyDescent="0.25">
      <c r="B185" s="112"/>
      <c r="C185" s="206" t="s">
        <v>121</v>
      </c>
      <c r="D185" s="206" t="s">
        <v>1104</v>
      </c>
      <c r="E185" s="207" t="s">
        <v>1287</v>
      </c>
      <c r="F185" s="208" t="s">
        <v>1288</v>
      </c>
      <c r="G185" s="209" t="s">
        <v>1125</v>
      </c>
      <c r="H185" s="210">
        <v>13.436999999999999</v>
      </c>
      <c r="I185" s="326"/>
      <c r="J185" s="211">
        <f>ROUND(I185*H185,2)</f>
        <v>0</v>
      </c>
      <c r="K185" s="208" t="s">
        <v>1161</v>
      </c>
      <c r="L185" s="112"/>
      <c r="M185" s="325" t="s">
        <v>1010</v>
      </c>
      <c r="N185" s="212" t="s">
        <v>1025</v>
      </c>
      <c r="P185" s="213">
        <f>O185*H185</f>
        <v>0</v>
      </c>
      <c r="Q185" s="213">
        <v>0</v>
      </c>
      <c r="R185" s="213">
        <f>Q185*H185</f>
        <v>0</v>
      </c>
      <c r="S185" s="213">
        <v>0</v>
      </c>
      <c r="T185" s="214">
        <f>S185*H185</f>
        <v>0</v>
      </c>
      <c r="AR185" s="215" t="s">
        <v>76</v>
      </c>
      <c r="AT185" s="215" t="s">
        <v>1104</v>
      </c>
      <c r="AU185" s="215" t="s">
        <v>65</v>
      </c>
      <c r="AY185" s="103" t="s">
        <v>1102</v>
      </c>
      <c r="BE185" s="216">
        <f>IF(N185="základní",J185,0)</f>
        <v>0</v>
      </c>
      <c r="BF185" s="216">
        <f>IF(N185="snížená",J185,0)</f>
        <v>0</v>
      </c>
      <c r="BG185" s="216">
        <f>IF(N185="zákl. přenesená",J185,0)</f>
        <v>0</v>
      </c>
      <c r="BH185" s="216">
        <f>IF(N185="sníž. přenesená",J185,0)</f>
        <v>0</v>
      </c>
      <c r="BI185" s="216">
        <f>IF(N185="nulová",J185,0)</f>
        <v>0</v>
      </c>
      <c r="BJ185" s="103" t="s">
        <v>55</v>
      </c>
      <c r="BK185" s="216">
        <f>ROUND(I185*H185,2)</f>
        <v>0</v>
      </c>
      <c r="BL185" s="103" t="s">
        <v>76</v>
      </c>
      <c r="BM185" s="215" t="s">
        <v>1289</v>
      </c>
    </row>
    <row r="186" spans="2:65" s="256" customFormat="1" x14ac:dyDescent="0.25">
      <c r="B186" s="112"/>
      <c r="D186" s="217" t="s">
        <v>1109</v>
      </c>
      <c r="F186" s="218" t="s">
        <v>1290</v>
      </c>
      <c r="I186" s="324"/>
      <c r="L186" s="112"/>
      <c r="M186" s="219"/>
      <c r="T186" s="128"/>
      <c r="AT186" s="103" t="s">
        <v>1109</v>
      </c>
      <c r="AU186" s="103" t="s">
        <v>65</v>
      </c>
    </row>
    <row r="187" spans="2:65" s="256" customFormat="1" ht="16.5" customHeight="1" x14ac:dyDescent="0.25">
      <c r="B187" s="112"/>
      <c r="C187" s="206" t="s">
        <v>124</v>
      </c>
      <c r="D187" s="206" t="s">
        <v>1104</v>
      </c>
      <c r="E187" s="207" t="s">
        <v>1291</v>
      </c>
      <c r="F187" s="208" t="s">
        <v>1292</v>
      </c>
      <c r="G187" s="209" t="s">
        <v>1125</v>
      </c>
      <c r="H187" s="210">
        <v>13.436999999999999</v>
      </c>
      <c r="I187" s="326"/>
      <c r="J187" s="211">
        <f>ROUND(I187*H187,2)</f>
        <v>0</v>
      </c>
      <c r="K187" s="208" t="s">
        <v>1107</v>
      </c>
      <c r="L187" s="112"/>
      <c r="M187" s="325" t="s">
        <v>1010</v>
      </c>
      <c r="N187" s="212" t="s">
        <v>1025</v>
      </c>
      <c r="P187" s="213">
        <f>O187*H187</f>
        <v>0</v>
      </c>
      <c r="Q187" s="213">
        <v>0</v>
      </c>
      <c r="R187" s="213">
        <f>Q187*H187</f>
        <v>0</v>
      </c>
      <c r="S187" s="213">
        <v>0</v>
      </c>
      <c r="T187" s="214">
        <f>S187*H187</f>
        <v>0</v>
      </c>
      <c r="AR187" s="215" t="s">
        <v>76</v>
      </c>
      <c r="AT187" s="215" t="s">
        <v>1104</v>
      </c>
      <c r="AU187" s="215" t="s">
        <v>65</v>
      </c>
      <c r="AY187" s="103" t="s">
        <v>1102</v>
      </c>
      <c r="BE187" s="216">
        <f>IF(N187="základní",J187,0)</f>
        <v>0</v>
      </c>
      <c r="BF187" s="216">
        <f>IF(N187="snížená",J187,0)</f>
        <v>0</v>
      </c>
      <c r="BG187" s="216">
        <f>IF(N187="zákl. přenesená",J187,0)</f>
        <v>0</v>
      </c>
      <c r="BH187" s="216">
        <f>IF(N187="sníž. přenesená",J187,0)</f>
        <v>0</v>
      </c>
      <c r="BI187" s="216">
        <f>IF(N187="nulová",J187,0)</f>
        <v>0</v>
      </c>
      <c r="BJ187" s="103" t="s">
        <v>55</v>
      </c>
      <c r="BK187" s="216">
        <f>ROUND(I187*H187,2)</f>
        <v>0</v>
      </c>
      <c r="BL187" s="103" t="s">
        <v>76</v>
      </c>
      <c r="BM187" s="215" t="s">
        <v>1293</v>
      </c>
    </row>
    <row r="188" spans="2:65" s="256" customFormat="1" x14ac:dyDescent="0.25">
      <c r="B188" s="112"/>
      <c r="D188" s="217" t="s">
        <v>1109</v>
      </c>
      <c r="F188" s="218" t="s">
        <v>1294</v>
      </c>
      <c r="I188" s="324"/>
      <c r="L188" s="112"/>
      <c r="M188" s="219"/>
      <c r="T188" s="128"/>
      <c r="AT188" s="103" t="s">
        <v>1109</v>
      </c>
      <c r="AU188" s="103" t="s">
        <v>65</v>
      </c>
    </row>
    <row r="189" spans="2:65" s="194" customFormat="1" ht="22.9" customHeight="1" x14ac:dyDescent="0.2">
      <c r="B189" s="195"/>
      <c r="D189" s="196" t="s">
        <v>1052</v>
      </c>
      <c r="E189" s="204" t="s">
        <v>1295</v>
      </c>
      <c r="F189" s="204" t="s">
        <v>1296</v>
      </c>
      <c r="I189" s="327"/>
      <c r="J189" s="205">
        <f>BK189</f>
        <v>0</v>
      </c>
      <c r="L189" s="195"/>
      <c r="M189" s="199"/>
      <c r="P189" s="200">
        <f>SUM(P190:P193)</f>
        <v>0</v>
      </c>
      <c r="R189" s="200">
        <f>SUM(R190:R193)</f>
        <v>0</v>
      </c>
      <c r="T189" s="201">
        <f>SUM(T190:T193)</f>
        <v>0</v>
      </c>
      <c r="AR189" s="196" t="s">
        <v>55</v>
      </c>
      <c r="AT189" s="202" t="s">
        <v>1052</v>
      </c>
      <c r="AU189" s="202" t="s">
        <v>55</v>
      </c>
      <c r="AY189" s="196" t="s">
        <v>1102</v>
      </c>
      <c r="BK189" s="203">
        <f>SUM(BK190:BK193)</f>
        <v>0</v>
      </c>
    </row>
    <row r="190" spans="2:65" s="256" customFormat="1" ht="33" customHeight="1" x14ac:dyDescent="0.25">
      <c r="B190" s="112"/>
      <c r="C190" s="206" t="s">
        <v>132</v>
      </c>
      <c r="D190" s="206" t="s">
        <v>1104</v>
      </c>
      <c r="E190" s="207" t="s">
        <v>1297</v>
      </c>
      <c r="F190" s="208" t="s">
        <v>1298</v>
      </c>
      <c r="G190" s="209" t="s">
        <v>1125</v>
      </c>
      <c r="H190" s="210">
        <v>82.754999999999995</v>
      </c>
      <c r="I190" s="326"/>
      <c r="J190" s="211">
        <f>ROUND(I190*H190,2)</f>
        <v>0</v>
      </c>
      <c r="K190" s="208" t="s">
        <v>1146</v>
      </c>
      <c r="L190" s="112"/>
      <c r="M190" s="325" t="s">
        <v>1010</v>
      </c>
      <c r="N190" s="212" t="s">
        <v>1025</v>
      </c>
      <c r="P190" s="213">
        <f>O190*H190</f>
        <v>0</v>
      </c>
      <c r="Q190" s="213">
        <v>0</v>
      </c>
      <c r="R190" s="213">
        <f>Q190*H190</f>
        <v>0</v>
      </c>
      <c r="S190" s="213">
        <v>0</v>
      </c>
      <c r="T190" s="214">
        <f>S190*H190</f>
        <v>0</v>
      </c>
      <c r="AR190" s="215" t="s">
        <v>76</v>
      </c>
      <c r="AT190" s="215" t="s">
        <v>1104</v>
      </c>
      <c r="AU190" s="215" t="s">
        <v>65</v>
      </c>
      <c r="AY190" s="103" t="s">
        <v>1102</v>
      </c>
      <c r="BE190" s="216">
        <f>IF(N190="základní",J190,0)</f>
        <v>0</v>
      </c>
      <c r="BF190" s="216">
        <f>IF(N190="snížená",J190,0)</f>
        <v>0</v>
      </c>
      <c r="BG190" s="216">
        <f>IF(N190="zákl. přenesená",J190,0)</f>
        <v>0</v>
      </c>
      <c r="BH190" s="216">
        <f>IF(N190="sníž. přenesená",J190,0)</f>
        <v>0</v>
      </c>
      <c r="BI190" s="216">
        <f>IF(N190="nulová",J190,0)</f>
        <v>0</v>
      </c>
      <c r="BJ190" s="103" t="s">
        <v>55</v>
      </c>
      <c r="BK190" s="216">
        <f>ROUND(I190*H190,2)</f>
        <v>0</v>
      </c>
      <c r="BL190" s="103" t="s">
        <v>76</v>
      </c>
      <c r="BM190" s="215" t="s">
        <v>1299</v>
      </c>
    </row>
    <row r="191" spans="2:65" s="256" customFormat="1" x14ac:dyDescent="0.25">
      <c r="B191" s="112"/>
      <c r="D191" s="217" t="s">
        <v>1109</v>
      </c>
      <c r="F191" s="218" t="s">
        <v>1300</v>
      </c>
      <c r="I191" s="324"/>
      <c r="L191" s="112"/>
      <c r="M191" s="219"/>
      <c r="T191" s="128"/>
      <c r="AT191" s="103" t="s">
        <v>1109</v>
      </c>
      <c r="AU191" s="103" t="s">
        <v>65</v>
      </c>
    </row>
    <row r="192" spans="2:65" s="256" customFormat="1" ht="24.2" customHeight="1" x14ac:dyDescent="0.25">
      <c r="B192" s="112"/>
      <c r="C192" s="206" t="s">
        <v>270</v>
      </c>
      <c r="D192" s="206" t="s">
        <v>1104</v>
      </c>
      <c r="E192" s="207" t="s">
        <v>1301</v>
      </c>
      <c r="F192" s="208" t="s">
        <v>1302</v>
      </c>
      <c r="G192" s="209" t="s">
        <v>1125</v>
      </c>
      <c r="H192" s="210">
        <v>8.0310000000000006</v>
      </c>
      <c r="I192" s="326"/>
      <c r="J192" s="211">
        <f>ROUND(I192*H192,2)</f>
        <v>0</v>
      </c>
      <c r="K192" s="208" t="s">
        <v>1146</v>
      </c>
      <c r="L192" s="112"/>
      <c r="M192" s="325" t="s">
        <v>1010</v>
      </c>
      <c r="N192" s="212" t="s">
        <v>1025</v>
      </c>
      <c r="P192" s="213">
        <f>O192*H192</f>
        <v>0</v>
      </c>
      <c r="Q192" s="213">
        <v>0</v>
      </c>
      <c r="R192" s="213">
        <f>Q192*H192</f>
        <v>0</v>
      </c>
      <c r="S192" s="213">
        <v>0</v>
      </c>
      <c r="T192" s="214">
        <f>S192*H192</f>
        <v>0</v>
      </c>
      <c r="AR192" s="215" t="s">
        <v>76</v>
      </c>
      <c r="AT192" s="215" t="s">
        <v>1104</v>
      </c>
      <c r="AU192" s="215" t="s">
        <v>65</v>
      </c>
      <c r="AY192" s="103" t="s">
        <v>1102</v>
      </c>
      <c r="BE192" s="216">
        <f>IF(N192="základní",J192,0)</f>
        <v>0</v>
      </c>
      <c r="BF192" s="216">
        <f>IF(N192="snížená",J192,0)</f>
        <v>0</v>
      </c>
      <c r="BG192" s="216">
        <f>IF(N192="zákl. přenesená",J192,0)</f>
        <v>0</v>
      </c>
      <c r="BH192" s="216">
        <f>IF(N192="sníž. přenesená",J192,0)</f>
        <v>0</v>
      </c>
      <c r="BI192" s="216">
        <f>IF(N192="nulová",J192,0)</f>
        <v>0</v>
      </c>
      <c r="BJ192" s="103" t="s">
        <v>55</v>
      </c>
      <c r="BK192" s="216">
        <f>ROUND(I192*H192,2)</f>
        <v>0</v>
      </c>
      <c r="BL192" s="103" t="s">
        <v>76</v>
      </c>
      <c r="BM192" s="215" t="s">
        <v>1303</v>
      </c>
    </row>
    <row r="193" spans="2:65" s="256" customFormat="1" x14ac:dyDescent="0.25">
      <c r="B193" s="112"/>
      <c r="D193" s="217" t="s">
        <v>1109</v>
      </c>
      <c r="F193" s="218" t="s">
        <v>1304</v>
      </c>
      <c r="I193" s="324"/>
      <c r="L193" s="112"/>
      <c r="M193" s="219"/>
      <c r="T193" s="128"/>
      <c r="AT193" s="103" t="s">
        <v>1109</v>
      </c>
      <c r="AU193" s="103" t="s">
        <v>65</v>
      </c>
    </row>
    <row r="194" spans="2:65" s="194" customFormat="1" ht="25.9" customHeight="1" x14ac:dyDescent="0.2">
      <c r="B194" s="195"/>
      <c r="D194" s="196" t="s">
        <v>1052</v>
      </c>
      <c r="E194" s="197" t="s">
        <v>687</v>
      </c>
      <c r="F194" s="197" t="s">
        <v>1305</v>
      </c>
      <c r="I194" s="327"/>
      <c r="J194" s="198">
        <f>BK194</f>
        <v>0</v>
      </c>
      <c r="L194" s="195"/>
      <c r="M194" s="199"/>
      <c r="P194" s="200">
        <f>P195+P248+P330</f>
        <v>0</v>
      </c>
      <c r="R194" s="200">
        <f>R195+R248+R330</f>
        <v>3.6183469999999991</v>
      </c>
      <c r="T194" s="201">
        <f>T195+T248+T330</f>
        <v>4.3681200000000011</v>
      </c>
      <c r="AR194" s="196" t="s">
        <v>65</v>
      </c>
      <c r="AT194" s="202" t="s">
        <v>1052</v>
      </c>
      <c r="AU194" s="202" t="s">
        <v>166</v>
      </c>
      <c r="AY194" s="196" t="s">
        <v>1102</v>
      </c>
      <c r="BK194" s="203">
        <f>BK195+BK248+BK330</f>
        <v>0</v>
      </c>
    </row>
    <row r="195" spans="2:65" s="194" customFormat="1" ht="22.9" customHeight="1" x14ac:dyDescent="0.2">
      <c r="B195" s="195"/>
      <c r="D195" s="196" t="s">
        <v>1052</v>
      </c>
      <c r="E195" s="204" t="s">
        <v>783</v>
      </c>
      <c r="F195" s="204" t="s">
        <v>1306</v>
      </c>
      <c r="I195" s="327"/>
      <c r="J195" s="205">
        <f>BK195</f>
        <v>0</v>
      </c>
      <c r="L195" s="195"/>
      <c r="M195" s="199"/>
      <c r="P195" s="200">
        <f>SUM(P196:P247)</f>
        <v>0</v>
      </c>
      <c r="R195" s="200">
        <f>SUM(R196:R247)</f>
        <v>0.53272200000000003</v>
      </c>
      <c r="T195" s="201">
        <f>SUM(T196:T247)</f>
        <v>1.119</v>
      </c>
      <c r="AR195" s="196" t="s">
        <v>65</v>
      </c>
      <c r="AT195" s="202" t="s">
        <v>1052</v>
      </c>
      <c r="AU195" s="202" t="s">
        <v>55</v>
      </c>
      <c r="AY195" s="196" t="s">
        <v>1102</v>
      </c>
      <c r="BK195" s="203">
        <f>SUM(BK196:BK247)</f>
        <v>0</v>
      </c>
    </row>
    <row r="196" spans="2:65" s="256" customFormat="1" ht="16.5" customHeight="1" x14ac:dyDescent="0.25">
      <c r="B196" s="112"/>
      <c r="C196" s="206" t="s">
        <v>177</v>
      </c>
      <c r="D196" s="206" t="s">
        <v>1104</v>
      </c>
      <c r="E196" s="207" t="s">
        <v>1307</v>
      </c>
      <c r="F196" s="208" t="s">
        <v>1308</v>
      </c>
      <c r="G196" s="209" t="s">
        <v>113</v>
      </c>
      <c r="H196" s="210">
        <v>10</v>
      </c>
      <c r="I196" s="326"/>
      <c r="J196" s="211">
        <f>ROUND(I196*H196,2)</f>
        <v>0</v>
      </c>
      <c r="K196" s="208" t="s">
        <v>1146</v>
      </c>
      <c r="L196" s="112"/>
      <c r="M196" s="325" t="s">
        <v>1010</v>
      </c>
      <c r="N196" s="212" t="s">
        <v>1025</v>
      </c>
      <c r="P196" s="213">
        <f>O196*H196</f>
        <v>0</v>
      </c>
      <c r="Q196" s="213">
        <v>1.8400000000000001E-3</v>
      </c>
      <c r="R196" s="213">
        <f>Q196*H196</f>
        <v>1.84E-2</v>
      </c>
      <c r="S196" s="213">
        <v>0</v>
      </c>
      <c r="T196" s="214">
        <f>S196*H196</f>
        <v>0</v>
      </c>
      <c r="AR196" s="215" t="s">
        <v>126</v>
      </c>
      <c r="AT196" s="215" t="s">
        <v>1104</v>
      </c>
      <c r="AU196" s="215" t="s">
        <v>65</v>
      </c>
      <c r="AY196" s="103" t="s">
        <v>1102</v>
      </c>
      <c r="BE196" s="216">
        <f>IF(N196="základní",J196,0)</f>
        <v>0</v>
      </c>
      <c r="BF196" s="216">
        <f>IF(N196="snížená",J196,0)</f>
        <v>0</v>
      </c>
      <c r="BG196" s="216">
        <f>IF(N196="zákl. přenesená",J196,0)</f>
        <v>0</v>
      </c>
      <c r="BH196" s="216">
        <f>IF(N196="sníž. přenesená",J196,0)</f>
        <v>0</v>
      </c>
      <c r="BI196" s="216">
        <f>IF(N196="nulová",J196,0)</f>
        <v>0</v>
      </c>
      <c r="BJ196" s="103" t="s">
        <v>55</v>
      </c>
      <c r="BK196" s="216">
        <f>ROUND(I196*H196,2)</f>
        <v>0</v>
      </c>
      <c r="BL196" s="103" t="s">
        <v>126</v>
      </c>
      <c r="BM196" s="215" t="s">
        <v>1309</v>
      </c>
    </row>
    <row r="197" spans="2:65" s="256" customFormat="1" x14ac:dyDescent="0.25">
      <c r="B197" s="112"/>
      <c r="D197" s="217" t="s">
        <v>1109</v>
      </c>
      <c r="F197" s="218" t="s">
        <v>1310</v>
      </c>
      <c r="I197" s="324"/>
      <c r="L197" s="112"/>
      <c r="M197" s="219"/>
      <c r="T197" s="128"/>
      <c r="AT197" s="103" t="s">
        <v>1109</v>
      </c>
      <c r="AU197" s="103" t="s">
        <v>65</v>
      </c>
    </row>
    <row r="198" spans="2:65" s="256" customFormat="1" ht="16.5" customHeight="1" x14ac:dyDescent="0.25">
      <c r="B198" s="112"/>
      <c r="C198" s="206" t="s">
        <v>116</v>
      </c>
      <c r="D198" s="206" t="s">
        <v>1104</v>
      </c>
      <c r="E198" s="207" t="s">
        <v>1311</v>
      </c>
      <c r="F198" s="208" t="s">
        <v>1312</v>
      </c>
      <c r="G198" s="209" t="s">
        <v>104</v>
      </c>
      <c r="H198" s="210">
        <v>75</v>
      </c>
      <c r="I198" s="326"/>
      <c r="J198" s="211">
        <f>ROUND(I198*H198,2)</f>
        <v>0</v>
      </c>
      <c r="K198" s="208" t="s">
        <v>1161</v>
      </c>
      <c r="L198" s="112"/>
      <c r="M198" s="325" t="s">
        <v>1010</v>
      </c>
      <c r="N198" s="212" t="s">
        <v>1025</v>
      </c>
      <c r="P198" s="213">
        <f>O198*H198</f>
        <v>0</v>
      </c>
      <c r="Q198" s="213">
        <v>0</v>
      </c>
      <c r="R198" s="213">
        <f>Q198*H198</f>
        <v>0</v>
      </c>
      <c r="S198" s="213">
        <v>1.4919999999999999E-2</v>
      </c>
      <c r="T198" s="214">
        <f>S198*H198</f>
        <v>1.119</v>
      </c>
      <c r="AR198" s="215" t="s">
        <v>126</v>
      </c>
      <c r="AT198" s="215" t="s">
        <v>1104</v>
      </c>
      <c r="AU198" s="215" t="s">
        <v>65</v>
      </c>
      <c r="AY198" s="103" t="s">
        <v>1102</v>
      </c>
      <c r="BE198" s="216">
        <f>IF(N198="základní",J198,0)</f>
        <v>0</v>
      </c>
      <c r="BF198" s="216">
        <f>IF(N198="snížená",J198,0)</f>
        <v>0</v>
      </c>
      <c r="BG198" s="216">
        <f>IF(N198="zákl. přenesená",J198,0)</f>
        <v>0</v>
      </c>
      <c r="BH198" s="216">
        <f>IF(N198="sníž. přenesená",J198,0)</f>
        <v>0</v>
      </c>
      <c r="BI198" s="216">
        <f>IF(N198="nulová",J198,0)</f>
        <v>0</v>
      </c>
      <c r="BJ198" s="103" t="s">
        <v>55</v>
      </c>
      <c r="BK198" s="216">
        <f>ROUND(I198*H198,2)</f>
        <v>0</v>
      </c>
      <c r="BL198" s="103" t="s">
        <v>126</v>
      </c>
      <c r="BM198" s="215" t="s">
        <v>1313</v>
      </c>
    </row>
    <row r="199" spans="2:65" s="256" customFormat="1" x14ac:dyDescent="0.25">
      <c r="B199" s="112"/>
      <c r="D199" s="217" t="s">
        <v>1109</v>
      </c>
      <c r="F199" s="218" t="s">
        <v>1314</v>
      </c>
      <c r="I199" s="324"/>
      <c r="L199" s="112"/>
      <c r="M199" s="219"/>
      <c r="T199" s="128"/>
      <c r="AT199" s="103" t="s">
        <v>1109</v>
      </c>
      <c r="AU199" s="103" t="s">
        <v>65</v>
      </c>
    </row>
    <row r="200" spans="2:65" s="256" customFormat="1" ht="16.5" customHeight="1" x14ac:dyDescent="0.25">
      <c r="B200" s="112"/>
      <c r="C200" s="228" t="s">
        <v>216</v>
      </c>
      <c r="D200" s="228" t="s">
        <v>1138</v>
      </c>
      <c r="E200" s="229" t="s">
        <v>1315</v>
      </c>
      <c r="F200" s="230" t="s">
        <v>1316</v>
      </c>
      <c r="G200" s="231" t="s">
        <v>113</v>
      </c>
      <c r="H200" s="232">
        <v>2</v>
      </c>
      <c r="I200" s="329"/>
      <c r="J200" s="233">
        <f>ROUND(I200*H200,2)</f>
        <v>0</v>
      </c>
      <c r="K200" s="230" t="s">
        <v>1161</v>
      </c>
      <c r="L200" s="234"/>
      <c r="M200" s="328" t="s">
        <v>1010</v>
      </c>
      <c r="N200" s="235" t="s">
        <v>1025</v>
      </c>
      <c r="P200" s="213">
        <f>O200*H200</f>
        <v>0</v>
      </c>
      <c r="Q200" s="213">
        <v>1.3999999999999999E-4</v>
      </c>
      <c r="R200" s="213">
        <f>Q200*H200</f>
        <v>2.7999999999999998E-4</v>
      </c>
      <c r="S200" s="213">
        <v>0</v>
      </c>
      <c r="T200" s="214">
        <f>S200*H200</f>
        <v>0</v>
      </c>
      <c r="AR200" s="215" t="s">
        <v>160</v>
      </c>
      <c r="AT200" s="215" t="s">
        <v>1138</v>
      </c>
      <c r="AU200" s="215" t="s">
        <v>65</v>
      </c>
      <c r="AY200" s="103" t="s">
        <v>1102</v>
      </c>
      <c r="BE200" s="216">
        <f>IF(N200="základní",J200,0)</f>
        <v>0</v>
      </c>
      <c r="BF200" s="216">
        <f>IF(N200="snížená",J200,0)</f>
        <v>0</v>
      </c>
      <c r="BG200" s="216">
        <f>IF(N200="zákl. přenesená",J200,0)</f>
        <v>0</v>
      </c>
      <c r="BH200" s="216">
        <f>IF(N200="sníž. přenesená",J200,0)</f>
        <v>0</v>
      </c>
      <c r="BI200" s="216">
        <f>IF(N200="nulová",J200,0)</f>
        <v>0</v>
      </c>
      <c r="BJ200" s="103" t="s">
        <v>55</v>
      </c>
      <c r="BK200" s="216">
        <f>ROUND(I200*H200,2)</f>
        <v>0</v>
      </c>
      <c r="BL200" s="103" t="s">
        <v>126</v>
      </c>
      <c r="BM200" s="215" t="s">
        <v>1317</v>
      </c>
    </row>
    <row r="201" spans="2:65" s="256" customFormat="1" ht="16.5" customHeight="1" x14ac:dyDescent="0.25">
      <c r="B201" s="112"/>
      <c r="C201" s="228" t="s">
        <v>217</v>
      </c>
      <c r="D201" s="228" t="s">
        <v>1138</v>
      </c>
      <c r="E201" s="229" t="s">
        <v>1318</v>
      </c>
      <c r="F201" s="230" t="s">
        <v>1319</v>
      </c>
      <c r="G201" s="231" t="s">
        <v>113</v>
      </c>
      <c r="H201" s="232">
        <v>6</v>
      </c>
      <c r="I201" s="329"/>
      <c r="J201" s="233">
        <f>ROUND(I201*H201,2)</f>
        <v>0</v>
      </c>
      <c r="K201" s="230" t="s">
        <v>1161</v>
      </c>
      <c r="L201" s="234"/>
      <c r="M201" s="328" t="s">
        <v>1010</v>
      </c>
      <c r="N201" s="235" t="s">
        <v>1025</v>
      </c>
      <c r="P201" s="213">
        <f>O201*H201</f>
        <v>0</v>
      </c>
      <c r="Q201" s="213">
        <v>3.3E-4</v>
      </c>
      <c r="R201" s="213">
        <f>Q201*H201</f>
        <v>1.98E-3</v>
      </c>
      <c r="S201" s="213">
        <v>0</v>
      </c>
      <c r="T201" s="214">
        <f>S201*H201</f>
        <v>0</v>
      </c>
      <c r="AR201" s="215" t="s">
        <v>160</v>
      </c>
      <c r="AT201" s="215" t="s">
        <v>1138</v>
      </c>
      <c r="AU201" s="215" t="s">
        <v>65</v>
      </c>
      <c r="AY201" s="103" t="s">
        <v>1102</v>
      </c>
      <c r="BE201" s="216">
        <f>IF(N201="základní",J201,0)</f>
        <v>0</v>
      </c>
      <c r="BF201" s="216">
        <f>IF(N201="snížená",J201,0)</f>
        <v>0</v>
      </c>
      <c r="BG201" s="216">
        <f>IF(N201="zákl. přenesená",J201,0)</f>
        <v>0</v>
      </c>
      <c r="BH201" s="216">
        <f>IF(N201="sníž. přenesená",J201,0)</f>
        <v>0</v>
      </c>
      <c r="BI201" s="216">
        <f>IF(N201="nulová",J201,0)</f>
        <v>0</v>
      </c>
      <c r="BJ201" s="103" t="s">
        <v>55</v>
      </c>
      <c r="BK201" s="216">
        <f>ROUND(I201*H201,2)</f>
        <v>0</v>
      </c>
      <c r="BL201" s="103" t="s">
        <v>126</v>
      </c>
      <c r="BM201" s="215" t="s">
        <v>1320</v>
      </c>
    </row>
    <row r="202" spans="2:65" s="256" customFormat="1" ht="16.5" customHeight="1" x14ac:dyDescent="0.25">
      <c r="B202" s="112"/>
      <c r="C202" s="206" t="s">
        <v>205</v>
      </c>
      <c r="D202" s="206" t="s">
        <v>1104</v>
      </c>
      <c r="E202" s="207" t="s">
        <v>1321</v>
      </c>
      <c r="F202" s="208" t="s">
        <v>1322</v>
      </c>
      <c r="G202" s="209" t="s">
        <v>104</v>
      </c>
      <c r="H202" s="210">
        <v>10.3</v>
      </c>
      <c r="I202" s="326"/>
      <c r="J202" s="211">
        <f>ROUND(I202*H202,2)</f>
        <v>0</v>
      </c>
      <c r="K202" s="208" t="s">
        <v>1146</v>
      </c>
      <c r="L202" s="112"/>
      <c r="M202" s="325" t="s">
        <v>1010</v>
      </c>
      <c r="N202" s="212" t="s">
        <v>1025</v>
      </c>
      <c r="P202" s="213">
        <f>O202*H202</f>
        <v>0</v>
      </c>
      <c r="Q202" s="213">
        <v>5.9000000000000003E-4</v>
      </c>
      <c r="R202" s="213">
        <f>Q202*H202</f>
        <v>6.0770000000000008E-3</v>
      </c>
      <c r="S202" s="213">
        <v>0</v>
      </c>
      <c r="T202" s="214">
        <f>S202*H202</f>
        <v>0</v>
      </c>
      <c r="AR202" s="215" t="s">
        <v>126</v>
      </c>
      <c r="AT202" s="215" t="s">
        <v>1104</v>
      </c>
      <c r="AU202" s="215" t="s">
        <v>65</v>
      </c>
      <c r="AY202" s="103" t="s">
        <v>1102</v>
      </c>
      <c r="BE202" s="216">
        <f>IF(N202="základní",J202,0)</f>
        <v>0</v>
      </c>
      <c r="BF202" s="216">
        <f>IF(N202="snížená",J202,0)</f>
        <v>0</v>
      </c>
      <c r="BG202" s="216">
        <f>IF(N202="zákl. přenesená",J202,0)</f>
        <v>0</v>
      </c>
      <c r="BH202" s="216">
        <f>IF(N202="sníž. přenesená",J202,0)</f>
        <v>0</v>
      </c>
      <c r="BI202" s="216">
        <f>IF(N202="nulová",J202,0)</f>
        <v>0</v>
      </c>
      <c r="BJ202" s="103" t="s">
        <v>55</v>
      </c>
      <c r="BK202" s="216">
        <f>ROUND(I202*H202,2)</f>
        <v>0</v>
      </c>
      <c r="BL202" s="103" t="s">
        <v>126</v>
      </c>
      <c r="BM202" s="215" t="s">
        <v>1323</v>
      </c>
    </row>
    <row r="203" spans="2:65" s="256" customFormat="1" x14ac:dyDescent="0.25">
      <c r="B203" s="112"/>
      <c r="D203" s="217" t="s">
        <v>1109</v>
      </c>
      <c r="F203" s="218" t="s">
        <v>1324</v>
      </c>
      <c r="I203" s="324"/>
      <c r="L203" s="112"/>
      <c r="M203" s="219"/>
      <c r="T203" s="128"/>
      <c r="AT203" s="103" t="s">
        <v>1109</v>
      </c>
      <c r="AU203" s="103" t="s">
        <v>65</v>
      </c>
    </row>
    <row r="204" spans="2:65" s="256" customFormat="1" ht="16.5" customHeight="1" x14ac:dyDescent="0.25">
      <c r="B204" s="112"/>
      <c r="C204" s="228" t="s">
        <v>52</v>
      </c>
      <c r="D204" s="228" t="s">
        <v>1138</v>
      </c>
      <c r="E204" s="229" t="s">
        <v>1325</v>
      </c>
      <c r="F204" s="230" t="s">
        <v>1326</v>
      </c>
      <c r="G204" s="231" t="s">
        <v>113</v>
      </c>
      <c r="H204" s="232">
        <v>22</v>
      </c>
      <c r="I204" s="329"/>
      <c r="J204" s="233">
        <f>ROUND(I204*H204,2)</f>
        <v>0</v>
      </c>
      <c r="K204" s="230" t="s">
        <v>1146</v>
      </c>
      <c r="L204" s="234"/>
      <c r="M204" s="328" t="s">
        <v>1010</v>
      </c>
      <c r="N204" s="235" t="s">
        <v>1025</v>
      </c>
      <c r="P204" s="213">
        <f>O204*H204</f>
        <v>0</v>
      </c>
      <c r="Q204" s="213">
        <v>1.4999999999999999E-4</v>
      </c>
      <c r="R204" s="213">
        <f>Q204*H204</f>
        <v>3.2999999999999995E-3</v>
      </c>
      <c r="S204" s="213">
        <v>0</v>
      </c>
      <c r="T204" s="214">
        <f>S204*H204</f>
        <v>0</v>
      </c>
      <c r="AR204" s="215" t="s">
        <v>160</v>
      </c>
      <c r="AT204" s="215" t="s">
        <v>1138</v>
      </c>
      <c r="AU204" s="215" t="s">
        <v>65</v>
      </c>
      <c r="AY204" s="103" t="s">
        <v>1102</v>
      </c>
      <c r="BE204" s="216">
        <f>IF(N204="základní",J204,0)</f>
        <v>0</v>
      </c>
      <c r="BF204" s="216">
        <f>IF(N204="snížená",J204,0)</f>
        <v>0</v>
      </c>
      <c r="BG204" s="216">
        <f>IF(N204="zákl. přenesená",J204,0)</f>
        <v>0</v>
      </c>
      <c r="BH204" s="216">
        <f>IF(N204="sníž. přenesená",J204,0)</f>
        <v>0</v>
      </c>
      <c r="BI204" s="216">
        <f>IF(N204="nulová",J204,0)</f>
        <v>0</v>
      </c>
      <c r="BJ204" s="103" t="s">
        <v>55</v>
      </c>
      <c r="BK204" s="216">
        <f>ROUND(I204*H204,2)</f>
        <v>0</v>
      </c>
      <c r="BL204" s="103" t="s">
        <v>126</v>
      </c>
      <c r="BM204" s="215" t="s">
        <v>1327</v>
      </c>
    </row>
    <row r="205" spans="2:65" s="256" customFormat="1" ht="16.5" customHeight="1" x14ac:dyDescent="0.25">
      <c r="B205" s="112"/>
      <c r="C205" s="206" t="s">
        <v>206</v>
      </c>
      <c r="D205" s="206" t="s">
        <v>1104</v>
      </c>
      <c r="E205" s="207" t="s">
        <v>1328</v>
      </c>
      <c r="F205" s="208" t="s">
        <v>1329</v>
      </c>
      <c r="G205" s="209" t="s">
        <v>104</v>
      </c>
      <c r="H205" s="210">
        <v>128.4</v>
      </c>
      <c r="I205" s="326"/>
      <c r="J205" s="211">
        <f>ROUND(I205*H205,2)</f>
        <v>0</v>
      </c>
      <c r="K205" s="208" t="s">
        <v>1146</v>
      </c>
      <c r="L205" s="112"/>
      <c r="M205" s="325" t="s">
        <v>1010</v>
      </c>
      <c r="N205" s="212" t="s">
        <v>1025</v>
      </c>
      <c r="P205" s="213">
        <f>O205*H205</f>
        <v>0</v>
      </c>
      <c r="Q205" s="213">
        <v>2.0100000000000001E-3</v>
      </c>
      <c r="R205" s="213">
        <f>Q205*H205</f>
        <v>0.25808400000000004</v>
      </c>
      <c r="S205" s="213">
        <v>0</v>
      </c>
      <c r="T205" s="214">
        <f>S205*H205</f>
        <v>0</v>
      </c>
      <c r="AR205" s="215" t="s">
        <v>126</v>
      </c>
      <c r="AT205" s="215" t="s">
        <v>1104</v>
      </c>
      <c r="AU205" s="215" t="s">
        <v>65</v>
      </c>
      <c r="AY205" s="103" t="s">
        <v>1102</v>
      </c>
      <c r="BE205" s="216">
        <f>IF(N205="základní",J205,0)</f>
        <v>0</v>
      </c>
      <c r="BF205" s="216">
        <f>IF(N205="snížená",J205,0)</f>
        <v>0</v>
      </c>
      <c r="BG205" s="216">
        <f>IF(N205="zákl. přenesená",J205,0)</f>
        <v>0</v>
      </c>
      <c r="BH205" s="216">
        <f>IF(N205="sníž. přenesená",J205,0)</f>
        <v>0</v>
      </c>
      <c r="BI205" s="216">
        <f>IF(N205="nulová",J205,0)</f>
        <v>0</v>
      </c>
      <c r="BJ205" s="103" t="s">
        <v>55</v>
      </c>
      <c r="BK205" s="216">
        <f>ROUND(I205*H205,2)</f>
        <v>0</v>
      </c>
      <c r="BL205" s="103" t="s">
        <v>126</v>
      </c>
      <c r="BM205" s="215" t="s">
        <v>1330</v>
      </c>
    </row>
    <row r="206" spans="2:65" s="256" customFormat="1" x14ac:dyDescent="0.25">
      <c r="B206" s="112"/>
      <c r="D206" s="217" t="s">
        <v>1109</v>
      </c>
      <c r="F206" s="218" t="s">
        <v>1331</v>
      </c>
      <c r="I206" s="324"/>
      <c r="L206" s="112"/>
      <c r="M206" s="219"/>
      <c r="T206" s="128"/>
      <c r="AT206" s="103" t="s">
        <v>1109</v>
      </c>
      <c r="AU206" s="103" t="s">
        <v>65</v>
      </c>
    </row>
    <row r="207" spans="2:65" s="256" customFormat="1" ht="16.5" customHeight="1" x14ac:dyDescent="0.25">
      <c r="B207" s="112"/>
      <c r="C207" s="228" t="s">
        <v>207</v>
      </c>
      <c r="D207" s="228" t="s">
        <v>1138</v>
      </c>
      <c r="E207" s="229" t="s">
        <v>1332</v>
      </c>
      <c r="F207" s="230" t="s">
        <v>1333</v>
      </c>
      <c r="G207" s="231" t="s">
        <v>113</v>
      </c>
      <c r="H207" s="232">
        <v>258</v>
      </c>
      <c r="I207" s="329"/>
      <c r="J207" s="233">
        <f>ROUND(I207*H207,2)</f>
        <v>0</v>
      </c>
      <c r="K207" s="230" t="s">
        <v>1107</v>
      </c>
      <c r="L207" s="234"/>
      <c r="M207" s="328" t="s">
        <v>1010</v>
      </c>
      <c r="N207" s="235" t="s">
        <v>1025</v>
      </c>
      <c r="P207" s="213">
        <f>O207*H207</f>
        <v>0</v>
      </c>
      <c r="Q207" s="213">
        <v>2.7E-4</v>
      </c>
      <c r="R207" s="213">
        <f>Q207*H207</f>
        <v>6.966E-2</v>
      </c>
      <c r="S207" s="213">
        <v>0</v>
      </c>
      <c r="T207" s="214">
        <f>S207*H207</f>
        <v>0</v>
      </c>
      <c r="AR207" s="215" t="s">
        <v>160</v>
      </c>
      <c r="AT207" s="215" t="s">
        <v>1138</v>
      </c>
      <c r="AU207" s="215" t="s">
        <v>65</v>
      </c>
      <c r="AY207" s="103" t="s">
        <v>1102</v>
      </c>
      <c r="BE207" s="216">
        <f>IF(N207="základní",J207,0)</f>
        <v>0</v>
      </c>
      <c r="BF207" s="216">
        <f>IF(N207="snížená",J207,0)</f>
        <v>0</v>
      </c>
      <c r="BG207" s="216">
        <f>IF(N207="zákl. přenesená",J207,0)</f>
        <v>0</v>
      </c>
      <c r="BH207" s="216">
        <f>IF(N207="sníž. přenesená",J207,0)</f>
        <v>0</v>
      </c>
      <c r="BI207" s="216">
        <f>IF(N207="nulová",J207,0)</f>
        <v>0</v>
      </c>
      <c r="BJ207" s="103" t="s">
        <v>55</v>
      </c>
      <c r="BK207" s="216">
        <f>ROUND(I207*H207,2)</f>
        <v>0</v>
      </c>
      <c r="BL207" s="103" t="s">
        <v>126</v>
      </c>
      <c r="BM207" s="215" t="s">
        <v>1334</v>
      </c>
    </row>
    <row r="208" spans="2:65" s="256" customFormat="1" ht="16.5" customHeight="1" x14ac:dyDescent="0.25">
      <c r="B208" s="112"/>
      <c r="C208" s="206" t="s">
        <v>202</v>
      </c>
      <c r="D208" s="206" t="s">
        <v>1104</v>
      </c>
      <c r="E208" s="207" t="s">
        <v>1335</v>
      </c>
      <c r="F208" s="208" t="s">
        <v>1336</v>
      </c>
      <c r="G208" s="209" t="s">
        <v>104</v>
      </c>
      <c r="H208" s="210">
        <v>25.4</v>
      </c>
      <c r="I208" s="326"/>
      <c r="J208" s="211">
        <f>ROUND(I208*H208,2)</f>
        <v>0</v>
      </c>
      <c r="K208" s="208" t="s">
        <v>1010</v>
      </c>
      <c r="L208" s="112"/>
      <c r="M208" s="325" t="s">
        <v>1010</v>
      </c>
      <c r="N208" s="212" t="s">
        <v>1025</v>
      </c>
      <c r="P208" s="213">
        <f>O208*H208</f>
        <v>0</v>
      </c>
      <c r="Q208" s="213">
        <v>4.0999999999999999E-4</v>
      </c>
      <c r="R208" s="213">
        <f>Q208*H208</f>
        <v>1.0414E-2</v>
      </c>
      <c r="S208" s="213">
        <v>0</v>
      </c>
      <c r="T208" s="214">
        <f>S208*H208</f>
        <v>0</v>
      </c>
      <c r="AR208" s="215" t="s">
        <v>126</v>
      </c>
      <c r="AT208" s="215" t="s">
        <v>1104</v>
      </c>
      <c r="AU208" s="215" t="s">
        <v>65</v>
      </c>
      <c r="AY208" s="103" t="s">
        <v>1102</v>
      </c>
      <c r="BE208" s="216">
        <f>IF(N208="základní",J208,0)</f>
        <v>0</v>
      </c>
      <c r="BF208" s="216">
        <f>IF(N208="snížená",J208,0)</f>
        <v>0</v>
      </c>
      <c r="BG208" s="216">
        <f>IF(N208="zákl. přenesená",J208,0)</f>
        <v>0</v>
      </c>
      <c r="BH208" s="216">
        <f>IF(N208="sníž. přenesená",J208,0)</f>
        <v>0</v>
      </c>
      <c r="BI208" s="216">
        <f>IF(N208="nulová",J208,0)</f>
        <v>0</v>
      </c>
      <c r="BJ208" s="103" t="s">
        <v>55</v>
      </c>
      <c r="BK208" s="216">
        <f>ROUND(I208*H208,2)</f>
        <v>0</v>
      </c>
      <c r="BL208" s="103" t="s">
        <v>126</v>
      </c>
      <c r="BM208" s="215" t="s">
        <v>1337</v>
      </c>
    </row>
    <row r="209" spans="2:65" s="256" customFormat="1" ht="16.5" customHeight="1" x14ac:dyDescent="0.25">
      <c r="B209" s="112"/>
      <c r="C209" s="228" t="s">
        <v>204</v>
      </c>
      <c r="D209" s="228" t="s">
        <v>1138</v>
      </c>
      <c r="E209" s="229" t="s">
        <v>1338</v>
      </c>
      <c r="F209" s="230" t="s">
        <v>1339</v>
      </c>
      <c r="G209" s="231" t="s">
        <v>113</v>
      </c>
      <c r="H209" s="232">
        <v>52</v>
      </c>
      <c r="I209" s="329"/>
      <c r="J209" s="233">
        <f>ROUND(I209*H209,2)</f>
        <v>0</v>
      </c>
      <c r="K209" s="230" t="s">
        <v>1146</v>
      </c>
      <c r="L209" s="234"/>
      <c r="M209" s="328" t="s">
        <v>1010</v>
      </c>
      <c r="N209" s="235" t="s">
        <v>1025</v>
      </c>
      <c r="P209" s="213">
        <f>O209*H209</f>
        <v>0</v>
      </c>
      <c r="Q209" s="213">
        <v>6.9999999999999994E-5</v>
      </c>
      <c r="R209" s="213">
        <f>Q209*H209</f>
        <v>3.6399999999999996E-3</v>
      </c>
      <c r="S209" s="213">
        <v>0</v>
      </c>
      <c r="T209" s="214">
        <f>S209*H209</f>
        <v>0</v>
      </c>
      <c r="AR209" s="215" t="s">
        <v>160</v>
      </c>
      <c r="AT209" s="215" t="s">
        <v>1138</v>
      </c>
      <c r="AU209" s="215" t="s">
        <v>65</v>
      </c>
      <c r="AY209" s="103" t="s">
        <v>1102</v>
      </c>
      <c r="BE209" s="216">
        <f>IF(N209="základní",J209,0)</f>
        <v>0</v>
      </c>
      <c r="BF209" s="216">
        <f>IF(N209="snížená",J209,0)</f>
        <v>0</v>
      </c>
      <c r="BG209" s="216">
        <f>IF(N209="zákl. přenesená",J209,0)</f>
        <v>0</v>
      </c>
      <c r="BH209" s="216">
        <f>IF(N209="sníž. přenesená",J209,0)</f>
        <v>0</v>
      </c>
      <c r="BI209" s="216">
        <f>IF(N209="nulová",J209,0)</f>
        <v>0</v>
      </c>
      <c r="BJ209" s="103" t="s">
        <v>55</v>
      </c>
      <c r="BK209" s="216">
        <f>ROUND(I209*H209,2)</f>
        <v>0</v>
      </c>
      <c r="BL209" s="103" t="s">
        <v>126</v>
      </c>
      <c r="BM209" s="215" t="s">
        <v>1340</v>
      </c>
    </row>
    <row r="210" spans="2:65" s="256" customFormat="1" ht="16.5" customHeight="1" x14ac:dyDescent="0.25">
      <c r="B210" s="112"/>
      <c r="C210" s="206" t="s">
        <v>199</v>
      </c>
      <c r="D210" s="206" t="s">
        <v>1104</v>
      </c>
      <c r="E210" s="207" t="s">
        <v>1341</v>
      </c>
      <c r="F210" s="208" t="s">
        <v>1342</v>
      </c>
      <c r="G210" s="209" t="s">
        <v>104</v>
      </c>
      <c r="H210" s="210">
        <v>18.2</v>
      </c>
      <c r="I210" s="326"/>
      <c r="J210" s="211">
        <f>ROUND(I210*H210,2)</f>
        <v>0</v>
      </c>
      <c r="K210" s="208" t="s">
        <v>1146</v>
      </c>
      <c r="L210" s="112"/>
      <c r="M210" s="325" t="s">
        <v>1010</v>
      </c>
      <c r="N210" s="212" t="s">
        <v>1025</v>
      </c>
      <c r="P210" s="213">
        <f>O210*H210</f>
        <v>0</v>
      </c>
      <c r="Q210" s="213">
        <v>4.0999999999999999E-4</v>
      </c>
      <c r="R210" s="213">
        <f>Q210*H210</f>
        <v>7.4619999999999999E-3</v>
      </c>
      <c r="S210" s="213">
        <v>0</v>
      </c>
      <c r="T210" s="214">
        <f>S210*H210</f>
        <v>0</v>
      </c>
      <c r="AR210" s="215" t="s">
        <v>126</v>
      </c>
      <c r="AT210" s="215" t="s">
        <v>1104</v>
      </c>
      <c r="AU210" s="215" t="s">
        <v>65</v>
      </c>
      <c r="AY210" s="103" t="s">
        <v>1102</v>
      </c>
      <c r="BE210" s="216">
        <f>IF(N210="základní",J210,0)</f>
        <v>0</v>
      </c>
      <c r="BF210" s="216">
        <f>IF(N210="snížená",J210,0)</f>
        <v>0</v>
      </c>
      <c r="BG210" s="216">
        <f>IF(N210="zákl. přenesená",J210,0)</f>
        <v>0</v>
      </c>
      <c r="BH210" s="216">
        <f>IF(N210="sníž. přenesená",J210,0)</f>
        <v>0</v>
      </c>
      <c r="BI210" s="216">
        <f>IF(N210="nulová",J210,0)</f>
        <v>0</v>
      </c>
      <c r="BJ210" s="103" t="s">
        <v>55</v>
      </c>
      <c r="BK210" s="216">
        <f>ROUND(I210*H210,2)</f>
        <v>0</v>
      </c>
      <c r="BL210" s="103" t="s">
        <v>126</v>
      </c>
      <c r="BM210" s="215" t="s">
        <v>1343</v>
      </c>
    </row>
    <row r="211" spans="2:65" s="256" customFormat="1" x14ac:dyDescent="0.25">
      <c r="B211" s="112"/>
      <c r="D211" s="217" t="s">
        <v>1109</v>
      </c>
      <c r="F211" s="218" t="s">
        <v>1344</v>
      </c>
      <c r="I211" s="324"/>
      <c r="L211" s="112"/>
      <c r="M211" s="219"/>
      <c r="T211" s="128"/>
      <c r="AT211" s="103" t="s">
        <v>1109</v>
      </c>
      <c r="AU211" s="103" t="s">
        <v>65</v>
      </c>
    </row>
    <row r="212" spans="2:65" s="256" customFormat="1" ht="16.5" customHeight="1" x14ac:dyDescent="0.25">
      <c r="B212" s="112"/>
      <c r="C212" s="228" t="s">
        <v>203</v>
      </c>
      <c r="D212" s="228" t="s">
        <v>1138</v>
      </c>
      <c r="E212" s="229" t="s">
        <v>1345</v>
      </c>
      <c r="F212" s="230" t="s">
        <v>1346</v>
      </c>
      <c r="G212" s="231" t="s">
        <v>113</v>
      </c>
      <c r="H212" s="232">
        <v>38</v>
      </c>
      <c r="I212" s="329"/>
      <c r="J212" s="233">
        <f>ROUND(I212*H212,2)</f>
        <v>0</v>
      </c>
      <c r="K212" s="230" t="s">
        <v>1146</v>
      </c>
      <c r="L212" s="234"/>
      <c r="M212" s="328" t="s">
        <v>1010</v>
      </c>
      <c r="N212" s="235" t="s">
        <v>1025</v>
      </c>
      <c r="P212" s="213">
        <f>O212*H212</f>
        <v>0</v>
      </c>
      <c r="Q212" s="213">
        <v>6.9999999999999994E-5</v>
      </c>
      <c r="R212" s="213">
        <f>Q212*H212</f>
        <v>2.6599999999999996E-3</v>
      </c>
      <c r="S212" s="213">
        <v>0</v>
      </c>
      <c r="T212" s="214">
        <f>S212*H212</f>
        <v>0</v>
      </c>
      <c r="AR212" s="215" t="s">
        <v>160</v>
      </c>
      <c r="AT212" s="215" t="s">
        <v>1138</v>
      </c>
      <c r="AU212" s="215" t="s">
        <v>65</v>
      </c>
      <c r="AY212" s="103" t="s">
        <v>1102</v>
      </c>
      <c r="BE212" s="216">
        <f>IF(N212="základní",J212,0)</f>
        <v>0</v>
      </c>
      <c r="BF212" s="216">
        <f>IF(N212="snížená",J212,0)</f>
        <v>0</v>
      </c>
      <c r="BG212" s="216">
        <f>IF(N212="zákl. přenesená",J212,0)</f>
        <v>0</v>
      </c>
      <c r="BH212" s="216">
        <f>IF(N212="sníž. přenesená",J212,0)</f>
        <v>0</v>
      </c>
      <c r="BI212" s="216">
        <f>IF(N212="nulová",J212,0)</f>
        <v>0</v>
      </c>
      <c r="BJ212" s="103" t="s">
        <v>55</v>
      </c>
      <c r="BK212" s="216">
        <f>ROUND(I212*H212,2)</f>
        <v>0</v>
      </c>
      <c r="BL212" s="103" t="s">
        <v>126</v>
      </c>
      <c r="BM212" s="215" t="s">
        <v>1347</v>
      </c>
    </row>
    <row r="213" spans="2:65" s="256" customFormat="1" ht="16.5" customHeight="1" x14ac:dyDescent="0.25">
      <c r="B213" s="112"/>
      <c r="C213" s="206" t="s">
        <v>191</v>
      </c>
      <c r="D213" s="206" t="s">
        <v>1104</v>
      </c>
      <c r="E213" s="207" t="s">
        <v>1348</v>
      </c>
      <c r="F213" s="208" t="s">
        <v>1349</v>
      </c>
      <c r="G213" s="209" t="s">
        <v>104</v>
      </c>
      <c r="H213" s="210">
        <v>63.6</v>
      </c>
      <c r="I213" s="326"/>
      <c r="J213" s="211">
        <f>ROUND(I213*H213,2)</f>
        <v>0</v>
      </c>
      <c r="K213" s="208" t="s">
        <v>1107</v>
      </c>
      <c r="L213" s="112"/>
      <c r="M213" s="325" t="s">
        <v>1010</v>
      </c>
      <c r="N213" s="212" t="s">
        <v>1025</v>
      </c>
      <c r="P213" s="213">
        <f>O213*H213</f>
        <v>0</v>
      </c>
      <c r="Q213" s="213">
        <v>4.8000000000000001E-4</v>
      </c>
      <c r="R213" s="213">
        <f>Q213*H213</f>
        <v>3.0528000000000003E-2</v>
      </c>
      <c r="S213" s="213">
        <v>0</v>
      </c>
      <c r="T213" s="214">
        <f>S213*H213</f>
        <v>0</v>
      </c>
      <c r="AR213" s="215" t="s">
        <v>126</v>
      </c>
      <c r="AT213" s="215" t="s">
        <v>1104</v>
      </c>
      <c r="AU213" s="215" t="s">
        <v>65</v>
      </c>
      <c r="AY213" s="103" t="s">
        <v>1102</v>
      </c>
      <c r="BE213" s="216">
        <f>IF(N213="základní",J213,0)</f>
        <v>0</v>
      </c>
      <c r="BF213" s="216">
        <f>IF(N213="snížená",J213,0)</f>
        <v>0</v>
      </c>
      <c r="BG213" s="216">
        <f>IF(N213="zákl. přenesená",J213,0)</f>
        <v>0</v>
      </c>
      <c r="BH213" s="216">
        <f>IF(N213="sníž. přenesená",J213,0)</f>
        <v>0</v>
      </c>
      <c r="BI213" s="216">
        <f>IF(N213="nulová",J213,0)</f>
        <v>0</v>
      </c>
      <c r="BJ213" s="103" t="s">
        <v>55</v>
      </c>
      <c r="BK213" s="216">
        <f>ROUND(I213*H213,2)</f>
        <v>0</v>
      </c>
      <c r="BL213" s="103" t="s">
        <v>126</v>
      </c>
      <c r="BM213" s="215" t="s">
        <v>1350</v>
      </c>
    </row>
    <row r="214" spans="2:65" s="256" customFormat="1" x14ac:dyDescent="0.25">
      <c r="B214" s="112"/>
      <c r="D214" s="217" t="s">
        <v>1109</v>
      </c>
      <c r="F214" s="218" t="s">
        <v>1351</v>
      </c>
      <c r="I214" s="324"/>
      <c r="L214" s="112"/>
      <c r="M214" s="219"/>
      <c r="T214" s="128"/>
      <c r="AT214" s="103" t="s">
        <v>1109</v>
      </c>
      <c r="AU214" s="103" t="s">
        <v>65</v>
      </c>
    </row>
    <row r="215" spans="2:65" s="256" customFormat="1" ht="16.5" customHeight="1" x14ac:dyDescent="0.25">
      <c r="B215" s="112"/>
      <c r="C215" s="228" t="s">
        <v>195</v>
      </c>
      <c r="D215" s="228" t="s">
        <v>1138</v>
      </c>
      <c r="E215" s="229" t="s">
        <v>1352</v>
      </c>
      <c r="F215" s="230" t="s">
        <v>1353</v>
      </c>
      <c r="G215" s="231" t="s">
        <v>113</v>
      </c>
      <c r="H215" s="232">
        <v>128</v>
      </c>
      <c r="I215" s="329"/>
      <c r="J215" s="233">
        <f>ROUND(I215*H215,2)</f>
        <v>0</v>
      </c>
      <c r="K215" s="230" t="s">
        <v>1107</v>
      </c>
      <c r="L215" s="234"/>
      <c r="M215" s="328" t="s">
        <v>1010</v>
      </c>
      <c r="N215" s="235" t="s">
        <v>1025</v>
      </c>
      <c r="P215" s="213">
        <f>O215*H215</f>
        <v>0</v>
      </c>
      <c r="Q215" s="213">
        <v>6.9999999999999994E-5</v>
      </c>
      <c r="R215" s="213">
        <f>Q215*H215</f>
        <v>8.9599999999999992E-3</v>
      </c>
      <c r="S215" s="213">
        <v>0</v>
      </c>
      <c r="T215" s="214">
        <f>S215*H215</f>
        <v>0</v>
      </c>
      <c r="AR215" s="215" t="s">
        <v>160</v>
      </c>
      <c r="AT215" s="215" t="s">
        <v>1138</v>
      </c>
      <c r="AU215" s="215" t="s">
        <v>65</v>
      </c>
      <c r="AY215" s="103" t="s">
        <v>1102</v>
      </c>
      <c r="BE215" s="216">
        <f>IF(N215="základní",J215,0)</f>
        <v>0</v>
      </c>
      <c r="BF215" s="216">
        <f>IF(N215="snížená",J215,0)</f>
        <v>0</v>
      </c>
      <c r="BG215" s="216">
        <f>IF(N215="zákl. přenesená",J215,0)</f>
        <v>0</v>
      </c>
      <c r="BH215" s="216">
        <f>IF(N215="sníž. přenesená",J215,0)</f>
        <v>0</v>
      </c>
      <c r="BI215" s="216">
        <f>IF(N215="nulová",J215,0)</f>
        <v>0</v>
      </c>
      <c r="BJ215" s="103" t="s">
        <v>55</v>
      </c>
      <c r="BK215" s="216">
        <f>ROUND(I215*H215,2)</f>
        <v>0</v>
      </c>
      <c r="BL215" s="103" t="s">
        <v>126</v>
      </c>
      <c r="BM215" s="215" t="s">
        <v>1354</v>
      </c>
    </row>
    <row r="216" spans="2:65" s="256" customFormat="1" ht="16.5" customHeight="1" x14ac:dyDescent="0.25">
      <c r="B216" s="112"/>
      <c r="C216" s="206" t="s">
        <v>201</v>
      </c>
      <c r="D216" s="206" t="s">
        <v>1104</v>
      </c>
      <c r="E216" s="207" t="s">
        <v>1355</v>
      </c>
      <c r="F216" s="208" t="s">
        <v>1356</v>
      </c>
      <c r="G216" s="209" t="s">
        <v>104</v>
      </c>
      <c r="H216" s="210">
        <v>2.9</v>
      </c>
      <c r="I216" s="326"/>
      <c r="J216" s="211">
        <f>ROUND(I216*H216,2)</f>
        <v>0</v>
      </c>
      <c r="K216" s="208" t="s">
        <v>1146</v>
      </c>
      <c r="L216" s="112"/>
      <c r="M216" s="325" t="s">
        <v>1010</v>
      </c>
      <c r="N216" s="212" t="s">
        <v>1025</v>
      </c>
      <c r="P216" s="213">
        <f>O216*H216</f>
        <v>0</v>
      </c>
      <c r="Q216" s="213">
        <v>7.1000000000000002E-4</v>
      </c>
      <c r="R216" s="213">
        <f>Q216*H216</f>
        <v>2.0590000000000001E-3</v>
      </c>
      <c r="S216" s="213">
        <v>0</v>
      </c>
      <c r="T216" s="214">
        <f>S216*H216</f>
        <v>0</v>
      </c>
      <c r="AR216" s="215" t="s">
        <v>126</v>
      </c>
      <c r="AT216" s="215" t="s">
        <v>1104</v>
      </c>
      <c r="AU216" s="215" t="s">
        <v>65</v>
      </c>
      <c r="AY216" s="103" t="s">
        <v>1102</v>
      </c>
      <c r="BE216" s="216">
        <f>IF(N216="základní",J216,0)</f>
        <v>0</v>
      </c>
      <c r="BF216" s="216">
        <f>IF(N216="snížená",J216,0)</f>
        <v>0</v>
      </c>
      <c r="BG216" s="216">
        <f>IF(N216="zákl. přenesená",J216,0)</f>
        <v>0</v>
      </c>
      <c r="BH216" s="216">
        <f>IF(N216="sníž. přenesená",J216,0)</f>
        <v>0</v>
      </c>
      <c r="BI216" s="216">
        <f>IF(N216="nulová",J216,0)</f>
        <v>0</v>
      </c>
      <c r="BJ216" s="103" t="s">
        <v>55</v>
      </c>
      <c r="BK216" s="216">
        <f>ROUND(I216*H216,2)</f>
        <v>0</v>
      </c>
      <c r="BL216" s="103" t="s">
        <v>126</v>
      </c>
      <c r="BM216" s="215" t="s">
        <v>1357</v>
      </c>
    </row>
    <row r="217" spans="2:65" s="256" customFormat="1" x14ac:dyDescent="0.25">
      <c r="B217" s="112"/>
      <c r="D217" s="217" t="s">
        <v>1109</v>
      </c>
      <c r="F217" s="218" t="s">
        <v>1358</v>
      </c>
      <c r="I217" s="324"/>
      <c r="L217" s="112"/>
      <c r="M217" s="219"/>
      <c r="T217" s="128"/>
      <c r="AT217" s="103" t="s">
        <v>1109</v>
      </c>
      <c r="AU217" s="103" t="s">
        <v>65</v>
      </c>
    </row>
    <row r="218" spans="2:65" s="256" customFormat="1" ht="16.5" customHeight="1" x14ac:dyDescent="0.25">
      <c r="B218" s="112"/>
      <c r="C218" s="228" t="s">
        <v>223</v>
      </c>
      <c r="D218" s="228" t="s">
        <v>1138</v>
      </c>
      <c r="E218" s="229" t="s">
        <v>1325</v>
      </c>
      <c r="F218" s="230" t="s">
        <v>1326</v>
      </c>
      <c r="G218" s="231" t="s">
        <v>113</v>
      </c>
      <c r="H218" s="232">
        <v>6</v>
      </c>
      <c r="I218" s="329"/>
      <c r="J218" s="233">
        <f>ROUND(I218*H218,2)</f>
        <v>0</v>
      </c>
      <c r="K218" s="230" t="s">
        <v>1146</v>
      </c>
      <c r="L218" s="234"/>
      <c r="M218" s="328" t="s">
        <v>1010</v>
      </c>
      <c r="N218" s="235" t="s">
        <v>1025</v>
      </c>
      <c r="P218" s="213">
        <f>O218*H218</f>
        <v>0</v>
      </c>
      <c r="Q218" s="213">
        <v>1.4999999999999999E-4</v>
      </c>
      <c r="R218" s="213">
        <f>Q218*H218</f>
        <v>8.9999999999999998E-4</v>
      </c>
      <c r="S218" s="213">
        <v>0</v>
      </c>
      <c r="T218" s="214">
        <f>S218*H218</f>
        <v>0</v>
      </c>
      <c r="AR218" s="215" t="s">
        <v>160</v>
      </c>
      <c r="AT218" s="215" t="s">
        <v>1138</v>
      </c>
      <c r="AU218" s="215" t="s">
        <v>65</v>
      </c>
      <c r="AY218" s="103" t="s">
        <v>1102</v>
      </c>
      <c r="BE218" s="216">
        <f>IF(N218="základní",J218,0)</f>
        <v>0</v>
      </c>
      <c r="BF218" s="216">
        <f>IF(N218="snížená",J218,0)</f>
        <v>0</v>
      </c>
      <c r="BG218" s="216">
        <f>IF(N218="zákl. přenesená",J218,0)</f>
        <v>0</v>
      </c>
      <c r="BH218" s="216">
        <f>IF(N218="sníž. přenesená",J218,0)</f>
        <v>0</v>
      </c>
      <c r="BI218" s="216">
        <f>IF(N218="nulová",J218,0)</f>
        <v>0</v>
      </c>
      <c r="BJ218" s="103" t="s">
        <v>55</v>
      </c>
      <c r="BK218" s="216">
        <f>ROUND(I218*H218,2)</f>
        <v>0</v>
      </c>
      <c r="BL218" s="103" t="s">
        <v>126</v>
      </c>
      <c r="BM218" s="215" t="s">
        <v>1359</v>
      </c>
    </row>
    <row r="219" spans="2:65" s="256" customFormat="1" ht="16.5" customHeight="1" x14ac:dyDescent="0.25">
      <c r="B219" s="112"/>
      <c r="C219" s="206" t="s">
        <v>196</v>
      </c>
      <c r="D219" s="206" t="s">
        <v>1104</v>
      </c>
      <c r="E219" s="207" t="s">
        <v>1360</v>
      </c>
      <c r="F219" s="208" t="s">
        <v>1361</v>
      </c>
      <c r="G219" s="209" t="s">
        <v>104</v>
      </c>
      <c r="H219" s="210">
        <v>22.7</v>
      </c>
      <c r="I219" s="326"/>
      <c r="J219" s="211">
        <f>ROUND(I219*H219,2)</f>
        <v>0</v>
      </c>
      <c r="K219" s="208" t="s">
        <v>1107</v>
      </c>
      <c r="L219" s="112"/>
      <c r="M219" s="325" t="s">
        <v>1010</v>
      </c>
      <c r="N219" s="212" t="s">
        <v>1025</v>
      </c>
      <c r="P219" s="213">
        <f>O219*H219</f>
        <v>0</v>
      </c>
      <c r="Q219" s="213">
        <v>2.2399999999999998E-3</v>
      </c>
      <c r="R219" s="213">
        <f>Q219*H219</f>
        <v>5.0847999999999997E-2</v>
      </c>
      <c r="S219" s="213">
        <v>0</v>
      </c>
      <c r="T219" s="214">
        <f>S219*H219</f>
        <v>0</v>
      </c>
      <c r="AR219" s="215" t="s">
        <v>126</v>
      </c>
      <c r="AT219" s="215" t="s">
        <v>1104</v>
      </c>
      <c r="AU219" s="215" t="s">
        <v>65</v>
      </c>
      <c r="AY219" s="103" t="s">
        <v>1102</v>
      </c>
      <c r="BE219" s="216">
        <f>IF(N219="základní",J219,0)</f>
        <v>0</v>
      </c>
      <c r="BF219" s="216">
        <f>IF(N219="snížená",J219,0)</f>
        <v>0</v>
      </c>
      <c r="BG219" s="216">
        <f>IF(N219="zákl. přenesená",J219,0)</f>
        <v>0</v>
      </c>
      <c r="BH219" s="216">
        <f>IF(N219="sníž. přenesená",J219,0)</f>
        <v>0</v>
      </c>
      <c r="BI219" s="216">
        <f>IF(N219="nulová",J219,0)</f>
        <v>0</v>
      </c>
      <c r="BJ219" s="103" t="s">
        <v>55</v>
      </c>
      <c r="BK219" s="216">
        <f>ROUND(I219*H219,2)</f>
        <v>0</v>
      </c>
      <c r="BL219" s="103" t="s">
        <v>126</v>
      </c>
      <c r="BM219" s="215" t="s">
        <v>1362</v>
      </c>
    </row>
    <row r="220" spans="2:65" s="256" customFormat="1" x14ac:dyDescent="0.25">
      <c r="B220" s="112"/>
      <c r="D220" s="217" t="s">
        <v>1109</v>
      </c>
      <c r="F220" s="218" t="s">
        <v>1363</v>
      </c>
      <c r="I220" s="324"/>
      <c r="L220" s="112"/>
      <c r="M220" s="219"/>
      <c r="T220" s="128"/>
      <c r="AT220" s="103" t="s">
        <v>1109</v>
      </c>
      <c r="AU220" s="103" t="s">
        <v>65</v>
      </c>
    </row>
    <row r="221" spans="2:65" s="256" customFormat="1" ht="16.5" customHeight="1" x14ac:dyDescent="0.25">
      <c r="B221" s="112"/>
      <c r="C221" s="228" t="s">
        <v>197</v>
      </c>
      <c r="D221" s="228" t="s">
        <v>1138</v>
      </c>
      <c r="E221" s="229" t="s">
        <v>1332</v>
      </c>
      <c r="F221" s="230" t="s">
        <v>1333</v>
      </c>
      <c r="G221" s="231" t="s">
        <v>113</v>
      </c>
      <c r="H221" s="232">
        <v>46</v>
      </c>
      <c r="I221" s="329"/>
      <c r="J221" s="233">
        <f>ROUND(I221*H221,2)</f>
        <v>0</v>
      </c>
      <c r="K221" s="230" t="s">
        <v>1107</v>
      </c>
      <c r="L221" s="234"/>
      <c r="M221" s="328" t="s">
        <v>1010</v>
      </c>
      <c r="N221" s="235" t="s">
        <v>1025</v>
      </c>
      <c r="P221" s="213">
        <f>O221*H221</f>
        <v>0</v>
      </c>
      <c r="Q221" s="213">
        <v>2.7E-4</v>
      </c>
      <c r="R221" s="213">
        <f>Q221*H221</f>
        <v>1.242E-2</v>
      </c>
      <c r="S221" s="213">
        <v>0</v>
      </c>
      <c r="T221" s="214">
        <f>S221*H221</f>
        <v>0</v>
      </c>
      <c r="AR221" s="215" t="s">
        <v>160</v>
      </c>
      <c r="AT221" s="215" t="s">
        <v>1138</v>
      </c>
      <c r="AU221" s="215" t="s">
        <v>65</v>
      </c>
      <c r="AY221" s="103" t="s">
        <v>1102</v>
      </c>
      <c r="BE221" s="216">
        <f>IF(N221="základní",J221,0)</f>
        <v>0</v>
      </c>
      <c r="BF221" s="216">
        <f>IF(N221="snížená",J221,0)</f>
        <v>0</v>
      </c>
      <c r="BG221" s="216">
        <f>IF(N221="zákl. přenesená",J221,0)</f>
        <v>0</v>
      </c>
      <c r="BH221" s="216">
        <f>IF(N221="sníž. přenesená",J221,0)</f>
        <v>0</v>
      </c>
      <c r="BI221" s="216">
        <f>IF(N221="nulová",J221,0)</f>
        <v>0</v>
      </c>
      <c r="BJ221" s="103" t="s">
        <v>55</v>
      </c>
      <c r="BK221" s="216">
        <f>ROUND(I221*H221,2)</f>
        <v>0</v>
      </c>
      <c r="BL221" s="103" t="s">
        <v>126</v>
      </c>
      <c r="BM221" s="215" t="s">
        <v>1364</v>
      </c>
    </row>
    <row r="222" spans="2:65" s="256" customFormat="1" ht="16.5" customHeight="1" x14ac:dyDescent="0.25">
      <c r="B222" s="112"/>
      <c r="C222" s="206" t="s">
        <v>173</v>
      </c>
      <c r="D222" s="206" t="s">
        <v>1104</v>
      </c>
      <c r="E222" s="207" t="s">
        <v>1365</v>
      </c>
      <c r="F222" s="208" t="s">
        <v>1366</v>
      </c>
      <c r="G222" s="209" t="s">
        <v>113</v>
      </c>
      <c r="H222" s="210">
        <v>48</v>
      </c>
      <c r="I222" s="326"/>
      <c r="J222" s="211">
        <f>ROUND(I222*H222,2)</f>
        <v>0</v>
      </c>
      <c r="K222" s="208" t="s">
        <v>1107</v>
      </c>
      <c r="L222" s="112"/>
      <c r="M222" s="325" t="s">
        <v>1010</v>
      </c>
      <c r="N222" s="212" t="s">
        <v>1025</v>
      </c>
      <c r="P222" s="213">
        <f>O222*H222</f>
        <v>0</v>
      </c>
      <c r="Q222" s="213">
        <v>0</v>
      </c>
      <c r="R222" s="213">
        <f>Q222*H222</f>
        <v>0</v>
      </c>
      <c r="S222" s="213">
        <v>0</v>
      </c>
      <c r="T222" s="214">
        <f>S222*H222</f>
        <v>0</v>
      </c>
      <c r="AR222" s="215" t="s">
        <v>126</v>
      </c>
      <c r="AT222" s="215" t="s">
        <v>1104</v>
      </c>
      <c r="AU222" s="215" t="s">
        <v>65</v>
      </c>
      <c r="AY222" s="103" t="s">
        <v>1102</v>
      </c>
      <c r="BE222" s="216">
        <f>IF(N222="základní",J222,0)</f>
        <v>0</v>
      </c>
      <c r="BF222" s="216">
        <f>IF(N222="snížená",J222,0)</f>
        <v>0</v>
      </c>
      <c r="BG222" s="216">
        <f>IF(N222="zákl. přenesená",J222,0)</f>
        <v>0</v>
      </c>
      <c r="BH222" s="216">
        <f>IF(N222="sníž. přenesená",J222,0)</f>
        <v>0</v>
      </c>
      <c r="BI222" s="216">
        <f>IF(N222="nulová",J222,0)</f>
        <v>0</v>
      </c>
      <c r="BJ222" s="103" t="s">
        <v>55</v>
      </c>
      <c r="BK222" s="216">
        <f>ROUND(I222*H222,2)</f>
        <v>0</v>
      </c>
      <c r="BL222" s="103" t="s">
        <v>126</v>
      </c>
      <c r="BM222" s="215" t="s">
        <v>1367</v>
      </c>
    </row>
    <row r="223" spans="2:65" s="256" customFormat="1" x14ac:dyDescent="0.25">
      <c r="B223" s="112"/>
      <c r="D223" s="217" t="s">
        <v>1109</v>
      </c>
      <c r="F223" s="218" t="s">
        <v>1368</v>
      </c>
      <c r="I223" s="324"/>
      <c r="L223" s="112"/>
      <c r="M223" s="219"/>
      <c r="T223" s="128"/>
      <c r="AT223" s="103" t="s">
        <v>1109</v>
      </c>
      <c r="AU223" s="103" t="s">
        <v>65</v>
      </c>
    </row>
    <row r="224" spans="2:65" s="256" customFormat="1" ht="16.5" customHeight="1" x14ac:dyDescent="0.25">
      <c r="B224" s="112"/>
      <c r="C224" s="206" t="s">
        <v>174</v>
      </c>
      <c r="D224" s="206" t="s">
        <v>1104</v>
      </c>
      <c r="E224" s="207" t="s">
        <v>1369</v>
      </c>
      <c r="F224" s="208" t="s">
        <v>1370</v>
      </c>
      <c r="G224" s="209" t="s">
        <v>113</v>
      </c>
      <c r="H224" s="210">
        <v>24</v>
      </c>
      <c r="I224" s="326"/>
      <c r="J224" s="211">
        <f>ROUND(I224*H224,2)</f>
        <v>0</v>
      </c>
      <c r="K224" s="208" t="s">
        <v>1107</v>
      </c>
      <c r="L224" s="112"/>
      <c r="M224" s="325" t="s">
        <v>1010</v>
      </c>
      <c r="N224" s="212" t="s">
        <v>1025</v>
      </c>
      <c r="P224" s="213">
        <f>O224*H224</f>
        <v>0</v>
      </c>
      <c r="Q224" s="213">
        <v>0</v>
      </c>
      <c r="R224" s="213">
        <f>Q224*H224</f>
        <v>0</v>
      </c>
      <c r="S224" s="213">
        <v>0</v>
      </c>
      <c r="T224" s="214">
        <f>S224*H224</f>
        <v>0</v>
      </c>
      <c r="AR224" s="215" t="s">
        <v>126</v>
      </c>
      <c r="AT224" s="215" t="s">
        <v>1104</v>
      </c>
      <c r="AU224" s="215" t="s">
        <v>65</v>
      </c>
      <c r="AY224" s="103" t="s">
        <v>1102</v>
      </c>
      <c r="BE224" s="216">
        <f>IF(N224="základní",J224,0)</f>
        <v>0</v>
      </c>
      <c r="BF224" s="216">
        <f>IF(N224="snížená",J224,0)</f>
        <v>0</v>
      </c>
      <c r="BG224" s="216">
        <f>IF(N224="zákl. přenesená",J224,0)</f>
        <v>0</v>
      </c>
      <c r="BH224" s="216">
        <f>IF(N224="sníž. přenesená",J224,0)</f>
        <v>0</v>
      </c>
      <c r="BI224" s="216">
        <f>IF(N224="nulová",J224,0)</f>
        <v>0</v>
      </c>
      <c r="BJ224" s="103" t="s">
        <v>55</v>
      </c>
      <c r="BK224" s="216">
        <f>ROUND(I224*H224,2)</f>
        <v>0</v>
      </c>
      <c r="BL224" s="103" t="s">
        <v>126</v>
      </c>
      <c r="BM224" s="215" t="s">
        <v>1371</v>
      </c>
    </row>
    <row r="225" spans="2:65" s="256" customFormat="1" x14ac:dyDescent="0.25">
      <c r="B225" s="112"/>
      <c r="D225" s="217" t="s">
        <v>1109</v>
      </c>
      <c r="F225" s="218" t="s">
        <v>1372</v>
      </c>
      <c r="I225" s="324"/>
      <c r="L225" s="112"/>
      <c r="M225" s="219"/>
      <c r="T225" s="128"/>
      <c r="AT225" s="103" t="s">
        <v>1109</v>
      </c>
      <c r="AU225" s="103" t="s">
        <v>65</v>
      </c>
    </row>
    <row r="226" spans="2:65" s="256" customFormat="1" ht="16.5" customHeight="1" x14ac:dyDescent="0.25">
      <c r="B226" s="112"/>
      <c r="C226" s="206" t="s">
        <v>176</v>
      </c>
      <c r="D226" s="206" t="s">
        <v>1104</v>
      </c>
      <c r="E226" s="207" t="s">
        <v>1373</v>
      </c>
      <c r="F226" s="208" t="s">
        <v>1374</v>
      </c>
      <c r="G226" s="209" t="s">
        <v>113</v>
      </c>
      <c r="H226" s="210">
        <v>11</v>
      </c>
      <c r="I226" s="326"/>
      <c r="J226" s="211">
        <f>ROUND(I226*H226,2)</f>
        <v>0</v>
      </c>
      <c r="K226" s="208" t="s">
        <v>1146</v>
      </c>
      <c r="L226" s="112"/>
      <c r="M226" s="325" t="s">
        <v>1010</v>
      </c>
      <c r="N226" s="212" t="s">
        <v>1025</v>
      </c>
      <c r="P226" s="213">
        <f>O226*H226</f>
        <v>0</v>
      </c>
      <c r="Q226" s="213">
        <v>1.01E-3</v>
      </c>
      <c r="R226" s="213">
        <f>Q226*H226</f>
        <v>1.111E-2</v>
      </c>
      <c r="S226" s="213">
        <v>0</v>
      </c>
      <c r="T226" s="214">
        <f>S226*H226</f>
        <v>0</v>
      </c>
      <c r="AR226" s="215" t="s">
        <v>126</v>
      </c>
      <c r="AT226" s="215" t="s">
        <v>1104</v>
      </c>
      <c r="AU226" s="215" t="s">
        <v>65</v>
      </c>
      <c r="AY226" s="103" t="s">
        <v>1102</v>
      </c>
      <c r="BE226" s="216">
        <f>IF(N226="základní",J226,0)</f>
        <v>0</v>
      </c>
      <c r="BF226" s="216">
        <f>IF(N226="snížená",J226,0)</f>
        <v>0</v>
      </c>
      <c r="BG226" s="216">
        <f>IF(N226="zákl. přenesená",J226,0)</f>
        <v>0</v>
      </c>
      <c r="BH226" s="216">
        <f>IF(N226="sníž. přenesená",J226,0)</f>
        <v>0</v>
      </c>
      <c r="BI226" s="216">
        <f>IF(N226="nulová",J226,0)</f>
        <v>0</v>
      </c>
      <c r="BJ226" s="103" t="s">
        <v>55</v>
      </c>
      <c r="BK226" s="216">
        <f>ROUND(I226*H226,2)</f>
        <v>0</v>
      </c>
      <c r="BL226" s="103" t="s">
        <v>126</v>
      </c>
      <c r="BM226" s="215" t="s">
        <v>1375</v>
      </c>
    </row>
    <row r="227" spans="2:65" s="256" customFormat="1" x14ac:dyDescent="0.25">
      <c r="B227" s="112"/>
      <c r="D227" s="217" t="s">
        <v>1109</v>
      </c>
      <c r="F227" s="218" t="s">
        <v>1376</v>
      </c>
      <c r="I227" s="324"/>
      <c r="L227" s="112"/>
      <c r="M227" s="219"/>
      <c r="T227" s="128"/>
      <c r="AT227" s="103" t="s">
        <v>1109</v>
      </c>
      <c r="AU227" s="103" t="s">
        <v>65</v>
      </c>
    </row>
    <row r="228" spans="2:65" s="256" customFormat="1" ht="49.15" customHeight="1" x14ac:dyDescent="0.25">
      <c r="B228" s="112"/>
      <c r="C228" s="206" t="s">
        <v>175</v>
      </c>
      <c r="D228" s="206" t="s">
        <v>1104</v>
      </c>
      <c r="E228" s="207" t="s">
        <v>1377</v>
      </c>
      <c r="F228" s="208" t="s">
        <v>1378</v>
      </c>
      <c r="G228" s="209" t="s">
        <v>113</v>
      </c>
      <c r="H228" s="210">
        <v>3</v>
      </c>
      <c r="I228" s="326"/>
      <c r="J228" s="211">
        <f>ROUND(I228*H228,2)</f>
        <v>0</v>
      </c>
      <c r="K228" s="208" t="s">
        <v>1010</v>
      </c>
      <c r="L228" s="112"/>
      <c r="M228" s="325" t="s">
        <v>1010</v>
      </c>
      <c r="N228" s="212" t="s">
        <v>1025</v>
      </c>
      <c r="P228" s="213">
        <f>O228*H228</f>
        <v>0</v>
      </c>
      <c r="Q228" s="213">
        <v>6.4999999999999997E-3</v>
      </c>
      <c r="R228" s="213">
        <f>Q228*H228</f>
        <v>1.95E-2</v>
      </c>
      <c r="S228" s="213">
        <v>0</v>
      </c>
      <c r="T228" s="214">
        <f>S228*H228</f>
        <v>0</v>
      </c>
      <c r="AR228" s="215" t="s">
        <v>126</v>
      </c>
      <c r="AT228" s="215" t="s">
        <v>1104</v>
      </c>
      <c r="AU228" s="215" t="s">
        <v>65</v>
      </c>
      <c r="AY228" s="103" t="s">
        <v>1102</v>
      </c>
      <c r="BE228" s="216">
        <f>IF(N228="základní",J228,0)</f>
        <v>0</v>
      </c>
      <c r="BF228" s="216">
        <f>IF(N228="snížená",J228,0)</f>
        <v>0</v>
      </c>
      <c r="BG228" s="216">
        <f>IF(N228="zákl. přenesená",J228,0)</f>
        <v>0</v>
      </c>
      <c r="BH228" s="216">
        <f>IF(N228="sníž. přenesená",J228,0)</f>
        <v>0</v>
      </c>
      <c r="BI228" s="216">
        <f>IF(N228="nulová",J228,0)</f>
        <v>0</v>
      </c>
      <c r="BJ228" s="103" t="s">
        <v>55</v>
      </c>
      <c r="BK228" s="216">
        <f>ROUND(I228*H228,2)</f>
        <v>0</v>
      </c>
      <c r="BL228" s="103" t="s">
        <v>126</v>
      </c>
      <c r="BM228" s="215" t="s">
        <v>1379</v>
      </c>
    </row>
    <row r="229" spans="2:65" s="256" customFormat="1" ht="16.5" customHeight="1" x14ac:dyDescent="0.25">
      <c r="B229" s="112"/>
      <c r="C229" s="206" t="s">
        <v>224</v>
      </c>
      <c r="D229" s="206" t="s">
        <v>1104</v>
      </c>
      <c r="E229" s="207" t="s">
        <v>1380</v>
      </c>
      <c r="F229" s="208" t="s">
        <v>1381</v>
      </c>
      <c r="G229" s="209" t="s">
        <v>113</v>
      </c>
      <c r="H229" s="210">
        <v>2</v>
      </c>
      <c r="I229" s="326"/>
      <c r="J229" s="211">
        <f>ROUND(I229*H229,2)</f>
        <v>0</v>
      </c>
      <c r="K229" s="208" t="s">
        <v>1107</v>
      </c>
      <c r="L229" s="112"/>
      <c r="M229" s="325" t="s">
        <v>1010</v>
      </c>
      <c r="N229" s="212" t="s">
        <v>1025</v>
      </c>
      <c r="P229" s="213">
        <f>O229*H229</f>
        <v>0</v>
      </c>
      <c r="Q229" s="213">
        <v>6.0000000000000002E-5</v>
      </c>
      <c r="R229" s="213">
        <f>Q229*H229</f>
        <v>1.2E-4</v>
      </c>
      <c r="S229" s="213">
        <v>0</v>
      </c>
      <c r="T229" s="214">
        <f>S229*H229</f>
        <v>0</v>
      </c>
      <c r="AR229" s="215" t="s">
        <v>126</v>
      </c>
      <c r="AT229" s="215" t="s">
        <v>1104</v>
      </c>
      <c r="AU229" s="215" t="s">
        <v>65</v>
      </c>
      <c r="AY229" s="103" t="s">
        <v>1102</v>
      </c>
      <c r="BE229" s="216">
        <f>IF(N229="základní",J229,0)</f>
        <v>0</v>
      </c>
      <c r="BF229" s="216">
        <f>IF(N229="snížená",J229,0)</f>
        <v>0</v>
      </c>
      <c r="BG229" s="216">
        <f>IF(N229="zákl. přenesená",J229,0)</f>
        <v>0</v>
      </c>
      <c r="BH229" s="216">
        <f>IF(N229="sníž. přenesená",J229,0)</f>
        <v>0</v>
      </c>
      <c r="BI229" s="216">
        <f>IF(N229="nulová",J229,0)</f>
        <v>0</v>
      </c>
      <c r="BJ229" s="103" t="s">
        <v>55</v>
      </c>
      <c r="BK229" s="216">
        <f>ROUND(I229*H229,2)</f>
        <v>0</v>
      </c>
      <c r="BL229" s="103" t="s">
        <v>126</v>
      </c>
      <c r="BM229" s="215" t="s">
        <v>1382</v>
      </c>
    </row>
    <row r="230" spans="2:65" s="256" customFormat="1" x14ac:dyDescent="0.25">
      <c r="B230" s="112"/>
      <c r="D230" s="217" t="s">
        <v>1109</v>
      </c>
      <c r="F230" s="218" t="s">
        <v>1383</v>
      </c>
      <c r="I230" s="324"/>
      <c r="L230" s="112"/>
      <c r="M230" s="219"/>
      <c r="T230" s="128"/>
      <c r="AT230" s="103" t="s">
        <v>1109</v>
      </c>
      <c r="AU230" s="103" t="s">
        <v>65</v>
      </c>
    </row>
    <row r="231" spans="2:65" s="256" customFormat="1" ht="16.5" customHeight="1" x14ac:dyDescent="0.25">
      <c r="B231" s="112"/>
      <c r="C231" s="228" t="s">
        <v>225</v>
      </c>
      <c r="D231" s="228" t="s">
        <v>1138</v>
      </c>
      <c r="E231" s="229" t="s">
        <v>1384</v>
      </c>
      <c r="F231" s="230" t="s">
        <v>1385</v>
      </c>
      <c r="G231" s="231" t="s">
        <v>113</v>
      </c>
      <c r="H231" s="232">
        <v>2</v>
      </c>
      <c r="I231" s="329"/>
      <c r="J231" s="233">
        <f>ROUND(I231*H231,2)</f>
        <v>0</v>
      </c>
      <c r="K231" s="230" t="s">
        <v>1107</v>
      </c>
      <c r="L231" s="234"/>
      <c r="M231" s="328" t="s">
        <v>1010</v>
      </c>
      <c r="N231" s="235" t="s">
        <v>1025</v>
      </c>
      <c r="P231" s="213">
        <f>O231*H231</f>
        <v>0</v>
      </c>
      <c r="Q231" s="213">
        <v>1.2E-4</v>
      </c>
      <c r="R231" s="213">
        <f>Q231*H231</f>
        <v>2.4000000000000001E-4</v>
      </c>
      <c r="S231" s="213">
        <v>0</v>
      </c>
      <c r="T231" s="214">
        <f>S231*H231</f>
        <v>0</v>
      </c>
      <c r="AR231" s="215" t="s">
        <v>160</v>
      </c>
      <c r="AT231" s="215" t="s">
        <v>1138</v>
      </c>
      <c r="AU231" s="215" t="s">
        <v>65</v>
      </c>
      <c r="AY231" s="103" t="s">
        <v>1102</v>
      </c>
      <c r="BE231" s="216">
        <f>IF(N231="základní",J231,0)</f>
        <v>0</v>
      </c>
      <c r="BF231" s="216">
        <f>IF(N231="snížená",J231,0)</f>
        <v>0</v>
      </c>
      <c r="BG231" s="216">
        <f>IF(N231="zákl. přenesená",J231,0)</f>
        <v>0</v>
      </c>
      <c r="BH231" s="216">
        <f>IF(N231="sníž. přenesená",J231,0)</f>
        <v>0</v>
      </c>
      <c r="BI231" s="216">
        <f>IF(N231="nulová",J231,0)</f>
        <v>0</v>
      </c>
      <c r="BJ231" s="103" t="s">
        <v>55</v>
      </c>
      <c r="BK231" s="216">
        <f>ROUND(I231*H231,2)</f>
        <v>0</v>
      </c>
      <c r="BL231" s="103" t="s">
        <v>126</v>
      </c>
      <c r="BM231" s="215" t="s">
        <v>1386</v>
      </c>
    </row>
    <row r="232" spans="2:65" s="256" customFormat="1" ht="16.5" customHeight="1" x14ac:dyDescent="0.25">
      <c r="B232" s="112"/>
      <c r="C232" s="206" t="s">
        <v>179</v>
      </c>
      <c r="D232" s="206" t="s">
        <v>1104</v>
      </c>
      <c r="E232" s="207" t="s">
        <v>1387</v>
      </c>
      <c r="F232" s="208" t="s">
        <v>1388</v>
      </c>
      <c r="G232" s="209" t="s">
        <v>113</v>
      </c>
      <c r="H232" s="210">
        <v>2</v>
      </c>
      <c r="I232" s="326"/>
      <c r="J232" s="211">
        <f>ROUND(I232*H232,2)</f>
        <v>0</v>
      </c>
      <c r="K232" s="208" t="s">
        <v>1146</v>
      </c>
      <c r="L232" s="112"/>
      <c r="M232" s="325" t="s">
        <v>1010</v>
      </c>
      <c r="N232" s="212" t="s">
        <v>1025</v>
      </c>
      <c r="P232" s="213">
        <f>O232*H232</f>
        <v>0</v>
      </c>
      <c r="Q232" s="213">
        <v>2.1199999999999999E-3</v>
      </c>
      <c r="R232" s="213">
        <f>Q232*H232</f>
        <v>4.2399999999999998E-3</v>
      </c>
      <c r="S232" s="213">
        <v>0</v>
      </c>
      <c r="T232" s="214">
        <f>S232*H232</f>
        <v>0</v>
      </c>
      <c r="AR232" s="215" t="s">
        <v>126</v>
      </c>
      <c r="AT232" s="215" t="s">
        <v>1104</v>
      </c>
      <c r="AU232" s="215" t="s">
        <v>65</v>
      </c>
      <c r="AY232" s="103" t="s">
        <v>1102</v>
      </c>
      <c r="BE232" s="216">
        <f>IF(N232="základní",J232,0)</f>
        <v>0</v>
      </c>
      <c r="BF232" s="216">
        <f>IF(N232="snížená",J232,0)</f>
        <v>0</v>
      </c>
      <c r="BG232" s="216">
        <f>IF(N232="zákl. přenesená",J232,0)</f>
        <v>0</v>
      </c>
      <c r="BH232" s="216">
        <f>IF(N232="sníž. přenesená",J232,0)</f>
        <v>0</v>
      </c>
      <c r="BI232" s="216">
        <f>IF(N232="nulová",J232,0)</f>
        <v>0</v>
      </c>
      <c r="BJ232" s="103" t="s">
        <v>55</v>
      </c>
      <c r="BK232" s="216">
        <f>ROUND(I232*H232,2)</f>
        <v>0</v>
      </c>
      <c r="BL232" s="103" t="s">
        <v>126</v>
      </c>
      <c r="BM232" s="215" t="s">
        <v>1389</v>
      </c>
    </row>
    <row r="233" spans="2:65" s="256" customFormat="1" x14ac:dyDescent="0.25">
      <c r="B233" s="112"/>
      <c r="D233" s="217" t="s">
        <v>1109</v>
      </c>
      <c r="F233" s="218" t="s">
        <v>1390</v>
      </c>
      <c r="I233" s="324"/>
      <c r="L233" s="112"/>
      <c r="M233" s="219"/>
      <c r="T233" s="128"/>
      <c r="AT233" s="103" t="s">
        <v>1109</v>
      </c>
      <c r="AU233" s="103" t="s">
        <v>65</v>
      </c>
    </row>
    <row r="234" spans="2:65" s="256" customFormat="1" ht="16.5" customHeight="1" x14ac:dyDescent="0.25">
      <c r="B234" s="112"/>
      <c r="C234" s="206" t="s">
        <v>220</v>
      </c>
      <c r="D234" s="206" t="s">
        <v>1104</v>
      </c>
      <c r="E234" s="207" t="s">
        <v>1391</v>
      </c>
      <c r="F234" s="208" t="s">
        <v>1392</v>
      </c>
      <c r="G234" s="209" t="s">
        <v>113</v>
      </c>
      <c r="H234" s="210">
        <v>4</v>
      </c>
      <c r="I234" s="326"/>
      <c r="J234" s="211">
        <f>ROUND(I234*H234,2)</f>
        <v>0</v>
      </c>
      <c r="K234" s="208" t="s">
        <v>1107</v>
      </c>
      <c r="L234" s="112"/>
      <c r="M234" s="325" t="s">
        <v>1010</v>
      </c>
      <c r="N234" s="212" t="s">
        <v>1025</v>
      </c>
      <c r="P234" s="213">
        <f>O234*H234</f>
        <v>0</v>
      </c>
      <c r="Q234" s="213">
        <v>2.9E-4</v>
      </c>
      <c r="R234" s="213">
        <f>Q234*H234</f>
        <v>1.16E-3</v>
      </c>
      <c r="S234" s="213">
        <v>0</v>
      </c>
      <c r="T234" s="214">
        <f>S234*H234</f>
        <v>0</v>
      </c>
      <c r="AR234" s="215" t="s">
        <v>126</v>
      </c>
      <c r="AT234" s="215" t="s">
        <v>1104</v>
      </c>
      <c r="AU234" s="215" t="s">
        <v>65</v>
      </c>
      <c r="AY234" s="103" t="s">
        <v>1102</v>
      </c>
      <c r="BE234" s="216">
        <f>IF(N234="základní",J234,0)</f>
        <v>0</v>
      </c>
      <c r="BF234" s="216">
        <f>IF(N234="snížená",J234,0)</f>
        <v>0</v>
      </c>
      <c r="BG234" s="216">
        <f>IF(N234="zákl. přenesená",J234,0)</f>
        <v>0</v>
      </c>
      <c r="BH234" s="216">
        <f>IF(N234="sníž. přenesená",J234,0)</f>
        <v>0</v>
      </c>
      <c r="BI234" s="216">
        <f>IF(N234="nulová",J234,0)</f>
        <v>0</v>
      </c>
      <c r="BJ234" s="103" t="s">
        <v>55</v>
      </c>
      <c r="BK234" s="216">
        <f>ROUND(I234*H234,2)</f>
        <v>0</v>
      </c>
      <c r="BL234" s="103" t="s">
        <v>126</v>
      </c>
      <c r="BM234" s="215" t="s">
        <v>1393</v>
      </c>
    </row>
    <row r="235" spans="2:65" s="256" customFormat="1" x14ac:dyDescent="0.25">
      <c r="B235" s="112"/>
      <c r="D235" s="217" t="s">
        <v>1109</v>
      </c>
      <c r="F235" s="218" t="s">
        <v>1394</v>
      </c>
      <c r="I235" s="324"/>
      <c r="L235" s="112"/>
      <c r="M235" s="219"/>
      <c r="T235" s="128"/>
      <c r="AT235" s="103" t="s">
        <v>1109</v>
      </c>
      <c r="AU235" s="103" t="s">
        <v>65</v>
      </c>
    </row>
    <row r="236" spans="2:65" s="256" customFormat="1" ht="24.2" customHeight="1" x14ac:dyDescent="0.25">
      <c r="B236" s="112"/>
      <c r="C236" s="206" t="s">
        <v>231</v>
      </c>
      <c r="D236" s="206" t="s">
        <v>1104</v>
      </c>
      <c r="E236" s="207" t="s">
        <v>1395</v>
      </c>
      <c r="F236" s="208" t="s">
        <v>1396</v>
      </c>
      <c r="G236" s="209" t="s">
        <v>113</v>
      </c>
      <c r="H236" s="210">
        <v>2</v>
      </c>
      <c r="I236" s="326"/>
      <c r="J236" s="211">
        <f>ROUND(I236*H236,2)</f>
        <v>0</v>
      </c>
      <c r="K236" s="208" t="s">
        <v>1146</v>
      </c>
      <c r="L236" s="112"/>
      <c r="M236" s="325" t="s">
        <v>1010</v>
      </c>
      <c r="N236" s="212" t="s">
        <v>1025</v>
      </c>
      <c r="P236" s="213">
        <f>O236*H236</f>
        <v>0</v>
      </c>
      <c r="Q236" s="213">
        <v>1.3999999999999999E-4</v>
      </c>
      <c r="R236" s="213">
        <f>Q236*H236</f>
        <v>2.7999999999999998E-4</v>
      </c>
      <c r="S236" s="213">
        <v>0</v>
      </c>
      <c r="T236" s="214">
        <f>S236*H236</f>
        <v>0</v>
      </c>
      <c r="AR236" s="215" t="s">
        <v>126</v>
      </c>
      <c r="AT236" s="215" t="s">
        <v>1104</v>
      </c>
      <c r="AU236" s="215" t="s">
        <v>65</v>
      </c>
      <c r="AY236" s="103" t="s">
        <v>1102</v>
      </c>
      <c r="BE236" s="216">
        <f>IF(N236="základní",J236,0)</f>
        <v>0</v>
      </c>
      <c r="BF236" s="216">
        <f>IF(N236="snížená",J236,0)</f>
        <v>0</v>
      </c>
      <c r="BG236" s="216">
        <f>IF(N236="zákl. přenesená",J236,0)</f>
        <v>0</v>
      </c>
      <c r="BH236" s="216">
        <f>IF(N236="sníž. přenesená",J236,0)</f>
        <v>0</v>
      </c>
      <c r="BI236" s="216">
        <f>IF(N236="nulová",J236,0)</f>
        <v>0</v>
      </c>
      <c r="BJ236" s="103" t="s">
        <v>55</v>
      </c>
      <c r="BK236" s="216">
        <f>ROUND(I236*H236,2)</f>
        <v>0</v>
      </c>
      <c r="BL236" s="103" t="s">
        <v>126</v>
      </c>
      <c r="BM236" s="215" t="s">
        <v>1397</v>
      </c>
    </row>
    <row r="237" spans="2:65" s="256" customFormat="1" x14ac:dyDescent="0.25">
      <c r="B237" s="112"/>
      <c r="D237" s="217" t="s">
        <v>1109</v>
      </c>
      <c r="F237" s="218" t="s">
        <v>1398</v>
      </c>
      <c r="I237" s="324"/>
      <c r="L237" s="112"/>
      <c r="M237" s="219"/>
      <c r="T237" s="128"/>
      <c r="AT237" s="103" t="s">
        <v>1109</v>
      </c>
      <c r="AU237" s="103" t="s">
        <v>65</v>
      </c>
    </row>
    <row r="238" spans="2:65" s="256" customFormat="1" ht="24.2" customHeight="1" x14ac:dyDescent="0.25">
      <c r="B238" s="112"/>
      <c r="C238" s="206" t="s">
        <v>237</v>
      </c>
      <c r="D238" s="206" t="s">
        <v>1104</v>
      </c>
      <c r="E238" s="207" t="s">
        <v>1399</v>
      </c>
      <c r="F238" s="208" t="s">
        <v>1400</v>
      </c>
      <c r="G238" s="209" t="s">
        <v>113</v>
      </c>
      <c r="H238" s="210">
        <v>20</v>
      </c>
      <c r="I238" s="326"/>
      <c r="J238" s="211">
        <f>ROUND(I238*H238,2)</f>
        <v>0</v>
      </c>
      <c r="K238" s="208" t="s">
        <v>1146</v>
      </c>
      <c r="L238" s="112"/>
      <c r="M238" s="325" t="s">
        <v>1010</v>
      </c>
      <c r="N238" s="212" t="s">
        <v>1025</v>
      </c>
      <c r="P238" s="213">
        <f>O238*H238</f>
        <v>0</v>
      </c>
      <c r="Q238" s="213">
        <v>4.2000000000000002E-4</v>
      </c>
      <c r="R238" s="213">
        <f>Q238*H238</f>
        <v>8.4000000000000012E-3</v>
      </c>
      <c r="S238" s="213">
        <v>0</v>
      </c>
      <c r="T238" s="214">
        <f>S238*H238</f>
        <v>0</v>
      </c>
      <c r="AR238" s="215" t="s">
        <v>126</v>
      </c>
      <c r="AT238" s="215" t="s">
        <v>1104</v>
      </c>
      <c r="AU238" s="215" t="s">
        <v>65</v>
      </c>
      <c r="AY238" s="103" t="s">
        <v>1102</v>
      </c>
      <c r="BE238" s="216">
        <f>IF(N238="základní",J238,0)</f>
        <v>0</v>
      </c>
      <c r="BF238" s="216">
        <f>IF(N238="snížená",J238,0)</f>
        <v>0</v>
      </c>
      <c r="BG238" s="216">
        <f>IF(N238="zákl. přenesená",J238,0)</f>
        <v>0</v>
      </c>
      <c r="BH238" s="216">
        <f>IF(N238="sníž. přenesená",J238,0)</f>
        <v>0</v>
      </c>
      <c r="BI238" s="216">
        <f>IF(N238="nulová",J238,0)</f>
        <v>0</v>
      </c>
      <c r="BJ238" s="103" t="s">
        <v>55</v>
      </c>
      <c r="BK238" s="216">
        <f>ROUND(I238*H238,2)</f>
        <v>0</v>
      </c>
      <c r="BL238" s="103" t="s">
        <v>126</v>
      </c>
      <c r="BM238" s="215" t="s">
        <v>1401</v>
      </c>
    </row>
    <row r="239" spans="2:65" s="256" customFormat="1" x14ac:dyDescent="0.25">
      <c r="B239" s="112"/>
      <c r="D239" s="217" t="s">
        <v>1109</v>
      </c>
      <c r="F239" s="218" t="s">
        <v>1402</v>
      </c>
      <c r="I239" s="324"/>
      <c r="L239" s="112"/>
      <c r="M239" s="219"/>
      <c r="T239" s="128"/>
      <c r="AT239" s="103" t="s">
        <v>1109</v>
      </c>
      <c r="AU239" s="103" t="s">
        <v>65</v>
      </c>
    </row>
    <row r="240" spans="2:65" s="256" customFormat="1" ht="16.5" customHeight="1" x14ac:dyDescent="0.25">
      <c r="B240" s="112"/>
      <c r="C240" s="206" t="s">
        <v>222</v>
      </c>
      <c r="D240" s="206" t="s">
        <v>1104</v>
      </c>
      <c r="E240" s="207" t="s">
        <v>1403</v>
      </c>
      <c r="F240" s="208" t="s">
        <v>1404</v>
      </c>
      <c r="G240" s="209" t="s">
        <v>104</v>
      </c>
      <c r="H240" s="210">
        <v>271.5</v>
      </c>
      <c r="I240" s="326"/>
      <c r="J240" s="211">
        <f>ROUND(I240*H240,2)</f>
        <v>0</v>
      </c>
      <c r="K240" s="208" t="s">
        <v>1161</v>
      </c>
      <c r="L240" s="112"/>
      <c r="M240" s="325" t="s">
        <v>1010</v>
      </c>
      <c r="N240" s="212" t="s">
        <v>1025</v>
      </c>
      <c r="P240" s="213">
        <f>O240*H240</f>
        <v>0</v>
      </c>
      <c r="Q240" s="213">
        <v>0</v>
      </c>
      <c r="R240" s="213">
        <f>Q240*H240</f>
        <v>0</v>
      </c>
      <c r="S240" s="213">
        <v>0</v>
      </c>
      <c r="T240" s="214">
        <f>S240*H240</f>
        <v>0</v>
      </c>
      <c r="AR240" s="215" t="s">
        <v>126</v>
      </c>
      <c r="AT240" s="215" t="s">
        <v>1104</v>
      </c>
      <c r="AU240" s="215" t="s">
        <v>65</v>
      </c>
      <c r="AY240" s="103" t="s">
        <v>1102</v>
      </c>
      <c r="BE240" s="216">
        <f>IF(N240="základní",J240,0)</f>
        <v>0</v>
      </c>
      <c r="BF240" s="216">
        <f>IF(N240="snížená",J240,0)</f>
        <v>0</v>
      </c>
      <c r="BG240" s="216">
        <f>IF(N240="zákl. přenesená",J240,0)</f>
        <v>0</v>
      </c>
      <c r="BH240" s="216">
        <f>IF(N240="sníž. přenesená",J240,0)</f>
        <v>0</v>
      </c>
      <c r="BI240" s="216">
        <f>IF(N240="nulová",J240,0)</f>
        <v>0</v>
      </c>
      <c r="BJ240" s="103" t="s">
        <v>55</v>
      </c>
      <c r="BK240" s="216">
        <f>ROUND(I240*H240,2)</f>
        <v>0</v>
      </c>
      <c r="BL240" s="103" t="s">
        <v>126</v>
      </c>
      <c r="BM240" s="215" t="s">
        <v>1405</v>
      </c>
    </row>
    <row r="241" spans="2:65" s="256" customFormat="1" x14ac:dyDescent="0.25">
      <c r="B241" s="112"/>
      <c r="D241" s="217" t="s">
        <v>1109</v>
      </c>
      <c r="F241" s="218" t="s">
        <v>1406</v>
      </c>
      <c r="I241" s="324"/>
      <c r="L241" s="112"/>
      <c r="M241" s="219"/>
      <c r="T241" s="128"/>
      <c r="AT241" s="103" t="s">
        <v>1109</v>
      </c>
      <c r="AU241" s="103" t="s">
        <v>65</v>
      </c>
    </row>
    <row r="242" spans="2:65" s="256" customFormat="1" ht="24.2" customHeight="1" x14ac:dyDescent="0.25">
      <c r="B242" s="112"/>
      <c r="C242" s="206" t="s">
        <v>126</v>
      </c>
      <c r="D242" s="206" t="s">
        <v>1104</v>
      </c>
      <c r="E242" s="207" t="s">
        <v>1407</v>
      </c>
      <c r="F242" s="208" t="s">
        <v>1408</v>
      </c>
      <c r="G242" s="209" t="s">
        <v>1125</v>
      </c>
      <c r="H242" s="210">
        <v>1.1200000000000001</v>
      </c>
      <c r="I242" s="326"/>
      <c r="J242" s="211">
        <f>ROUND(I242*H242,2)</f>
        <v>0</v>
      </c>
      <c r="K242" s="208" t="s">
        <v>1146</v>
      </c>
      <c r="L242" s="112"/>
      <c r="M242" s="325" t="s">
        <v>1010</v>
      </c>
      <c r="N242" s="212" t="s">
        <v>1025</v>
      </c>
      <c r="P242" s="213">
        <f>O242*H242</f>
        <v>0</v>
      </c>
      <c r="Q242" s="213">
        <v>0</v>
      </c>
      <c r="R242" s="213">
        <f>Q242*H242</f>
        <v>0</v>
      </c>
      <c r="S242" s="213">
        <v>0</v>
      </c>
      <c r="T242" s="214">
        <f>S242*H242</f>
        <v>0</v>
      </c>
      <c r="AR242" s="215" t="s">
        <v>126</v>
      </c>
      <c r="AT242" s="215" t="s">
        <v>1104</v>
      </c>
      <c r="AU242" s="215" t="s">
        <v>65</v>
      </c>
      <c r="AY242" s="103" t="s">
        <v>1102</v>
      </c>
      <c r="BE242" s="216">
        <f>IF(N242="základní",J242,0)</f>
        <v>0</v>
      </c>
      <c r="BF242" s="216">
        <f>IF(N242="snížená",J242,0)</f>
        <v>0</v>
      </c>
      <c r="BG242" s="216">
        <f>IF(N242="zákl. přenesená",J242,0)</f>
        <v>0</v>
      </c>
      <c r="BH242" s="216">
        <f>IF(N242="sníž. přenesená",J242,0)</f>
        <v>0</v>
      </c>
      <c r="BI242" s="216">
        <f>IF(N242="nulová",J242,0)</f>
        <v>0</v>
      </c>
      <c r="BJ242" s="103" t="s">
        <v>55</v>
      </c>
      <c r="BK242" s="216">
        <f>ROUND(I242*H242,2)</f>
        <v>0</v>
      </c>
      <c r="BL242" s="103" t="s">
        <v>126</v>
      </c>
      <c r="BM242" s="215" t="s">
        <v>1409</v>
      </c>
    </row>
    <row r="243" spans="2:65" s="256" customFormat="1" x14ac:dyDescent="0.25">
      <c r="B243" s="112"/>
      <c r="D243" s="217" t="s">
        <v>1109</v>
      </c>
      <c r="F243" s="218" t="s">
        <v>1410</v>
      </c>
      <c r="I243" s="324"/>
      <c r="L243" s="112"/>
      <c r="M243" s="219"/>
      <c r="T243" s="128"/>
      <c r="AT243" s="103" t="s">
        <v>1109</v>
      </c>
      <c r="AU243" s="103" t="s">
        <v>65</v>
      </c>
    </row>
    <row r="244" spans="2:65" s="256" customFormat="1" ht="24.2" customHeight="1" x14ac:dyDescent="0.25">
      <c r="B244" s="112"/>
      <c r="C244" s="206" t="s">
        <v>187</v>
      </c>
      <c r="D244" s="206" t="s">
        <v>1104</v>
      </c>
      <c r="E244" s="207" t="s">
        <v>1411</v>
      </c>
      <c r="F244" s="208" t="s">
        <v>1412</v>
      </c>
      <c r="G244" s="209" t="s">
        <v>1125</v>
      </c>
      <c r="H244" s="210">
        <v>0.53300000000000003</v>
      </c>
      <c r="I244" s="326"/>
      <c r="J244" s="211">
        <f>ROUND(I244*H244,2)</f>
        <v>0</v>
      </c>
      <c r="K244" s="208" t="s">
        <v>1146</v>
      </c>
      <c r="L244" s="112"/>
      <c r="M244" s="325" t="s">
        <v>1010</v>
      </c>
      <c r="N244" s="212" t="s">
        <v>1025</v>
      </c>
      <c r="P244" s="213">
        <f>O244*H244</f>
        <v>0</v>
      </c>
      <c r="Q244" s="213">
        <v>0</v>
      </c>
      <c r="R244" s="213">
        <f>Q244*H244</f>
        <v>0</v>
      </c>
      <c r="S244" s="213">
        <v>0</v>
      </c>
      <c r="T244" s="214">
        <f>S244*H244</f>
        <v>0</v>
      </c>
      <c r="AR244" s="215" t="s">
        <v>126</v>
      </c>
      <c r="AT244" s="215" t="s">
        <v>1104</v>
      </c>
      <c r="AU244" s="215" t="s">
        <v>65</v>
      </c>
      <c r="AY244" s="103" t="s">
        <v>1102</v>
      </c>
      <c r="BE244" s="216">
        <f>IF(N244="základní",J244,0)</f>
        <v>0</v>
      </c>
      <c r="BF244" s="216">
        <f>IF(N244="snížená",J244,0)</f>
        <v>0</v>
      </c>
      <c r="BG244" s="216">
        <f>IF(N244="zákl. přenesená",J244,0)</f>
        <v>0</v>
      </c>
      <c r="BH244" s="216">
        <f>IF(N244="sníž. přenesená",J244,0)</f>
        <v>0</v>
      </c>
      <c r="BI244" s="216">
        <f>IF(N244="nulová",J244,0)</f>
        <v>0</v>
      </c>
      <c r="BJ244" s="103" t="s">
        <v>55</v>
      </c>
      <c r="BK244" s="216">
        <f>ROUND(I244*H244,2)</f>
        <v>0</v>
      </c>
      <c r="BL244" s="103" t="s">
        <v>126</v>
      </c>
      <c r="BM244" s="215" t="s">
        <v>1413</v>
      </c>
    </row>
    <row r="245" spans="2:65" s="256" customFormat="1" x14ac:dyDescent="0.25">
      <c r="B245" s="112"/>
      <c r="D245" s="217" t="s">
        <v>1109</v>
      </c>
      <c r="F245" s="218" t="s">
        <v>1414</v>
      </c>
      <c r="I245" s="324"/>
      <c r="L245" s="112"/>
      <c r="M245" s="219"/>
      <c r="T245" s="128"/>
      <c r="AT245" s="103" t="s">
        <v>1109</v>
      </c>
      <c r="AU245" s="103" t="s">
        <v>65</v>
      </c>
    </row>
    <row r="246" spans="2:65" s="256" customFormat="1" ht="24.2" customHeight="1" x14ac:dyDescent="0.25">
      <c r="B246" s="112"/>
      <c r="C246" s="206" t="s">
        <v>188</v>
      </c>
      <c r="D246" s="206" t="s">
        <v>1104</v>
      </c>
      <c r="E246" s="207" t="s">
        <v>1415</v>
      </c>
      <c r="F246" s="208" t="s">
        <v>1416</v>
      </c>
      <c r="G246" s="209" t="s">
        <v>1125</v>
      </c>
      <c r="H246" s="210">
        <v>0.53300000000000003</v>
      </c>
      <c r="I246" s="326"/>
      <c r="J246" s="211">
        <f>ROUND(I246*H246,2)</f>
        <v>0</v>
      </c>
      <c r="K246" s="208" t="s">
        <v>1146</v>
      </c>
      <c r="L246" s="112"/>
      <c r="M246" s="325" t="s">
        <v>1010</v>
      </c>
      <c r="N246" s="212" t="s">
        <v>1025</v>
      </c>
      <c r="P246" s="213">
        <f>O246*H246</f>
        <v>0</v>
      </c>
      <c r="Q246" s="213">
        <v>0</v>
      </c>
      <c r="R246" s="213">
        <f>Q246*H246</f>
        <v>0</v>
      </c>
      <c r="S246" s="213">
        <v>0</v>
      </c>
      <c r="T246" s="214">
        <f>S246*H246</f>
        <v>0</v>
      </c>
      <c r="AR246" s="215" t="s">
        <v>126</v>
      </c>
      <c r="AT246" s="215" t="s">
        <v>1104</v>
      </c>
      <c r="AU246" s="215" t="s">
        <v>65</v>
      </c>
      <c r="AY246" s="103" t="s">
        <v>1102</v>
      </c>
      <c r="BE246" s="216">
        <f>IF(N246="základní",J246,0)</f>
        <v>0</v>
      </c>
      <c r="BF246" s="216">
        <f>IF(N246="snížená",J246,0)</f>
        <v>0</v>
      </c>
      <c r="BG246" s="216">
        <f>IF(N246="zákl. přenesená",J246,0)</f>
        <v>0</v>
      </c>
      <c r="BH246" s="216">
        <f>IF(N246="sníž. přenesená",J246,0)</f>
        <v>0</v>
      </c>
      <c r="BI246" s="216">
        <f>IF(N246="nulová",J246,0)</f>
        <v>0</v>
      </c>
      <c r="BJ246" s="103" t="s">
        <v>55</v>
      </c>
      <c r="BK246" s="216">
        <f>ROUND(I246*H246,2)</f>
        <v>0</v>
      </c>
      <c r="BL246" s="103" t="s">
        <v>126</v>
      </c>
      <c r="BM246" s="215" t="s">
        <v>1417</v>
      </c>
    </row>
    <row r="247" spans="2:65" s="256" customFormat="1" x14ac:dyDescent="0.25">
      <c r="B247" s="112"/>
      <c r="D247" s="217" t="s">
        <v>1109</v>
      </c>
      <c r="F247" s="218" t="s">
        <v>1418</v>
      </c>
      <c r="I247" s="324"/>
      <c r="L247" s="112"/>
      <c r="M247" s="219"/>
      <c r="T247" s="128"/>
      <c r="AT247" s="103" t="s">
        <v>1109</v>
      </c>
      <c r="AU247" s="103" t="s">
        <v>65</v>
      </c>
    </row>
    <row r="248" spans="2:65" s="194" customFormat="1" ht="22.9" customHeight="1" x14ac:dyDescent="0.2">
      <c r="B248" s="195"/>
      <c r="D248" s="196" t="s">
        <v>1052</v>
      </c>
      <c r="E248" s="204" t="s">
        <v>1419</v>
      </c>
      <c r="F248" s="204" t="s">
        <v>1420</v>
      </c>
      <c r="I248" s="327"/>
      <c r="J248" s="205">
        <f>BK248</f>
        <v>0</v>
      </c>
      <c r="L248" s="195"/>
      <c r="M248" s="199"/>
      <c r="P248" s="200">
        <f>SUM(P249:P329)</f>
        <v>0</v>
      </c>
      <c r="R248" s="200">
        <f>SUM(R249:R329)</f>
        <v>1.3012449999999993</v>
      </c>
      <c r="T248" s="201">
        <f>SUM(T249:T329)</f>
        <v>0.62124999999999997</v>
      </c>
      <c r="AR248" s="196" t="s">
        <v>65</v>
      </c>
      <c r="AT248" s="202" t="s">
        <v>1052</v>
      </c>
      <c r="AU248" s="202" t="s">
        <v>55</v>
      </c>
      <c r="AY248" s="196" t="s">
        <v>1102</v>
      </c>
      <c r="BK248" s="203">
        <f>SUM(BK249:BK329)</f>
        <v>0</v>
      </c>
    </row>
    <row r="249" spans="2:65" s="256" customFormat="1" ht="16.5" customHeight="1" x14ac:dyDescent="0.25">
      <c r="B249" s="112"/>
      <c r="C249" s="206" t="s">
        <v>274</v>
      </c>
      <c r="D249" s="206" t="s">
        <v>1104</v>
      </c>
      <c r="E249" s="207" t="s">
        <v>1421</v>
      </c>
      <c r="F249" s="208" t="s">
        <v>1422</v>
      </c>
      <c r="G249" s="209" t="s">
        <v>104</v>
      </c>
      <c r="H249" s="210">
        <v>3.9</v>
      </c>
      <c r="I249" s="326"/>
      <c r="J249" s="211">
        <f>ROUND(I249*H249,2)</f>
        <v>0</v>
      </c>
      <c r="K249" s="208" t="s">
        <v>1161</v>
      </c>
      <c r="L249" s="112"/>
      <c r="M249" s="325" t="s">
        <v>1010</v>
      </c>
      <c r="N249" s="212" t="s">
        <v>1025</v>
      </c>
      <c r="P249" s="213">
        <f>O249*H249</f>
        <v>0</v>
      </c>
      <c r="Q249" s="213">
        <v>2.4499999999999999E-3</v>
      </c>
      <c r="R249" s="213">
        <f>Q249*H249</f>
        <v>9.5549999999999993E-3</v>
      </c>
      <c r="S249" s="213">
        <v>0</v>
      </c>
      <c r="T249" s="214">
        <f>S249*H249</f>
        <v>0</v>
      </c>
      <c r="AR249" s="215" t="s">
        <v>126</v>
      </c>
      <c r="AT249" s="215" t="s">
        <v>1104</v>
      </c>
      <c r="AU249" s="215" t="s">
        <v>65</v>
      </c>
      <c r="AY249" s="103" t="s">
        <v>1102</v>
      </c>
      <c r="BE249" s="216">
        <f>IF(N249="základní",J249,0)</f>
        <v>0</v>
      </c>
      <c r="BF249" s="216">
        <f>IF(N249="snížená",J249,0)</f>
        <v>0</v>
      </c>
      <c r="BG249" s="216">
        <f>IF(N249="zákl. přenesená",J249,0)</f>
        <v>0</v>
      </c>
      <c r="BH249" s="216">
        <f>IF(N249="sníž. přenesená",J249,0)</f>
        <v>0</v>
      </c>
      <c r="BI249" s="216">
        <f>IF(N249="nulová",J249,0)</f>
        <v>0</v>
      </c>
      <c r="BJ249" s="103" t="s">
        <v>55</v>
      </c>
      <c r="BK249" s="216">
        <f>ROUND(I249*H249,2)</f>
        <v>0</v>
      </c>
      <c r="BL249" s="103" t="s">
        <v>126</v>
      </c>
      <c r="BM249" s="215" t="s">
        <v>1423</v>
      </c>
    </row>
    <row r="250" spans="2:65" s="256" customFormat="1" x14ac:dyDescent="0.25">
      <c r="B250" s="112"/>
      <c r="D250" s="217" t="s">
        <v>1109</v>
      </c>
      <c r="F250" s="218" t="s">
        <v>1424</v>
      </c>
      <c r="I250" s="324"/>
      <c r="L250" s="112"/>
      <c r="M250" s="219"/>
      <c r="T250" s="128"/>
      <c r="AT250" s="103" t="s">
        <v>1109</v>
      </c>
      <c r="AU250" s="103" t="s">
        <v>65</v>
      </c>
    </row>
    <row r="251" spans="2:65" s="256" customFormat="1" ht="16.5" customHeight="1" x14ac:dyDescent="0.25">
      <c r="B251" s="112"/>
      <c r="C251" s="228" t="s">
        <v>276</v>
      </c>
      <c r="D251" s="228" t="s">
        <v>1138</v>
      </c>
      <c r="E251" s="229" t="s">
        <v>1425</v>
      </c>
      <c r="F251" s="230" t="s">
        <v>1426</v>
      </c>
      <c r="G251" s="231" t="s">
        <v>113</v>
      </c>
      <c r="H251" s="232">
        <v>8</v>
      </c>
      <c r="I251" s="329"/>
      <c r="J251" s="233">
        <f>ROUND(I251*H251,2)</f>
        <v>0</v>
      </c>
      <c r="K251" s="230" t="s">
        <v>1161</v>
      </c>
      <c r="L251" s="234"/>
      <c r="M251" s="328" t="s">
        <v>1010</v>
      </c>
      <c r="N251" s="235" t="s">
        <v>1025</v>
      </c>
      <c r="P251" s="213">
        <f>O251*H251</f>
        <v>0</v>
      </c>
      <c r="Q251" s="213">
        <v>4.0000000000000003E-5</v>
      </c>
      <c r="R251" s="213">
        <f>Q251*H251</f>
        <v>3.2000000000000003E-4</v>
      </c>
      <c r="S251" s="213">
        <v>0</v>
      </c>
      <c r="T251" s="214">
        <f>S251*H251</f>
        <v>0</v>
      </c>
      <c r="AR251" s="215" t="s">
        <v>160</v>
      </c>
      <c r="AT251" s="215" t="s">
        <v>1138</v>
      </c>
      <c r="AU251" s="215" t="s">
        <v>65</v>
      </c>
      <c r="AY251" s="103" t="s">
        <v>1102</v>
      </c>
      <c r="BE251" s="216">
        <f>IF(N251="základní",J251,0)</f>
        <v>0</v>
      </c>
      <c r="BF251" s="216">
        <f>IF(N251="snížená",J251,0)</f>
        <v>0</v>
      </c>
      <c r="BG251" s="216">
        <f>IF(N251="zákl. přenesená",J251,0)</f>
        <v>0</v>
      </c>
      <c r="BH251" s="216">
        <f>IF(N251="sníž. přenesená",J251,0)</f>
        <v>0</v>
      </c>
      <c r="BI251" s="216">
        <f>IF(N251="nulová",J251,0)</f>
        <v>0</v>
      </c>
      <c r="BJ251" s="103" t="s">
        <v>55</v>
      </c>
      <c r="BK251" s="216">
        <f>ROUND(I251*H251,2)</f>
        <v>0</v>
      </c>
      <c r="BL251" s="103" t="s">
        <v>126</v>
      </c>
      <c r="BM251" s="215" t="s">
        <v>1427</v>
      </c>
    </row>
    <row r="252" spans="2:65" s="256" customFormat="1" ht="16.5" customHeight="1" x14ac:dyDescent="0.25">
      <c r="B252" s="112"/>
      <c r="C252" s="206" t="s">
        <v>277</v>
      </c>
      <c r="D252" s="206" t="s">
        <v>1104</v>
      </c>
      <c r="E252" s="207" t="s">
        <v>1428</v>
      </c>
      <c r="F252" s="208" t="s">
        <v>1429</v>
      </c>
      <c r="G252" s="209" t="s">
        <v>104</v>
      </c>
      <c r="H252" s="210">
        <v>15.9</v>
      </c>
      <c r="I252" s="326"/>
      <c r="J252" s="211">
        <f>ROUND(I252*H252,2)</f>
        <v>0</v>
      </c>
      <c r="K252" s="208" t="s">
        <v>1161</v>
      </c>
      <c r="L252" s="112"/>
      <c r="M252" s="325" t="s">
        <v>1010</v>
      </c>
      <c r="N252" s="212" t="s">
        <v>1025</v>
      </c>
      <c r="P252" s="213">
        <f>O252*H252</f>
        <v>0</v>
      </c>
      <c r="Q252" s="213">
        <v>4.5100000000000001E-3</v>
      </c>
      <c r="R252" s="213">
        <f>Q252*H252</f>
        <v>7.1709000000000009E-2</v>
      </c>
      <c r="S252" s="213">
        <v>0</v>
      </c>
      <c r="T252" s="214">
        <f>S252*H252</f>
        <v>0</v>
      </c>
      <c r="AR252" s="215" t="s">
        <v>126</v>
      </c>
      <c r="AT252" s="215" t="s">
        <v>1104</v>
      </c>
      <c r="AU252" s="215" t="s">
        <v>65</v>
      </c>
      <c r="AY252" s="103" t="s">
        <v>1102</v>
      </c>
      <c r="BE252" s="216">
        <f>IF(N252="základní",J252,0)</f>
        <v>0</v>
      </c>
      <c r="BF252" s="216">
        <f>IF(N252="snížená",J252,0)</f>
        <v>0</v>
      </c>
      <c r="BG252" s="216">
        <f>IF(N252="zákl. přenesená",J252,0)</f>
        <v>0</v>
      </c>
      <c r="BH252" s="216">
        <f>IF(N252="sníž. přenesená",J252,0)</f>
        <v>0</v>
      </c>
      <c r="BI252" s="216">
        <f>IF(N252="nulová",J252,0)</f>
        <v>0</v>
      </c>
      <c r="BJ252" s="103" t="s">
        <v>55</v>
      </c>
      <c r="BK252" s="216">
        <f>ROUND(I252*H252,2)</f>
        <v>0</v>
      </c>
      <c r="BL252" s="103" t="s">
        <v>126</v>
      </c>
      <c r="BM252" s="215" t="s">
        <v>1430</v>
      </c>
    </row>
    <row r="253" spans="2:65" s="256" customFormat="1" x14ac:dyDescent="0.25">
      <c r="B253" s="112"/>
      <c r="D253" s="217" t="s">
        <v>1109</v>
      </c>
      <c r="F253" s="218" t="s">
        <v>1431</v>
      </c>
      <c r="I253" s="324"/>
      <c r="L253" s="112"/>
      <c r="M253" s="219"/>
      <c r="T253" s="128"/>
      <c r="AT253" s="103" t="s">
        <v>1109</v>
      </c>
      <c r="AU253" s="103" t="s">
        <v>65</v>
      </c>
    </row>
    <row r="254" spans="2:65" s="256" customFormat="1" ht="16.5" customHeight="1" x14ac:dyDescent="0.25">
      <c r="B254" s="112"/>
      <c r="C254" s="228" t="s">
        <v>278</v>
      </c>
      <c r="D254" s="228" t="s">
        <v>1138</v>
      </c>
      <c r="E254" s="229" t="s">
        <v>1432</v>
      </c>
      <c r="F254" s="230" t="s">
        <v>1433</v>
      </c>
      <c r="G254" s="231" t="s">
        <v>113</v>
      </c>
      <c r="H254" s="232">
        <v>31</v>
      </c>
      <c r="I254" s="329"/>
      <c r="J254" s="233">
        <f>ROUND(I254*H254,2)</f>
        <v>0</v>
      </c>
      <c r="K254" s="230" t="s">
        <v>1161</v>
      </c>
      <c r="L254" s="234"/>
      <c r="M254" s="328" t="s">
        <v>1010</v>
      </c>
      <c r="N254" s="235" t="s">
        <v>1025</v>
      </c>
      <c r="P254" s="213">
        <f>O254*H254</f>
        <v>0</v>
      </c>
      <c r="Q254" s="213">
        <v>5.0000000000000002E-5</v>
      </c>
      <c r="R254" s="213">
        <f>Q254*H254</f>
        <v>1.5500000000000002E-3</v>
      </c>
      <c r="S254" s="213">
        <v>0</v>
      </c>
      <c r="T254" s="214">
        <f>S254*H254</f>
        <v>0</v>
      </c>
      <c r="AR254" s="215" t="s">
        <v>160</v>
      </c>
      <c r="AT254" s="215" t="s">
        <v>1138</v>
      </c>
      <c r="AU254" s="215" t="s">
        <v>65</v>
      </c>
      <c r="AY254" s="103" t="s">
        <v>1102</v>
      </c>
      <c r="BE254" s="216">
        <f>IF(N254="základní",J254,0)</f>
        <v>0</v>
      </c>
      <c r="BF254" s="216">
        <f>IF(N254="snížená",J254,0)</f>
        <v>0</v>
      </c>
      <c r="BG254" s="216">
        <f>IF(N254="zákl. přenesená",J254,0)</f>
        <v>0</v>
      </c>
      <c r="BH254" s="216">
        <f>IF(N254="sníž. přenesená",J254,0)</f>
        <v>0</v>
      </c>
      <c r="BI254" s="216">
        <f>IF(N254="nulová",J254,0)</f>
        <v>0</v>
      </c>
      <c r="BJ254" s="103" t="s">
        <v>55</v>
      </c>
      <c r="BK254" s="216">
        <f>ROUND(I254*H254,2)</f>
        <v>0</v>
      </c>
      <c r="BL254" s="103" t="s">
        <v>126</v>
      </c>
      <c r="BM254" s="215" t="s">
        <v>1434</v>
      </c>
    </row>
    <row r="255" spans="2:65" s="256" customFormat="1" ht="16.5" customHeight="1" x14ac:dyDescent="0.25">
      <c r="B255" s="112"/>
      <c r="C255" s="206" t="s">
        <v>330</v>
      </c>
      <c r="D255" s="206" t="s">
        <v>1104</v>
      </c>
      <c r="E255" s="207" t="s">
        <v>1435</v>
      </c>
      <c r="F255" s="208" t="s">
        <v>1436</v>
      </c>
      <c r="G255" s="209" t="s">
        <v>104</v>
      </c>
      <c r="H255" s="210">
        <v>0.7</v>
      </c>
      <c r="I255" s="326"/>
      <c r="J255" s="211">
        <f>ROUND(I255*H255,2)</f>
        <v>0</v>
      </c>
      <c r="K255" s="208" t="s">
        <v>1146</v>
      </c>
      <c r="L255" s="112"/>
      <c r="M255" s="325" t="s">
        <v>1010</v>
      </c>
      <c r="N255" s="212" t="s">
        <v>1025</v>
      </c>
      <c r="P255" s="213">
        <f>O255*H255</f>
        <v>0</v>
      </c>
      <c r="Q255" s="213">
        <v>6.4000000000000003E-3</v>
      </c>
      <c r="R255" s="213">
        <f>Q255*H255</f>
        <v>4.4799999999999996E-3</v>
      </c>
      <c r="S255" s="213">
        <v>0</v>
      </c>
      <c r="T255" s="214">
        <f>S255*H255</f>
        <v>0</v>
      </c>
      <c r="AR255" s="215" t="s">
        <v>126</v>
      </c>
      <c r="AT255" s="215" t="s">
        <v>1104</v>
      </c>
      <c r="AU255" s="215" t="s">
        <v>65</v>
      </c>
      <c r="AY255" s="103" t="s">
        <v>1102</v>
      </c>
      <c r="BE255" s="216">
        <f>IF(N255="základní",J255,0)</f>
        <v>0</v>
      </c>
      <c r="BF255" s="216">
        <f>IF(N255="snížená",J255,0)</f>
        <v>0</v>
      </c>
      <c r="BG255" s="216">
        <f>IF(N255="zákl. přenesená",J255,0)</f>
        <v>0</v>
      </c>
      <c r="BH255" s="216">
        <f>IF(N255="sníž. přenesená",J255,0)</f>
        <v>0</v>
      </c>
      <c r="BI255" s="216">
        <f>IF(N255="nulová",J255,0)</f>
        <v>0</v>
      </c>
      <c r="BJ255" s="103" t="s">
        <v>55</v>
      </c>
      <c r="BK255" s="216">
        <f>ROUND(I255*H255,2)</f>
        <v>0</v>
      </c>
      <c r="BL255" s="103" t="s">
        <v>126</v>
      </c>
      <c r="BM255" s="215" t="s">
        <v>1437</v>
      </c>
    </row>
    <row r="256" spans="2:65" s="256" customFormat="1" x14ac:dyDescent="0.25">
      <c r="B256" s="112"/>
      <c r="D256" s="217" t="s">
        <v>1109</v>
      </c>
      <c r="F256" s="218" t="s">
        <v>1438</v>
      </c>
      <c r="I256" s="324"/>
      <c r="L256" s="112"/>
      <c r="M256" s="219"/>
      <c r="T256" s="128"/>
      <c r="AT256" s="103" t="s">
        <v>1109</v>
      </c>
      <c r="AU256" s="103" t="s">
        <v>65</v>
      </c>
    </row>
    <row r="257" spans="2:65" s="256" customFormat="1" ht="16.5" customHeight="1" x14ac:dyDescent="0.25">
      <c r="B257" s="112"/>
      <c r="C257" s="206" t="s">
        <v>331</v>
      </c>
      <c r="D257" s="206" t="s">
        <v>1104</v>
      </c>
      <c r="E257" s="207" t="s">
        <v>1439</v>
      </c>
      <c r="F257" s="208" t="s">
        <v>1440</v>
      </c>
      <c r="G257" s="209" t="s">
        <v>104</v>
      </c>
      <c r="H257" s="210">
        <v>0.7</v>
      </c>
      <c r="I257" s="326"/>
      <c r="J257" s="211">
        <f>ROUND(I257*H257,2)</f>
        <v>0</v>
      </c>
      <c r="K257" s="208" t="s">
        <v>1146</v>
      </c>
      <c r="L257" s="112"/>
      <c r="M257" s="325" t="s">
        <v>1010</v>
      </c>
      <c r="N257" s="212" t="s">
        <v>1025</v>
      </c>
      <c r="P257" s="213">
        <f>O257*H257</f>
        <v>0</v>
      </c>
      <c r="Q257" s="213">
        <v>1.0869999999999999E-2</v>
      </c>
      <c r="R257" s="213">
        <f>Q257*H257</f>
        <v>7.6089999999999994E-3</v>
      </c>
      <c r="S257" s="213">
        <v>0</v>
      </c>
      <c r="T257" s="214">
        <f>S257*H257</f>
        <v>0</v>
      </c>
      <c r="AR257" s="215" t="s">
        <v>126</v>
      </c>
      <c r="AT257" s="215" t="s">
        <v>1104</v>
      </c>
      <c r="AU257" s="215" t="s">
        <v>65</v>
      </c>
      <c r="AY257" s="103" t="s">
        <v>1102</v>
      </c>
      <c r="BE257" s="216">
        <f>IF(N257="základní",J257,0)</f>
        <v>0</v>
      </c>
      <c r="BF257" s="216">
        <f>IF(N257="snížená",J257,0)</f>
        <v>0</v>
      </c>
      <c r="BG257" s="216">
        <f>IF(N257="zákl. přenesená",J257,0)</f>
        <v>0</v>
      </c>
      <c r="BH257" s="216">
        <f>IF(N257="sníž. přenesená",J257,0)</f>
        <v>0</v>
      </c>
      <c r="BI257" s="216">
        <f>IF(N257="nulová",J257,0)</f>
        <v>0</v>
      </c>
      <c r="BJ257" s="103" t="s">
        <v>55</v>
      </c>
      <c r="BK257" s="216">
        <f>ROUND(I257*H257,2)</f>
        <v>0</v>
      </c>
      <c r="BL257" s="103" t="s">
        <v>126</v>
      </c>
      <c r="BM257" s="215" t="s">
        <v>1441</v>
      </c>
    </row>
    <row r="258" spans="2:65" s="256" customFormat="1" x14ac:dyDescent="0.25">
      <c r="B258" s="112"/>
      <c r="D258" s="217" t="s">
        <v>1109</v>
      </c>
      <c r="F258" s="218" t="s">
        <v>1442</v>
      </c>
      <c r="I258" s="324"/>
      <c r="L258" s="112"/>
      <c r="M258" s="219"/>
      <c r="T258" s="128"/>
      <c r="AT258" s="103" t="s">
        <v>1109</v>
      </c>
      <c r="AU258" s="103" t="s">
        <v>65</v>
      </c>
    </row>
    <row r="259" spans="2:65" s="256" customFormat="1" ht="16.5" customHeight="1" x14ac:dyDescent="0.25">
      <c r="B259" s="112"/>
      <c r="C259" s="206" t="s">
        <v>128</v>
      </c>
      <c r="D259" s="206" t="s">
        <v>1104</v>
      </c>
      <c r="E259" s="207" t="s">
        <v>1443</v>
      </c>
      <c r="F259" s="208" t="s">
        <v>1444</v>
      </c>
      <c r="G259" s="209" t="s">
        <v>104</v>
      </c>
      <c r="H259" s="210">
        <v>125</v>
      </c>
      <c r="I259" s="326"/>
      <c r="J259" s="211">
        <f>ROUND(I259*H259,2)</f>
        <v>0</v>
      </c>
      <c r="K259" s="208" t="s">
        <v>1146</v>
      </c>
      <c r="L259" s="112"/>
      <c r="M259" s="325" t="s">
        <v>1010</v>
      </c>
      <c r="N259" s="212" t="s">
        <v>1025</v>
      </c>
      <c r="P259" s="213">
        <f>O259*H259</f>
        <v>0</v>
      </c>
      <c r="Q259" s="213">
        <v>0</v>
      </c>
      <c r="R259" s="213">
        <f>Q259*H259</f>
        <v>0</v>
      </c>
      <c r="S259" s="213">
        <v>4.9699999999999996E-3</v>
      </c>
      <c r="T259" s="214">
        <f>S259*H259</f>
        <v>0.62124999999999997</v>
      </c>
      <c r="AR259" s="215" t="s">
        <v>126</v>
      </c>
      <c r="AT259" s="215" t="s">
        <v>1104</v>
      </c>
      <c r="AU259" s="215" t="s">
        <v>65</v>
      </c>
      <c r="AY259" s="103" t="s">
        <v>1102</v>
      </c>
      <c r="BE259" s="216">
        <f>IF(N259="základní",J259,0)</f>
        <v>0</v>
      </c>
      <c r="BF259" s="216">
        <f>IF(N259="snížená",J259,0)</f>
        <v>0</v>
      </c>
      <c r="BG259" s="216">
        <f>IF(N259="zákl. přenesená",J259,0)</f>
        <v>0</v>
      </c>
      <c r="BH259" s="216">
        <f>IF(N259="sníž. přenesená",J259,0)</f>
        <v>0</v>
      </c>
      <c r="BI259" s="216">
        <f>IF(N259="nulová",J259,0)</f>
        <v>0</v>
      </c>
      <c r="BJ259" s="103" t="s">
        <v>55</v>
      </c>
      <c r="BK259" s="216">
        <f>ROUND(I259*H259,2)</f>
        <v>0</v>
      </c>
      <c r="BL259" s="103" t="s">
        <v>126</v>
      </c>
      <c r="BM259" s="215" t="s">
        <v>1445</v>
      </c>
    </row>
    <row r="260" spans="2:65" s="256" customFormat="1" x14ac:dyDescent="0.25">
      <c r="B260" s="112"/>
      <c r="D260" s="217" t="s">
        <v>1109</v>
      </c>
      <c r="F260" s="218" t="s">
        <v>1446</v>
      </c>
      <c r="I260" s="324"/>
      <c r="L260" s="112"/>
      <c r="M260" s="219"/>
      <c r="T260" s="128"/>
      <c r="AT260" s="103" t="s">
        <v>1109</v>
      </c>
      <c r="AU260" s="103" t="s">
        <v>65</v>
      </c>
    </row>
    <row r="261" spans="2:65" s="256" customFormat="1" ht="21.75" customHeight="1" x14ac:dyDescent="0.25">
      <c r="B261" s="112"/>
      <c r="C261" s="206" t="s">
        <v>279</v>
      </c>
      <c r="D261" s="206" t="s">
        <v>1104</v>
      </c>
      <c r="E261" s="207" t="s">
        <v>1447</v>
      </c>
      <c r="F261" s="208" t="s">
        <v>1448</v>
      </c>
      <c r="G261" s="209" t="s">
        <v>104</v>
      </c>
      <c r="H261" s="210">
        <v>178.8</v>
      </c>
      <c r="I261" s="326"/>
      <c r="J261" s="211">
        <f>ROUND(I261*H261,2)</f>
        <v>0</v>
      </c>
      <c r="K261" s="208" t="s">
        <v>1161</v>
      </c>
      <c r="L261" s="112"/>
      <c r="M261" s="325" t="s">
        <v>1010</v>
      </c>
      <c r="N261" s="212" t="s">
        <v>1025</v>
      </c>
      <c r="P261" s="213">
        <f>O261*H261</f>
        <v>0</v>
      </c>
      <c r="Q261" s="213">
        <v>8.4000000000000003E-4</v>
      </c>
      <c r="R261" s="213">
        <f>Q261*H261</f>
        <v>0.15019200000000002</v>
      </c>
      <c r="S261" s="213">
        <v>0</v>
      </c>
      <c r="T261" s="214">
        <f>S261*H261</f>
        <v>0</v>
      </c>
      <c r="AR261" s="215" t="s">
        <v>126</v>
      </c>
      <c r="AT261" s="215" t="s">
        <v>1104</v>
      </c>
      <c r="AU261" s="215" t="s">
        <v>65</v>
      </c>
      <c r="AY261" s="103" t="s">
        <v>1102</v>
      </c>
      <c r="BE261" s="216">
        <f>IF(N261="základní",J261,0)</f>
        <v>0</v>
      </c>
      <c r="BF261" s="216">
        <f>IF(N261="snížená",J261,0)</f>
        <v>0</v>
      </c>
      <c r="BG261" s="216">
        <f>IF(N261="zákl. přenesená",J261,0)</f>
        <v>0</v>
      </c>
      <c r="BH261" s="216">
        <f>IF(N261="sníž. přenesená",J261,0)</f>
        <v>0</v>
      </c>
      <c r="BI261" s="216">
        <f>IF(N261="nulová",J261,0)</f>
        <v>0</v>
      </c>
      <c r="BJ261" s="103" t="s">
        <v>55</v>
      </c>
      <c r="BK261" s="216">
        <f>ROUND(I261*H261,2)</f>
        <v>0</v>
      </c>
      <c r="BL261" s="103" t="s">
        <v>126</v>
      </c>
      <c r="BM261" s="215" t="s">
        <v>1449</v>
      </c>
    </row>
    <row r="262" spans="2:65" s="256" customFormat="1" x14ac:dyDescent="0.25">
      <c r="B262" s="112"/>
      <c r="D262" s="217" t="s">
        <v>1109</v>
      </c>
      <c r="F262" s="218" t="s">
        <v>1450</v>
      </c>
      <c r="I262" s="324"/>
      <c r="L262" s="112"/>
      <c r="M262" s="219"/>
      <c r="T262" s="128"/>
      <c r="AT262" s="103" t="s">
        <v>1109</v>
      </c>
      <c r="AU262" s="103" t="s">
        <v>65</v>
      </c>
    </row>
    <row r="263" spans="2:65" s="256" customFormat="1" ht="16.5" customHeight="1" x14ac:dyDescent="0.25">
      <c r="B263" s="112"/>
      <c r="C263" s="228" t="s">
        <v>280</v>
      </c>
      <c r="D263" s="228" t="s">
        <v>1138</v>
      </c>
      <c r="E263" s="229" t="s">
        <v>1451</v>
      </c>
      <c r="F263" s="230" t="s">
        <v>1452</v>
      </c>
      <c r="G263" s="231" t="s">
        <v>113</v>
      </c>
      <c r="H263" s="232">
        <v>358</v>
      </c>
      <c r="I263" s="329"/>
      <c r="J263" s="233">
        <f>ROUND(I263*H263,2)</f>
        <v>0</v>
      </c>
      <c r="K263" s="230" t="s">
        <v>1161</v>
      </c>
      <c r="L263" s="234"/>
      <c r="M263" s="328" t="s">
        <v>1010</v>
      </c>
      <c r="N263" s="235" t="s">
        <v>1025</v>
      </c>
      <c r="P263" s="213">
        <f>O263*H263</f>
        <v>0</v>
      </c>
      <c r="Q263" s="213">
        <v>6.8000000000000005E-4</v>
      </c>
      <c r="R263" s="213">
        <f>Q263*H263</f>
        <v>0.24344000000000002</v>
      </c>
      <c r="S263" s="213">
        <v>0</v>
      </c>
      <c r="T263" s="214">
        <f>S263*H263</f>
        <v>0</v>
      </c>
      <c r="AR263" s="215" t="s">
        <v>160</v>
      </c>
      <c r="AT263" s="215" t="s">
        <v>1138</v>
      </c>
      <c r="AU263" s="215" t="s">
        <v>65</v>
      </c>
      <c r="AY263" s="103" t="s">
        <v>1102</v>
      </c>
      <c r="BE263" s="216">
        <f>IF(N263="základní",J263,0)</f>
        <v>0</v>
      </c>
      <c r="BF263" s="216">
        <f>IF(N263="snížená",J263,0)</f>
        <v>0</v>
      </c>
      <c r="BG263" s="216">
        <f>IF(N263="zákl. přenesená",J263,0)</f>
        <v>0</v>
      </c>
      <c r="BH263" s="216">
        <f>IF(N263="sníž. přenesená",J263,0)</f>
        <v>0</v>
      </c>
      <c r="BI263" s="216">
        <f>IF(N263="nulová",J263,0)</f>
        <v>0</v>
      </c>
      <c r="BJ263" s="103" t="s">
        <v>55</v>
      </c>
      <c r="BK263" s="216">
        <f>ROUND(I263*H263,2)</f>
        <v>0</v>
      </c>
      <c r="BL263" s="103" t="s">
        <v>126</v>
      </c>
      <c r="BM263" s="215" t="s">
        <v>1453</v>
      </c>
    </row>
    <row r="264" spans="2:65" s="256" customFormat="1" ht="21.75" customHeight="1" x14ac:dyDescent="0.25">
      <c r="B264" s="112"/>
      <c r="C264" s="206" t="s">
        <v>281</v>
      </c>
      <c r="D264" s="206" t="s">
        <v>1104</v>
      </c>
      <c r="E264" s="207" t="s">
        <v>1454</v>
      </c>
      <c r="F264" s="208" t="s">
        <v>1455</v>
      </c>
      <c r="G264" s="209" t="s">
        <v>104</v>
      </c>
      <c r="H264" s="210">
        <v>67.900000000000006</v>
      </c>
      <c r="I264" s="326"/>
      <c r="J264" s="211">
        <f>ROUND(I264*H264,2)</f>
        <v>0</v>
      </c>
      <c r="K264" s="208" t="s">
        <v>1161</v>
      </c>
      <c r="L264" s="112"/>
      <c r="M264" s="325" t="s">
        <v>1010</v>
      </c>
      <c r="N264" s="212" t="s">
        <v>1025</v>
      </c>
      <c r="P264" s="213">
        <f>O264*H264</f>
        <v>0</v>
      </c>
      <c r="Q264" s="213">
        <v>1.16E-3</v>
      </c>
      <c r="R264" s="213">
        <f>Q264*H264</f>
        <v>7.8764000000000001E-2</v>
      </c>
      <c r="S264" s="213">
        <v>0</v>
      </c>
      <c r="T264" s="214">
        <f>S264*H264</f>
        <v>0</v>
      </c>
      <c r="AR264" s="215" t="s">
        <v>126</v>
      </c>
      <c r="AT264" s="215" t="s">
        <v>1104</v>
      </c>
      <c r="AU264" s="215" t="s">
        <v>65</v>
      </c>
      <c r="AY264" s="103" t="s">
        <v>1102</v>
      </c>
      <c r="BE264" s="216">
        <f>IF(N264="základní",J264,0)</f>
        <v>0</v>
      </c>
      <c r="BF264" s="216">
        <f>IF(N264="snížená",J264,0)</f>
        <v>0</v>
      </c>
      <c r="BG264" s="216">
        <f>IF(N264="zákl. přenesená",J264,0)</f>
        <v>0</v>
      </c>
      <c r="BH264" s="216">
        <f>IF(N264="sníž. přenesená",J264,0)</f>
        <v>0</v>
      </c>
      <c r="BI264" s="216">
        <f>IF(N264="nulová",J264,0)</f>
        <v>0</v>
      </c>
      <c r="BJ264" s="103" t="s">
        <v>55</v>
      </c>
      <c r="BK264" s="216">
        <f>ROUND(I264*H264,2)</f>
        <v>0</v>
      </c>
      <c r="BL264" s="103" t="s">
        <v>126</v>
      </c>
      <c r="BM264" s="215" t="s">
        <v>1456</v>
      </c>
    </row>
    <row r="265" spans="2:65" s="256" customFormat="1" x14ac:dyDescent="0.25">
      <c r="B265" s="112"/>
      <c r="D265" s="217" t="s">
        <v>1109</v>
      </c>
      <c r="F265" s="218" t="s">
        <v>1457</v>
      </c>
      <c r="I265" s="324"/>
      <c r="L265" s="112"/>
      <c r="M265" s="219"/>
      <c r="T265" s="128"/>
      <c r="AT265" s="103" t="s">
        <v>1109</v>
      </c>
      <c r="AU265" s="103" t="s">
        <v>65</v>
      </c>
    </row>
    <row r="266" spans="2:65" s="256" customFormat="1" ht="16.5" customHeight="1" x14ac:dyDescent="0.25">
      <c r="B266" s="112"/>
      <c r="C266" s="228" t="s">
        <v>282</v>
      </c>
      <c r="D266" s="228" t="s">
        <v>1138</v>
      </c>
      <c r="E266" s="229" t="s">
        <v>1458</v>
      </c>
      <c r="F266" s="230" t="s">
        <v>1459</v>
      </c>
      <c r="G266" s="231" t="s">
        <v>113</v>
      </c>
      <c r="H266" s="232">
        <v>104</v>
      </c>
      <c r="I266" s="329"/>
      <c r="J266" s="233">
        <f>ROUND(I266*H266,2)</f>
        <v>0</v>
      </c>
      <c r="K266" s="230" t="s">
        <v>1161</v>
      </c>
      <c r="L266" s="234"/>
      <c r="M266" s="328" t="s">
        <v>1010</v>
      </c>
      <c r="N266" s="235" t="s">
        <v>1025</v>
      </c>
      <c r="P266" s="213">
        <f>O266*H266</f>
        <v>0</v>
      </c>
      <c r="Q266" s="213">
        <v>6.9999999999999994E-5</v>
      </c>
      <c r="R266" s="213">
        <f>Q266*H266</f>
        <v>7.2799999999999991E-3</v>
      </c>
      <c r="S266" s="213">
        <v>0</v>
      </c>
      <c r="T266" s="214">
        <f>S266*H266</f>
        <v>0</v>
      </c>
      <c r="AR266" s="215" t="s">
        <v>160</v>
      </c>
      <c r="AT266" s="215" t="s">
        <v>1138</v>
      </c>
      <c r="AU266" s="215" t="s">
        <v>65</v>
      </c>
      <c r="AY266" s="103" t="s">
        <v>1102</v>
      </c>
      <c r="BE266" s="216">
        <f>IF(N266="základní",J266,0)</f>
        <v>0</v>
      </c>
      <c r="BF266" s="216">
        <f>IF(N266="snížená",J266,0)</f>
        <v>0</v>
      </c>
      <c r="BG266" s="216">
        <f>IF(N266="zákl. přenesená",J266,0)</f>
        <v>0</v>
      </c>
      <c r="BH266" s="216">
        <f>IF(N266="sníž. přenesená",J266,0)</f>
        <v>0</v>
      </c>
      <c r="BI266" s="216">
        <f>IF(N266="nulová",J266,0)</f>
        <v>0</v>
      </c>
      <c r="BJ266" s="103" t="s">
        <v>55</v>
      </c>
      <c r="BK266" s="216">
        <f>ROUND(I266*H266,2)</f>
        <v>0</v>
      </c>
      <c r="BL266" s="103" t="s">
        <v>126</v>
      </c>
      <c r="BM266" s="215" t="s">
        <v>1460</v>
      </c>
    </row>
    <row r="267" spans="2:65" s="256" customFormat="1" ht="16.5" customHeight="1" x14ac:dyDescent="0.25">
      <c r="B267" s="112"/>
      <c r="C267" s="228" t="s">
        <v>283</v>
      </c>
      <c r="D267" s="228" t="s">
        <v>1138</v>
      </c>
      <c r="E267" s="229" t="s">
        <v>1461</v>
      </c>
      <c r="F267" s="230" t="s">
        <v>1462</v>
      </c>
      <c r="G267" s="231" t="s">
        <v>113</v>
      </c>
      <c r="H267" s="232">
        <v>34</v>
      </c>
      <c r="I267" s="329"/>
      <c r="J267" s="233">
        <f>ROUND(I267*H267,2)</f>
        <v>0</v>
      </c>
      <c r="K267" s="230" t="s">
        <v>1161</v>
      </c>
      <c r="L267" s="234"/>
      <c r="M267" s="328" t="s">
        <v>1010</v>
      </c>
      <c r="N267" s="235" t="s">
        <v>1025</v>
      </c>
      <c r="P267" s="213">
        <f>O267*H267</f>
        <v>0</v>
      </c>
      <c r="Q267" s="213">
        <v>9.0000000000000006E-5</v>
      </c>
      <c r="R267" s="213">
        <f>Q267*H267</f>
        <v>3.0600000000000002E-3</v>
      </c>
      <c r="S267" s="213">
        <v>0</v>
      </c>
      <c r="T267" s="214">
        <f>S267*H267</f>
        <v>0</v>
      </c>
      <c r="AR267" s="215" t="s">
        <v>160</v>
      </c>
      <c r="AT267" s="215" t="s">
        <v>1138</v>
      </c>
      <c r="AU267" s="215" t="s">
        <v>65</v>
      </c>
      <c r="AY267" s="103" t="s">
        <v>1102</v>
      </c>
      <c r="BE267" s="216">
        <f>IF(N267="základní",J267,0)</f>
        <v>0</v>
      </c>
      <c r="BF267" s="216">
        <f>IF(N267="snížená",J267,0)</f>
        <v>0</v>
      </c>
      <c r="BG267" s="216">
        <f>IF(N267="zákl. přenesená",J267,0)</f>
        <v>0</v>
      </c>
      <c r="BH267" s="216">
        <f>IF(N267="sníž. přenesená",J267,0)</f>
        <v>0</v>
      </c>
      <c r="BI267" s="216">
        <f>IF(N267="nulová",J267,0)</f>
        <v>0</v>
      </c>
      <c r="BJ267" s="103" t="s">
        <v>55</v>
      </c>
      <c r="BK267" s="216">
        <f>ROUND(I267*H267,2)</f>
        <v>0</v>
      </c>
      <c r="BL267" s="103" t="s">
        <v>126</v>
      </c>
      <c r="BM267" s="215" t="s">
        <v>1463</v>
      </c>
    </row>
    <row r="268" spans="2:65" s="256" customFormat="1" ht="21.75" customHeight="1" x14ac:dyDescent="0.25">
      <c r="B268" s="112"/>
      <c r="C268" s="206" t="s">
        <v>285</v>
      </c>
      <c r="D268" s="206" t="s">
        <v>1104</v>
      </c>
      <c r="E268" s="207" t="s">
        <v>1464</v>
      </c>
      <c r="F268" s="208" t="s">
        <v>1465</v>
      </c>
      <c r="G268" s="209" t="s">
        <v>104</v>
      </c>
      <c r="H268" s="210">
        <v>58.8</v>
      </c>
      <c r="I268" s="326"/>
      <c r="J268" s="211">
        <f>ROUND(I268*H268,2)</f>
        <v>0</v>
      </c>
      <c r="K268" s="208" t="s">
        <v>1161</v>
      </c>
      <c r="L268" s="112"/>
      <c r="M268" s="325" t="s">
        <v>1010</v>
      </c>
      <c r="N268" s="212" t="s">
        <v>1025</v>
      </c>
      <c r="P268" s="213">
        <f>O268*H268</f>
        <v>0</v>
      </c>
      <c r="Q268" s="213">
        <v>1.4400000000000001E-3</v>
      </c>
      <c r="R268" s="213">
        <f>Q268*H268</f>
        <v>8.4671999999999997E-2</v>
      </c>
      <c r="S268" s="213">
        <v>0</v>
      </c>
      <c r="T268" s="214">
        <f>S268*H268</f>
        <v>0</v>
      </c>
      <c r="AR268" s="215" t="s">
        <v>126</v>
      </c>
      <c r="AT268" s="215" t="s">
        <v>1104</v>
      </c>
      <c r="AU268" s="215" t="s">
        <v>65</v>
      </c>
      <c r="AY268" s="103" t="s">
        <v>1102</v>
      </c>
      <c r="BE268" s="216">
        <f>IF(N268="základní",J268,0)</f>
        <v>0</v>
      </c>
      <c r="BF268" s="216">
        <f>IF(N268="snížená",J268,0)</f>
        <v>0</v>
      </c>
      <c r="BG268" s="216">
        <f>IF(N268="zákl. přenesená",J268,0)</f>
        <v>0</v>
      </c>
      <c r="BH268" s="216">
        <f>IF(N268="sníž. přenesená",J268,0)</f>
        <v>0</v>
      </c>
      <c r="BI268" s="216">
        <f>IF(N268="nulová",J268,0)</f>
        <v>0</v>
      </c>
      <c r="BJ268" s="103" t="s">
        <v>55</v>
      </c>
      <c r="BK268" s="216">
        <f>ROUND(I268*H268,2)</f>
        <v>0</v>
      </c>
      <c r="BL268" s="103" t="s">
        <v>126</v>
      </c>
      <c r="BM268" s="215" t="s">
        <v>1466</v>
      </c>
    </row>
    <row r="269" spans="2:65" s="256" customFormat="1" x14ac:dyDescent="0.25">
      <c r="B269" s="112"/>
      <c r="D269" s="217" t="s">
        <v>1109</v>
      </c>
      <c r="F269" s="218" t="s">
        <v>1467</v>
      </c>
      <c r="I269" s="324"/>
      <c r="L269" s="112"/>
      <c r="M269" s="219"/>
      <c r="T269" s="128"/>
      <c r="AT269" s="103" t="s">
        <v>1109</v>
      </c>
      <c r="AU269" s="103" t="s">
        <v>65</v>
      </c>
    </row>
    <row r="270" spans="2:65" s="256" customFormat="1" ht="16.5" customHeight="1" x14ac:dyDescent="0.25">
      <c r="B270" s="112"/>
      <c r="C270" s="228" t="s">
        <v>287</v>
      </c>
      <c r="D270" s="228" t="s">
        <v>1138</v>
      </c>
      <c r="E270" s="229" t="s">
        <v>1468</v>
      </c>
      <c r="F270" s="230" t="s">
        <v>1469</v>
      </c>
      <c r="G270" s="231" t="s">
        <v>113</v>
      </c>
      <c r="H270" s="232">
        <v>62</v>
      </c>
      <c r="I270" s="329"/>
      <c r="J270" s="233">
        <f>ROUND(I270*H270,2)</f>
        <v>0</v>
      </c>
      <c r="K270" s="230" t="s">
        <v>1161</v>
      </c>
      <c r="L270" s="234"/>
      <c r="M270" s="328" t="s">
        <v>1010</v>
      </c>
      <c r="N270" s="235" t="s">
        <v>1025</v>
      </c>
      <c r="P270" s="213">
        <f>O270*H270</f>
        <v>0</v>
      </c>
      <c r="Q270" s="213">
        <v>1E-4</v>
      </c>
      <c r="R270" s="213">
        <f>Q270*H270</f>
        <v>6.2000000000000006E-3</v>
      </c>
      <c r="S270" s="213">
        <v>0</v>
      </c>
      <c r="T270" s="214">
        <f>S270*H270</f>
        <v>0</v>
      </c>
      <c r="AR270" s="215" t="s">
        <v>160</v>
      </c>
      <c r="AT270" s="215" t="s">
        <v>1138</v>
      </c>
      <c r="AU270" s="215" t="s">
        <v>65</v>
      </c>
      <c r="AY270" s="103" t="s">
        <v>1102</v>
      </c>
      <c r="BE270" s="216">
        <f>IF(N270="základní",J270,0)</f>
        <v>0</v>
      </c>
      <c r="BF270" s="216">
        <f>IF(N270="snížená",J270,0)</f>
        <v>0</v>
      </c>
      <c r="BG270" s="216">
        <f>IF(N270="zákl. přenesená",J270,0)</f>
        <v>0</v>
      </c>
      <c r="BH270" s="216">
        <f>IF(N270="sníž. přenesená",J270,0)</f>
        <v>0</v>
      </c>
      <c r="BI270" s="216">
        <f>IF(N270="nulová",J270,0)</f>
        <v>0</v>
      </c>
      <c r="BJ270" s="103" t="s">
        <v>55</v>
      </c>
      <c r="BK270" s="216">
        <f>ROUND(I270*H270,2)</f>
        <v>0</v>
      </c>
      <c r="BL270" s="103" t="s">
        <v>126</v>
      </c>
      <c r="BM270" s="215" t="s">
        <v>1470</v>
      </c>
    </row>
    <row r="271" spans="2:65" s="256" customFormat="1" ht="16.5" customHeight="1" x14ac:dyDescent="0.25">
      <c r="B271" s="112"/>
      <c r="C271" s="228" t="s">
        <v>300</v>
      </c>
      <c r="D271" s="228" t="s">
        <v>1138</v>
      </c>
      <c r="E271" s="229" t="s">
        <v>1471</v>
      </c>
      <c r="F271" s="230" t="s">
        <v>1472</v>
      </c>
      <c r="G271" s="231" t="s">
        <v>113</v>
      </c>
      <c r="H271" s="232">
        <v>58</v>
      </c>
      <c r="I271" s="329"/>
      <c r="J271" s="233">
        <f>ROUND(I271*H271,2)</f>
        <v>0</v>
      </c>
      <c r="K271" s="230" t="s">
        <v>1146</v>
      </c>
      <c r="L271" s="234"/>
      <c r="M271" s="328" t="s">
        <v>1010</v>
      </c>
      <c r="N271" s="235" t="s">
        <v>1025</v>
      </c>
      <c r="P271" s="213">
        <f>O271*H271</f>
        <v>0</v>
      </c>
      <c r="Q271" s="213">
        <v>1.7000000000000001E-4</v>
      </c>
      <c r="R271" s="213">
        <f>Q271*H271</f>
        <v>9.8600000000000007E-3</v>
      </c>
      <c r="S271" s="213">
        <v>0</v>
      </c>
      <c r="T271" s="214">
        <f>S271*H271</f>
        <v>0</v>
      </c>
      <c r="AR271" s="215" t="s">
        <v>160</v>
      </c>
      <c r="AT271" s="215" t="s">
        <v>1138</v>
      </c>
      <c r="AU271" s="215" t="s">
        <v>65</v>
      </c>
      <c r="AY271" s="103" t="s">
        <v>1102</v>
      </c>
      <c r="BE271" s="216">
        <f>IF(N271="základní",J271,0)</f>
        <v>0</v>
      </c>
      <c r="BF271" s="216">
        <f>IF(N271="snížená",J271,0)</f>
        <v>0</v>
      </c>
      <c r="BG271" s="216">
        <f>IF(N271="zákl. přenesená",J271,0)</f>
        <v>0</v>
      </c>
      <c r="BH271" s="216">
        <f>IF(N271="sníž. přenesená",J271,0)</f>
        <v>0</v>
      </c>
      <c r="BI271" s="216">
        <f>IF(N271="nulová",J271,0)</f>
        <v>0</v>
      </c>
      <c r="BJ271" s="103" t="s">
        <v>55</v>
      </c>
      <c r="BK271" s="216">
        <f>ROUND(I271*H271,2)</f>
        <v>0</v>
      </c>
      <c r="BL271" s="103" t="s">
        <v>126</v>
      </c>
      <c r="BM271" s="215" t="s">
        <v>1473</v>
      </c>
    </row>
    <row r="272" spans="2:65" s="256" customFormat="1" ht="21.75" customHeight="1" x14ac:dyDescent="0.25">
      <c r="B272" s="112"/>
      <c r="C272" s="206" t="s">
        <v>288</v>
      </c>
      <c r="D272" s="206" t="s">
        <v>1104</v>
      </c>
      <c r="E272" s="207" t="s">
        <v>1474</v>
      </c>
      <c r="F272" s="208" t="s">
        <v>1475</v>
      </c>
      <c r="G272" s="209" t="s">
        <v>104</v>
      </c>
      <c r="H272" s="210">
        <v>26</v>
      </c>
      <c r="I272" s="326"/>
      <c r="J272" s="211">
        <f>ROUND(I272*H272,2)</f>
        <v>0</v>
      </c>
      <c r="K272" s="208" t="s">
        <v>1161</v>
      </c>
      <c r="L272" s="112"/>
      <c r="M272" s="325" t="s">
        <v>1010</v>
      </c>
      <c r="N272" s="212" t="s">
        <v>1025</v>
      </c>
      <c r="P272" s="213">
        <f>O272*H272</f>
        <v>0</v>
      </c>
      <c r="Q272" s="213">
        <v>2.81E-3</v>
      </c>
      <c r="R272" s="213">
        <f>Q272*H272</f>
        <v>7.306E-2</v>
      </c>
      <c r="S272" s="213">
        <v>0</v>
      </c>
      <c r="T272" s="214">
        <f>S272*H272</f>
        <v>0</v>
      </c>
      <c r="AR272" s="215" t="s">
        <v>126</v>
      </c>
      <c r="AT272" s="215" t="s">
        <v>1104</v>
      </c>
      <c r="AU272" s="215" t="s">
        <v>65</v>
      </c>
      <c r="AY272" s="103" t="s">
        <v>1102</v>
      </c>
      <c r="BE272" s="216">
        <f>IF(N272="základní",J272,0)</f>
        <v>0</v>
      </c>
      <c r="BF272" s="216">
        <f>IF(N272="snížená",J272,0)</f>
        <v>0</v>
      </c>
      <c r="BG272" s="216">
        <f>IF(N272="zákl. přenesená",J272,0)</f>
        <v>0</v>
      </c>
      <c r="BH272" s="216">
        <f>IF(N272="sníž. přenesená",J272,0)</f>
        <v>0</v>
      </c>
      <c r="BI272" s="216">
        <f>IF(N272="nulová",J272,0)</f>
        <v>0</v>
      </c>
      <c r="BJ272" s="103" t="s">
        <v>55</v>
      </c>
      <c r="BK272" s="216">
        <f>ROUND(I272*H272,2)</f>
        <v>0</v>
      </c>
      <c r="BL272" s="103" t="s">
        <v>126</v>
      </c>
      <c r="BM272" s="215" t="s">
        <v>1476</v>
      </c>
    </row>
    <row r="273" spans="2:65" s="256" customFormat="1" x14ac:dyDescent="0.25">
      <c r="B273" s="112"/>
      <c r="D273" s="217" t="s">
        <v>1109</v>
      </c>
      <c r="F273" s="218" t="s">
        <v>1477</v>
      </c>
      <c r="I273" s="324"/>
      <c r="L273" s="112"/>
      <c r="M273" s="219"/>
      <c r="T273" s="128"/>
      <c r="AT273" s="103" t="s">
        <v>1109</v>
      </c>
      <c r="AU273" s="103" t="s">
        <v>65</v>
      </c>
    </row>
    <row r="274" spans="2:65" s="256" customFormat="1" ht="16.5" customHeight="1" x14ac:dyDescent="0.25">
      <c r="B274" s="112"/>
      <c r="C274" s="228" t="s">
        <v>289</v>
      </c>
      <c r="D274" s="228" t="s">
        <v>1138</v>
      </c>
      <c r="E274" s="229" t="s">
        <v>1478</v>
      </c>
      <c r="F274" s="230" t="s">
        <v>1479</v>
      </c>
      <c r="G274" s="231" t="s">
        <v>113</v>
      </c>
      <c r="H274" s="232">
        <v>32</v>
      </c>
      <c r="I274" s="329"/>
      <c r="J274" s="233">
        <f>ROUND(I274*H274,2)</f>
        <v>0</v>
      </c>
      <c r="K274" s="230" t="s">
        <v>1161</v>
      </c>
      <c r="L274" s="234"/>
      <c r="M274" s="328" t="s">
        <v>1010</v>
      </c>
      <c r="N274" s="235" t="s">
        <v>1025</v>
      </c>
      <c r="P274" s="213">
        <f>O274*H274</f>
        <v>0</v>
      </c>
      <c r="Q274" s="213">
        <v>1E-4</v>
      </c>
      <c r="R274" s="213">
        <f>Q274*H274</f>
        <v>3.2000000000000002E-3</v>
      </c>
      <c r="S274" s="213">
        <v>0</v>
      </c>
      <c r="T274" s="214">
        <f>S274*H274</f>
        <v>0</v>
      </c>
      <c r="AR274" s="215" t="s">
        <v>160</v>
      </c>
      <c r="AT274" s="215" t="s">
        <v>1138</v>
      </c>
      <c r="AU274" s="215" t="s">
        <v>65</v>
      </c>
      <c r="AY274" s="103" t="s">
        <v>1102</v>
      </c>
      <c r="BE274" s="216">
        <f>IF(N274="základní",J274,0)</f>
        <v>0</v>
      </c>
      <c r="BF274" s="216">
        <f>IF(N274="snížená",J274,0)</f>
        <v>0</v>
      </c>
      <c r="BG274" s="216">
        <f>IF(N274="zákl. přenesená",J274,0)</f>
        <v>0</v>
      </c>
      <c r="BH274" s="216">
        <f>IF(N274="sníž. přenesená",J274,0)</f>
        <v>0</v>
      </c>
      <c r="BI274" s="216">
        <f>IF(N274="nulová",J274,0)</f>
        <v>0</v>
      </c>
      <c r="BJ274" s="103" t="s">
        <v>55</v>
      </c>
      <c r="BK274" s="216">
        <f>ROUND(I274*H274,2)</f>
        <v>0</v>
      </c>
      <c r="BL274" s="103" t="s">
        <v>126</v>
      </c>
      <c r="BM274" s="215" t="s">
        <v>1480</v>
      </c>
    </row>
    <row r="275" spans="2:65" s="256" customFormat="1" ht="16.5" customHeight="1" x14ac:dyDescent="0.25">
      <c r="B275" s="112"/>
      <c r="C275" s="228" t="s">
        <v>290</v>
      </c>
      <c r="D275" s="228" t="s">
        <v>1138</v>
      </c>
      <c r="E275" s="229" t="s">
        <v>1481</v>
      </c>
      <c r="F275" s="230" t="s">
        <v>1482</v>
      </c>
      <c r="G275" s="231" t="s">
        <v>113</v>
      </c>
      <c r="H275" s="232">
        <v>22</v>
      </c>
      <c r="I275" s="329"/>
      <c r="J275" s="233">
        <f>ROUND(I275*H275,2)</f>
        <v>0</v>
      </c>
      <c r="K275" s="230" t="s">
        <v>1161</v>
      </c>
      <c r="L275" s="234"/>
      <c r="M275" s="328" t="s">
        <v>1010</v>
      </c>
      <c r="N275" s="235" t="s">
        <v>1025</v>
      </c>
      <c r="P275" s="213">
        <f>O275*H275</f>
        <v>0</v>
      </c>
      <c r="Q275" s="213">
        <v>2.1000000000000001E-4</v>
      </c>
      <c r="R275" s="213">
        <f>Q275*H275</f>
        <v>4.62E-3</v>
      </c>
      <c r="S275" s="213">
        <v>0</v>
      </c>
      <c r="T275" s="214">
        <f>S275*H275</f>
        <v>0</v>
      </c>
      <c r="AR275" s="215" t="s">
        <v>160</v>
      </c>
      <c r="AT275" s="215" t="s">
        <v>1138</v>
      </c>
      <c r="AU275" s="215" t="s">
        <v>65</v>
      </c>
      <c r="AY275" s="103" t="s">
        <v>1102</v>
      </c>
      <c r="BE275" s="216">
        <f>IF(N275="základní",J275,0)</f>
        <v>0</v>
      </c>
      <c r="BF275" s="216">
        <f>IF(N275="snížená",J275,0)</f>
        <v>0</v>
      </c>
      <c r="BG275" s="216">
        <f>IF(N275="zákl. přenesená",J275,0)</f>
        <v>0</v>
      </c>
      <c r="BH275" s="216">
        <f>IF(N275="sníž. přenesená",J275,0)</f>
        <v>0</v>
      </c>
      <c r="BI275" s="216">
        <f>IF(N275="nulová",J275,0)</f>
        <v>0</v>
      </c>
      <c r="BJ275" s="103" t="s">
        <v>55</v>
      </c>
      <c r="BK275" s="216">
        <f>ROUND(I275*H275,2)</f>
        <v>0</v>
      </c>
      <c r="BL275" s="103" t="s">
        <v>126</v>
      </c>
      <c r="BM275" s="215" t="s">
        <v>1483</v>
      </c>
    </row>
    <row r="276" spans="2:65" s="256" customFormat="1" ht="21.75" customHeight="1" x14ac:dyDescent="0.25">
      <c r="B276" s="112"/>
      <c r="C276" s="206" t="s">
        <v>295</v>
      </c>
      <c r="D276" s="206" t="s">
        <v>1104</v>
      </c>
      <c r="E276" s="207" t="s">
        <v>1484</v>
      </c>
      <c r="F276" s="208" t="s">
        <v>1485</v>
      </c>
      <c r="G276" s="209" t="s">
        <v>104</v>
      </c>
      <c r="H276" s="210">
        <v>13.3</v>
      </c>
      <c r="I276" s="326"/>
      <c r="J276" s="211">
        <f>ROUND(I276*H276,2)</f>
        <v>0</v>
      </c>
      <c r="K276" s="208" t="s">
        <v>1161</v>
      </c>
      <c r="L276" s="112"/>
      <c r="M276" s="325" t="s">
        <v>1010</v>
      </c>
      <c r="N276" s="212" t="s">
        <v>1025</v>
      </c>
      <c r="P276" s="213">
        <f>O276*H276</f>
        <v>0</v>
      </c>
      <c r="Q276" s="213">
        <v>3.62E-3</v>
      </c>
      <c r="R276" s="213">
        <f>Q276*H276</f>
        <v>4.8146000000000001E-2</v>
      </c>
      <c r="S276" s="213">
        <v>0</v>
      </c>
      <c r="T276" s="214">
        <f>S276*H276</f>
        <v>0</v>
      </c>
      <c r="AR276" s="215" t="s">
        <v>126</v>
      </c>
      <c r="AT276" s="215" t="s">
        <v>1104</v>
      </c>
      <c r="AU276" s="215" t="s">
        <v>65</v>
      </c>
      <c r="AY276" s="103" t="s">
        <v>1102</v>
      </c>
      <c r="BE276" s="216">
        <f>IF(N276="základní",J276,0)</f>
        <v>0</v>
      </c>
      <c r="BF276" s="216">
        <f>IF(N276="snížená",J276,0)</f>
        <v>0</v>
      </c>
      <c r="BG276" s="216">
        <f>IF(N276="zákl. přenesená",J276,0)</f>
        <v>0</v>
      </c>
      <c r="BH276" s="216">
        <f>IF(N276="sníž. přenesená",J276,0)</f>
        <v>0</v>
      </c>
      <c r="BI276" s="216">
        <f>IF(N276="nulová",J276,0)</f>
        <v>0</v>
      </c>
      <c r="BJ276" s="103" t="s">
        <v>55</v>
      </c>
      <c r="BK276" s="216">
        <f>ROUND(I276*H276,2)</f>
        <v>0</v>
      </c>
      <c r="BL276" s="103" t="s">
        <v>126</v>
      </c>
      <c r="BM276" s="215" t="s">
        <v>1486</v>
      </c>
    </row>
    <row r="277" spans="2:65" s="256" customFormat="1" x14ac:dyDescent="0.25">
      <c r="B277" s="112"/>
      <c r="D277" s="217" t="s">
        <v>1109</v>
      </c>
      <c r="F277" s="218" t="s">
        <v>1487</v>
      </c>
      <c r="I277" s="324"/>
      <c r="L277" s="112"/>
      <c r="M277" s="219"/>
      <c r="T277" s="128"/>
      <c r="AT277" s="103" t="s">
        <v>1109</v>
      </c>
      <c r="AU277" s="103" t="s">
        <v>65</v>
      </c>
    </row>
    <row r="278" spans="2:65" s="256" customFormat="1" ht="16.5" customHeight="1" x14ac:dyDescent="0.25">
      <c r="B278" s="112"/>
      <c r="C278" s="228" t="s">
        <v>297</v>
      </c>
      <c r="D278" s="228" t="s">
        <v>1138</v>
      </c>
      <c r="E278" s="229" t="s">
        <v>1488</v>
      </c>
      <c r="F278" s="230" t="s">
        <v>1489</v>
      </c>
      <c r="G278" s="231" t="s">
        <v>113</v>
      </c>
      <c r="H278" s="232">
        <v>28</v>
      </c>
      <c r="I278" s="329"/>
      <c r="J278" s="233">
        <f>ROUND(I278*H278,2)</f>
        <v>0</v>
      </c>
      <c r="K278" s="230" t="s">
        <v>1161</v>
      </c>
      <c r="L278" s="234"/>
      <c r="M278" s="328" t="s">
        <v>1010</v>
      </c>
      <c r="N278" s="235" t="s">
        <v>1025</v>
      </c>
      <c r="P278" s="213">
        <f>O278*H278</f>
        <v>0</v>
      </c>
      <c r="Q278" s="213">
        <v>1.4999999999999999E-4</v>
      </c>
      <c r="R278" s="213">
        <f>Q278*H278</f>
        <v>4.1999999999999997E-3</v>
      </c>
      <c r="S278" s="213">
        <v>0</v>
      </c>
      <c r="T278" s="214">
        <f>S278*H278</f>
        <v>0</v>
      </c>
      <c r="AR278" s="215" t="s">
        <v>160</v>
      </c>
      <c r="AT278" s="215" t="s">
        <v>1138</v>
      </c>
      <c r="AU278" s="215" t="s">
        <v>65</v>
      </c>
      <c r="AY278" s="103" t="s">
        <v>1102</v>
      </c>
      <c r="BE278" s="216">
        <f>IF(N278="základní",J278,0)</f>
        <v>0</v>
      </c>
      <c r="BF278" s="216">
        <f>IF(N278="snížená",J278,0)</f>
        <v>0</v>
      </c>
      <c r="BG278" s="216">
        <f>IF(N278="zákl. přenesená",J278,0)</f>
        <v>0</v>
      </c>
      <c r="BH278" s="216">
        <f>IF(N278="sníž. přenesená",J278,0)</f>
        <v>0</v>
      </c>
      <c r="BI278" s="216">
        <f>IF(N278="nulová",J278,0)</f>
        <v>0</v>
      </c>
      <c r="BJ278" s="103" t="s">
        <v>55</v>
      </c>
      <c r="BK278" s="216">
        <f>ROUND(I278*H278,2)</f>
        <v>0</v>
      </c>
      <c r="BL278" s="103" t="s">
        <v>126</v>
      </c>
      <c r="BM278" s="215" t="s">
        <v>1490</v>
      </c>
    </row>
    <row r="279" spans="2:65" s="256" customFormat="1" ht="21.75" customHeight="1" x14ac:dyDescent="0.25">
      <c r="B279" s="112"/>
      <c r="C279" s="206" t="s">
        <v>293</v>
      </c>
      <c r="D279" s="206" t="s">
        <v>1104</v>
      </c>
      <c r="E279" s="207" t="s">
        <v>1491</v>
      </c>
      <c r="F279" s="208" t="s">
        <v>1492</v>
      </c>
      <c r="G279" s="209" t="s">
        <v>104</v>
      </c>
      <c r="H279" s="210">
        <v>0.9</v>
      </c>
      <c r="I279" s="326"/>
      <c r="J279" s="211">
        <f>ROUND(I279*H279,2)</f>
        <v>0</v>
      </c>
      <c r="K279" s="208" t="s">
        <v>1161</v>
      </c>
      <c r="L279" s="112"/>
      <c r="M279" s="325" t="s">
        <v>1010</v>
      </c>
      <c r="N279" s="212" t="s">
        <v>1025</v>
      </c>
      <c r="P279" s="213">
        <f>O279*H279</f>
        <v>0</v>
      </c>
      <c r="Q279" s="213">
        <v>6.1000000000000004E-3</v>
      </c>
      <c r="R279" s="213">
        <f>Q279*H279</f>
        <v>5.4900000000000001E-3</v>
      </c>
      <c r="S279" s="213">
        <v>0</v>
      </c>
      <c r="T279" s="214">
        <f>S279*H279</f>
        <v>0</v>
      </c>
      <c r="AR279" s="215" t="s">
        <v>126</v>
      </c>
      <c r="AT279" s="215" t="s">
        <v>1104</v>
      </c>
      <c r="AU279" s="215" t="s">
        <v>65</v>
      </c>
      <c r="AY279" s="103" t="s">
        <v>1102</v>
      </c>
      <c r="BE279" s="216">
        <f>IF(N279="základní",J279,0)</f>
        <v>0</v>
      </c>
      <c r="BF279" s="216">
        <f>IF(N279="snížená",J279,0)</f>
        <v>0</v>
      </c>
      <c r="BG279" s="216">
        <f>IF(N279="zákl. přenesená",J279,0)</f>
        <v>0</v>
      </c>
      <c r="BH279" s="216">
        <f>IF(N279="sníž. přenesená",J279,0)</f>
        <v>0</v>
      </c>
      <c r="BI279" s="216">
        <f>IF(N279="nulová",J279,0)</f>
        <v>0</v>
      </c>
      <c r="BJ279" s="103" t="s">
        <v>55</v>
      </c>
      <c r="BK279" s="216">
        <f>ROUND(I279*H279,2)</f>
        <v>0</v>
      </c>
      <c r="BL279" s="103" t="s">
        <v>126</v>
      </c>
      <c r="BM279" s="215" t="s">
        <v>1493</v>
      </c>
    </row>
    <row r="280" spans="2:65" s="256" customFormat="1" x14ac:dyDescent="0.25">
      <c r="B280" s="112"/>
      <c r="D280" s="217" t="s">
        <v>1109</v>
      </c>
      <c r="F280" s="218" t="s">
        <v>1494</v>
      </c>
      <c r="I280" s="324"/>
      <c r="L280" s="112"/>
      <c r="M280" s="219"/>
      <c r="T280" s="128"/>
      <c r="AT280" s="103" t="s">
        <v>1109</v>
      </c>
      <c r="AU280" s="103" t="s">
        <v>65</v>
      </c>
    </row>
    <row r="281" spans="2:65" s="256" customFormat="1" ht="16.5" customHeight="1" x14ac:dyDescent="0.25">
      <c r="B281" s="112"/>
      <c r="C281" s="228" t="s">
        <v>294</v>
      </c>
      <c r="D281" s="228" t="s">
        <v>1138</v>
      </c>
      <c r="E281" s="229" t="s">
        <v>1495</v>
      </c>
      <c r="F281" s="230" t="s">
        <v>1496</v>
      </c>
      <c r="G281" s="231" t="s">
        <v>113</v>
      </c>
      <c r="H281" s="232">
        <v>202</v>
      </c>
      <c r="I281" s="329"/>
      <c r="J281" s="233">
        <f>ROUND(I281*H281,2)</f>
        <v>0</v>
      </c>
      <c r="K281" s="230" t="s">
        <v>1161</v>
      </c>
      <c r="L281" s="234"/>
      <c r="M281" s="328" t="s">
        <v>1010</v>
      </c>
      <c r="N281" s="235" t="s">
        <v>1025</v>
      </c>
      <c r="P281" s="213">
        <f>O281*H281</f>
        <v>0</v>
      </c>
      <c r="Q281" s="213">
        <v>1.8000000000000001E-4</v>
      </c>
      <c r="R281" s="213">
        <f>Q281*H281</f>
        <v>3.6360000000000003E-2</v>
      </c>
      <c r="S281" s="213">
        <v>0</v>
      </c>
      <c r="T281" s="214">
        <f>S281*H281</f>
        <v>0</v>
      </c>
      <c r="AR281" s="215" t="s">
        <v>160</v>
      </c>
      <c r="AT281" s="215" t="s">
        <v>1138</v>
      </c>
      <c r="AU281" s="215" t="s">
        <v>65</v>
      </c>
      <c r="AY281" s="103" t="s">
        <v>1102</v>
      </c>
      <c r="BE281" s="216">
        <f>IF(N281="základní",J281,0)</f>
        <v>0</v>
      </c>
      <c r="BF281" s="216">
        <f>IF(N281="snížená",J281,0)</f>
        <v>0</v>
      </c>
      <c r="BG281" s="216">
        <f>IF(N281="zákl. přenesená",J281,0)</f>
        <v>0</v>
      </c>
      <c r="BH281" s="216">
        <f>IF(N281="sníž. přenesená",J281,0)</f>
        <v>0</v>
      </c>
      <c r="BI281" s="216">
        <f>IF(N281="nulová",J281,0)</f>
        <v>0</v>
      </c>
      <c r="BJ281" s="103" t="s">
        <v>55</v>
      </c>
      <c r="BK281" s="216">
        <f>ROUND(I281*H281,2)</f>
        <v>0</v>
      </c>
      <c r="BL281" s="103" t="s">
        <v>126</v>
      </c>
      <c r="BM281" s="215" t="s">
        <v>1497</v>
      </c>
    </row>
    <row r="282" spans="2:65" s="256" customFormat="1" ht="21.75" customHeight="1" x14ac:dyDescent="0.25">
      <c r="B282" s="112"/>
      <c r="C282" s="206" t="s">
        <v>301</v>
      </c>
      <c r="D282" s="206" t="s">
        <v>1104</v>
      </c>
      <c r="E282" s="207" t="s">
        <v>1498</v>
      </c>
      <c r="F282" s="208" t="s">
        <v>1499</v>
      </c>
      <c r="G282" s="209" t="s">
        <v>104</v>
      </c>
      <c r="H282" s="210">
        <v>11.4</v>
      </c>
      <c r="I282" s="326"/>
      <c r="J282" s="211">
        <f>ROUND(I282*H282,2)</f>
        <v>0</v>
      </c>
      <c r="K282" s="208" t="s">
        <v>1146</v>
      </c>
      <c r="L282" s="112"/>
      <c r="M282" s="325" t="s">
        <v>1010</v>
      </c>
      <c r="N282" s="212" t="s">
        <v>1025</v>
      </c>
      <c r="P282" s="213">
        <f>O282*H282</f>
        <v>0</v>
      </c>
      <c r="Q282" s="213">
        <v>1.4460000000000001E-2</v>
      </c>
      <c r="R282" s="213">
        <f>Q282*H282</f>
        <v>0.16484400000000002</v>
      </c>
      <c r="S282" s="213">
        <v>0</v>
      </c>
      <c r="T282" s="214">
        <f>S282*H282</f>
        <v>0</v>
      </c>
      <c r="AR282" s="215" t="s">
        <v>126</v>
      </c>
      <c r="AT282" s="215" t="s">
        <v>1104</v>
      </c>
      <c r="AU282" s="215" t="s">
        <v>65</v>
      </c>
      <c r="AY282" s="103" t="s">
        <v>1102</v>
      </c>
      <c r="BE282" s="216">
        <f>IF(N282="základní",J282,0)</f>
        <v>0</v>
      </c>
      <c r="BF282" s="216">
        <f>IF(N282="snížená",J282,0)</f>
        <v>0</v>
      </c>
      <c r="BG282" s="216">
        <f>IF(N282="zákl. přenesená",J282,0)</f>
        <v>0</v>
      </c>
      <c r="BH282" s="216">
        <f>IF(N282="sníž. přenesená",J282,0)</f>
        <v>0</v>
      </c>
      <c r="BI282" s="216">
        <f>IF(N282="nulová",J282,0)</f>
        <v>0</v>
      </c>
      <c r="BJ282" s="103" t="s">
        <v>55</v>
      </c>
      <c r="BK282" s="216">
        <f>ROUND(I282*H282,2)</f>
        <v>0</v>
      </c>
      <c r="BL282" s="103" t="s">
        <v>126</v>
      </c>
      <c r="BM282" s="215" t="s">
        <v>1500</v>
      </c>
    </row>
    <row r="283" spans="2:65" s="256" customFormat="1" x14ac:dyDescent="0.25">
      <c r="B283" s="112"/>
      <c r="D283" s="217" t="s">
        <v>1109</v>
      </c>
      <c r="F283" s="218" t="s">
        <v>1501</v>
      </c>
      <c r="I283" s="324"/>
      <c r="L283" s="112"/>
      <c r="M283" s="219"/>
      <c r="T283" s="128"/>
      <c r="AT283" s="103" t="s">
        <v>1109</v>
      </c>
      <c r="AU283" s="103" t="s">
        <v>65</v>
      </c>
    </row>
    <row r="284" spans="2:65" s="256" customFormat="1" ht="16.5" customHeight="1" x14ac:dyDescent="0.25">
      <c r="B284" s="112"/>
      <c r="C284" s="228" t="s">
        <v>302</v>
      </c>
      <c r="D284" s="228" t="s">
        <v>1138</v>
      </c>
      <c r="E284" s="229" t="s">
        <v>1481</v>
      </c>
      <c r="F284" s="230" t="s">
        <v>1482</v>
      </c>
      <c r="G284" s="231" t="s">
        <v>113</v>
      </c>
      <c r="H284" s="232">
        <v>46</v>
      </c>
      <c r="I284" s="329"/>
      <c r="J284" s="233">
        <f>ROUND(I284*H284,2)</f>
        <v>0</v>
      </c>
      <c r="K284" s="230" t="s">
        <v>1161</v>
      </c>
      <c r="L284" s="234"/>
      <c r="M284" s="328" t="s">
        <v>1010</v>
      </c>
      <c r="N284" s="235" t="s">
        <v>1025</v>
      </c>
      <c r="P284" s="213">
        <f>O284*H284</f>
        <v>0</v>
      </c>
      <c r="Q284" s="213">
        <v>2.1000000000000001E-4</v>
      </c>
      <c r="R284" s="213">
        <f>Q284*H284</f>
        <v>9.6600000000000002E-3</v>
      </c>
      <c r="S284" s="213">
        <v>0</v>
      </c>
      <c r="T284" s="214">
        <f>S284*H284</f>
        <v>0</v>
      </c>
      <c r="AR284" s="215" t="s">
        <v>160</v>
      </c>
      <c r="AT284" s="215" t="s">
        <v>1138</v>
      </c>
      <c r="AU284" s="215" t="s">
        <v>65</v>
      </c>
      <c r="AY284" s="103" t="s">
        <v>1102</v>
      </c>
      <c r="BE284" s="216">
        <f>IF(N284="základní",J284,0)</f>
        <v>0</v>
      </c>
      <c r="BF284" s="216">
        <f>IF(N284="snížená",J284,0)</f>
        <v>0</v>
      </c>
      <c r="BG284" s="216">
        <f>IF(N284="zákl. přenesená",J284,0)</f>
        <v>0</v>
      </c>
      <c r="BH284" s="216">
        <f>IF(N284="sníž. přenesená",J284,0)</f>
        <v>0</v>
      </c>
      <c r="BI284" s="216">
        <f>IF(N284="nulová",J284,0)</f>
        <v>0</v>
      </c>
      <c r="BJ284" s="103" t="s">
        <v>55</v>
      </c>
      <c r="BK284" s="216">
        <f>ROUND(I284*H284,2)</f>
        <v>0</v>
      </c>
      <c r="BL284" s="103" t="s">
        <v>126</v>
      </c>
      <c r="BM284" s="215" t="s">
        <v>1502</v>
      </c>
    </row>
    <row r="285" spans="2:65" s="256" customFormat="1" ht="24.2" customHeight="1" x14ac:dyDescent="0.25">
      <c r="B285" s="112"/>
      <c r="C285" s="206" t="s">
        <v>303</v>
      </c>
      <c r="D285" s="206" t="s">
        <v>1104</v>
      </c>
      <c r="E285" s="207" t="s">
        <v>1503</v>
      </c>
      <c r="F285" s="208" t="s">
        <v>1504</v>
      </c>
      <c r="G285" s="209" t="s">
        <v>104</v>
      </c>
      <c r="H285" s="210">
        <v>178.8</v>
      </c>
      <c r="I285" s="326"/>
      <c r="J285" s="211">
        <f>ROUND(I285*H285,2)</f>
        <v>0</v>
      </c>
      <c r="K285" s="208" t="s">
        <v>1146</v>
      </c>
      <c r="L285" s="112"/>
      <c r="M285" s="325" t="s">
        <v>1010</v>
      </c>
      <c r="N285" s="212" t="s">
        <v>1025</v>
      </c>
      <c r="P285" s="213">
        <f>O285*H285</f>
        <v>0</v>
      </c>
      <c r="Q285" s="213">
        <v>6.9999999999999994E-5</v>
      </c>
      <c r="R285" s="213">
        <f>Q285*H285</f>
        <v>1.2515999999999999E-2</v>
      </c>
      <c r="S285" s="213">
        <v>0</v>
      </c>
      <c r="T285" s="214">
        <f>S285*H285</f>
        <v>0</v>
      </c>
      <c r="AR285" s="215" t="s">
        <v>126</v>
      </c>
      <c r="AT285" s="215" t="s">
        <v>1104</v>
      </c>
      <c r="AU285" s="215" t="s">
        <v>65</v>
      </c>
      <c r="AY285" s="103" t="s">
        <v>1102</v>
      </c>
      <c r="BE285" s="216">
        <f>IF(N285="základní",J285,0)</f>
        <v>0</v>
      </c>
      <c r="BF285" s="216">
        <f>IF(N285="snížená",J285,0)</f>
        <v>0</v>
      </c>
      <c r="BG285" s="216">
        <f>IF(N285="zákl. přenesená",J285,0)</f>
        <v>0</v>
      </c>
      <c r="BH285" s="216">
        <f>IF(N285="sníž. přenesená",J285,0)</f>
        <v>0</v>
      </c>
      <c r="BI285" s="216">
        <f>IF(N285="nulová",J285,0)</f>
        <v>0</v>
      </c>
      <c r="BJ285" s="103" t="s">
        <v>55</v>
      </c>
      <c r="BK285" s="216">
        <f>ROUND(I285*H285,2)</f>
        <v>0</v>
      </c>
      <c r="BL285" s="103" t="s">
        <v>126</v>
      </c>
      <c r="BM285" s="215" t="s">
        <v>1505</v>
      </c>
    </row>
    <row r="286" spans="2:65" s="256" customFormat="1" x14ac:dyDescent="0.25">
      <c r="B286" s="112"/>
      <c r="D286" s="217" t="s">
        <v>1109</v>
      </c>
      <c r="F286" s="218" t="s">
        <v>1506</v>
      </c>
      <c r="I286" s="324"/>
      <c r="L286" s="112"/>
      <c r="M286" s="219"/>
      <c r="T286" s="128"/>
      <c r="AT286" s="103" t="s">
        <v>1109</v>
      </c>
      <c r="AU286" s="103" t="s">
        <v>65</v>
      </c>
    </row>
    <row r="287" spans="2:65" s="256" customFormat="1" ht="33" customHeight="1" x14ac:dyDescent="0.25">
      <c r="B287" s="112"/>
      <c r="C287" s="206" t="s">
        <v>304</v>
      </c>
      <c r="D287" s="206" t="s">
        <v>1104</v>
      </c>
      <c r="E287" s="207" t="s">
        <v>1507</v>
      </c>
      <c r="F287" s="208" t="s">
        <v>1508</v>
      </c>
      <c r="G287" s="209" t="s">
        <v>104</v>
      </c>
      <c r="H287" s="210">
        <v>98.2</v>
      </c>
      <c r="I287" s="326"/>
      <c r="J287" s="211">
        <f>ROUND(I287*H287,2)</f>
        <v>0</v>
      </c>
      <c r="K287" s="208" t="s">
        <v>1146</v>
      </c>
      <c r="L287" s="112"/>
      <c r="M287" s="325" t="s">
        <v>1010</v>
      </c>
      <c r="N287" s="212" t="s">
        <v>1025</v>
      </c>
      <c r="P287" s="213">
        <f>O287*H287</f>
        <v>0</v>
      </c>
      <c r="Q287" s="213">
        <v>9.0000000000000006E-5</v>
      </c>
      <c r="R287" s="213">
        <f>Q287*H287</f>
        <v>8.8380000000000004E-3</v>
      </c>
      <c r="S287" s="213">
        <v>0</v>
      </c>
      <c r="T287" s="214">
        <f>S287*H287</f>
        <v>0</v>
      </c>
      <c r="AR287" s="215" t="s">
        <v>126</v>
      </c>
      <c r="AT287" s="215" t="s">
        <v>1104</v>
      </c>
      <c r="AU287" s="215" t="s">
        <v>65</v>
      </c>
      <c r="AY287" s="103" t="s">
        <v>1102</v>
      </c>
      <c r="BE287" s="216">
        <f>IF(N287="základní",J287,0)</f>
        <v>0</v>
      </c>
      <c r="BF287" s="216">
        <f>IF(N287="snížená",J287,0)</f>
        <v>0</v>
      </c>
      <c r="BG287" s="216">
        <f>IF(N287="zákl. přenesená",J287,0)</f>
        <v>0</v>
      </c>
      <c r="BH287" s="216">
        <f>IF(N287="sníž. přenesená",J287,0)</f>
        <v>0</v>
      </c>
      <c r="BI287" s="216">
        <f>IF(N287="nulová",J287,0)</f>
        <v>0</v>
      </c>
      <c r="BJ287" s="103" t="s">
        <v>55</v>
      </c>
      <c r="BK287" s="216">
        <f>ROUND(I287*H287,2)</f>
        <v>0</v>
      </c>
      <c r="BL287" s="103" t="s">
        <v>126</v>
      </c>
      <c r="BM287" s="215" t="s">
        <v>1509</v>
      </c>
    </row>
    <row r="288" spans="2:65" s="256" customFormat="1" x14ac:dyDescent="0.25">
      <c r="B288" s="112"/>
      <c r="D288" s="217" t="s">
        <v>1109</v>
      </c>
      <c r="F288" s="218" t="s">
        <v>1510</v>
      </c>
      <c r="I288" s="324"/>
      <c r="L288" s="112"/>
      <c r="M288" s="219"/>
      <c r="T288" s="128"/>
      <c r="AT288" s="103" t="s">
        <v>1109</v>
      </c>
      <c r="AU288" s="103" t="s">
        <v>65</v>
      </c>
    </row>
    <row r="289" spans="2:65" s="256" customFormat="1" ht="33" customHeight="1" x14ac:dyDescent="0.25">
      <c r="B289" s="112"/>
      <c r="C289" s="206" t="s">
        <v>305</v>
      </c>
      <c r="D289" s="206" t="s">
        <v>1104</v>
      </c>
      <c r="E289" s="207" t="s">
        <v>1511</v>
      </c>
      <c r="F289" s="208" t="s">
        <v>1512</v>
      </c>
      <c r="G289" s="209" t="s">
        <v>104</v>
      </c>
      <c r="H289" s="210">
        <v>14.2</v>
      </c>
      <c r="I289" s="326"/>
      <c r="J289" s="211">
        <f>ROUND(I289*H289,2)</f>
        <v>0</v>
      </c>
      <c r="K289" s="208" t="s">
        <v>1146</v>
      </c>
      <c r="L289" s="112"/>
      <c r="M289" s="325" t="s">
        <v>1010</v>
      </c>
      <c r="N289" s="212" t="s">
        <v>1025</v>
      </c>
      <c r="P289" s="213">
        <f>O289*H289</f>
        <v>0</v>
      </c>
      <c r="Q289" s="213">
        <v>1.2E-4</v>
      </c>
      <c r="R289" s="213">
        <f>Q289*H289</f>
        <v>1.704E-3</v>
      </c>
      <c r="S289" s="213">
        <v>0</v>
      </c>
      <c r="T289" s="214">
        <f>S289*H289</f>
        <v>0</v>
      </c>
      <c r="AR289" s="215" t="s">
        <v>126</v>
      </c>
      <c r="AT289" s="215" t="s">
        <v>1104</v>
      </c>
      <c r="AU289" s="215" t="s">
        <v>65</v>
      </c>
      <c r="AY289" s="103" t="s">
        <v>1102</v>
      </c>
      <c r="BE289" s="216">
        <f>IF(N289="základní",J289,0)</f>
        <v>0</v>
      </c>
      <c r="BF289" s="216">
        <f>IF(N289="snížená",J289,0)</f>
        <v>0</v>
      </c>
      <c r="BG289" s="216">
        <f>IF(N289="zákl. přenesená",J289,0)</f>
        <v>0</v>
      </c>
      <c r="BH289" s="216">
        <f>IF(N289="sníž. přenesená",J289,0)</f>
        <v>0</v>
      </c>
      <c r="BI289" s="216">
        <f>IF(N289="nulová",J289,0)</f>
        <v>0</v>
      </c>
      <c r="BJ289" s="103" t="s">
        <v>55</v>
      </c>
      <c r="BK289" s="216">
        <f>ROUND(I289*H289,2)</f>
        <v>0</v>
      </c>
      <c r="BL289" s="103" t="s">
        <v>126</v>
      </c>
      <c r="BM289" s="215" t="s">
        <v>1513</v>
      </c>
    </row>
    <row r="290" spans="2:65" s="256" customFormat="1" x14ac:dyDescent="0.25">
      <c r="B290" s="112"/>
      <c r="D290" s="217" t="s">
        <v>1109</v>
      </c>
      <c r="F290" s="218" t="s">
        <v>1514</v>
      </c>
      <c r="I290" s="324"/>
      <c r="L290" s="112"/>
      <c r="M290" s="219"/>
      <c r="T290" s="128"/>
      <c r="AT290" s="103" t="s">
        <v>1109</v>
      </c>
      <c r="AU290" s="103" t="s">
        <v>65</v>
      </c>
    </row>
    <row r="291" spans="2:65" s="256" customFormat="1" ht="33" customHeight="1" x14ac:dyDescent="0.25">
      <c r="B291" s="112"/>
      <c r="C291" s="206" t="s">
        <v>306</v>
      </c>
      <c r="D291" s="206" t="s">
        <v>1104</v>
      </c>
      <c r="E291" s="207" t="s">
        <v>1515</v>
      </c>
      <c r="F291" s="208" t="s">
        <v>1516</v>
      </c>
      <c r="G291" s="209" t="s">
        <v>104</v>
      </c>
      <c r="H291" s="210">
        <v>11.4</v>
      </c>
      <c r="I291" s="326"/>
      <c r="J291" s="211">
        <f>ROUND(I291*H291,2)</f>
        <v>0</v>
      </c>
      <c r="K291" s="208" t="s">
        <v>1146</v>
      </c>
      <c r="L291" s="112"/>
      <c r="M291" s="325" t="s">
        <v>1010</v>
      </c>
      <c r="N291" s="212" t="s">
        <v>1025</v>
      </c>
      <c r="P291" s="213">
        <f>O291*H291</f>
        <v>0</v>
      </c>
      <c r="Q291" s="213">
        <v>1.4999999999999999E-4</v>
      </c>
      <c r="R291" s="213">
        <f>Q291*H291</f>
        <v>1.7099999999999999E-3</v>
      </c>
      <c r="S291" s="213">
        <v>0</v>
      </c>
      <c r="T291" s="214">
        <f>S291*H291</f>
        <v>0</v>
      </c>
      <c r="AR291" s="215" t="s">
        <v>126</v>
      </c>
      <c r="AT291" s="215" t="s">
        <v>1104</v>
      </c>
      <c r="AU291" s="215" t="s">
        <v>65</v>
      </c>
      <c r="AY291" s="103" t="s">
        <v>1102</v>
      </c>
      <c r="BE291" s="216">
        <f>IF(N291="základní",J291,0)</f>
        <v>0</v>
      </c>
      <c r="BF291" s="216">
        <f>IF(N291="snížená",J291,0)</f>
        <v>0</v>
      </c>
      <c r="BG291" s="216">
        <f>IF(N291="zákl. přenesená",J291,0)</f>
        <v>0</v>
      </c>
      <c r="BH291" s="216">
        <f>IF(N291="sníž. přenesená",J291,0)</f>
        <v>0</v>
      </c>
      <c r="BI291" s="216">
        <f>IF(N291="nulová",J291,0)</f>
        <v>0</v>
      </c>
      <c r="BJ291" s="103" t="s">
        <v>55</v>
      </c>
      <c r="BK291" s="216">
        <f>ROUND(I291*H291,2)</f>
        <v>0</v>
      </c>
      <c r="BL291" s="103" t="s">
        <v>126</v>
      </c>
      <c r="BM291" s="215" t="s">
        <v>1517</v>
      </c>
    </row>
    <row r="292" spans="2:65" s="256" customFormat="1" x14ac:dyDescent="0.25">
      <c r="B292" s="112"/>
      <c r="D292" s="217" t="s">
        <v>1109</v>
      </c>
      <c r="F292" s="218" t="s">
        <v>1518</v>
      </c>
      <c r="I292" s="324"/>
      <c r="L292" s="112"/>
      <c r="M292" s="219"/>
      <c r="T292" s="128"/>
      <c r="AT292" s="103" t="s">
        <v>1109</v>
      </c>
      <c r="AU292" s="103" t="s">
        <v>65</v>
      </c>
    </row>
    <row r="293" spans="2:65" s="256" customFormat="1" ht="33" customHeight="1" x14ac:dyDescent="0.25">
      <c r="B293" s="112"/>
      <c r="C293" s="206" t="s">
        <v>308</v>
      </c>
      <c r="D293" s="206" t="s">
        <v>1104</v>
      </c>
      <c r="E293" s="207" t="s">
        <v>1519</v>
      </c>
      <c r="F293" s="208" t="s">
        <v>1520</v>
      </c>
      <c r="G293" s="209" t="s">
        <v>104</v>
      </c>
      <c r="H293" s="210">
        <v>16.100000000000001</v>
      </c>
      <c r="I293" s="326"/>
      <c r="J293" s="211">
        <f>ROUND(I293*H293,2)</f>
        <v>0</v>
      </c>
      <c r="K293" s="208" t="s">
        <v>1146</v>
      </c>
      <c r="L293" s="112"/>
      <c r="M293" s="325" t="s">
        <v>1010</v>
      </c>
      <c r="N293" s="212" t="s">
        <v>1025</v>
      </c>
      <c r="P293" s="213">
        <f>O293*H293</f>
        <v>0</v>
      </c>
      <c r="Q293" s="213">
        <v>1.6000000000000001E-4</v>
      </c>
      <c r="R293" s="213">
        <f>Q293*H293</f>
        <v>2.5760000000000006E-3</v>
      </c>
      <c r="S293" s="213">
        <v>0</v>
      </c>
      <c r="T293" s="214">
        <f>S293*H293</f>
        <v>0</v>
      </c>
      <c r="AR293" s="215" t="s">
        <v>126</v>
      </c>
      <c r="AT293" s="215" t="s">
        <v>1104</v>
      </c>
      <c r="AU293" s="215" t="s">
        <v>65</v>
      </c>
      <c r="AY293" s="103" t="s">
        <v>1102</v>
      </c>
      <c r="BE293" s="216">
        <f>IF(N293="základní",J293,0)</f>
        <v>0</v>
      </c>
      <c r="BF293" s="216">
        <f>IF(N293="snížená",J293,0)</f>
        <v>0</v>
      </c>
      <c r="BG293" s="216">
        <f>IF(N293="zákl. přenesená",J293,0)</f>
        <v>0</v>
      </c>
      <c r="BH293" s="216">
        <f>IF(N293="sníž. přenesená",J293,0)</f>
        <v>0</v>
      </c>
      <c r="BI293" s="216">
        <f>IF(N293="nulová",J293,0)</f>
        <v>0</v>
      </c>
      <c r="BJ293" s="103" t="s">
        <v>55</v>
      </c>
      <c r="BK293" s="216">
        <f>ROUND(I293*H293,2)</f>
        <v>0</v>
      </c>
      <c r="BL293" s="103" t="s">
        <v>126</v>
      </c>
      <c r="BM293" s="215" t="s">
        <v>1521</v>
      </c>
    </row>
    <row r="294" spans="2:65" s="256" customFormat="1" x14ac:dyDescent="0.25">
      <c r="B294" s="112"/>
      <c r="D294" s="217" t="s">
        <v>1109</v>
      </c>
      <c r="F294" s="218" t="s">
        <v>1522</v>
      </c>
      <c r="I294" s="324"/>
      <c r="L294" s="112"/>
      <c r="M294" s="219"/>
      <c r="T294" s="128"/>
      <c r="AT294" s="103" t="s">
        <v>1109</v>
      </c>
      <c r="AU294" s="103" t="s">
        <v>65</v>
      </c>
    </row>
    <row r="295" spans="2:65" s="256" customFormat="1" ht="33" customHeight="1" x14ac:dyDescent="0.25">
      <c r="B295" s="112"/>
      <c r="C295" s="206" t="s">
        <v>310</v>
      </c>
      <c r="D295" s="206" t="s">
        <v>1104</v>
      </c>
      <c r="E295" s="207" t="s">
        <v>1523</v>
      </c>
      <c r="F295" s="208" t="s">
        <v>1524</v>
      </c>
      <c r="G295" s="209" t="s">
        <v>104</v>
      </c>
      <c r="H295" s="210">
        <v>38.4</v>
      </c>
      <c r="I295" s="326"/>
      <c r="J295" s="211">
        <f>ROUND(I295*H295,2)</f>
        <v>0</v>
      </c>
      <c r="K295" s="208" t="s">
        <v>1146</v>
      </c>
      <c r="L295" s="112"/>
      <c r="M295" s="325" t="s">
        <v>1010</v>
      </c>
      <c r="N295" s="212" t="s">
        <v>1025</v>
      </c>
      <c r="P295" s="213">
        <f>O295*H295</f>
        <v>0</v>
      </c>
      <c r="Q295" s="213">
        <v>2.4000000000000001E-4</v>
      </c>
      <c r="R295" s="213">
        <f>Q295*H295</f>
        <v>9.2160000000000002E-3</v>
      </c>
      <c r="S295" s="213">
        <v>0</v>
      </c>
      <c r="T295" s="214">
        <f>S295*H295</f>
        <v>0</v>
      </c>
      <c r="AR295" s="215" t="s">
        <v>126</v>
      </c>
      <c r="AT295" s="215" t="s">
        <v>1104</v>
      </c>
      <c r="AU295" s="215" t="s">
        <v>65</v>
      </c>
      <c r="AY295" s="103" t="s">
        <v>1102</v>
      </c>
      <c r="BE295" s="216">
        <f>IF(N295="základní",J295,0)</f>
        <v>0</v>
      </c>
      <c r="BF295" s="216">
        <f>IF(N295="snížená",J295,0)</f>
        <v>0</v>
      </c>
      <c r="BG295" s="216">
        <f>IF(N295="zákl. přenesená",J295,0)</f>
        <v>0</v>
      </c>
      <c r="BH295" s="216">
        <f>IF(N295="sníž. přenesená",J295,0)</f>
        <v>0</v>
      </c>
      <c r="BI295" s="216">
        <f>IF(N295="nulová",J295,0)</f>
        <v>0</v>
      </c>
      <c r="BJ295" s="103" t="s">
        <v>55</v>
      </c>
      <c r="BK295" s="216">
        <f>ROUND(I295*H295,2)</f>
        <v>0</v>
      </c>
      <c r="BL295" s="103" t="s">
        <v>126</v>
      </c>
      <c r="BM295" s="215" t="s">
        <v>1525</v>
      </c>
    </row>
    <row r="296" spans="2:65" s="256" customFormat="1" x14ac:dyDescent="0.25">
      <c r="B296" s="112"/>
      <c r="D296" s="217" t="s">
        <v>1109</v>
      </c>
      <c r="F296" s="218" t="s">
        <v>1526</v>
      </c>
      <c r="I296" s="324"/>
      <c r="L296" s="112"/>
      <c r="M296" s="219"/>
      <c r="T296" s="128"/>
      <c r="AT296" s="103" t="s">
        <v>1109</v>
      </c>
      <c r="AU296" s="103" t="s">
        <v>65</v>
      </c>
    </row>
    <row r="297" spans="2:65" s="256" customFormat="1" ht="16.5" customHeight="1" x14ac:dyDescent="0.25">
      <c r="B297" s="112"/>
      <c r="C297" s="206" t="s">
        <v>168</v>
      </c>
      <c r="D297" s="206" t="s">
        <v>1104</v>
      </c>
      <c r="E297" s="207" t="s">
        <v>1527</v>
      </c>
      <c r="F297" s="208" t="s">
        <v>1528</v>
      </c>
      <c r="G297" s="209" t="s">
        <v>113</v>
      </c>
      <c r="H297" s="210">
        <v>116</v>
      </c>
      <c r="I297" s="326"/>
      <c r="J297" s="211">
        <f>ROUND(I297*H297,2)</f>
        <v>0</v>
      </c>
      <c r="K297" s="208" t="s">
        <v>1161</v>
      </c>
      <c r="L297" s="112"/>
      <c r="M297" s="325" t="s">
        <v>1010</v>
      </c>
      <c r="N297" s="212" t="s">
        <v>1025</v>
      </c>
      <c r="P297" s="213">
        <f>O297*H297</f>
        <v>0</v>
      </c>
      <c r="Q297" s="213">
        <v>0</v>
      </c>
      <c r="R297" s="213">
        <f>Q297*H297</f>
        <v>0</v>
      </c>
      <c r="S297" s="213">
        <v>0</v>
      </c>
      <c r="T297" s="214">
        <f>S297*H297</f>
        <v>0</v>
      </c>
      <c r="AR297" s="215" t="s">
        <v>126</v>
      </c>
      <c r="AT297" s="215" t="s">
        <v>1104</v>
      </c>
      <c r="AU297" s="215" t="s">
        <v>65</v>
      </c>
      <c r="AY297" s="103" t="s">
        <v>1102</v>
      </c>
      <c r="BE297" s="216">
        <f>IF(N297="základní",J297,0)</f>
        <v>0</v>
      </c>
      <c r="BF297" s="216">
        <f>IF(N297="snížená",J297,0)</f>
        <v>0</v>
      </c>
      <c r="BG297" s="216">
        <f>IF(N297="zákl. přenesená",J297,0)</f>
        <v>0</v>
      </c>
      <c r="BH297" s="216">
        <f>IF(N297="sníž. přenesená",J297,0)</f>
        <v>0</v>
      </c>
      <c r="BI297" s="216">
        <f>IF(N297="nulová",J297,0)</f>
        <v>0</v>
      </c>
      <c r="BJ297" s="103" t="s">
        <v>55</v>
      </c>
      <c r="BK297" s="216">
        <f>ROUND(I297*H297,2)</f>
        <v>0</v>
      </c>
      <c r="BL297" s="103" t="s">
        <v>126</v>
      </c>
      <c r="BM297" s="215" t="s">
        <v>1529</v>
      </c>
    </row>
    <row r="298" spans="2:65" s="256" customFormat="1" x14ac:dyDescent="0.25">
      <c r="B298" s="112"/>
      <c r="D298" s="217" t="s">
        <v>1109</v>
      </c>
      <c r="F298" s="218" t="s">
        <v>1530</v>
      </c>
      <c r="I298" s="324"/>
      <c r="L298" s="112"/>
      <c r="M298" s="219"/>
      <c r="T298" s="128"/>
      <c r="AT298" s="103" t="s">
        <v>1109</v>
      </c>
      <c r="AU298" s="103" t="s">
        <v>65</v>
      </c>
    </row>
    <row r="299" spans="2:65" s="256" customFormat="1" ht="16.5" customHeight="1" x14ac:dyDescent="0.25">
      <c r="B299" s="112"/>
      <c r="C299" s="206" t="s">
        <v>320</v>
      </c>
      <c r="D299" s="206" t="s">
        <v>1104</v>
      </c>
      <c r="E299" s="207" t="s">
        <v>1531</v>
      </c>
      <c r="F299" s="208" t="s">
        <v>1532</v>
      </c>
      <c r="G299" s="209" t="s">
        <v>1533</v>
      </c>
      <c r="H299" s="210">
        <v>1</v>
      </c>
      <c r="I299" s="326"/>
      <c r="J299" s="211">
        <f>ROUND(I299*H299,2)</f>
        <v>0</v>
      </c>
      <c r="K299" s="208" t="s">
        <v>1161</v>
      </c>
      <c r="L299" s="112"/>
      <c r="M299" s="325" t="s">
        <v>1010</v>
      </c>
      <c r="N299" s="212" t="s">
        <v>1025</v>
      </c>
      <c r="P299" s="213">
        <f>O299*H299</f>
        <v>0</v>
      </c>
      <c r="Q299" s="213">
        <v>8.9999999999999998E-4</v>
      </c>
      <c r="R299" s="213">
        <f>Q299*H299</f>
        <v>8.9999999999999998E-4</v>
      </c>
      <c r="S299" s="213">
        <v>0</v>
      </c>
      <c r="T299" s="214">
        <f>S299*H299</f>
        <v>0</v>
      </c>
      <c r="AR299" s="215" t="s">
        <v>126</v>
      </c>
      <c r="AT299" s="215" t="s">
        <v>1104</v>
      </c>
      <c r="AU299" s="215" t="s">
        <v>65</v>
      </c>
      <c r="AY299" s="103" t="s">
        <v>1102</v>
      </c>
      <c r="BE299" s="216">
        <f>IF(N299="základní",J299,0)</f>
        <v>0</v>
      </c>
      <c r="BF299" s="216">
        <f>IF(N299="snížená",J299,0)</f>
        <v>0</v>
      </c>
      <c r="BG299" s="216">
        <f>IF(N299="zákl. přenesená",J299,0)</f>
        <v>0</v>
      </c>
      <c r="BH299" s="216">
        <f>IF(N299="sníž. přenesená",J299,0)</f>
        <v>0</v>
      </c>
      <c r="BI299" s="216">
        <f>IF(N299="nulová",J299,0)</f>
        <v>0</v>
      </c>
      <c r="BJ299" s="103" t="s">
        <v>55</v>
      </c>
      <c r="BK299" s="216">
        <f>ROUND(I299*H299,2)</f>
        <v>0</v>
      </c>
      <c r="BL299" s="103" t="s">
        <v>126</v>
      </c>
      <c r="BM299" s="215" t="s">
        <v>1534</v>
      </c>
    </row>
    <row r="300" spans="2:65" s="256" customFormat="1" x14ac:dyDescent="0.25">
      <c r="B300" s="112"/>
      <c r="D300" s="217" t="s">
        <v>1109</v>
      </c>
      <c r="F300" s="218" t="s">
        <v>1535</v>
      </c>
      <c r="I300" s="324"/>
      <c r="L300" s="112"/>
      <c r="M300" s="219"/>
      <c r="T300" s="128"/>
      <c r="AT300" s="103" t="s">
        <v>1109</v>
      </c>
      <c r="AU300" s="103" t="s">
        <v>65</v>
      </c>
    </row>
    <row r="301" spans="2:65" s="256" customFormat="1" ht="16.5" customHeight="1" x14ac:dyDescent="0.25">
      <c r="B301" s="112"/>
      <c r="C301" s="206" t="s">
        <v>326</v>
      </c>
      <c r="D301" s="206" t="s">
        <v>1104</v>
      </c>
      <c r="E301" s="207" t="s">
        <v>1536</v>
      </c>
      <c r="F301" s="208" t="s">
        <v>1537</v>
      </c>
      <c r="G301" s="209" t="s">
        <v>113</v>
      </c>
      <c r="H301" s="210">
        <v>4</v>
      </c>
      <c r="I301" s="326"/>
      <c r="J301" s="211">
        <f>ROUND(I301*H301,2)</f>
        <v>0</v>
      </c>
      <c r="K301" s="208" t="s">
        <v>1161</v>
      </c>
      <c r="L301" s="112"/>
      <c r="M301" s="325" t="s">
        <v>1010</v>
      </c>
      <c r="N301" s="212" t="s">
        <v>1025</v>
      </c>
      <c r="P301" s="213">
        <f>O301*H301</f>
        <v>0</v>
      </c>
      <c r="Q301" s="213">
        <v>5.1999999999999995E-4</v>
      </c>
      <c r="R301" s="213">
        <f>Q301*H301</f>
        <v>2.0799999999999998E-3</v>
      </c>
      <c r="S301" s="213">
        <v>0</v>
      </c>
      <c r="T301" s="214">
        <f>S301*H301</f>
        <v>0</v>
      </c>
      <c r="AR301" s="215" t="s">
        <v>126</v>
      </c>
      <c r="AT301" s="215" t="s">
        <v>1104</v>
      </c>
      <c r="AU301" s="215" t="s">
        <v>65</v>
      </c>
      <c r="AY301" s="103" t="s">
        <v>1102</v>
      </c>
      <c r="BE301" s="216">
        <f>IF(N301="základní",J301,0)</f>
        <v>0</v>
      </c>
      <c r="BF301" s="216">
        <f>IF(N301="snížená",J301,0)</f>
        <v>0</v>
      </c>
      <c r="BG301" s="216">
        <f>IF(N301="zákl. přenesená",J301,0)</f>
        <v>0</v>
      </c>
      <c r="BH301" s="216">
        <f>IF(N301="sníž. přenesená",J301,0)</f>
        <v>0</v>
      </c>
      <c r="BI301" s="216">
        <f>IF(N301="nulová",J301,0)</f>
        <v>0</v>
      </c>
      <c r="BJ301" s="103" t="s">
        <v>55</v>
      </c>
      <c r="BK301" s="216">
        <f>ROUND(I301*H301,2)</f>
        <v>0</v>
      </c>
      <c r="BL301" s="103" t="s">
        <v>126</v>
      </c>
      <c r="BM301" s="215" t="s">
        <v>1538</v>
      </c>
    </row>
    <row r="302" spans="2:65" s="256" customFormat="1" x14ac:dyDescent="0.25">
      <c r="B302" s="112"/>
      <c r="D302" s="217" t="s">
        <v>1109</v>
      </c>
      <c r="F302" s="218" t="s">
        <v>1539</v>
      </c>
      <c r="I302" s="324"/>
      <c r="L302" s="112"/>
      <c r="M302" s="219"/>
      <c r="T302" s="128"/>
      <c r="AT302" s="103" t="s">
        <v>1109</v>
      </c>
      <c r="AU302" s="103" t="s">
        <v>65</v>
      </c>
    </row>
    <row r="303" spans="2:65" s="256" customFormat="1" ht="16.5" customHeight="1" x14ac:dyDescent="0.25">
      <c r="B303" s="112"/>
      <c r="C303" s="206" t="s">
        <v>327</v>
      </c>
      <c r="D303" s="206" t="s">
        <v>1104</v>
      </c>
      <c r="E303" s="207" t="s">
        <v>1540</v>
      </c>
      <c r="F303" s="208" t="s">
        <v>1541</v>
      </c>
      <c r="G303" s="209" t="s">
        <v>113</v>
      </c>
      <c r="H303" s="210">
        <v>1</v>
      </c>
      <c r="I303" s="326"/>
      <c r="J303" s="211">
        <f>ROUND(I303*H303,2)</f>
        <v>0</v>
      </c>
      <c r="K303" s="208" t="s">
        <v>1161</v>
      </c>
      <c r="L303" s="112"/>
      <c r="M303" s="325" t="s">
        <v>1010</v>
      </c>
      <c r="N303" s="212" t="s">
        <v>1025</v>
      </c>
      <c r="P303" s="213">
        <f>O303*H303</f>
        <v>0</v>
      </c>
      <c r="Q303" s="213">
        <v>7.6000000000000004E-4</v>
      </c>
      <c r="R303" s="213">
        <f>Q303*H303</f>
        <v>7.6000000000000004E-4</v>
      </c>
      <c r="S303" s="213">
        <v>0</v>
      </c>
      <c r="T303" s="214">
        <f>S303*H303</f>
        <v>0</v>
      </c>
      <c r="AR303" s="215" t="s">
        <v>126</v>
      </c>
      <c r="AT303" s="215" t="s">
        <v>1104</v>
      </c>
      <c r="AU303" s="215" t="s">
        <v>65</v>
      </c>
      <c r="AY303" s="103" t="s">
        <v>1102</v>
      </c>
      <c r="BE303" s="216">
        <f>IF(N303="základní",J303,0)</f>
        <v>0</v>
      </c>
      <c r="BF303" s="216">
        <f>IF(N303="snížená",J303,0)</f>
        <v>0</v>
      </c>
      <c r="BG303" s="216">
        <f>IF(N303="zákl. přenesená",J303,0)</f>
        <v>0</v>
      </c>
      <c r="BH303" s="216">
        <f>IF(N303="sníž. přenesená",J303,0)</f>
        <v>0</v>
      </c>
      <c r="BI303" s="216">
        <f>IF(N303="nulová",J303,0)</f>
        <v>0</v>
      </c>
      <c r="BJ303" s="103" t="s">
        <v>55</v>
      </c>
      <c r="BK303" s="216">
        <f>ROUND(I303*H303,2)</f>
        <v>0</v>
      </c>
      <c r="BL303" s="103" t="s">
        <v>126</v>
      </c>
      <c r="BM303" s="215" t="s">
        <v>1542</v>
      </c>
    </row>
    <row r="304" spans="2:65" s="256" customFormat="1" x14ac:dyDescent="0.25">
      <c r="B304" s="112"/>
      <c r="D304" s="217" t="s">
        <v>1109</v>
      </c>
      <c r="F304" s="218" t="s">
        <v>1543</v>
      </c>
      <c r="I304" s="324"/>
      <c r="L304" s="112"/>
      <c r="M304" s="219"/>
      <c r="T304" s="128"/>
      <c r="AT304" s="103" t="s">
        <v>1109</v>
      </c>
      <c r="AU304" s="103" t="s">
        <v>65</v>
      </c>
    </row>
    <row r="305" spans="2:65" s="256" customFormat="1" ht="16.5" customHeight="1" x14ac:dyDescent="0.25">
      <c r="B305" s="112"/>
      <c r="C305" s="206" t="s">
        <v>329</v>
      </c>
      <c r="D305" s="206" t="s">
        <v>1104</v>
      </c>
      <c r="E305" s="207" t="s">
        <v>1544</v>
      </c>
      <c r="F305" s="208" t="s">
        <v>1545</v>
      </c>
      <c r="G305" s="209" t="s">
        <v>113</v>
      </c>
      <c r="H305" s="210">
        <v>4</v>
      </c>
      <c r="I305" s="326"/>
      <c r="J305" s="211">
        <f>ROUND(I305*H305,2)</f>
        <v>0</v>
      </c>
      <c r="K305" s="208" t="s">
        <v>1146</v>
      </c>
      <c r="L305" s="112"/>
      <c r="M305" s="325" t="s">
        <v>1010</v>
      </c>
      <c r="N305" s="212" t="s">
        <v>1025</v>
      </c>
      <c r="P305" s="213">
        <f>O305*H305</f>
        <v>0</v>
      </c>
      <c r="Q305" s="213">
        <v>1.2E-4</v>
      </c>
      <c r="R305" s="213">
        <f>Q305*H305</f>
        <v>4.8000000000000001E-4</v>
      </c>
      <c r="S305" s="213">
        <v>0</v>
      </c>
      <c r="T305" s="214">
        <f>S305*H305</f>
        <v>0</v>
      </c>
      <c r="AR305" s="215" t="s">
        <v>126</v>
      </c>
      <c r="AT305" s="215" t="s">
        <v>1104</v>
      </c>
      <c r="AU305" s="215" t="s">
        <v>65</v>
      </c>
      <c r="AY305" s="103" t="s">
        <v>1102</v>
      </c>
      <c r="BE305" s="216">
        <f>IF(N305="základní",J305,0)</f>
        <v>0</v>
      </c>
      <c r="BF305" s="216">
        <f>IF(N305="snížená",J305,0)</f>
        <v>0</v>
      </c>
      <c r="BG305" s="216">
        <f>IF(N305="zákl. přenesená",J305,0)</f>
        <v>0</v>
      </c>
      <c r="BH305" s="216">
        <f>IF(N305="sníž. přenesená",J305,0)</f>
        <v>0</v>
      </c>
      <c r="BI305" s="216">
        <f>IF(N305="nulová",J305,0)</f>
        <v>0</v>
      </c>
      <c r="BJ305" s="103" t="s">
        <v>55</v>
      </c>
      <c r="BK305" s="216">
        <f>ROUND(I305*H305,2)</f>
        <v>0</v>
      </c>
      <c r="BL305" s="103" t="s">
        <v>126</v>
      </c>
      <c r="BM305" s="215" t="s">
        <v>1546</v>
      </c>
    </row>
    <row r="306" spans="2:65" s="256" customFormat="1" x14ac:dyDescent="0.25">
      <c r="B306" s="112"/>
      <c r="D306" s="217" t="s">
        <v>1109</v>
      </c>
      <c r="F306" s="218" t="s">
        <v>1547</v>
      </c>
      <c r="I306" s="324"/>
      <c r="L306" s="112"/>
      <c r="M306" s="219"/>
      <c r="T306" s="128"/>
      <c r="AT306" s="103" t="s">
        <v>1109</v>
      </c>
      <c r="AU306" s="103" t="s">
        <v>65</v>
      </c>
    </row>
    <row r="307" spans="2:65" s="256" customFormat="1" ht="16.5" customHeight="1" x14ac:dyDescent="0.25">
      <c r="B307" s="112"/>
      <c r="C307" s="206" t="s">
        <v>321</v>
      </c>
      <c r="D307" s="206" t="s">
        <v>1104</v>
      </c>
      <c r="E307" s="207" t="s">
        <v>1548</v>
      </c>
      <c r="F307" s="208" t="s">
        <v>1549</v>
      </c>
      <c r="G307" s="209" t="s">
        <v>113</v>
      </c>
      <c r="H307" s="210">
        <v>5</v>
      </c>
      <c r="I307" s="326"/>
      <c r="J307" s="211">
        <f>ROUND(I307*H307,2)</f>
        <v>0</v>
      </c>
      <c r="K307" s="208" t="s">
        <v>1161</v>
      </c>
      <c r="L307" s="112"/>
      <c r="M307" s="325" t="s">
        <v>1010</v>
      </c>
      <c r="N307" s="212" t="s">
        <v>1025</v>
      </c>
      <c r="P307" s="213">
        <f>O307*H307</f>
        <v>0</v>
      </c>
      <c r="Q307" s="213">
        <v>5.0000000000000001E-4</v>
      </c>
      <c r="R307" s="213">
        <f>Q307*H307</f>
        <v>2.5000000000000001E-3</v>
      </c>
      <c r="S307" s="213">
        <v>0</v>
      </c>
      <c r="T307" s="214">
        <f>S307*H307</f>
        <v>0</v>
      </c>
      <c r="AR307" s="215" t="s">
        <v>126</v>
      </c>
      <c r="AT307" s="215" t="s">
        <v>1104</v>
      </c>
      <c r="AU307" s="215" t="s">
        <v>65</v>
      </c>
      <c r="AY307" s="103" t="s">
        <v>1102</v>
      </c>
      <c r="BE307" s="216">
        <f>IF(N307="základní",J307,0)</f>
        <v>0</v>
      </c>
      <c r="BF307" s="216">
        <f>IF(N307="snížená",J307,0)</f>
        <v>0</v>
      </c>
      <c r="BG307" s="216">
        <f>IF(N307="zákl. přenesená",J307,0)</f>
        <v>0</v>
      </c>
      <c r="BH307" s="216">
        <f>IF(N307="sníž. přenesená",J307,0)</f>
        <v>0</v>
      </c>
      <c r="BI307" s="216">
        <f>IF(N307="nulová",J307,0)</f>
        <v>0</v>
      </c>
      <c r="BJ307" s="103" t="s">
        <v>55</v>
      </c>
      <c r="BK307" s="216">
        <f>ROUND(I307*H307,2)</f>
        <v>0</v>
      </c>
      <c r="BL307" s="103" t="s">
        <v>126</v>
      </c>
      <c r="BM307" s="215" t="s">
        <v>1550</v>
      </c>
    </row>
    <row r="308" spans="2:65" s="256" customFormat="1" x14ac:dyDescent="0.25">
      <c r="B308" s="112"/>
      <c r="D308" s="217" t="s">
        <v>1109</v>
      </c>
      <c r="F308" s="218" t="s">
        <v>1551</v>
      </c>
      <c r="I308" s="324"/>
      <c r="L308" s="112"/>
      <c r="M308" s="219"/>
      <c r="T308" s="128"/>
      <c r="AT308" s="103" t="s">
        <v>1109</v>
      </c>
      <c r="AU308" s="103" t="s">
        <v>65</v>
      </c>
    </row>
    <row r="309" spans="2:65" s="256" customFormat="1" ht="16.5" customHeight="1" x14ac:dyDescent="0.25">
      <c r="B309" s="112"/>
      <c r="C309" s="206" t="s">
        <v>322</v>
      </c>
      <c r="D309" s="206" t="s">
        <v>1104</v>
      </c>
      <c r="E309" s="207" t="s">
        <v>1552</v>
      </c>
      <c r="F309" s="208" t="s">
        <v>1553</v>
      </c>
      <c r="G309" s="209" t="s">
        <v>113</v>
      </c>
      <c r="H309" s="210">
        <v>1</v>
      </c>
      <c r="I309" s="326"/>
      <c r="J309" s="211">
        <f>ROUND(I309*H309,2)</f>
        <v>0</v>
      </c>
      <c r="K309" s="208" t="s">
        <v>1161</v>
      </c>
      <c r="L309" s="112"/>
      <c r="M309" s="325" t="s">
        <v>1010</v>
      </c>
      <c r="N309" s="212" t="s">
        <v>1025</v>
      </c>
      <c r="P309" s="213">
        <f>O309*H309</f>
        <v>0</v>
      </c>
      <c r="Q309" s="213">
        <v>1.6800000000000001E-3</v>
      </c>
      <c r="R309" s="213">
        <f>Q309*H309</f>
        <v>1.6800000000000001E-3</v>
      </c>
      <c r="S309" s="213">
        <v>0</v>
      </c>
      <c r="T309" s="214">
        <f>S309*H309</f>
        <v>0</v>
      </c>
      <c r="AR309" s="215" t="s">
        <v>126</v>
      </c>
      <c r="AT309" s="215" t="s">
        <v>1104</v>
      </c>
      <c r="AU309" s="215" t="s">
        <v>65</v>
      </c>
      <c r="AY309" s="103" t="s">
        <v>1102</v>
      </c>
      <c r="BE309" s="216">
        <f>IF(N309="základní",J309,0)</f>
        <v>0</v>
      </c>
      <c r="BF309" s="216">
        <f>IF(N309="snížená",J309,0)</f>
        <v>0</v>
      </c>
      <c r="BG309" s="216">
        <f>IF(N309="zákl. přenesená",J309,0)</f>
        <v>0</v>
      </c>
      <c r="BH309" s="216">
        <f>IF(N309="sníž. přenesená",J309,0)</f>
        <v>0</v>
      </c>
      <c r="BI309" s="216">
        <f>IF(N309="nulová",J309,0)</f>
        <v>0</v>
      </c>
      <c r="BJ309" s="103" t="s">
        <v>55</v>
      </c>
      <c r="BK309" s="216">
        <f>ROUND(I309*H309,2)</f>
        <v>0</v>
      </c>
      <c r="BL309" s="103" t="s">
        <v>126</v>
      </c>
      <c r="BM309" s="215" t="s">
        <v>1554</v>
      </c>
    </row>
    <row r="310" spans="2:65" s="256" customFormat="1" x14ac:dyDescent="0.25">
      <c r="B310" s="112"/>
      <c r="D310" s="217" t="s">
        <v>1109</v>
      </c>
      <c r="F310" s="218" t="s">
        <v>1555</v>
      </c>
      <c r="I310" s="324"/>
      <c r="L310" s="112"/>
      <c r="M310" s="219"/>
      <c r="T310" s="128"/>
      <c r="AT310" s="103" t="s">
        <v>1109</v>
      </c>
      <c r="AU310" s="103" t="s">
        <v>65</v>
      </c>
    </row>
    <row r="311" spans="2:65" s="256" customFormat="1" ht="21.75" customHeight="1" x14ac:dyDescent="0.25">
      <c r="B311" s="112"/>
      <c r="C311" s="206" t="s">
        <v>324</v>
      </c>
      <c r="D311" s="206" t="s">
        <v>1104</v>
      </c>
      <c r="E311" s="207" t="s">
        <v>1556</v>
      </c>
      <c r="F311" s="208" t="s">
        <v>1557</v>
      </c>
      <c r="G311" s="209" t="s">
        <v>113</v>
      </c>
      <c r="H311" s="210">
        <v>8</v>
      </c>
      <c r="I311" s="326"/>
      <c r="J311" s="211">
        <f>ROUND(I311*H311,2)</f>
        <v>0</v>
      </c>
      <c r="K311" s="208" t="s">
        <v>1161</v>
      </c>
      <c r="L311" s="112"/>
      <c r="M311" s="325" t="s">
        <v>1010</v>
      </c>
      <c r="N311" s="212" t="s">
        <v>1025</v>
      </c>
      <c r="P311" s="213">
        <f>O311*H311</f>
        <v>0</v>
      </c>
      <c r="Q311" s="213">
        <v>5.6999999999999998E-4</v>
      </c>
      <c r="R311" s="213">
        <f>Q311*H311</f>
        <v>4.5599999999999998E-3</v>
      </c>
      <c r="S311" s="213">
        <v>0</v>
      </c>
      <c r="T311" s="214">
        <f>S311*H311</f>
        <v>0</v>
      </c>
      <c r="AR311" s="215" t="s">
        <v>126</v>
      </c>
      <c r="AT311" s="215" t="s">
        <v>1104</v>
      </c>
      <c r="AU311" s="215" t="s">
        <v>65</v>
      </c>
      <c r="AY311" s="103" t="s">
        <v>1102</v>
      </c>
      <c r="BE311" s="216">
        <f>IF(N311="základní",J311,0)</f>
        <v>0</v>
      </c>
      <c r="BF311" s="216">
        <f>IF(N311="snížená",J311,0)</f>
        <v>0</v>
      </c>
      <c r="BG311" s="216">
        <f>IF(N311="zákl. přenesená",J311,0)</f>
        <v>0</v>
      </c>
      <c r="BH311" s="216">
        <f>IF(N311="sníž. přenesená",J311,0)</f>
        <v>0</v>
      </c>
      <c r="BI311" s="216">
        <f>IF(N311="nulová",J311,0)</f>
        <v>0</v>
      </c>
      <c r="BJ311" s="103" t="s">
        <v>55</v>
      </c>
      <c r="BK311" s="216">
        <f>ROUND(I311*H311,2)</f>
        <v>0</v>
      </c>
      <c r="BL311" s="103" t="s">
        <v>126</v>
      </c>
      <c r="BM311" s="215" t="s">
        <v>1558</v>
      </c>
    </row>
    <row r="312" spans="2:65" s="256" customFormat="1" x14ac:dyDescent="0.25">
      <c r="B312" s="112"/>
      <c r="D312" s="217" t="s">
        <v>1109</v>
      </c>
      <c r="F312" s="218" t="s">
        <v>1559</v>
      </c>
      <c r="I312" s="324"/>
      <c r="L312" s="112"/>
      <c r="M312" s="219"/>
      <c r="T312" s="128"/>
      <c r="AT312" s="103" t="s">
        <v>1109</v>
      </c>
      <c r="AU312" s="103" t="s">
        <v>65</v>
      </c>
    </row>
    <row r="313" spans="2:65" s="256" customFormat="1" ht="16.5" customHeight="1" x14ac:dyDescent="0.25">
      <c r="B313" s="112"/>
      <c r="C313" s="206" t="s">
        <v>328</v>
      </c>
      <c r="D313" s="206" t="s">
        <v>1104</v>
      </c>
      <c r="E313" s="207" t="s">
        <v>1560</v>
      </c>
      <c r="F313" s="208" t="s">
        <v>1561</v>
      </c>
      <c r="G313" s="209" t="s">
        <v>1533</v>
      </c>
      <c r="H313" s="210">
        <v>4</v>
      </c>
      <c r="I313" s="326"/>
      <c r="J313" s="211">
        <f>ROUND(I313*H313,2)</f>
        <v>0</v>
      </c>
      <c r="K313" s="208" t="s">
        <v>1161</v>
      </c>
      <c r="L313" s="112"/>
      <c r="M313" s="325" t="s">
        <v>1010</v>
      </c>
      <c r="N313" s="212" t="s">
        <v>1025</v>
      </c>
      <c r="P313" s="213">
        <f>O313*H313</f>
        <v>0</v>
      </c>
      <c r="Q313" s="213">
        <v>3.5999999999999999E-3</v>
      </c>
      <c r="R313" s="213">
        <f>Q313*H313</f>
        <v>1.44E-2</v>
      </c>
      <c r="S313" s="213">
        <v>0</v>
      </c>
      <c r="T313" s="214">
        <f>S313*H313</f>
        <v>0</v>
      </c>
      <c r="AR313" s="215" t="s">
        <v>126</v>
      </c>
      <c r="AT313" s="215" t="s">
        <v>1104</v>
      </c>
      <c r="AU313" s="215" t="s">
        <v>65</v>
      </c>
      <c r="AY313" s="103" t="s">
        <v>1102</v>
      </c>
      <c r="BE313" s="216">
        <f>IF(N313="základní",J313,0)</f>
        <v>0</v>
      </c>
      <c r="BF313" s="216">
        <f>IF(N313="snížená",J313,0)</f>
        <v>0</v>
      </c>
      <c r="BG313" s="216">
        <f>IF(N313="zákl. přenesená",J313,0)</f>
        <v>0</v>
      </c>
      <c r="BH313" s="216">
        <f>IF(N313="sníž. přenesená",J313,0)</f>
        <v>0</v>
      </c>
      <c r="BI313" s="216">
        <f>IF(N313="nulová",J313,0)</f>
        <v>0</v>
      </c>
      <c r="BJ313" s="103" t="s">
        <v>55</v>
      </c>
      <c r="BK313" s="216">
        <f>ROUND(I313*H313,2)</f>
        <v>0</v>
      </c>
      <c r="BL313" s="103" t="s">
        <v>126</v>
      </c>
      <c r="BM313" s="215" t="s">
        <v>1562</v>
      </c>
    </row>
    <row r="314" spans="2:65" s="256" customFormat="1" x14ac:dyDescent="0.25">
      <c r="B314" s="112"/>
      <c r="D314" s="217" t="s">
        <v>1109</v>
      </c>
      <c r="F314" s="218" t="s">
        <v>1563</v>
      </c>
      <c r="I314" s="324"/>
      <c r="L314" s="112"/>
      <c r="M314" s="219"/>
      <c r="T314" s="128"/>
      <c r="AT314" s="103" t="s">
        <v>1109</v>
      </c>
      <c r="AU314" s="103" t="s">
        <v>65</v>
      </c>
    </row>
    <row r="315" spans="2:65" s="256" customFormat="1" ht="16.5" customHeight="1" x14ac:dyDescent="0.25">
      <c r="B315" s="112"/>
      <c r="C315" s="206" t="s">
        <v>271</v>
      </c>
      <c r="D315" s="206" t="s">
        <v>1104</v>
      </c>
      <c r="E315" s="207" t="s">
        <v>1564</v>
      </c>
      <c r="F315" s="208" t="s">
        <v>1565</v>
      </c>
      <c r="G315" s="209" t="s">
        <v>113</v>
      </c>
      <c r="H315" s="210">
        <v>2</v>
      </c>
      <c r="I315" s="326"/>
      <c r="J315" s="211">
        <f>ROUND(I315*H315,2)</f>
        <v>0</v>
      </c>
      <c r="K315" s="208" t="s">
        <v>1161</v>
      </c>
      <c r="L315" s="112"/>
      <c r="M315" s="325" t="s">
        <v>1010</v>
      </c>
      <c r="N315" s="212" t="s">
        <v>1025</v>
      </c>
      <c r="P315" s="213">
        <f>O315*H315</f>
        <v>0</v>
      </c>
      <c r="Q315" s="213">
        <v>6.8999999999999997E-4</v>
      </c>
      <c r="R315" s="213">
        <f>Q315*H315</f>
        <v>1.3799999999999999E-3</v>
      </c>
      <c r="S315" s="213">
        <v>0</v>
      </c>
      <c r="T315" s="214">
        <f>S315*H315</f>
        <v>0</v>
      </c>
      <c r="AR315" s="215" t="s">
        <v>126</v>
      </c>
      <c r="AT315" s="215" t="s">
        <v>1104</v>
      </c>
      <c r="AU315" s="215" t="s">
        <v>65</v>
      </c>
      <c r="AY315" s="103" t="s">
        <v>1102</v>
      </c>
      <c r="BE315" s="216">
        <f>IF(N315="základní",J315,0)</f>
        <v>0</v>
      </c>
      <c r="BF315" s="216">
        <f>IF(N315="snížená",J315,0)</f>
        <v>0</v>
      </c>
      <c r="BG315" s="216">
        <f>IF(N315="zákl. přenesená",J315,0)</f>
        <v>0</v>
      </c>
      <c r="BH315" s="216">
        <f>IF(N315="sníž. přenesená",J315,0)</f>
        <v>0</v>
      </c>
      <c r="BI315" s="216">
        <f>IF(N315="nulová",J315,0)</f>
        <v>0</v>
      </c>
      <c r="BJ315" s="103" t="s">
        <v>55</v>
      </c>
      <c r="BK315" s="216">
        <f>ROUND(I315*H315,2)</f>
        <v>0</v>
      </c>
      <c r="BL315" s="103" t="s">
        <v>126</v>
      </c>
      <c r="BM315" s="215" t="s">
        <v>1566</v>
      </c>
    </row>
    <row r="316" spans="2:65" s="256" customFormat="1" x14ac:dyDescent="0.25">
      <c r="B316" s="112"/>
      <c r="D316" s="217" t="s">
        <v>1109</v>
      </c>
      <c r="F316" s="218" t="s">
        <v>1567</v>
      </c>
      <c r="I316" s="324"/>
      <c r="L316" s="112"/>
      <c r="M316" s="219"/>
      <c r="T316" s="128"/>
      <c r="AT316" s="103" t="s">
        <v>1109</v>
      </c>
      <c r="AU316" s="103" t="s">
        <v>65</v>
      </c>
    </row>
    <row r="317" spans="2:65" s="256" customFormat="1" ht="24.2" customHeight="1" x14ac:dyDescent="0.25">
      <c r="B317" s="112"/>
      <c r="C317" s="206" t="s">
        <v>272</v>
      </c>
      <c r="D317" s="206" t="s">
        <v>1104</v>
      </c>
      <c r="E317" s="207" t="s">
        <v>1568</v>
      </c>
      <c r="F317" s="208" t="s">
        <v>1569</v>
      </c>
      <c r="G317" s="209" t="s">
        <v>1533</v>
      </c>
      <c r="H317" s="210">
        <v>2</v>
      </c>
      <c r="I317" s="326"/>
      <c r="J317" s="211">
        <f>ROUND(I317*H317,2)</f>
        <v>0</v>
      </c>
      <c r="K317" s="208" t="s">
        <v>1010</v>
      </c>
      <c r="L317" s="112"/>
      <c r="M317" s="325" t="s">
        <v>1010</v>
      </c>
      <c r="N317" s="212" t="s">
        <v>1025</v>
      </c>
      <c r="P317" s="213">
        <f>O317*H317</f>
        <v>0</v>
      </c>
      <c r="Q317" s="213">
        <v>2.9139999999999999E-2</v>
      </c>
      <c r="R317" s="213">
        <f>Q317*H317</f>
        <v>5.8279999999999998E-2</v>
      </c>
      <c r="S317" s="213">
        <v>0</v>
      </c>
      <c r="T317" s="214">
        <f>S317*H317</f>
        <v>0</v>
      </c>
      <c r="AR317" s="215" t="s">
        <v>126</v>
      </c>
      <c r="AT317" s="215" t="s">
        <v>1104</v>
      </c>
      <c r="AU317" s="215" t="s">
        <v>65</v>
      </c>
      <c r="AY317" s="103" t="s">
        <v>1102</v>
      </c>
      <c r="BE317" s="216">
        <f>IF(N317="základní",J317,0)</f>
        <v>0</v>
      </c>
      <c r="BF317" s="216">
        <f>IF(N317="snížená",J317,0)</f>
        <v>0</v>
      </c>
      <c r="BG317" s="216">
        <f>IF(N317="zákl. přenesená",J317,0)</f>
        <v>0</v>
      </c>
      <c r="BH317" s="216">
        <f>IF(N317="sníž. přenesená",J317,0)</f>
        <v>0</v>
      </c>
      <c r="BI317" s="216">
        <f>IF(N317="nulová",J317,0)</f>
        <v>0</v>
      </c>
      <c r="BJ317" s="103" t="s">
        <v>55</v>
      </c>
      <c r="BK317" s="216">
        <f>ROUND(I317*H317,2)</f>
        <v>0</v>
      </c>
      <c r="BL317" s="103" t="s">
        <v>126</v>
      </c>
      <c r="BM317" s="215" t="s">
        <v>1570</v>
      </c>
    </row>
    <row r="318" spans="2:65" s="256" customFormat="1" ht="24.2" customHeight="1" x14ac:dyDescent="0.25">
      <c r="B318" s="112"/>
      <c r="C318" s="206" t="s">
        <v>315</v>
      </c>
      <c r="D318" s="206" t="s">
        <v>1104</v>
      </c>
      <c r="E318" s="207" t="s">
        <v>1571</v>
      </c>
      <c r="F318" s="208" t="s">
        <v>1572</v>
      </c>
      <c r="G318" s="209" t="s">
        <v>104</v>
      </c>
      <c r="H318" s="210">
        <v>355.2</v>
      </c>
      <c r="I318" s="326"/>
      <c r="J318" s="211">
        <f>ROUND(I318*H318,2)</f>
        <v>0</v>
      </c>
      <c r="K318" s="208" t="s">
        <v>1146</v>
      </c>
      <c r="L318" s="112"/>
      <c r="M318" s="325" t="s">
        <v>1010</v>
      </c>
      <c r="N318" s="212" t="s">
        <v>1025</v>
      </c>
      <c r="P318" s="213">
        <f>O318*H318</f>
        <v>0</v>
      </c>
      <c r="Q318" s="213">
        <v>4.0000000000000002E-4</v>
      </c>
      <c r="R318" s="213">
        <f>Q318*H318</f>
        <v>0.14208000000000001</v>
      </c>
      <c r="S318" s="213">
        <v>0</v>
      </c>
      <c r="T318" s="214">
        <f>S318*H318</f>
        <v>0</v>
      </c>
      <c r="AR318" s="215" t="s">
        <v>126</v>
      </c>
      <c r="AT318" s="215" t="s">
        <v>1104</v>
      </c>
      <c r="AU318" s="215" t="s">
        <v>65</v>
      </c>
      <c r="AY318" s="103" t="s">
        <v>1102</v>
      </c>
      <c r="BE318" s="216">
        <f>IF(N318="základní",J318,0)</f>
        <v>0</v>
      </c>
      <c r="BF318" s="216">
        <f>IF(N318="snížená",J318,0)</f>
        <v>0</v>
      </c>
      <c r="BG318" s="216">
        <f>IF(N318="zákl. přenesená",J318,0)</f>
        <v>0</v>
      </c>
      <c r="BH318" s="216">
        <f>IF(N318="sníž. přenesená",J318,0)</f>
        <v>0</v>
      </c>
      <c r="BI318" s="216">
        <f>IF(N318="nulová",J318,0)</f>
        <v>0</v>
      </c>
      <c r="BJ318" s="103" t="s">
        <v>55</v>
      </c>
      <c r="BK318" s="216">
        <f>ROUND(I318*H318,2)</f>
        <v>0</v>
      </c>
      <c r="BL318" s="103" t="s">
        <v>126</v>
      </c>
      <c r="BM318" s="215" t="s">
        <v>1573</v>
      </c>
    </row>
    <row r="319" spans="2:65" s="256" customFormat="1" x14ac:dyDescent="0.25">
      <c r="B319" s="112"/>
      <c r="D319" s="217" t="s">
        <v>1109</v>
      </c>
      <c r="F319" s="218" t="s">
        <v>1574</v>
      </c>
      <c r="I319" s="324"/>
      <c r="L319" s="112"/>
      <c r="M319" s="219"/>
      <c r="T319" s="128"/>
      <c r="AT319" s="103" t="s">
        <v>1109</v>
      </c>
      <c r="AU319" s="103" t="s">
        <v>65</v>
      </c>
    </row>
    <row r="320" spans="2:65" s="256" customFormat="1" ht="24.2" customHeight="1" x14ac:dyDescent="0.25">
      <c r="B320" s="112"/>
      <c r="C320" s="206" t="s">
        <v>311</v>
      </c>
      <c r="D320" s="206" t="s">
        <v>1104</v>
      </c>
      <c r="E320" s="207" t="s">
        <v>1575</v>
      </c>
      <c r="F320" s="208" t="s">
        <v>1576</v>
      </c>
      <c r="G320" s="209" t="s">
        <v>104</v>
      </c>
      <c r="H320" s="210">
        <v>19.8</v>
      </c>
      <c r="I320" s="326"/>
      <c r="J320" s="211">
        <f>ROUND(I320*H320,2)</f>
        <v>0</v>
      </c>
      <c r="K320" s="208" t="s">
        <v>1161</v>
      </c>
      <c r="L320" s="112"/>
      <c r="M320" s="325" t="s">
        <v>1010</v>
      </c>
      <c r="N320" s="212" t="s">
        <v>1025</v>
      </c>
      <c r="P320" s="213">
        <f>O320*H320</f>
        <v>0</v>
      </c>
      <c r="Q320" s="213">
        <v>1.9000000000000001E-4</v>
      </c>
      <c r="R320" s="213">
        <f>Q320*H320</f>
        <v>3.7620000000000002E-3</v>
      </c>
      <c r="S320" s="213">
        <v>0</v>
      </c>
      <c r="T320" s="214">
        <f>S320*H320</f>
        <v>0</v>
      </c>
      <c r="AR320" s="215" t="s">
        <v>126</v>
      </c>
      <c r="AT320" s="215" t="s">
        <v>1104</v>
      </c>
      <c r="AU320" s="215" t="s">
        <v>65</v>
      </c>
      <c r="AY320" s="103" t="s">
        <v>1102</v>
      </c>
      <c r="BE320" s="216">
        <f>IF(N320="základní",J320,0)</f>
        <v>0</v>
      </c>
      <c r="BF320" s="216">
        <f>IF(N320="snížená",J320,0)</f>
        <v>0</v>
      </c>
      <c r="BG320" s="216">
        <f>IF(N320="zákl. přenesená",J320,0)</f>
        <v>0</v>
      </c>
      <c r="BH320" s="216">
        <f>IF(N320="sníž. přenesená",J320,0)</f>
        <v>0</v>
      </c>
      <c r="BI320" s="216">
        <f>IF(N320="nulová",J320,0)</f>
        <v>0</v>
      </c>
      <c r="BJ320" s="103" t="s">
        <v>55</v>
      </c>
      <c r="BK320" s="216">
        <f>ROUND(I320*H320,2)</f>
        <v>0</v>
      </c>
      <c r="BL320" s="103" t="s">
        <v>126</v>
      </c>
      <c r="BM320" s="215" t="s">
        <v>1577</v>
      </c>
    </row>
    <row r="321" spans="2:65" s="256" customFormat="1" x14ac:dyDescent="0.25">
      <c r="B321" s="112"/>
      <c r="D321" s="217" t="s">
        <v>1109</v>
      </c>
      <c r="F321" s="218" t="s">
        <v>1578</v>
      </c>
      <c r="I321" s="324"/>
      <c r="L321" s="112"/>
      <c r="M321" s="219"/>
      <c r="T321" s="128"/>
      <c r="AT321" s="103" t="s">
        <v>1109</v>
      </c>
      <c r="AU321" s="103" t="s">
        <v>65</v>
      </c>
    </row>
    <row r="322" spans="2:65" s="256" customFormat="1" ht="21.75" customHeight="1" x14ac:dyDescent="0.25">
      <c r="B322" s="112"/>
      <c r="C322" s="206" t="s">
        <v>314</v>
      </c>
      <c r="D322" s="206" t="s">
        <v>1104</v>
      </c>
      <c r="E322" s="207" t="s">
        <v>1579</v>
      </c>
      <c r="F322" s="208" t="s">
        <v>1580</v>
      </c>
      <c r="G322" s="209" t="s">
        <v>104</v>
      </c>
      <c r="H322" s="210">
        <v>355.2</v>
      </c>
      <c r="I322" s="326"/>
      <c r="J322" s="211">
        <f>ROUND(I322*H322,2)</f>
        <v>0</v>
      </c>
      <c r="K322" s="208" t="s">
        <v>1161</v>
      </c>
      <c r="L322" s="112"/>
      <c r="M322" s="325" t="s">
        <v>1010</v>
      </c>
      <c r="N322" s="212" t="s">
        <v>1025</v>
      </c>
      <c r="P322" s="213">
        <f>O322*H322</f>
        <v>0</v>
      </c>
      <c r="Q322" s="213">
        <v>1.0000000000000001E-5</v>
      </c>
      <c r="R322" s="213">
        <f>Q322*H322</f>
        <v>3.552E-3</v>
      </c>
      <c r="S322" s="213">
        <v>0</v>
      </c>
      <c r="T322" s="214">
        <f>S322*H322</f>
        <v>0</v>
      </c>
      <c r="AR322" s="215" t="s">
        <v>126</v>
      </c>
      <c r="AT322" s="215" t="s">
        <v>1104</v>
      </c>
      <c r="AU322" s="215" t="s">
        <v>65</v>
      </c>
      <c r="AY322" s="103" t="s">
        <v>1102</v>
      </c>
      <c r="BE322" s="216">
        <f>IF(N322="základní",J322,0)</f>
        <v>0</v>
      </c>
      <c r="BF322" s="216">
        <f>IF(N322="snížená",J322,0)</f>
        <v>0</v>
      </c>
      <c r="BG322" s="216">
        <f>IF(N322="zákl. přenesená",J322,0)</f>
        <v>0</v>
      </c>
      <c r="BH322" s="216">
        <f>IF(N322="sníž. přenesená",J322,0)</f>
        <v>0</v>
      </c>
      <c r="BI322" s="216">
        <f>IF(N322="nulová",J322,0)</f>
        <v>0</v>
      </c>
      <c r="BJ322" s="103" t="s">
        <v>55</v>
      </c>
      <c r="BK322" s="216">
        <f>ROUND(I322*H322,2)</f>
        <v>0</v>
      </c>
      <c r="BL322" s="103" t="s">
        <v>126</v>
      </c>
      <c r="BM322" s="215" t="s">
        <v>1581</v>
      </c>
    </row>
    <row r="323" spans="2:65" s="256" customFormat="1" x14ac:dyDescent="0.25">
      <c r="B323" s="112"/>
      <c r="D323" s="217" t="s">
        <v>1109</v>
      </c>
      <c r="F323" s="218" t="s">
        <v>1582</v>
      </c>
      <c r="I323" s="324"/>
      <c r="L323" s="112"/>
      <c r="M323" s="219"/>
      <c r="T323" s="128"/>
      <c r="AT323" s="103" t="s">
        <v>1109</v>
      </c>
      <c r="AU323" s="103" t="s">
        <v>65</v>
      </c>
    </row>
    <row r="324" spans="2:65" s="256" customFormat="1" ht="24.2" customHeight="1" x14ac:dyDescent="0.25">
      <c r="B324" s="112"/>
      <c r="C324" s="206" t="s">
        <v>129</v>
      </c>
      <c r="D324" s="206" t="s">
        <v>1104</v>
      </c>
      <c r="E324" s="207" t="s">
        <v>1583</v>
      </c>
      <c r="F324" s="208" t="s">
        <v>1584</v>
      </c>
      <c r="G324" s="209" t="s">
        <v>1125</v>
      </c>
      <c r="H324" s="210">
        <v>0.621</v>
      </c>
      <c r="I324" s="326"/>
      <c r="J324" s="211">
        <f>ROUND(I324*H324,2)</f>
        <v>0</v>
      </c>
      <c r="K324" s="208" t="s">
        <v>1146</v>
      </c>
      <c r="L324" s="112"/>
      <c r="M324" s="325" t="s">
        <v>1010</v>
      </c>
      <c r="N324" s="212" t="s">
        <v>1025</v>
      </c>
      <c r="P324" s="213">
        <f>O324*H324</f>
        <v>0</v>
      </c>
      <c r="Q324" s="213">
        <v>0</v>
      </c>
      <c r="R324" s="213">
        <f>Q324*H324</f>
        <v>0</v>
      </c>
      <c r="S324" s="213">
        <v>0</v>
      </c>
      <c r="T324" s="214">
        <f>S324*H324</f>
        <v>0</v>
      </c>
      <c r="AR324" s="215" t="s">
        <v>126</v>
      </c>
      <c r="AT324" s="215" t="s">
        <v>1104</v>
      </c>
      <c r="AU324" s="215" t="s">
        <v>65</v>
      </c>
      <c r="AY324" s="103" t="s">
        <v>1102</v>
      </c>
      <c r="BE324" s="216">
        <f>IF(N324="základní",J324,0)</f>
        <v>0</v>
      </c>
      <c r="BF324" s="216">
        <f>IF(N324="snížená",J324,0)</f>
        <v>0</v>
      </c>
      <c r="BG324" s="216">
        <f>IF(N324="zákl. přenesená",J324,0)</f>
        <v>0</v>
      </c>
      <c r="BH324" s="216">
        <f>IF(N324="sníž. přenesená",J324,0)</f>
        <v>0</v>
      </c>
      <c r="BI324" s="216">
        <f>IF(N324="nulová",J324,0)</f>
        <v>0</v>
      </c>
      <c r="BJ324" s="103" t="s">
        <v>55</v>
      </c>
      <c r="BK324" s="216">
        <f>ROUND(I324*H324,2)</f>
        <v>0</v>
      </c>
      <c r="BL324" s="103" t="s">
        <v>126</v>
      </c>
      <c r="BM324" s="215" t="s">
        <v>1585</v>
      </c>
    </row>
    <row r="325" spans="2:65" s="256" customFormat="1" x14ac:dyDescent="0.25">
      <c r="B325" s="112"/>
      <c r="D325" s="217" t="s">
        <v>1109</v>
      </c>
      <c r="F325" s="218" t="s">
        <v>1586</v>
      </c>
      <c r="I325" s="324"/>
      <c r="L325" s="112"/>
      <c r="M325" s="219"/>
      <c r="T325" s="128"/>
      <c r="AT325" s="103" t="s">
        <v>1109</v>
      </c>
      <c r="AU325" s="103" t="s">
        <v>65</v>
      </c>
    </row>
    <row r="326" spans="2:65" s="256" customFormat="1" ht="24.2" customHeight="1" x14ac:dyDescent="0.25">
      <c r="B326" s="112"/>
      <c r="C326" s="206" t="s">
        <v>338</v>
      </c>
      <c r="D326" s="206" t="s">
        <v>1104</v>
      </c>
      <c r="E326" s="207" t="s">
        <v>1587</v>
      </c>
      <c r="F326" s="208" t="s">
        <v>1588</v>
      </c>
      <c r="G326" s="209" t="s">
        <v>1125</v>
      </c>
      <c r="H326" s="210">
        <v>1.3009999999999999</v>
      </c>
      <c r="I326" s="326"/>
      <c r="J326" s="211">
        <f>ROUND(I326*H326,2)</f>
        <v>0</v>
      </c>
      <c r="K326" s="208" t="s">
        <v>1146</v>
      </c>
      <c r="L326" s="112"/>
      <c r="M326" s="325" t="s">
        <v>1010</v>
      </c>
      <c r="N326" s="212" t="s">
        <v>1025</v>
      </c>
      <c r="P326" s="213">
        <f>O326*H326</f>
        <v>0</v>
      </c>
      <c r="Q326" s="213">
        <v>0</v>
      </c>
      <c r="R326" s="213">
        <f>Q326*H326</f>
        <v>0</v>
      </c>
      <c r="S326" s="213">
        <v>0</v>
      </c>
      <c r="T326" s="214">
        <f>S326*H326</f>
        <v>0</v>
      </c>
      <c r="AR326" s="215" t="s">
        <v>126</v>
      </c>
      <c r="AT326" s="215" t="s">
        <v>1104</v>
      </c>
      <c r="AU326" s="215" t="s">
        <v>65</v>
      </c>
      <c r="AY326" s="103" t="s">
        <v>1102</v>
      </c>
      <c r="BE326" s="216">
        <f>IF(N326="základní",J326,0)</f>
        <v>0</v>
      </c>
      <c r="BF326" s="216">
        <f>IF(N326="snížená",J326,0)</f>
        <v>0</v>
      </c>
      <c r="BG326" s="216">
        <f>IF(N326="zákl. přenesená",J326,0)</f>
        <v>0</v>
      </c>
      <c r="BH326" s="216">
        <f>IF(N326="sníž. přenesená",J326,0)</f>
        <v>0</v>
      </c>
      <c r="BI326" s="216">
        <f>IF(N326="nulová",J326,0)</f>
        <v>0</v>
      </c>
      <c r="BJ326" s="103" t="s">
        <v>55</v>
      </c>
      <c r="BK326" s="216">
        <f>ROUND(I326*H326,2)</f>
        <v>0</v>
      </c>
      <c r="BL326" s="103" t="s">
        <v>126</v>
      </c>
      <c r="BM326" s="215" t="s">
        <v>1589</v>
      </c>
    </row>
    <row r="327" spans="2:65" s="256" customFormat="1" x14ac:dyDescent="0.25">
      <c r="B327" s="112"/>
      <c r="D327" s="217" t="s">
        <v>1109</v>
      </c>
      <c r="F327" s="218" t="s">
        <v>1590</v>
      </c>
      <c r="I327" s="324"/>
      <c r="L327" s="112"/>
      <c r="M327" s="219"/>
      <c r="T327" s="128"/>
      <c r="AT327" s="103" t="s">
        <v>1109</v>
      </c>
      <c r="AU327" s="103" t="s">
        <v>65</v>
      </c>
    </row>
    <row r="328" spans="2:65" s="256" customFormat="1" ht="24.2" customHeight="1" x14ac:dyDescent="0.25">
      <c r="B328" s="112"/>
      <c r="C328" s="206" t="s">
        <v>339</v>
      </c>
      <c r="D328" s="206" t="s">
        <v>1104</v>
      </c>
      <c r="E328" s="207" t="s">
        <v>1591</v>
      </c>
      <c r="F328" s="208" t="s">
        <v>1592</v>
      </c>
      <c r="G328" s="209" t="s">
        <v>1125</v>
      </c>
      <c r="H328" s="210">
        <v>1.3009999999999999</v>
      </c>
      <c r="I328" s="326"/>
      <c r="J328" s="211">
        <f>ROUND(I328*H328,2)</f>
        <v>0</v>
      </c>
      <c r="K328" s="208" t="s">
        <v>1146</v>
      </c>
      <c r="L328" s="112"/>
      <c r="M328" s="325" t="s">
        <v>1010</v>
      </c>
      <c r="N328" s="212" t="s">
        <v>1025</v>
      </c>
      <c r="P328" s="213">
        <f>O328*H328</f>
        <v>0</v>
      </c>
      <c r="Q328" s="213">
        <v>0</v>
      </c>
      <c r="R328" s="213">
        <f>Q328*H328</f>
        <v>0</v>
      </c>
      <c r="S328" s="213">
        <v>0</v>
      </c>
      <c r="T328" s="214">
        <f>S328*H328</f>
        <v>0</v>
      </c>
      <c r="AR328" s="215" t="s">
        <v>126</v>
      </c>
      <c r="AT328" s="215" t="s">
        <v>1104</v>
      </c>
      <c r="AU328" s="215" t="s">
        <v>65</v>
      </c>
      <c r="AY328" s="103" t="s">
        <v>1102</v>
      </c>
      <c r="BE328" s="216">
        <f>IF(N328="základní",J328,0)</f>
        <v>0</v>
      </c>
      <c r="BF328" s="216">
        <f>IF(N328="snížená",J328,0)</f>
        <v>0</v>
      </c>
      <c r="BG328" s="216">
        <f>IF(N328="zákl. přenesená",J328,0)</f>
        <v>0</v>
      </c>
      <c r="BH328" s="216">
        <f>IF(N328="sníž. přenesená",J328,0)</f>
        <v>0</v>
      </c>
      <c r="BI328" s="216">
        <f>IF(N328="nulová",J328,0)</f>
        <v>0</v>
      </c>
      <c r="BJ328" s="103" t="s">
        <v>55</v>
      </c>
      <c r="BK328" s="216">
        <f>ROUND(I328*H328,2)</f>
        <v>0</v>
      </c>
      <c r="BL328" s="103" t="s">
        <v>126</v>
      </c>
      <c r="BM328" s="215" t="s">
        <v>1593</v>
      </c>
    </row>
    <row r="329" spans="2:65" s="256" customFormat="1" x14ac:dyDescent="0.25">
      <c r="B329" s="112"/>
      <c r="D329" s="217" t="s">
        <v>1109</v>
      </c>
      <c r="F329" s="218" t="s">
        <v>1594</v>
      </c>
      <c r="I329" s="324"/>
      <c r="L329" s="112"/>
      <c r="M329" s="219"/>
      <c r="T329" s="128"/>
      <c r="AT329" s="103" t="s">
        <v>1109</v>
      </c>
      <c r="AU329" s="103" t="s">
        <v>65</v>
      </c>
    </row>
    <row r="330" spans="2:65" s="194" customFormat="1" ht="22.9" customHeight="1" x14ac:dyDescent="0.2">
      <c r="B330" s="195"/>
      <c r="D330" s="196" t="s">
        <v>1052</v>
      </c>
      <c r="E330" s="204" t="s">
        <v>527</v>
      </c>
      <c r="F330" s="204" t="s">
        <v>1595</v>
      </c>
      <c r="I330" s="327"/>
      <c r="J330" s="205">
        <f>BK330</f>
        <v>0</v>
      </c>
      <c r="L330" s="195"/>
      <c r="M330" s="199"/>
      <c r="P330" s="200">
        <f>SUM(P331:P387)</f>
        <v>0</v>
      </c>
      <c r="R330" s="200">
        <f>SUM(R331:R387)</f>
        <v>1.7843799999999996</v>
      </c>
      <c r="T330" s="201">
        <f>SUM(T331:T387)</f>
        <v>2.6278700000000006</v>
      </c>
      <c r="AR330" s="196" t="s">
        <v>65</v>
      </c>
      <c r="AT330" s="202" t="s">
        <v>1052</v>
      </c>
      <c r="AU330" s="202" t="s">
        <v>55</v>
      </c>
      <c r="AY330" s="196" t="s">
        <v>1102</v>
      </c>
      <c r="BK330" s="203">
        <f>SUM(BK331:BK387)</f>
        <v>0</v>
      </c>
    </row>
    <row r="331" spans="2:65" s="256" customFormat="1" ht="16.5" customHeight="1" x14ac:dyDescent="0.25">
      <c r="B331" s="112"/>
      <c r="C331" s="206" t="s">
        <v>55</v>
      </c>
      <c r="D331" s="206" t="s">
        <v>1104</v>
      </c>
      <c r="E331" s="207" t="s">
        <v>1596</v>
      </c>
      <c r="F331" s="208" t="s">
        <v>1597</v>
      </c>
      <c r="G331" s="209" t="s">
        <v>1533</v>
      </c>
      <c r="H331" s="210">
        <v>15</v>
      </c>
      <c r="I331" s="326"/>
      <c r="J331" s="211">
        <f>ROUND(I331*H331,2)</f>
        <v>0</v>
      </c>
      <c r="K331" s="208" t="s">
        <v>1146</v>
      </c>
      <c r="L331" s="112"/>
      <c r="M331" s="325" t="s">
        <v>1010</v>
      </c>
      <c r="N331" s="212" t="s">
        <v>1025</v>
      </c>
      <c r="P331" s="213">
        <f>O331*H331</f>
        <v>0</v>
      </c>
      <c r="Q331" s="213">
        <v>0</v>
      </c>
      <c r="R331" s="213">
        <f>Q331*H331</f>
        <v>0</v>
      </c>
      <c r="S331" s="213">
        <v>3.4200000000000001E-2</v>
      </c>
      <c r="T331" s="214">
        <f>S331*H331</f>
        <v>0.51300000000000001</v>
      </c>
      <c r="AR331" s="215" t="s">
        <v>126</v>
      </c>
      <c r="AT331" s="215" t="s">
        <v>1104</v>
      </c>
      <c r="AU331" s="215" t="s">
        <v>65</v>
      </c>
      <c r="AY331" s="103" t="s">
        <v>1102</v>
      </c>
      <c r="BE331" s="216">
        <f>IF(N331="základní",J331,0)</f>
        <v>0</v>
      </c>
      <c r="BF331" s="216">
        <f>IF(N331="snížená",J331,0)</f>
        <v>0</v>
      </c>
      <c r="BG331" s="216">
        <f>IF(N331="zákl. přenesená",J331,0)</f>
        <v>0</v>
      </c>
      <c r="BH331" s="216">
        <f>IF(N331="sníž. přenesená",J331,0)</f>
        <v>0</v>
      </c>
      <c r="BI331" s="216">
        <f>IF(N331="nulová",J331,0)</f>
        <v>0</v>
      </c>
      <c r="BJ331" s="103" t="s">
        <v>55</v>
      </c>
      <c r="BK331" s="216">
        <f>ROUND(I331*H331,2)</f>
        <v>0</v>
      </c>
      <c r="BL331" s="103" t="s">
        <v>126</v>
      </c>
      <c r="BM331" s="215" t="s">
        <v>1598</v>
      </c>
    </row>
    <row r="332" spans="2:65" s="256" customFormat="1" x14ac:dyDescent="0.25">
      <c r="B332" s="112"/>
      <c r="D332" s="217" t="s">
        <v>1109</v>
      </c>
      <c r="F332" s="218" t="s">
        <v>1599</v>
      </c>
      <c r="I332" s="324"/>
      <c r="L332" s="112"/>
      <c r="M332" s="219"/>
      <c r="T332" s="128"/>
      <c r="AT332" s="103" t="s">
        <v>1109</v>
      </c>
      <c r="AU332" s="103" t="s">
        <v>65</v>
      </c>
    </row>
    <row r="333" spans="2:65" s="256" customFormat="1" ht="16.5" customHeight="1" x14ac:dyDescent="0.25">
      <c r="B333" s="112"/>
      <c r="C333" s="206" t="s">
        <v>137</v>
      </c>
      <c r="D333" s="206" t="s">
        <v>1104</v>
      </c>
      <c r="E333" s="207" t="s">
        <v>1600</v>
      </c>
      <c r="F333" s="208" t="s">
        <v>1601</v>
      </c>
      <c r="G333" s="209" t="s">
        <v>1533</v>
      </c>
      <c r="H333" s="210">
        <v>22</v>
      </c>
      <c r="I333" s="326"/>
      <c r="J333" s="211">
        <f>ROUND(I333*H333,2)</f>
        <v>0</v>
      </c>
      <c r="K333" s="208" t="s">
        <v>1146</v>
      </c>
      <c r="L333" s="112"/>
      <c r="M333" s="325" t="s">
        <v>1010</v>
      </c>
      <c r="N333" s="212" t="s">
        <v>1025</v>
      </c>
      <c r="P333" s="213">
        <f>O333*H333</f>
        <v>0</v>
      </c>
      <c r="Q333" s="213">
        <v>2.894E-2</v>
      </c>
      <c r="R333" s="213">
        <f>Q333*H333</f>
        <v>0.63668000000000002</v>
      </c>
      <c r="S333" s="213">
        <v>0</v>
      </c>
      <c r="T333" s="214">
        <f>S333*H333</f>
        <v>0</v>
      </c>
      <c r="AR333" s="215" t="s">
        <v>126</v>
      </c>
      <c r="AT333" s="215" t="s">
        <v>1104</v>
      </c>
      <c r="AU333" s="215" t="s">
        <v>65</v>
      </c>
      <c r="AY333" s="103" t="s">
        <v>1102</v>
      </c>
      <c r="BE333" s="216">
        <f>IF(N333="základní",J333,0)</f>
        <v>0</v>
      </c>
      <c r="BF333" s="216">
        <f>IF(N333="snížená",J333,0)</f>
        <v>0</v>
      </c>
      <c r="BG333" s="216">
        <f>IF(N333="zákl. přenesená",J333,0)</f>
        <v>0</v>
      </c>
      <c r="BH333" s="216">
        <f>IF(N333="sníž. přenesená",J333,0)</f>
        <v>0</v>
      </c>
      <c r="BI333" s="216">
        <f>IF(N333="nulová",J333,0)</f>
        <v>0</v>
      </c>
      <c r="BJ333" s="103" t="s">
        <v>55</v>
      </c>
      <c r="BK333" s="216">
        <f>ROUND(I333*H333,2)</f>
        <v>0</v>
      </c>
      <c r="BL333" s="103" t="s">
        <v>126</v>
      </c>
      <c r="BM333" s="215" t="s">
        <v>1602</v>
      </c>
    </row>
    <row r="334" spans="2:65" s="256" customFormat="1" x14ac:dyDescent="0.25">
      <c r="B334" s="112"/>
      <c r="D334" s="217" t="s">
        <v>1109</v>
      </c>
      <c r="F334" s="218" t="s">
        <v>1603</v>
      </c>
      <c r="I334" s="324"/>
      <c r="L334" s="112"/>
      <c r="M334" s="219"/>
      <c r="T334" s="128"/>
      <c r="AT334" s="103" t="s">
        <v>1109</v>
      </c>
      <c r="AU334" s="103" t="s">
        <v>65</v>
      </c>
    </row>
    <row r="335" spans="2:65" s="256" customFormat="1" ht="16.5" customHeight="1" x14ac:dyDescent="0.25">
      <c r="B335" s="112"/>
      <c r="C335" s="206" t="s">
        <v>140</v>
      </c>
      <c r="D335" s="206" t="s">
        <v>1104</v>
      </c>
      <c r="E335" s="207" t="s">
        <v>1604</v>
      </c>
      <c r="F335" s="208" t="s">
        <v>1605</v>
      </c>
      <c r="G335" s="209" t="s">
        <v>1533</v>
      </c>
      <c r="H335" s="210">
        <v>10</v>
      </c>
      <c r="I335" s="326"/>
      <c r="J335" s="211">
        <f>ROUND(I335*H335,2)</f>
        <v>0</v>
      </c>
      <c r="K335" s="208" t="s">
        <v>1146</v>
      </c>
      <c r="L335" s="112"/>
      <c r="M335" s="325" t="s">
        <v>1010</v>
      </c>
      <c r="N335" s="212" t="s">
        <v>1025</v>
      </c>
      <c r="P335" s="213">
        <f>O335*H335</f>
        <v>0</v>
      </c>
      <c r="Q335" s="213">
        <v>1.908E-2</v>
      </c>
      <c r="R335" s="213">
        <f>Q335*H335</f>
        <v>0.1908</v>
      </c>
      <c r="S335" s="213">
        <v>0</v>
      </c>
      <c r="T335" s="214">
        <f>S335*H335</f>
        <v>0</v>
      </c>
      <c r="AR335" s="215" t="s">
        <v>126</v>
      </c>
      <c r="AT335" s="215" t="s">
        <v>1104</v>
      </c>
      <c r="AU335" s="215" t="s">
        <v>65</v>
      </c>
      <c r="AY335" s="103" t="s">
        <v>1102</v>
      </c>
      <c r="BE335" s="216">
        <f>IF(N335="základní",J335,0)</f>
        <v>0</v>
      </c>
      <c r="BF335" s="216">
        <f>IF(N335="snížená",J335,0)</f>
        <v>0</v>
      </c>
      <c r="BG335" s="216">
        <f>IF(N335="zákl. přenesená",J335,0)</f>
        <v>0</v>
      </c>
      <c r="BH335" s="216">
        <f>IF(N335="sníž. přenesená",J335,0)</f>
        <v>0</v>
      </c>
      <c r="BI335" s="216">
        <f>IF(N335="nulová",J335,0)</f>
        <v>0</v>
      </c>
      <c r="BJ335" s="103" t="s">
        <v>55</v>
      </c>
      <c r="BK335" s="216">
        <f>ROUND(I335*H335,2)</f>
        <v>0</v>
      </c>
      <c r="BL335" s="103" t="s">
        <v>126</v>
      </c>
      <c r="BM335" s="215" t="s">
        <v>1606</v>
      </c>
    </row>
    <row r="336" spans="2:65" s="256" customFormat="1" x14ac:dyDescent="0.25">
      <c r="B336" s="112"/>
      <c r="D336" s="217" t="s">
        <v>1109</v>
      </c>
      <c r="F336" s="218" t="s">
        <v>1607</v>
      </c>
      <c r="I336" s="324"/>
      <c r="L336" s="112"/>
      <c r="M336" s="219"/>
      <c r="T336" s="128"/>
      <c r="AT336" s="103" t="s">
        <v>1109</v>
      </c>
      <c r="AU336" s="103" t="s">
        <v>65</v>
      </c>
    </row>
    <row r="337" spans="2:65" s="256" customFormat="1" ht="16.5" customHeight="1" x14ac:dyDescent="0.25">
      <c r="B337" s="112"/>
      <c r="C337" s="206" t="s">
        <v>65</v>
      </c>
      <c r="D337" s="206" t="s">
        <v>1104</v>
      </c>
      <c r="E337" s="207" t="s">
        <v>1608</v>
      </c>
      <c r="F337" s="208" t="s">
        <v>1609</v>
      </c>
      <c r="G337" s="209" t="s">
        <v>1533</v>
      </c>
      <c r="H337" s="210">
        <v>10</v>
      </c>
      <c r="I337" s="326"/>
      <c r="J337" s="211">
        <f>ROUND(I337*H337,2)</f>
        <v>0</v>
      </c>
      <c r="K337" s="208" t="s">
        <v>1146</v>
      </c>
      <c r="L337" s="112"/>
      <c r="M337" s="325" t="s">
        <v>1010</v>
      </c>
      <c r="N337" s="212" t="s">
        <v>1025</v>
      </c>
      <c r="P337" s="213">
        <f>O337*H337</f>
        <v>0</v>
      </c>
      <c r="Q337" s="213">
        <v>0</v>
      </c>
      <c r="R337" s="213">
        <f>Q337*H337</f>
        <v>0</v>
      </c>
      <c r="S337" s="213">
        <v>1.107E-2</v>
      </c>
      <c r="T337" s="214">
        <f>S337*H337</f>
        <v>0.11069999999999999</v>
      </c>
      <c r="AR337" s="215" t="s">
        <v>126</v>
      </c>
      <c r="AT337" s="215" t="s">
        <v>1104</v>
      </c>
      <c r="AU337" s="215" t="s">
        <v>65</v>
      </c>
      <c r="AY337" s="103" t="s">
        <v>1102</v>
      </c>
      <c r="BE337" s="216">
        <f>IF(N337="základní",J337,0)</f>
        <v>0</v>
      </c>
      <c r="BF337" s="216">
        <f>IF(N337="snížená",J337,0)</f>
        <v>0</v>
      </c>
      <c r="BG337" s="216">
        <f>IF(N337="zákl. přenesená",J337,0)</f>
        <v>0</v>
      </c>
      <c r="BH337" s="216">
        <f>IF(N337="sníž. přenesená",J337,0)</f>
        <v>0</v>
      </c>
      <c r="BI337" s="216">
        <f>IF(N337="nulová",J337,0)</f>
        <v>0</v>
      </c>
      <c r="BJ337" s="103" t="s">
        <v>55</v>
      </c>
      <c r="BK337" s="216">
        <f>ROUND(I337*H337,2)</f>
        <v>0</v>
      </c>
      <c r="BL337" s="103" t="s">
        <v>126</v>
      </c>
      <c r="BM337" s="215" t="s">
        <v>1610</v>
      </c>
    </row>
    <row r="338" spans="2:65" s="256" customFormat="1" x14ac:dyDescent="0.25">
      <c r="B338" s="112"/>
      <c r="D338" s="217" t="s">
        <v>1109</v>
      </c>
      <c r="F338" s="218" t="s">
        <v>1611</v>
      </c>
      <c r="I338" s="324"/>
      <c r="L338" s="112"/>
      <c r="M338" s="219"/>
      <c r="T338" s="128"/>
      <c r="AT338" s="103" t="s">
        <v>1109</v>
      </c>
      <c r="AU338" s="103" t="s">
        <v>65</v>
      </c>
    </row>
    <row r="339" spans="2:65" s="256" customFormat="1" ht="16.5" customHeight="1" x14ac:dyDescent="0.25">
      <c r="B339" s="112"/>
      <c r="C339" s="206" t="s">
        <v>59</v>
      </c>
      <c r="D339" s="206" t="s">
        <v>1104</v>
      </c>
      <c r="E339" s="207" t="s">
        <v>1612</v>
      </c>
      <c r="F339" s="208" t="s">
        <v>1613</v>
      </c>
      <c r="G339" s="209" t="s">
        <v>1533</v>
      </c>
      <c r="H339" s="210">
        <v>19</v>
      </c>
      <c r="I339" s="326"/>
      <c r="J339" s="211">
        <f>ROUND(I339*H339,2)</f>
        <v>0</v>
      </c>
      <c r="K339" s="208" t="s">
        <v>1146</v>
      </c>
      <c r="L339" s="112"/>
      <c r="M339" s="325" t="s">
        <v>1010</v>
      </c>
      <c r="N339" s="212" t="s">
        <v>1025</v>
      </c>
      <c r="P339" s="213">
        <f>O339*H339</f>
        <v>0</v>
      </c>
      <c r="Q339" s="213">
        <v>0</v>
      </c>
      <c r="R339" s="213">
        <f>Q339*H339</f>
        <v>0</v>
      </c>
      <c r="S339" s="213">
        <v>1.9460000000000002E-2</v>
      </c>
      <c r="T339" s="214">
        <f>S339*H339</f>
        <v>0.36974000000000001</v>
      </c>
      <c r="AR339" s="215" t="s">
        <v>126</v>
      </c>
      <c r="AT339" s="215" t="s">
        <v>1104</v>
      </c>
      <c r="AU339" s="215" t="s">
        <v>65</v>
      </c>
      <c r="AY339" s="103" t="s">
        <v>1102</v>
      </c>
      <c r="BE339" s="216">
        <f>IF(N339="základní",J339,0)</f>
        <v>0</v>
      </c>
      <c r="BF339" s="216">
        <f>IF(N339="snížená",J339,0)</f>
        <v>0</v>
      </c>
      <c r="BG339" s="216">
        <f>IF(N339="zákl. přenesená",J339,0)</f>
        <v>0</v>
      </c>
      <c r="BH339" s="216">
        <f>IF(N339="sníž. přenesená",J339,0)</f>
        <v>0</v>
      </c>
      <c r="BI339" s="216">
        <f>IF(N339="nulová",J339,0)</f>
        <v>0</v>
      </c>
      <c r="BJ339" s="103" t="s">
        <v>55</v>
      </c>
      <c r="BK339" s="216">
        <f>ROUND(I339*H339,2)</f>
        <v>0</v>
      </c>
      <c r="BL339" s="103" t="s">
        <v>126</v>
      </c>
      <c r="BM339" s="215" t="s">
        <v>1614</v>
      </c>
    </row>
    <row r="340" spans="2:65" s="256" customFormat="1" x14ac:dyDescent="0.25">
      <c r="B340" s="112"/>
      <c r="D340" s="217" t="s">
        <v>1109</v>
      </c>
      <c r="F340" s="218" t="s">
        <v>1615</v>
      </c>
      <c r="I340" s="324"/>
      <c r="L340" s="112"/>
      <c r="M340" s="219"/>
      <c r="T340" s="128"/>
      <c r="AT340" s="103" t="s">
        <v>1109</v>
      </c>
      <c r="AU340" s="103" t="s">
        <v>65</v>
      </c>
    </row>
    <row r="341" spans="2:65" s="256" customFormat="1" ht="24.2" customHeight="1" x14ac:dyDescent="0.25">
      <c r="B341" s="112"/>
      <c r="C341" s="206" t="s">
        <v>141</v>
      </c>
      <c r="D341" s="206" t="s">
        <v>1104</v>
      </c>
      <c r="E341" s="207" t="s">
        <v>1616</v>
      </c>
      <c r="F341" s="208" t="s">
        <v>1617</v>
      </c>
      <c r="G341" s="209" t="s">
        <v>1533</v>
      </c>
      <c r="H341" s="210">
        <v>21</v>
      </c>
      <c r="I341" s="326"/>
      <c r="J341" s="211">
        <f>ROUND(I341*H341,2)</f>
        <v>0</v>
      </c>
      <c r="K341" s="208" t="s">
        <v>1146</v>
      </c>
      <c r="L341" s="112"/>
      <c r="M341" s="325" t="s">
        <v>1010</v>
      </c>
      <c r="N341" s="212" t="s">
        <v>1025</v>
      </c>
      <c r="P341" s="213">
        <f>O341*H341</f>
        <v>0</v>
      </c>
      <c r="Q341" s="213">
        <v>1.6469999999999999E-2</v>
      </c>
      <c r="R341" s="213">
        <f>Q341*H341</f>
        <v>0.34586999999999996</v>
      </c>
      <c r="S341" s="213">
        <v>0</v>
      </c>
      <c r="T341" s="214">
        <f>S341*H341</f>
        <v>0</v>
      </c>
      <c r="AR341" s="215" t="s">
        <v>126</v>
      </c>
      <c r="AT341" s="215" t="s">
        <v>1104</v>
      </c>
      <c r="AU341" s="215" t="s">
        <v>65</v>
      </c>
      <c r="AY341" s="103" t="s">
        <v>1102</v>
      </c>
      <c r="BE341" s="216">
        <f>IF(N341="základní",J341,0)</f>
        <v>0</v>
      </c>
      <c r="BF341" s="216">
        <f>IF(N341="snížená",J341,0)</f>
        <v>0</v>
      </c>
      <c r="BG341" s="216">
        <f>IF(N341="zákl. přenesená",J341,0)</f>
        <v>0</v>
      </c>
      <c r="BH341" s="216">
        <f>IF(N341="sníž. přenesená",J341,0)</f>
        <v>0</v>
      </c>
      <c r="BI341" s="216">
        <f>IF(N341="nulová",J341,0)</f>
        <v>0</v>
      </c>
      <c r="BJ341" s="103" t="s">
        <v>55</v>
      </c>
      <c r="BK341" s="216">
        <f>ROUND(I341*H341,2)</f>
        <v>0</v>
      </c>
      <c r="BL341" s="103" t="s">
        <v>126</v>
      </c>
      <c r="BM341" s="215" t="s">
        <v>1618</v>
      </c>
    </row>
    <row r="342" spans="2:65" s="256" customFormat="1" x14ac:dyDescent="0.25">
      <c r="B342" s="112"/>
      <c r="D342" s="217" t="s">
        <v>1109</v>
      </c>
      <c r="F342" s="218" t="s">
        <v>1619</v>
      </c>
      <c r="I342" s="324"/>
      <c r="L342" s="112"/>
      <c r="M342" s="219"/>
      <c r="T342" s="128"/>
      <c r="AT342" s="103" t="s">
        <v>1109</v>
      </c>
      <c r="AU342" s="103" t="s">
        <v>65</v>
      </c>
    </row>
    <row r="343" spans="2:65" s="256" customFormat="1" ht="16.5" customHeight="1" x14ac:dyDescent="0.25">
      <c r="B343" s="112"/>
      <c r="C343" s="206" t="s">
        <v>76</v>
      </c>
      <c r="D343" s="206" t="s">
        <v>1104</v>
      </c>
      <c r="E343" s="207" t="s">
        <v>1620</v>
      </c>
      <c r="F343" s="208" t="s">
        <v>1621</v>
      </c>
      <c r="G343" s="209" t="s">
        <v>1533</v>
      </c>
      <c r="H343" s="210">
        <v>7</v>
      </c>
      <c r="I343" s="326"/>
      <c r="J343" s="211">
        <f>ROUND(I343*H343,2)</f>
        <v>0</v>
      </c>
      <c r="K343" s="208" t="s">
        <v>1146</v>
      </c>
      <c r="L343" s="112"/>
      <c r="M343" s="325" t="s">
        <v>1010</v>
      </c>
      <c r="N343" s="212" t="s">
        <v>1025</v>
      </c>
      <c r="P343" s="213">
        <f>O343*H343</f>
        <v>0</v>
      </c>
      <c r="Q343" s="213">
        <v>0</v>
      </c>
      <c r="R343" s="213">
        <f>Q343*H343</f>
        <v>0</v>
      </c>
      <c r="S343" s="213">
        <v>2.4500000000000001E-2</v>
      </c>
      <c r="T343" s="214">
        <f>S343*H343</f>
        <v>0.17150000000000001</v>
      </c>
      <c r="AR343" s="215" t="s">
        <v>126</v>
      </c>
      <c r="AT343" s="215" t="s">
        <v>1104</v>
      </c>
      <c r="AU343" s="215" t="s">
        <v>65</v>
      </c>
      <c r="AY343" s="103" t="s">
        <v>1102</v>
      </c>
      <c r="BE343" s="216">
        <f>IF(N343="základní",J343,0)</f>
        <v>0</v>
      </c>
      <c r="BF343" s="216">
        <f>IF(N343="snížená",J343,0)</f>
        <v>0</v>
      </c>
      <c r="BG343" s="216">
        <f>IF(N343="zákl. přenesená",J343,0)</f>
        <v>0</v>
      </c>
      <c r="BH343" s="216">
        <f>IF(N343="sníž. přenesená",J343,0)</f>
        <v>0</v>
      </c>
      <c r="BI343" s="216">
        <f>IF(N343="nulová",J343,0)</f>
        <v>0</v>
      </c>
      <c r="BJ343" s="103" t="s">
        <v>55</v>
      </c>
      <c r="BK343" s="216">
        <f>ROUND(I343*H343,2)</f>
        <v>0</v>
      </c>
      <c r="BL343" s="103" t="s">
        <v>126</v>
      </c>
      <c r="BM343" s="215" t="s">
        <v>1622</v>
      </c>
    </row>
    <row r="344" spans="2:65" s="256" customFormat="1" x14ac:dyDescent="0.25">
      <c r="B344" s="112"/>
      <c r="D344" s="217" t="s">
        <v>1109</v>
      </c>
      <c r="F344" s="218" t="s">
        <v>1623</v>
      </c>
      <c r="I344" s="324"/>
      <c r="L344" s="112"/>
      <c r="M344" s="219"/>
      <c r="T344" s="128"/>
      <c r="AT344" s="103" t="s">
        <v>1109</v>
      </c>
      <c r="AU344" s="103" t="s">
        <v>65</v>
      </c>
    </row>
    <row r="345" spans="2:65" s="256" customFormat="1" ht="24.2" customHeight="1" x14ac:dyDescent="0.25">
      <c r="B345" s="112"/>
      <c r="C345" s="206" t="s">
        <v>142</v>
      </c>
      <c r="D345" s="206" t="s">
        <v>1104</v>
      </c>
      <c r="E345" s="207" t="s">
        <v>1624</v>
      </c>
      <c r="F345" s="208" t="s">
        <v>1625</v>
      </c>
      <c r="G345" s="209" t="s">
        <v>1533</v>
      </c>
      <c r="H345" s="210">
        <v>1</v>
      </c>
      <c r="I345" s="326"/>
      <c r="J345" s="211">
        <f>ROUND(I345*H345,2)</f>
        <v>0</v>
      </c>
      <c r="K345" s="208" t="s">
        <v>1146</v>
      </c>
      <c r="L345" s="112"/>
      <c r="M345" s="325" t="s">
        <v>1010</v>
      </c>
      <c r="N345" s="212" t="s">
        <v>1025</v>
      </c>
      <c r="P345" s="213">
        <f>O345*H345</f>
        <v>0</v>
      </c>
      <c r="Q345" s="213">
        <v>4.9300000000000004E-3</v>
      </c>
      <c r="R345" s="213">
        <f>Q345*H345</f>
        <v>4.9300000000000004E-3</v>
      </c>
      <c r="S345" s="213">
        <v>0</v>
      </c>
      <c r="T345" s="214">
        <f>S345*H345</f>
        <v>0</v>
      </c>
      <c r="AR345" s="215" t="s">
        <v>126</v>
      </c>
      <c r="AT345" s="215" t="s">
        <v>1104</v>
      </c>
      <c r="AU345" s="215" t="s">
        <v>65</v>
      </c>
      <c r="AY345" s="103" t="s">
        <v>1102</v>
      </c>
      <c r="BE345" s="216">
        <f>IF(N345="základní",J345,0)</f>
        <v>0</v>
      </c>
      <c r="BF345" s="216">
        <f>IF(N345="snížená",J345,0)</f>
        <v>0</v>
      </c>
      <c r="BG345" s="216">
        <f>IF(N345="zákl. přenesená",J345,0)</f>
        <v>0</v>
      </c>
      <c r="BH345" s="216">
        <f>IF(N345="sníž. přenesená",J345,0)</f>
        <v>0</v>
      </c>
      <c r="BI345" s="216">
        <f>IF(N345="nulová",J345,0)</f>
        <v>0</v>
      </c>
      <c r="BJ345" s="103" t="s">
        <v>55</v>
      </c>
      <c r="BK345" s="216">
        <f>ROUND(I345*H345,2)</f>
        <v>0</v>
      </c>
      <c r="BL345" s="103" t="s">
        <v>126</v>
      </c>
      <c r="BM345" s="215" t="s">
        <v>1626</v>
      </c>
    </row>
    <row r="346" spans="2:65" s="256" customFormat="1" x14ac:dyDescent="0.25">
      <c r="B346" s="112"/>
      <c r="D346" s="217" t="s">
        <v>1109</v>
      </c>
      <c r="F346" s="218" t="s">
        <v>1627</v>
      </c>
      <c r="I346" s="324"/>
      <c r="L346" s="112"/>
      <c r="M346" s="219"/>
      <c r="T346" s="128"/>
      <c r="AT346" s="103" t="s">
        <v>1109</v>
      </c>
      <c r="AU346" s="103" t="s">
        <v>65</v>
      </c>
    </row>
    <row r="347" spans="2:65" s="256" customFormat="1" ht="21.75" customHeight="1" x14ac:dyDescent="0.25">
      <c r="B347" s="112"/>
      <c r="C347" s="206" t="s">
        <v>146</v>
      </c>
      <c r="D347" s="206" t="s">
        <v>1104</v>
      </c>
      <c r="E347" s="207" t="s">
        <v>1628</v>
      </c>
      <c r="F347" s="208" t="s">
        <v>1629</v>
      </c>
      <c r="G347" s="209" t="s">
        <v>1533</v>
      </c>
      <c r="H347" s="210">
        <v>2</v>
      </c>
      <c r="I347" s="326"/>
      <c r="J347" s="211">
        <f>ROUND(I347*H347,2)</f>
        <v>0</v>
      </c>
      <c r="K347" s="208" t="s">
        <v>1146</v>
      </c>
      <c r="L347" s="112"/>
      <c r="M347" s="325" t="s">
        <v>1010</v>
      </c>
      <c r="N347" s="212" t="s">
        <v>1025</v>
      </c>
      <c r="P347" s="213">
        <f>O347*H347</f>
        <v>0</v>
      </c>
      <c r="Q347" s="213">
        <v>1.4749999999999999E-2</v>
      </c>
      <c r="R347" s="213">
        <f>Q347*H347</f>
        <v>2.9499999999999998E-2</v>
      </c>
      <c r="S347" s="213">
        <v>0</v>
      </c>
      <c r="T347" s="214">
        <f>S347*H347</f>
        <v>0</v>
      </c>
      <c r="AR347" s="215" t="s">
        <v>126</v>
      </c>
      <c r="AT347" s="215" t="s">
        <v>1104</v>
      </c>
      <c r="AU347" s="215" t="s">
        <v>65</v>
      </c>
      <c r="AY347" s="103" t="s">
        <v>1102</v>
      </c>
      <c r="BE347" s="216">
        <f>IF(N347="základní",J347,0)</f>
        <v>0</v>
      </c>
      <c r="BF347" s="216">
        <f>IF(N347="snížená",J347,0)</f>
        <v>0</v>
      </c>
      <c r="BG347" s="216">
        <f>IF(N347="zákl. přenesená",J347,0)</f>
        <v>0</v>
      </c>
      <c r="BH347" s="216">
        <f>IF(N347="sníž. přenesená",J347,0)</f>
        <v>0</v>
      </c>
      <c r="BI347" s="216">
        <f>IF(N347="nulová",J347,0)</f>
        <v>0</v>
      </c>
      <c r="BJ347" s="103" t="s">
        <v>55</v>
      </c>
      <c r="BK347" s="216">
        <f>ROUND(I347*H347,2)</f>
        <v>0</v>
      </c>
      <c r="BL347" s="103" t="s">
        <v>126</v>
      </c>
      <c r="BM347" s="215" t="s">
        <v>1630</v>
      </c>
    </row>
    <row r="348" spans="2:65" s="256" customFormat="1" x14ac:dyDescent="0.25">
      <c r="B348" s="112"/>
      <c r="D348" s="217" t="s">
        <v>1109</v>
      </c>
      <c r="F348" s="218" t="s">
        <v>1631</v>
      </c>
      <c r="I348" s="324"/>
      <c r="L348" s="112"/>
      <c r="M348" s="219"/>
      <c r="T348" s="128"/>
      <c r="AT348" s="103" t="s">
        <v>1109</v>
      </c>
      <c r="AU348" s="103" t="s">
        <v>65</v>
      </c>
    </row>
    <row r="349" spans="2:65" s="256" customFormat="1" ht="16.5" customHeight="1" x14ac:dyDescent="0.25">
      <c r="B349" s="112"/>
      <c r="C349" s="206" t="s">
        <v>82</v>
      </c>
      <c r="D349" s="206" t="s">
        <v>1104</v>
      </c>
      <c r="E349" s="207" t="s">
        <v>1632</v>
      </c>
      <c r="F349" s="208" t="s">
        <v>1633</v>
      </c>
      <c r="G349" s="209" t="s">
        <v>1533</v>
      </c>
      <c r="H349" s="210">
        <v>2</v>
      </c>
      <c r="I349" s="326"/>
      <c r="J349" s="211">
        <f>ROUND(I349*H349,2)</f>
        <v>0</v>
      </c>
      <c r="K349" s="208" t="s">
        <v>1146</v>
      </c>
      <c r="L349" s="112"/>
      <c r="M349" s="325" t="s">
        <v>1010</v>
      </c>
      <c r="N349" s="212" t="s">
        <v>1025</v>
      </c>
      <c r="P349" s="213">
        <f>O349*H349</f>
        <v>0</v>
      </c>
      <c r="Q349" s="213">
        <v>0</v>
      </c>
      <c r="R349" s="213">
        <f>Q349*H349</f>
        <v>0</v>
      </c>
      <c r="S349" s="213">
        <v>0.69347000000000003</v>
      </c>
      <c r="T349" s="214">
        <f>S349*H349</f>
        <v>1.3869400000000001</v>
      </c>
      <c r="AR349" s="215" t="s">
        <v>126</v>
      </c>
      <c r="AT349" s="215" t="s">
        <v>1104</v>
      </c>
      <c r="AU349" s="215" t="s">
        <v>65</v>
      </c>
      <c r="AY349" s="103" t="s">
        <v>1102</v>
      </c>
      <c r="BE349" s="216">
        <f>IF(N349="základní",J349,0)</f>
        <v>0</v>
      </c>
      <c r="BF349" s="216">
        <f>IF(N349="snížená",J349,0)</f>
        <v>0</v>
      </c>
      <c r="BG349" s="216">
        <f>IF(N349="zákl. přenesená",J349,0)</f>
        <v>0</v>
      </c>
      <c r="BH349" s="216">
        <f>IF(N349="sníž. přenesená",J349,0)</f>
        <v>0</v>
      </c>
      <c r="BI349" s="216">
        <f>IF(N349="nulová",J349,0)</f>
        <v>0</v>
      </c>
      <c r="BJ349" s="103" t="s">
        <v>55</v>
      </c>
      <c r="BK349" s="216">
        <f>ROUND(I349*H349,2)</f>
        <v>0</v>
      </c>
      <c r="BL349" s="103" t="s">
        <v>126</v>
      </c>
      <c r="BM349" s="215" t="s">
        <v>1634</v>
      </c>
    </row>
    <row r="350" spans="2:65" s="256" customFormat="1" x14ac:dyDescent="0.25">
      <c r="B350" s="112"/>
      <c r="D350" s="217" t="s">
        <v>1109</v>
      </c>
      <c r="F350" s="218" t="s">
        <v>1635</v>
      </c>
      <c r="I350" s="324"/>
      <c r="L350" s="112"/>
      <c r="M350" s="219"/>
      <c r="T350" s="128"/>
      <c r="AT350" s="103" t="s">
        <v>1109</v>
      </c>
      <c r="AU350" s="103" t="s">
        <v>65</v>
      </c>
    </row>
    <row r="351" spans="2:65" s="256" customFormat="1" ht="24.2" customHeight="1" x14ac:dyDescent="0.25">
      <c r="B351" s="112"/>
      <c r="C351" s="206" t="s">
        <v>319</v>
      </c>
      <c r="D351" s="206" t="s">
        <v>1104</v>
      </c>
      <c r="E351" s="207" t="s">
        <v>1636</v>
      </c>
      <c r="F351" s="208" t="s">
        <v>1637</v>
      </c>
      <c r="G351" s="209" t="s">
        <v>1533</v>
      </c>
      <c r="H351" s="210">
        <v>5</v>
      </c>
      <c r="I351" s="326"/>
      <c r="J351" s="211">
        <f>ROUND(I351*H351,2)</f>
        <v>0</v>
      </c>
      <c r="K351" s="208" t="s">
        <v>1146</v>
      </c>
      <c r="L351" s="112"/>
      <c r="M351" s="325" t="s">
        <v>1010</v>
      </c>
      <c r="N351" s="212" t="s">
        <v>1025</v>
      </c>
      <c r="P351" s="213">
        <f>O351*H351</f>
        <v>0</v>
      </c>
      <c r="Q351" s="213">
        <v>1.0659999999999999E-2</v>
      </c>
      <c r="R351" s="213">
        <f>Q351*H351</f>
        <v>5.33E-2</v>
      </c>
      <c r="S351" s="213">
        <v>0</v>
      </c>
      <c r="T351" s="214">
        <f>S351*H351</f>
        <v>0</v>
      </c>
      <c r="AR351" s="215" t="s">
        <v>126</v>
      </c>
      <c r="AT351" s="215" t="s">
        <v>1104</v>
      </c>
      <c r="AU351" s="215" t="s">
        <v>65</v>
      </c>
      <c r="AY351" s="103" t="s">
        <v>1102</v>
      </c>
      <c r="BE351" s="216">
        <f>IF(N351="základní",J351,0)</f>
        <v>0</v>
      </c>
      <c r="BF351" s="216">
        <f>IF(N351="snížená",J351,0)</f>
        <v>0</v>
      </c>
      <c r="BG351" s="216">
        <f>IF(N351="zákl. přenesená",J351,0)</f>
        <v>0</v>
      </c>
      <c r="BH351" s="216">
        <f>IF(N351="sníž. přenesená",J351,0)</f>
        <v>0</v>
      </c>
      <c r="BI351" s="216">
        <f>IF(N351="nulová",J351,0)</f>
        <v>0</v>
      </c>
      <c r="BJ351" s="103" t="s">
        <v>55</v>
      </c>
      <c r="BK351" s="216">
        <f>ROUND(I351*H351,2)</f>
        <v>0</v>
      </c>
      <c r="BL351" s="103" t="s">
        <v>126</v>
      </c>
      <c r="BM351" s="215" t="s">
        <v>1638</v>
      </c>
    </row>
    <row r="352" spans="2:65" s="256" customFormat="1" x14ac:dyDescent="0.25">
      <c r="B352" s="112"/>
      <c r="D352" s="217" t="s">
        <v>1109</v>
      </c>
      <c r="F352" s="218" t="s">
        <v>1639</v>
      </c>
      <c r="I352" s="324"/>
      <c r="L352" s="112"/>
      <c r="M352" s="219"/>
      <c r="T352" s="128"/>
      <c r="AT352" s="103" t="s">
        <v>1109</v>
      </c>
      <c r="AU352" s="103" t="s">
        <v>65</v>
      </c>
    </row>
    <row r="353" spans="2:65" s="256" customFormat="1" ht="24.2" customHeight="1" x14ac:dyDescent="0.25">
      <c r="B353" s="112"/>
      <c r="C353" s="206" t="s">
        <v>318</v>
      </c>
      <c r="D353" s="206" t="s">
        <v>1104</v>
      </c>
      <c r="E353" s="207" t="s">
        <v>1640</v>
      </c>
      <c r="F353" s="208" t="s">
        <v>1641</v>
      </c>
      <c r="G353" s="209" t="s">
        <v>1533</v>
      </c>
      <c r="H353" s="210">
        <v>5</v>
      </c>
      <c r="I353" s="326"/>
      <c r="J353" s="211">
        <f>ROUND(I353*H353,2)</f>
        <v>0</v>
      </c>
      <c r="K353" s="208" t="s">
        <v>1010</v>
      </c>
      <c r="L353" s="112"/>
      <c r="M353" s="325" t="s">
        <v>1010</v>
      </c>
      <c r="N353" s="212" t="s">
        <v>1025</v>
      </c>
      <c r="P353" s="213">
        <f>O353*H353</f>
        <v>0</v>
      </c>
      <c r="Q353" s="213">
        <v>1.0659999999999999E-2</v>
      </c>
      <c r="R353" s="213">
        <f>Q353*H353</f>
        <v>5.33E-2</v>
      </c>
      <c r="S353" s="213">
        <v>0</v>
      </c>
      <c r="T353" s="214">
        <f>S353*H353</f>
        <v>0</v>
      </c>
      <c r="AR353" s="215" t="s">
        <v>126</v>
      </c>
      <c r="AT353" s="215" t="s">
        <v>1104</v>
      </c>
      <c r="AU353" s="215" t="s">
        <v>65</v>
      </c>
      <c r="AY353" s="103" t="s">
        <v>1102</v>
      </c>
      <c r="BE353" s="216">
        <f>IF(N353="základní",J353,0)</f>
        <v>0</v>
      </c>
      <c r="BF353" s="216">
        <f>IF(N353="snížená",J353,0)</f>
        <v>0</v>
      </c>
      <c r="BG353" s="216">
        <f>IF(N353="zákl. přenesená",J353,0)</f>
        <v>0</v>
      </c>
      <c r="BH353" s="216">
        <f>IF(N353="sníž. přenesená",J353,0)</f>
        <v>0</v>
      </c>
      <c r="BI353" s="216">
        <f>IF(N353="nulová",J353,0)</f>
        <v>0</v>
      </c>
      <c r="BJ353" s="103" t="s">
        <v>55</v>
      </c>
      <c r="BK353" s="216">
        <f>ROUND(I353*H353,2)</f>
        <v>0</v>
      </c>
      <c r="BL353" s="103" t="s">
        <v>126</v>
      </c>
      <c r="BM353" s="215" t="s">
        <v>1642</v>
      </c>
    </row>
    <row r="354" spans="2:65" s="256" customFormat="1" ht="24.2" customHeight="1" x14ac:dyDescent="0.25">
      <c r="B354" s="112"/>
      <c r="C354" s="206" t="s">
        <v>317</v>
      </c>
      <c r="D354" s="206" t="s">
        <v>1104</v>
      </c>
      <c r="E354" s="207" t="s">
        <v>1643</v>
      </c>
      <c r="F354" s="208" t="s">
        <v>1644</v>
      </c>
      <c r="G354" s="209" t="s">
        <v>1533</v>
      </c>
      <c r="H354" s="210">
        <v>2</v>
      </c>
      <c r="I354" s="326"/>
      <c r="J354" s="211">
        <f>ROUND(I354*H354,2)</f>
        <v>0</v>
      </c>
      <c r="K354" s="208" t="s">
        <v>1010</v>
      </c>
      <c r="L354" s="112"/>
      <c r="M354" s="325" t="s">
        <v>1010</v>
      </c>
      <c r="N354" s="212" t="s">
        <v>1025</v>
      </c>
      <c r="P354" s="213">
        <f>O354*H354</f>
        <v>0</v>
      </c>
      <c r="Q354" s="213">
        <v>7.2340000000000002E-2</v>
      </c>
      <c r="R354" s="213">
        <f>Q354*H354</f>
        <v>0.14468</v>
      </c>
      <c r="S354" s="213">
        <v>0</v>
      </c>
      <c r="T354" s="214">
        <f>S354*H354</f>
        <v>0</v>
      </c>
      <c r="AR354" s="215" t="s">
        <v>126</v>
      </c>
      <c r="AT354" s="215" t="s">
        <v>1104</v>
      </c>
      <c r="AU354" s="215" t="s">
        <v>65</v>
      </c>
      <c r="AY354" s="103" t="s">
        <v>1102</v>
      </c>
      <c r="BE354" s="216">
        <f>IF(N354="základní",J354,0)</f>
        <v>0</v>
      </c>
      <c r="BF354" s="216">
        <f>IF(N354="snížená",J354,0)</f>
        <v>0</v>
      </c>
      <c r="BG354" s="216">
        <f>IF(N354="zákl. přenesená",J354,0)</f>
        <v>0</v>
      </c>
      <c r="BH354" s="216">
        <f>IF(N354="sníž. přenesená",J354,0)</f>
        <v>0</v>
      </c>
      <c r="BI354" s="216">
        <f>IF(N354="nulová",J354,0)</f>
        <v>0</v>
      </c>
      <c r="BJ354" s="103" t="s">
        <v>55</v>
      </c>
      <c r="BK354" s="216">
        <f>ROUND(I354*H354,2)</f>
        <v>0</v>
      </c>
      <c r="BL354" s="103" t="s">
        <v>126</v>
      </c>
      <c r="BM354" s="215" t="s">
        <v>1645</v>
      </c>
    </row>
    <row r="355" spans="2:65" s="256" customFormat="1" ht="24.2" customHeight="1" x14ac:dyDescent="0.25">
      <c r="B355" s="112"/>
      <c r="C355" s="206" t="s">
        <v>316</v>
      </c>
      <c r="D355" s="206" t="s">
        <v>1104</v>
      </c>
      <c r="E355" s="207" t="s">
        <v>1646</v>
      </c>
      <c r="F355" s="208" t="s">
        <v>1647</v>
      </c>
      <c r="G355" s="209" t="s">
        <v>1533</v>
      </c>
      <c r="H355" s="210">
        <v>2</v>
      </c>
      <c r="I355" s="326"/>
      <c r="J355" s="211">
        <f>ROUND(I355*H355,2)</f>
        <v>0</v>
      </c>
      <c r="K355" s="208" t="s">
        <v>1010</v>
      </c>
      <c r="L355" s="112"/>
      <c r="M355" s="325" t="s">
        <v>1010</v>
      </c>
      <c r="N355" s="212" t="s">
        <v>1025</v>
      </c>
      <c r="P355" s="213">
        <f>O355*H355</f>
        <v>0</v>
      </c>
      <c r="Q355" s="213">
        <v>0.11033999999999999</v>
      </c>
      <c r="R355" s="213">
        <f>Q355*H355</f>
        <v>0.22067999999999999</v>
      </c>
      <c r="S355" s="213">
        <v>0</v>
      </c>
      <c r="T355" s="214">
        <f>S355*H355</f>
        <v>0</v>
      </c>
      <c r="AR355" s="215" t="s">
        <v>126</v>
      </c>
      <c r="AT355" s="215" t="s">
        <v>1104</v>
      </c>
      <c r="AU355" s="215" t="s">
        <v>65</v>
      </c>
      <c r="AY355" s="103" t="s">
        <v>1102</v>
      </c>
      <c r="BE355" s="216">
        <f>IF(N355="základní",J355,0)</f>
        <v>0</v>
      </c>
      <c r="BF355" s="216">
        <f>IF(N355="snížená",J355,0)</f>
        <v>0</v>
      </c>
      <c r="BG355" s="216">
        <f>IF(N355="zákl. přenesená",J355,0)</f>
        <v>0</v>
      </c>
      <c r="BH355" s="216">
        <f>IF(N355="sníž. přenesená",J355,0)</f>
        <v>0</v>
      </c>
      <c r="BI355" s="216">
        <f>IF(N355="nulová",J355,0)</f>
        <v>0</v>
      </c>
      <c r="BJ355" s="103" t="s">
        <v>55</v>
      </c>
      <c r="BK355" s="216">
        <f>ROUND(I355*H355,2)</f>
        <v>0</v>
      </c>
      <c r="BL355" s="103" t="s">
        <v>126</v>
      </c>
      <c r="BM355" s="215" t="s">
        <v>1648</v>
      </c>
    </row>
    <row r="356" spans="2:65" s="256" customFormat="1" ht="24.2" customHeight="1" x14ac:dyDescent="0.25">
      <c r="B356" s="112"/>
      <c r="C356" s="206" t="s">
        <v>88</v>
      </c>
      <c r="D356" s="206" t="s">
        <v>1104</v>
      </c>
      <c r="E356" s="207" t="s">
        <v>1649</v>
      </c>
      <c r="F356" s="208" t="s">
        <v>1650</v>
      </c>
      <c r="G356" s="209" t="s">
        <v>1125</v>
      </c>
      <c r="H356" s="210">
        <v>2.6</v>
      </c>
      <c r="I356" s="326"/>
      <c r="J356" s="211">
        <f>ROUND(I356*H356,2)</f>
        <v>0</v>
      </c>
      <c r="K356" s="208" t="s">
        <v>1146</v>
      </c>
      <c r="L356" s="112"/>
      <c r="M356" s="325" t="s">
        <v>1010</v>
      </c>
      <c r="N356" s="212" t="s">
        <v>1025</v>
      </c>
      <c r="P356" s="213">
        <f>O356*H356</f>
        <v>0</v>
      </c>
      <c r="Q356" s="213">
        <v>0</v>
      </c>
      <c r="R356" s="213">
        <f>Q356*H356</f>
        <v>0</v>
      </c>
      <c r="S356" s="213">
        <v>0</v>
      </c>
      <c r="T356" s="214">
        <f>S356*H356</f>
        <v>0</v>
      </c>
      <c r="AR356" s="215" t="s">
        <v>126</v>
      </c>
      <c r="AT356" s="215" t="s">
        <v>1104</v>
      </c>
      <c r="AU356" s="215" t="s">
        <v>65</v>
      </c>
      <c r="AY356" s="103" t="s">
        <v>1102</v>
      </c>
      <c r="BE356" s="216">
        <f>IF(N356="základní",J356,0)</f>
        <v>0</v>
      </c>
      <c r="BF356" s="216">
        <f>IF(N356="snížená",J356,0)</f>
        <v>0</v>
      </c>
      <c r="BG356" s="216">
        <f>IF(N356="zákl. přenesená",J356,0)</f>
        <v>0</v>
      </c>
      <c r="BH356" s="216">
        <f>IF(N356="sníž. přenesená",J356,0)</f>
        <v>0</v>
      </c>
      <c r="BI356" s="216">
        <f>IF(N356="nulová",J356,0)</f>
        <v>0</v>
      </c>
      <c r="BJ356" s="103" t="s">
        <v>55</v>
      </c>
      <c r="BK356" s="216">
        <f>ROUND(I356*H356,2)</f>
        <v>0</v>
      </c>
      <c r="BL356" s="103" t="s">
        <v>126</v>
      </c>
      <c r="BM356" s="215" t="s">
        <v>1651</v>
      </c>
    </row>
    <row r="357" spans="2:65" s="256" customFormat="1" x14ac:dyDescent="0.25">
      <c r="B357" s="112"/>
      <c r="D357" s="217" t="s">
        <v>1109</v>
      </c>
      <c r="F357" s="218" t="s">
        <v>1652</v>
      </c>
      <c r="I357" s="324"/>
      <c r="L357" s="112"/>
      <c r="M357" s="219"/>
      <c r="T357" s="128"/>
      <c r="AT357" s="103" t="s">
        <v>1109</v>
      </c>
      <c r="AU357" s="103" t="s">
        <v>65</v>
      </c>
    </row>
    <row r="358" spans="2:65" s="256" customFormat="1" ht="16.5" customHeight="1" x14ac:dyDescent="0.25">
      <c r="B358" s="112"/>
      <c r="C358" s="206" t="s">
        <v>154</v>
      </c>
      <c r="D358" s="206" t="s">
        <v>1104</v>
      </c>
      <c r="E358" s="207" t="s">
        <v>1653</v>
      </c>
      <c r="F358" s="208" t="s">
        <v>1654</v>
      </c>
      <c r="G358" s="209" t="s">
        <v>1533</v>
      </c>
      <c r="H358" s="210">
        <v>88</v>
      </c>
      <c r="I358" s="326"/>
      <c r="J358" s="211">
        <f>ROUND(I358*H358,2)</f>
        <v>0</v>
      </c>
      <c r="K358" s="208" t="s">
        <v>1161</v>
      </c>
      <c r="L358" s="112"/>
      <c r="M358" s="325" t="s">
        <v>1010</v>
      </c>
      <c r="N358" s="212" t="s">
        <v>1025</v>
      </c>
      <c r="P358" s="213">
        <f>O358*H358</f>
        <v>0</v>
      </c>
      <c r="Q358" s="213">
        <v>2.4000000000000001E-4</v>
      </c>
      <c r="R358" s="213">
        <f>Q358*H358</f>
        <v>2.112E-2</v>
      </c>
      <c r="S358" s="213">
        <v>0</v>
      </c>
      <c r="T358" s="214">
        <f>S358*H358</f>
        <v>0</v>
      </c>
      <c r="AR358" s="215" t="s">
        <v>126</v>
      </c>
      <c r="AT358" s="215" t="s">
        <v>1104</v>
      </c>
      <c r="AU358" s="215" t="s">
        <v>65</v>
      </c>
      <c r="AY358" s="103" t="s">
        <v>1102</v>
      </c>
      <c r="BE358" s="216">
        <f>IF(N358="základní",J358,0)</f>
        <v>0</v>
      </c>
      <c r="BF358" s="216">
        <f>IF(N358="snížená",J358,0)</f>
        <v>0</v>
      </c>
      <c r="BG358" s="216">
        <f>IF(N358="zákl. přenesená",J358,0)</f>
        <v>0</v>
      </c>
      <c r="BH358" s="216">
        <f>IF(N358="sníž. přenesená",J358,0)</f>
        <v>0</v>
      </c>
      <c r="BI358" s="216">
        <f>IF(N358="nulová",J358,0)</f>
        <v>0</v>
      </c>
      <c r="BJ358" s="103" t="s">
        <v>55</v>
      </c>
      <c r="BK358" s="216">
        <f>ROUND(I358*H358,2)</f>
        <v>0</v>
      </c>
      <c r="BL358" s="103" t="s">
        <v>126</v>
      </c>
      <c r="BM358" s="215" t="s">
        <v>1655</v>
      </c>
    </row>
    <row r="359" spans="2:65" s="256" customFormat="1" x14ac:dyDescent="0.25">
      <c r="B359" s="112"/>
      <c r="D359" s="217" t="s">
        <v>1109</v>
      </c>
      <c r="F359" s="218" t="s">
        <v>1656</v>
      </c>
      <c r="I359" s="324"/>
      <c r="L359" s="112"/>
      <c r="M359" s="219"/>
      <c r="T359" s="128"/>
      <c r="AT359" s="103" t="s">
        <v>1109</v>
      </c>
      <c r="AU359" s="103" t="s">
        <v>65</v>
      </c>
    </row>
    <row r="360" spans="2:65" s="256" customFormat="1" ht="16.5" customHeight="1" x14ac:dyDescent="0.25">
      <c r="B360" s="112"/>
      <c r="C360" s="206" t="s">
        <v>155</v>
      </c>
      <c r="D360" s="206" t="s">
        <v>1104</v>
      </c>
      <c r="E360" s="207" t="s">
        <v>1657</v>
      </c>
      <c r="F360" s="208" t="s">
        <v>1658</v>
      </c>
      <c r="G360" s="209" t="s">
        <v>113</v>
      </c>
      <c r="H360" s="210">
        <v>2</v>
      </c>
      <c r="I360" s="326"/>
      <c r="J360" s="211">
        <f>ROUND(I360*H360,2)</f>
        <v>0</v>
      </c>
      <c r="K360" s="208" t="s">
        <v>1161</v>
      </c>
      <c r="L360" s="112"/>
      <c r="M360" s="325" t="s">
        <v>1010</v>
      </c>
      <c r="N360" s="212" t="s">
        <v>1025</v>
      </c>
      <c r="P360" s="213">
        <f>O360*H360</f>
        <v>0</v>
      </c>
      <c r="Q360" s="213">
        <v>1.09E-3</v>
      </c>
      <c r="R360" s="213">
        <f>Q360*H360</f>
        <v>2.1800000000000001E-3</v>
      </c>
      <c r="S360" s="213">
        <v>0</v>
      </c>
      <c r="T360" s="214">
        <f>S360*H360</f>
        <v>0</v>
      </c>
      <c r="AR360" s="215" t="s">
        <v>126</v>
      </c>
      <c r="AT360" s="215" t="s">
        <v>1104</v>
      </c>
      <c r="AU360" s="215" t="s">
        <v>65</v>
      </c>
      <c r="AY360" s="103" t="s">
        <v>1102</v>
      </c>
      <c r="BE360" s="216">
        <f>IF(N360="základní",J360,0)</f>
        <v>0</v>
      </c>
      <c r="BF360" s="216">
        <f>IF(N360="snížená",J360,0)</f>
        <v>0</v>
      </c>
      <c r="BG360" s="216">
        <f>IF(N360="zákl. přenesená",J360,0)</f>
        <v>0</v>
      </c>
      <c r="BH360" s="216">
        <f>IF(N360="sníž. přenesená",J360,0)</f>
        <v>0</v>
      </c>
      <c r="BI360" s="216">
        <f>IF(N360="nulová",J360,0)</f>
        <v>0</v>
      </c>
      <c r="BJ360" s="103" t="s">
        <v>55</v>
      </c>
      <c r="BK360" s="216">
        <f>ROUND(I360*H360,2)</f>
        <v>0</v>
      </c>
      <c r="BL360" s="103" t="s">
        <v>126</v>
      </c>
      <c r="BM360" s="215" t="s">
        <v>1659</v>
      </c>
    </row>
    <row r="361" spans="2:65" s="256" customFormat="1" x14ac:dyDescent="0.25">
      <c r="B361" s="112"/>
      <c r="D361" s="217" t="s">
        <v>1109</v>
      </c>
      <c r="F361" s="218" t="s">
        <v>1660</v>
      </c>
      <c r="I361" s="324"/>
      <c r="L361" s="112"/>
      <c r="M361" s="219"/>
      <c r="T361" s="128"/>
      <c r="AT361" s="103" t="s">
        <v>1109</v>
      </c>
      <c r="AU361" s="103" t="s">
        <v>65</v>
      </c>
    </row>
    <row r="362" spans="2:65" s="256" customFormat="1" ht="16.5" customHeight="1" x14ac:dyDescent="0.25">
      <c r="B362" s="112"/>
      <c r="C362" s="206" t="s">
        <v>95</v>
      </c>
      <c r="D362" s="206" t="s">
        <v>1104</v>
      </c>
      <c r="E362" s="207" t="s">
        <v>1661</v>
      </c>
      <c r="F362" s="208" t="s">
        <v>1662</v>
      </c>
      <c r="G362" s="209" t="s">
        <v>1533</v>
      </c>
      <c r="H362" s="210">
        <v>19</v>
      </c>
      <c r="I362" s="326"/>
      <c r="J362" s="211">
        <f>ROUND(I362*H362,2)</f>
        <v>0</v>
      </c>
      <c r="K362" s="208" t="s">
        <v>1146</v>
      </c>
      <c r="L362" s="112"/>
      <c r="M362" s="325" t="s">
        <v>1010</v>
      </c>
      <c r="N362" s="212" t="s">
        <v>1025</v>
      </c>
      <c r="P362" s="213">
        <f>O362*H362</f>
        <v>0</v>
      </c>
      <c r="Q362" s="213">
        <v>0</v>
      </c>
      <c r="R362" s="213">
        <f>Q362*H362</f>
        <v>0</v>
      </c>
      <c r="S362" s="213">
        <v>1.56E-3</v>
      </c>
      <c r="T362" s="214">
        <f>S362*H362</f>
        <v>2.964E-2</v>
      </c>
      <c r="AR362" s="215" t="s">
        <v>126</v>
      </c>
      <c r="AT362" s="215" t="s">
        <v>1104</v>
      </c>
      <c r="AU362" s="215" t="s">
        <v>65</v>
      </c>
      <c r="AY362" s="103" t="s">
        <v>1102</v>
      </c>
      <c r="BE362" s="216">
        <f>IF(N362="základní",J362,0)</f>
        <v>0</v>
      </c>
      <c r="BF362" s="216">
        <f>IF(N362="snížená",J362,0)</f>
        <v>0</v>
      </c>
      <c r="BG362" s="216">
        <f>IF(N362="zákl. přenesená",J362,0)</f>
        <v>0</v>
      </c>
      <c r="BH362" s="216">
        <f>IF(N362="sníž. přenesená",J362,0)</f>
        <v>0</v>
      </c>
      <c r="BI362" s="216">
        <f>IF(N362="nulová",J362,0)</f>
        <v>0</v>
      </c>
      <c r="BJ362" s="103" t="s">
        <v>55</v>
      </c>
      <c r="BK362" s="216">
        <f>ROUND(I362*H362,2)</f>
        <v>0</v>
      </c>
      <c r="BL362" s="103" t="s">
        <v>126</v>
      </c>
      <c r="BM362" s="215" t="s">
        <v>1663</v>
      </c>
    </row>
    <row r="363" spans="2:65" s="256" customFormat="1" x14ac:dyDescent="0.25">
      <c r="B363" s="112"/>
      <c r="D363" s="217" t="s">
        <v>1109</v>
      </c>
      <c r="F363" s="218" t="s">
        <v>1664</v>
      </c>
      <c r="I363" s="324"/>
      <c r="L363" s="112"/>
      <c r="M363" s="219"/>
      <c r="T363" s="128"/>
      <c r="AT363" s="103" t="s">
        <v>1109</v>
      </c>
      <c r="AU363" s="103" t="s">
        <v>65</v>
      </c>
    </row>
    <row r="364" spans="2:65" s="256" customFormat="1" ht="16.5" customHeight="1" x14ac:dyDescent="0.25">
      <c r="B364" s="112"/>
      <c r="C364" s="206" t="s">
        <v>149</v>
      </c>
      <c r="D364" s="206" t="s">
        <v>1104</v>
      </c>
      <c r="E364" s="207" t="s">
        <v>1665</v>
      </c>
      <c r="F364" s="208" t="s">
        <v>1666</v>
      </c>
      <c r="G364" s="209" t="s">
        <v>1533</v>
      </c>
      <c r="H364" s="210">
        <v>1</v>
      </c>
      <c r="I364" s="326"/>
      <c r="J364" s="211">
        <f>ROUND(I364*H364,2)</f>
        <v>0</v>
      </c>
      <c r="K364" s="208" t="s">
        <v>1146</v>
      </c>
      <c r="L364" s="112"/>
      <c r="M364" s="325" t="s">
        <v>1010</v>
      </c>
      <c r="N364" s="212" t="s">
        <v>1025</v>
      </c>
      <c r="P364" s="213">
        <f>O364*H364</f>
        <v>0</v>
      </c>
      <c r="Q364" s="213">
        <v>1.72E-3</v>
      </c>
      <c r="R364" s="213">
        <f>Q364*H364</f>
        <v>1.72E-3</v>
      </c>
      <c r="S364" s="213">
        <v>0</v>
      </c>
      <c r="T364" s="214">
        <f>S364*H364</f>
        <v>0</v>
      </c>
      <c r="AR364" s="215" t="s">
        <v>126</v>
      </c>
      <c r="AT364" s="215" t="s">
        <v>1104</v>
      </c>
      <c r="AU364" s="215" t="s">
        <v>65</v>
      </c>
      <c r="AY364" s="103" t="s">
        <v>1102</v>
      </c>
      <c r="BE364" s="216">
        <f>IF(N364="základní",J364,0)</f>
        <v>0</v>
      </c>
      <c r="BF364" s="216">
        <f>IF(N364="snížená",J364,0)</f>
        <v>0</v>
      </c>
      <c r="BG364" s="216">
        <f>IF(N364="zákl. přenesená",J364,0)</f>
        <v>0</v>
      </c>
      <c r="BH364" s="216">
        <f>IF(N364="sníž. přenesená",J364,0)</f>
        <v>0</v>
      </c>
      <c r="BI364" s="216">
        <f>IF(N364="nulová",J364,0)</f>
        <v>0</v>
      </c>
      <c r="BJ364" s="103" t="s">
        <v>55</v>
      </c>
      <c r="BK364" s="216">
        <f>ROUND(I364*H364,2)</f>
        <v>0</v>
      </c>
      <c r="BL364" s="103" t="s">
        <v>126</v>
      </c>
      <c r="BM364" s="215" t="s">
        <v>1667</v>
      </c>
    </row>
    <row r="365" spans="2:65" s="256" customFormat="1" x14ac:dyDescent="0.25">
      <c r="B365" s="112"/>
      <c r="D365" s="217" t="s">
        <v>1109</v>
      </c>
      <c r="F365" s="218" t="s">
        <v>1668</v>
      </c>
      <c r="I365" s="324"/>
      <c r="L365" s="112"/>
      <c r="M365" s="219"/>
      <c r="T365" s="128"/>
      <c r="AT365" s="103" t="s">
        <v>1109</v>
      </c>
      <c r="AU365" s="103" t="s">
        <v>65</v>
      </c>
    </row>
    <row r="366" spans="2:65" s="256" customFormat="1" ht="16.5" customHeight="1" x14ac:dyDescent="0.25">
      <c r="B366" s="112"/>
      <c r="C366" s="206" t="s">
        <v>150</v>
      </c>
      <c r="D366" s="206" t="s">
        <v>1104</v>
      </c>
      <c r="E366" s="207" t="s">
        <v>1669</v>
      </c>
      <c r="F366" s="208" t="s">
        <v>1670</v>
      </c>
      <c r="G366" s="209" t="s">
        <v>1533</v>
      </c>
      <c r="H366" s="210">
        <v>21</v>
      </c>
      <c r="I366" s="326"/>
      <c r="J366" s="211">
        <f>ROUND(I366*H366,2)</f>
        <v>0</v>
      </c>
      <c r="K366" s="208" t="s">
        <v>1146</v>
      </c>
      <c r="L366" s="112"/>
      <c r="M366" s="325" t="s">
        <v>1010</v>
      </c>
      <c r="N366" s="212" t="s">
        <v>1025</v>
      </c>
      <c r="P366" s="213">
        <f>O366*H366</f>
        <v>0</v>
      </c>
      <c r="Q366" s="213">
        <v>1.8400000000000001E-3</v>
      </c>
      <c r="R366" s="213">
        <f>Q366*H366</f>
        <v>3.8640000000000001E-2</v>
      </c>
      <c r="S366" s="213">
        <v>0</v>
      </c>
      <c r="T366" s="214">
        <f>S366*H366</f>
        <v>0</v>
      </c>
      <c r="AR366" s="215" t="s">
        <v>126</v>
      </c>
      <c r="AT366" s="215" t="s">
        <v>1104</v>
      </c>
      <c r="AU366" s="215" t="s">
        <v>65</v>
      </c>
      <c r="AY366" s="103" t="s">
        <v>1102</v>
      </c>
      <c r="BE366" s="216">
        <f>IF(N366="základní",J366,0)</f>
        <v>0</v>
      </c>
      <c r="BF366" s="216">
        <f>IF(N366="snížená",J366,0)</f>
        <v>0</v>
      </c>
      <c r="BG366" s="216">
        <f>IF(N366="zákl. přenesená",J366,0)</f>
        <v>0</v>
      </c>
      <c r="BH366" s="216">
        <f>IF(N366="sníž. přenesená",J366,0)</f>
        <v>0</v>
      </c>
      <c r="BI366" s="216">
        <f>IF(N366="nulová",J366,0)</f>
        <v>0</v>
      </c>
      <c r="BJ366" s="103" t="s">
        <v>55</v>
      </c>
      <c r="BK366" s="216">
        <f>ROUND(I366*H366,2)</f>
        <v>0</v>
      </c>
      <c r="BL366" s="103" t="s">
        <v>126</v>
      </c>
      <c r="BM366" s="215" t="s">
        <v>1671</v>
      </c>
    </row>
    <row r="367" spans="2:65" s="256" customFormat="1" x14ac:dyDescent="0.25">
      <c r="B367" s="112"/>
      <c r="D367" s="217" t="s">
        <v>1109</v>
      </c>
      <c r="F367" s="218" t="s">
        <v>1672</v>
      </c>
      <c r="I367" s="324"/>
      <c r="L367" s="112"/>
      <c r="M367" s="219"/>
      <c r="T367" s="128"/>
      <c r="AT367" s="103" t="s">
        <v>1109</v>
      </c>
      <c r="AU367" s="103" t="s">
        <v>65</v>
      </c>
    </row>
    <row r="368" spans="2:65" s="256" customFormat="1" ht="16.5" customHeight="1" x14ac:dyDescent="0.25">
      <c r="B368" s="112"/>
      <c r="C368" s="206" t="s">
        <v>101</v>
      </c>
      <c r="D368" s="206" t="s">
        <v>1104</v>
      </c>
      <c r="E368" s="207" t="s">
        <v>1673</v>
      </c>
      <c r="F368" s="208" t="s">
        <v>1674</v>
      </c>
      <c r="G368" s="209" t="s">
        <v>113</v>
      </c>
      <c r="H368" s="210">
        <v>7</v>
      </c>
      <c r="I368" s="326"/>
      <c r="J368" s="211">
        <f>ROUND(I368*H368,2)</f>
        <v>0</v>
      </c>
      <c r="K368" s="208" t="s">
        <v>1146</v>
      </c>
      <c r="L368" s="112"/>
      <c r="M368" s="325" t="s">
        <v>1010</v>
      </c>
      <c r="N368" s="212" t="s">
        <v>1025</v>
      </c>
      <c r="P368" s="213">
        <f>O368*H368</f>
        <v>0</v>
      </c>
      <c r="Q368" s="213">
        <v>0</v>
      </c>
      <c r="R368" s="213">
        <f>Q368*H368</f>
        <v>0</v>
      </c>
      <c r="S368" s="213">
        <v>2.2499999999999998E-3</v>
      </c>
      <c r="T368" s="214">
        <f>S368*H368</f>
        <v>1.575E-2</v>
      </c>
      <c r="AR368" s="215" t="s">
        <v>126</v>
      </c>
      <c r="AT368" s="215" t="s">
        <v>1104</v>
      </c>
      <c r="AU368" s="215" t="s">
        <v>65</v>
      </c>
      <c r="AY368" s="103" t="s">
        <v>1102</v>
      </c>
      <c r="BE368" s="216">
        <f>IF(N368="základní",J368,0)</f>
        <v>0</v>
      </c>
      <c r="BF368" s="216">
        <f>IF(N368="snížená",J368,0)</f>
        <v>0</v>
      </c>
      <c r="BG368" s="216">
        <f>IF(N368="zákl. přenesená",J368,0)</f>
        <v>0</v>
      </c>
      <c r="BH368" s="216">
        <f>IF(N368="sníž. přenesená",J368,0)</f>
        <v>0</v>
      </c>
      <c r="BI368" s="216">
        <f>IF(N368="nulová",J368,0)</f>
        <v>0</v>
      </c>
      <c r="BJ368" s="103" t="s">
        <v>55</v>
      </c>
      <c r="BK368" s="216">
        <f>ROUND(I368*H368,2)</f>
        <v>0</v>
      </c>
      <c r="BL368" s="103" t="s">
        <v>126</v>
      </c>
      <c r="BM368" s="215" t="s">
        <v>1675</v>
      </c>
    </row>
    <row r="369" spans="2:65" s="256" customFormat="1" x14ac:dyDescent="0.25">
      <c r="B369" s="112"/>
      <c r="D369" s="217" t="s">
        <v>1109</v>
      </c>
      <c r="F369" s="218" t="s">
        <v>1676</v>
      </c>
      <c r="I369" s="324"/>
      <c r="L369" s="112"/>
      <c r="M369" s="219"/>
      <c r="T369" s="128"/>
      <c r="AT369" s="103" t="s">
        <v>1109</v>
      </c>
      <c r="AU369" s="103" t="s">
        <v>65</v>
      </c>
    </row>
    <row r="370" spans="2:65" s="256" customFormat="1" ht="16.5" customHeight="1" x14ac:dyDescent="0.25">
      <c r="B370" s="112"/>
      <c r="C370" s="206" t="s">
        <v>152</v>
      </c>
      <c r="D370" s="206" t="s">
        <v>1104</v>
      </c>
      <c r="E370" s="207" t="s">
        <v>1677</v>
      </c>
      <c r="F370" s="208" t="s">
        <v>1678</v>
      </c>
      <c r="G370" s="209" t="s">
        <v>1533</v>
      </c>
      <c r="H370" s="210">
        <v>10</v>
      </c>
      <c r="I370" s="326"/>
      <c r="J370" s="211">
        <f>ROUND(I370*H370,2)</f>
        <v>0</v>
      </c>
      <c r="K370" s="208" t="s">
        <v>1161</v>
      </c>
      <c r="L370" s="112"/>
      <c r="M370" s="325" t="s">
        <v>1010</v>
      </c>
      <c r="N370" s="212" t="s">
        <v>1025</v>
      </c>
      <c r="P370" s="213">
        <f>O370*H370</f>
        <v>0</v>
      </c>
      <c r="Q370" s="213">
        <v>3.0899999999999999E-3</v>
      </c>
      <c r="R370" s="213">
        <f>Q370*H370</f>
        <v>3.0899999999999997E-2</v>
      </c>
      <c r="S370" s="213">
        <v>0</v>
      </c>
      <c r="T370" s="214">
        <f>S370*H370</f>
        <v>0</v>
      </c>
      <c r="AR370" s="215" t="s">
        <v>126</v>
      </c>
      <c r="AT370" s="215" t="s">
        <v>1104</v>
      </c>
      <c r="AU370" s="215" t="s">
        <v>65</v>
      </c>
      <c r="AY370" s="103" t="s">
        <v>1102</v>
      </c>
      <c r="BE370" s="216">
        <f>IF(N370="základní",J370,0)</f>
        <v>0</v>
      </c>
      <c r="BF370" s="216">
        <f>IF(N370="snížená",J370,0)</f>
        <v>0</v>
      </c>
      <c r="BG370" s="216">
        <f>IF(N370="zákl. přenesená",J370,0)</f>
        <v>0</v>
      </c>
      <c r="BH370" s="216">
        <f>IF(N370="sníž. přenesená",J370,0)</f>
        <v>0</v>
      </c>
      <c r="BI370" s="216">
        <f>IF(N370="nulová",J370,0)</f>
        <v>0</v>
      </c>
      <c r="BJ370" s="103" t="s">
        <v>55</v>
      </c>
      <c r="BK370" s="216">
        <f>ROUND(I370*H370,2)</f>
        <v>0</v>
      </c>
      <c r="BL370" s="103" t="s">
        <v>126</v>
      </c>
      <c r="BM370" s="215" t="s">
        <v>1679</v>
      </c>
    </row>
    <row r="371" spans="2:65" s="256" customFormat="1" x14ac:dyDescent="0.25">
      <c r="B371" s="112"/>
      <c r="D371" s="217" t="s">
        <v>1109</v>
      </c>
      <c r="F371" s="218" t="s">
        <v>1680</v>
      </c>
      <c r="I371" s="324"/>
      <c r="L371" s="112"/>
      <c r="M371" s="219"/>
      <c r="T371" s="128"/>
      <c r="AT371" s="103" t="s">
        <v>1109</v>
      </c>
      <c r="AU371" s="103" t="s">
        <v>65</v>
      </c>
    </row>
    <row r="372" spans="2:65" s="256" customFormat="1" ht="16.5" customHeight="1" x14ac:dyDescent="0.25">
      <c r="B372" s="112"/>
      <c r="C372" s="206" t="s">
        <v>158</v>
      </c>
      <c r="D372" s="206" t="s">
        <v>1104</v>
      </c>
      <c r="E372" s="207" t="s">
        <v>1681</v>
      </c>
      <c r="F372" s="208" t="s">
        <v>1682</v>
      </c>
      <c r="G372" s="209" t="s">
        <v>113</v>
      </c>
      <c r="H372" s="210">
        <v>1</v>
      </c>
      <c r="I372" s="326"/>
      <c r="J372" s="211">
        <f>ROUND(I372*H372,2)</f>
        <v>0</v>
      </c>
      <c r="K372" s="208" t="s">
        <v>1161</v>
      </c>
      <c r="L372" s="112"/>
      <c r="M372" s="325" t="s">
        <v>1010</v>
      </c>
      <c r="N372" s="212" t="s">
        <v>1025</v>
      </c>
      <c r="P372" s="213">
        <f>O372*H372</f>
        <v>0</v>
      </c>
      <c r="Q372" s="213">
        <v>3.6000000000000002E-4</v>
      </c>
      <c r="R372" s="213">
        <f>Q372*H372</f>
        <v>3.6000000000000002E-4</v>
      </c>
      <c r="S372" s="213">
        <v>0</v>
      </c>
      <c r="T372" s="214">
        <f>S372*H372</f>
        <v>0</v>
      </c>
      <c r="AR372" s="215" t="s">
        <v>126</v>
      </c>
      <c r="AT372" s="215" t="s">
        <v>1104</v>
      </c>
      <c r="AU372" s="215" t="s">
        <v>65</v>
      </c>
      <c r="AY372" s="103" t="s">
        <v>1102</v>
      </c>
      <c r="BE372" s="216">
        <f>IF(N372="základní",J372,0)</f>
        <v>0</v>
      </c>
      <c r="BF372" s="216">
        <f>IF(N372="snížená",J372,0)</f>
        <v>0</v>
      </c>
      <c r="BG372" s="216">
        <f>IF(N372="zákl. přenesená",J372,0)</f>
        <v>0</v>
      </c>
      <c r="BH372" s="216">
        <f>IF(N372="sníž. přenesená",J372,0)</f>
        <v>0</v>
      </c>
      <c r="BI372" s="216">
        <f>IF(N372="nulová",J372,0)</f>
        <v>0</v>
      </c>
      <c r="BJ372" s="103" t="s">
        <v>55</v>
      </c>
      <c r="BK372" s="216">
        <f>ROUND(I372*H372,2)</f>
        <v>0</v>
      </c>
      <c r="BL372" s="103" t="s">
        <v>126</v>
      </c>
      <c r="BM372" s="215" t="s">
        <v>1683</v>
      </c>
    </row>
    <row r="373" spans="2:65" s="256" customFormat="1" x14ac:dyDescent="0.25">
      <c r="B373" s="112"/>
      <c r="D373" s="217" t="s">
        <v>1109</v>
      </c>
      <c r="F373" s="218" t="s">
        <v>1684</v>
      </c>
      <c r="I373" s="324"/>
      <c r="L373" s="112"/>
      <c r="M373" s="219"/>
      <c r="T373" s="128"/>
      <c r="AT373" s="103" t="s">
        <v>1109</v>
      </c>
      <c r="AU373" s="103" t="s">
        <v>65</v>
      </c>
    </row>
    <row r="374" spans="2:65" s="256" customFormat="1" ht="16.5" customHeight="1" x14ac:dyDescent="0.25">
      <c r="B374" s="112"/>
      <c r="C374" s="206" t="s">
        <v>110</v>
      </c>
      <c r="D374" s="206" t="s">
        <v>1104</v>
      </c>
      <c r="E374" s="207" t="s">
        <v>1685</v>
      </c>
      <c r="F374" s="208" t="s">
        <v>1686</v>
      </c>
      <c r="G374" s="209" t="s">
        <v>113</v>
      </c>
      <c r="H374" s="210">
        <v>36</v>
      </c>
      <c r="I374" s="326"/>
      <c r="J374" s="211">
        <f>ROUND(I374*H374,2)</f>
        <v>0</v>
      </c>
      <c r="K374" s="208" t="s">
        <v>1146</v>
      </c>
      <c r="L374" s="112"/>
      <c r="M374" s="325" t="s">
        <v>1010</v>
      </c>
      <c r="N374" s="212" t="s">
        <v>1025</v>
      </c>
      <c r="P374" s="213">
        <f>O374*H374</f>
        <v>0</v>
      </c>
      <c r="Q374" s="213">
        <v>0</v>
      </c>
      <c r="R374" s="213">
        <f>Q374*H374</f>
        <v>0</v>
      </c>
      <c r="S374" s="213">
        <v>8.4999999999999995E-4</v>
      </c>
      <c r="T374" s="214">
        <f>S374*H374</f>
        <v>3.0599999999999999E-2</v>
      </c>
      <c r="AR374" s="215" t="s">
        <v>126</v>
      </c>
      <c r="AT374" s="215" t="s">
        <v>1104</v>
      </c>
      <c r="AU374" s="215" t="s">
        <v>65</v>
      </c>
      <c r="AY374" s="103" t="s">
        <v>1102</v>
      </c>
      <c r="BE374" s="216">
        <f>IF(N374="základní",J374,0)</f>
        <v>0</v>
      </c>
      <c r="BF374" s="216">
        <f>IF(N374="snížená",J374,0)</f>
        <v>0</v>
      </c>
      <c r="BG374" s="216">
        <f>IF(N374="zákl. přenesená",J374,0)</f>
        <v>0</v>
      </c>
      <c r="BH374" s="216">
        <f>IF(N374="sníž. přenesená",J374,0)</f>
        <v>0</v>
      </c>
      <c r="BI374" s="216">
        <f>IF(N374="nulová",J374,0)</f>
        <v>0</v>
      </c>
      <c r="BJ374" s="103" t="s">
        <v>55</v>
      </c>
      <c r="BK374" s="216">
        <f>ROUND(I374*H374,2)</f>
        <v>0</v>
      </c>
      <c r="BL374" s="103" t="s">
        <v>126</v>
      </c>
      <c r="BM374" s="215" t="s">
        <v>1687</v>
      </c>
    </row>
    <row r="375" spans="2:65" s="256" customFormat="1" x14ac:dyDescent="0.25">
      <c r="B375" s="112"/>
      <c r="D375" s="217" t="s">
        <v>1109</v>
      </c>
      <c r="F375" s="218" t="s">
        <v>1688</v>
      </c>
      <c r="I375" s="324"/>
      <c r="L375" s="112"/>
      <c r="M375" s="219"/>
      <c r="T375" s="128"/>
      <c r="AT375" s="103" t="s">
        <v>1109</v>
      </c>
      <c r="AU375" s="103" t="s">
        <v>65</v>
      </c>
    </row>
    <row r="376" spans="2:65" s="256" customFormat="1" ht="16.5" customHeight="1" x14ac:dyDescent="0.25">
      <c r="B376" s="112"/>
      <c r="C376" s="206" t="s">
        <v>159</v>
      </c>
      <c r="D376" s="206" t="s">
        <v>1104</v>
      </c>
      <c r="E376" s="207" t="s">
        <v>1689</v>
      </c>
      <c r="F376" s="208" t="s">
        <v>1690</v>
      </c>
      <c r="G376" s="209" t="s">
        <v>113</v>
      </c>
      <c r="H376" s="210">
        <v>21</v>
      </c>
      <c r="I376" s="326"/>
      <c r="J376" s="211">
        <f>ROUND(I376*H376,2)</f>
        <v>0</v>
      </c>
      <c r="K376" s="208" t="s">
        <v>1161</v>
      </c>
      <c r="L376" s="112"/>
      <c r="M376" s="325" t="s">
        <v>1010</v>
      </c>
      <c r="N376" s="212" t="s">
        <v>1025</v>
      </c>
      <c r="P376" s="213">
        <f>O376*H376</f>
        <v>0</v>
      </c>
      <c r="Q376" s="213">
        <v>2.4000000000000001E-4</v>
      </c>
      <c r="R376" s="213">
        <f>Q376*H376</f>
        <v>5.0400000000000002E-3</v>
      </c>
      <c r="S376" s="213">
        <v>0</v>
      </c>
      <c r="T376" s="214">
        <f>S376*H376</f>
        <v>0</v>
      </c>
      <c r="AR376" s="215" t="s">
        <v>126</v>
      </c>
      <c r="AT376" s="215" t="s">
        <v>1104</v>
      </c>
      <c r="AU376" s="215" t="s">
        <v>65</v>
      </c>
      <c r="AY376" s="103" t="s">
        <v>1102</v>
      </c>
      <c r="BE376" s="216">
        <f>IF(N376="základní",J376,0)</f>
        <v>0</v>
      </c>
      <c r="BF376" s="216">
        <f>IF(N376="snížená",J376,0)</f>
        <v>0</v>
      </c>
      <c r="BG376" s="216">
        <f>IF(N376="zákl. přenesená",J376,0)</f>
        <v>0</v>
      </c>
      <c r="BH376" s="216">
        <f>IF(N376="sníž. přenesená",J376,0)</f>
        <v>0</v>
      </c>
      <c r="BI376" s="216">
        <f>IF(N376="nulová",J376,0)</f>
        <v>0</v>
      </c>
      <c r="BJ376" s="103" t="s">
        <v>55</v>
      </c>
      <c r="BK376" s="216">
        <f>ROUND(I376*H376,2)</f>
        <v>0</v>
      </c>
      <c r="BL376" s="103" t="s">
        <v>126</v>
      </c>
      <c r="BM376" s="215" t="s">
        <v>1691</v>
      </c>
    </row>
    <row r="377" spans="2:65" s="256" customFormat="1" x14ac:dyDescent="0.25">
      <c r="B377" s="112"/>
      <c r="D377" s="217" t="s">
        <v>1109</v>
      </c>
      <c r="F377" s="218" t="s">
        <v>1692</v>
      </c>
      <c r="I377" s="324"/>
      <c r="L377" s="112"/>
      <c r="M377" s="219"/>
      <c r="T377" s="128"/>
      <c r="AT377" s="103" t="s">
        <v>1109</v>
      </c>
      <c r="AU377" s="103" t="s">
        <v>65</v>
      </c>
    </row>
    <row r="378" spans="2:65" s="256" customFormat="1" ht="16.5" customHeight="1" x14ac:dyDescent="0.25">
      <c r="B378" s="112"/>
      <c r="C378" s="206" t="s">
        <v>160</v>
      </c>
      <c r="D378" s="206" t="s">
        <v>1104</v>
      </c>
      <c r="E378" s="207" t="s">
        <v>1693</v>
      </c>
      <c r="F378" s="208" t="s">
        <v>1694</v>
      </c>
      <c r="G378" s="209" t="s">
        <v>113</v>
      </c>
      <c r="H378" s="210">
        <v>2</v>
      </c>
      <c r="I378" s="326"/>
      <c r="J378" s="211">
        <f>ROUND(I378*H378,2)</f>
        <v>0</v>
      </c>
      <c r="K378" s="208" t="s">
        <v>1161</v>
      </c>
      <c r="L378" s="112"/>
      <c r="M378" s="325" t="s">
        <v>1010</v>
      </c>
      <c r="N378" s="212" t="s">
        <v>1025</v>
      </c>
      <c r="P378" s="213">
        <f>O378*H378</f>
        <v>0</v>
      </c>
      <c r="Q378" s="213">
        <v>5.4000000000000001E-4</v>
      </c>
      <c r="R378" s="213">
        <f>Q378*H378</f>
        <v>1.08E-3</v>
      </c>
      <c r="S378" s="213">
        <v>0</v>
      </c>
      <c r="T378" s="214">
        <f>S378*H378</f>
        <v>0</v>
      </c>
      <c r="AR378" s="215" t="s">
        <v>126</v>
      </c>
      <c r="AT378" s="215" t="s">
        <v>1104</v>
      </c>
      <c r="AU378" s="215" t="s">
        <v>65</v>
      </c>
      <c r="AY378" s="103" t="s">
        <v>1102</v>
      </c>
      <c r="BE378" s="216">
        <f>IF(N378="základní",J378,0)</f>
        <v>0</v>
      </c>
      <c r="BF378" s="216">
        <f>IF(N378="snížená",J378,0)</f>
        <v>0</v>
      </c>
      <c r="BG378" s="216">
        <f>IF(N378="zákl. přenesená",J378,0)</f>
        <v>0</v>
      </c>
      <c r="BH378" s="216">
        <f>IF(N378="sníž. přenesená",J378,0)</f>
        <v>0</v>
      </c>
      <c r="BI378" s="216">
        <f>IF(N378="nulová",J378,0)</f>
        <v>0</v>
      </c>
      <c r="BJ378" s="103" t="s">
        <v>55</v>
      </c>
      <c r="BK378" s="216">
        <f>ROUND(I378*H378,2)</f>
        <v>0</v>
      </c>
      <c r="BL378" s="103" t="s">
        <v>126</v>
      </c>
      <c r="BM378" s="215" t="s">
        <v>1695</v>
      </c>
    </row>
    <row r="379" spans="2:65" s="256" customFormat="1" x14ac:dyDescent="0.25">
      <c r="B379" s="112"/>
      <c r="D379" s="217" t="s">
        <v>1109</v>
      </c>
      <c r="F379" s="218" t="s">
        <v>1696</v>
      </c>
      <c r="I379" s="324"/>
      <c r="L379" s="112"/>
      <c r="M379" s="219"/>
      <c r="T379" s="128"/>
      <c r="AT379" s="103" t="s">
        <v>1109</v>
      </c>
      <c r="AU379" s="103" t="s">
        <v>65</v>
      </c>
    </row>
    <row r="380" spans="2:65" s="256" customFormat="1" ht="16.5" customHeight="1" x14ac:dyDescent="0.25">
      <c r="B380" s="112"/>
      <c r="C380" s="206" t="s">
        <v>162</v>
      </c>
      <c r="D380" s="206" t="s">
        <v>1104</v>
      </c>
      <c r="E380" s="207" t="s">
        <v>1697</v>
      </c>
      <c r="F380" s="208" t="s">
        <v>1698</v>
      </c>
      <c r="G380" s="209" t="s">
        <v>113</v>
      </c>
      <c r="H380" s="210">
        <v>4</v>
      </c>
      <c r="I380" s="326"/>
      <c r="J380" s="211">
        <f>ROUND(I380*H380,2)</f>
        <v>0</v>
      </c>
      <c r="K380" s="208" t="s">
        <v>1146</v>
      </c>
      <c r="L380" s="112"/>
      <c r="M380" s="325" t="s">
        <v>1010</v>
      </c>
      <c r="N380" s="212" t="s">
        <v>1025</v>
      </c>
      <c r="P380" s="213">
        <f>O380*H380</f>
        <v>0</v>
      </c>
      <c r="Q380" s="213">
        <v>2.7999999999999998E-4</v>
      </c>
      <c r="R380" s="213">
        <f>Q380*H380</f>
        <v>1.1199999999999999E-3</v>
      </c>
      <c r="S380" s="213">
        <v>0</v>
      </c>
      <c r="T380" s="214">
        <f>S380*H380</f>
        <v>0</v>
      </c>
      <c r="AR380" s="215" t="s">
        <v>126</v>
      </c>
      <c r="AT380" s="215" t="s">
        <v>1104</v>
      </c>
      <c r="AU380" s="215" t="s">
        <v>65</v>
      </c>
      <c r="AY380" s="103" t="s">
        <v>1102</v>
      </c>
      <c r="BE380" s="216">
        <f>IF(N380="základní",J380,0)</f>
        <v>0</v>
      </c>
      <c r="BF380" s="216">
        <f>IF(N380="snížená",J380,0)</f>
        <v>0</v>
      </c>
      <c r="BG380" s="216">
        <f>IF(N380="zákl. přenesená",J380,0)</f>
        <v>0</v>
      </c>
      <c r="BH380" s="216">
        <f>IF(N380="sníž. přenesená",J380,0)</f>
        <v>0</v>
      </c>
      <c r="BI380" s="216">
        <f>IF(N380="nulová",J380,0)</f>
        <v>0</v>
      </c>
      <c r="BJ380" s="103" t="s">
        <v>55</v>
      </c>
      <c r="BK380" s="216">
        <f>ROUND(I380*H380,2)</f>
        <v>0</v>
      </c>
      <c r="BL380" s="103" t="s">
        <v>126</v>
      </c>
      <c r="BM380" s="215" t="s">
        <v>1699</v>
      </c>
    </row>
    <row r="381" spans="2:65" s="256" customFormat="1" x14ac:dyDescent="0.25">
      <c r="B381" s="112"/>
      <c r="D381" s="217" t="s">
        <v>1109</v>
      </c>
      <c r="F381" s="218" t="s">
        <v>1700</v>
      </c>
      <c r="I381" s="324"/>
      <c r="L381" s="112"/>
      <c r="M381" s="219"/>
      <c r="T381" s="128"/>
      <c r="AT381" s="103" t="s">
        <v>1109</v>
      </c>
      <c r="AU381" s="103" t="s">
        <v>65</v>
      </c>
    </row>
    <row r="382" spans="2:65" s="256" customFormat="1" ht="16.5" customHeight="1" x14ac:dyDescent="0.25">
      <c r="B382" s="112"/>
      <c r="C382" s="206" t="s">
        <v>218</v>
      </c>
      <c r="D382" s="206" t="s">
        <v>1104</v>
      </c>
      <c r="E382" s="207" t="s">
        <v>1701</v>
      </c>
      <c r="F382" s="208" t="s">
        <v>1702</v>
      </c>
      <c r="G382" s="209" t="s">
        <v>113</v>
      </c>
      <c r="H382" s="210">
        <v>8</v>
      </c>
      <c r="I382" s="326"/>
      <c r="J382" s="211">
        <f>ROUND(I382*H382,2)</f>
        <v>0</v>
      </c>
      <c r="K382" s="208" t="s">
        <v>1161</v>
      </c>
      <c r="L382" s="112"/>
      <c r="M382" s="325" t="s">
        <v>1010</v>
      </c>
      <c r="N382" s="212" t="s">
        <v>1025</v>
      </c>
      <c r="P382" s="213">
        <f>O382*H382</f>
        <v>0</v>
      </c>
      <c r="Q382" s="213">
        <v>3.1E-4</v>
      </c>
      <c r="R382" s="213">
        <f>Q382*H382</f>
        <v>2.48E-3</v>
      </c>
      <c r="S382" s="213">
        <v>0</v>
      </c>
      <c r="T382" s="214">
        <f>S382*H382</f>
        <v>0</v>
      </c>
      <c r="AR382" s="215" t="s">
        <v>126</v>
      </c>
      <c r="AT382" s="215" t="s">
        <v>1104</v>
      </c>
      <c r="AU382" s="215" t="s">
        <v>65</v>
      </c>
      <c r="AY382" s="103" t="s">
        <v>1102</v>
      </c>
      <c r="BE382" s="216">
        <f>IF(N382="základní",J382,0)</f>
        <v>0</v>
      </c>
      <c r="BF382" s="216">
        <f>IF(N382="snížená",J382,0)</f>
        <v>0</v>
      </c>
      <c r="BG382" s="216">
        <f>IF(N382="zákl. přenesená",J382,0)</f>
        <v>0</v>
      </c>
      <c r="BH382" s="216">
        <f>IF(N382="sníž. přenesená",J382,0)</f>
        <v>0</v>
      </c>
      <c r="BI382" s="216">
        <f>IF(N382="nulová",J382,0)</f>
        <v>0</v>
      </c>
      <c r="BJ382" s="103" t="s">
        <v>55</v>
      </c>
      <c r="BK382" s="216">
        <f>ROUND(I382*H382,2)</f>
        <v>0</v>
      </c>
      <c r="BL382" s="103" t="s">
        <v>126</v>
      </c>
      <c r="BM382" s="215" t="s">
        <v>1703</v>
      </c>
    </row>
    <row r="383" spans="2:65" s="256" customFormat="1" x14ac:dyDescent="0.25">
      <c r="B383" s="112"/>
      <c r="D383" s="217" t="s">
        <v>1109</v>
      </c>
      <c r="F383" s="218" t="s">
        <v>1704</v>
      </c>
      <c r="I383" s="324"/>
      <c r="L383" s="112"/>
      <c r="M383" s="219"/>
      <c r="T383" s="128"/>
      <c r="AT383" s="103" t="s">
        <v>1109</v>
      </c>
      <c r="AU383" s="103" t="s">
        <v>65</v>
      </c>
    </row>
    <row r="384" spans="2:65" s="256" customFormat="1" ht="24.2" customHeight="1" x14ac:dyDescent="0.25">
      <c r="B384" s="112"/>
      <c r="C384" s="206" t="s">
        <v>163</v>
      </c>
      <c r="D384" s="206" t="s">
        <v>1104</v>
      </c>
      <c r="E384" s="207" t="s">
        <v>1705</v>
      </c>
      <c r="F384" s="208" t="s">
        <v>1706</v>
      </c>
      <c r="G384" s="209" t="s">
        <v>1125</v>
      </c>
      <c r="H384" s="210">
        <v>1.784</v>
      </c>
      <c r="I384" s="326"/>
      <c r="J384" s="211">
        <f>ROUND(I384*H384,2)</f>
        <v>0</v>
      </c>
      <c r="K384" s="208" t="s">
        <v>1146</v>
      </c>
      <c r="L384" s="112"/>
      <c r="M384" s="325" t="s">
        <v>1010</v>
      </c>
      <c r="N384" s="212" t="s">
        <v>1025</v>
      </c>
      <c r="P384" s="213">
        <f>O384*H384</f>
        <v>0</v>
      </c>
      <c r="Q384" s="213">
        <v>0</v>
      </c>
      <c r="R384" s="213">
        <f>Q384*H384</f>
        <v>0</v>
      </c>
      <c r="S384" s="213">
        <v>0</v>
      </c>
      <c r="T384" s="214">
        <f>S384*H384</f>
        <v>0</v>
      </c>
      <c r="AR384" s="215" t="s">
        <v>126</v>
      </c>
      <c r="AT384" s="215" t="s">
        <v>1104</v>
      </c>
      <c r="AU384" s="215" t="s">
        <v>65</v>
      </c>
      <c r="AY384" s="103" t="s">
        <v>1102</v>
      </c>
      <c r="BE384" s="216">
        <f>IF(N384="základní",J384,0)</f>
        <v>0</v>
      </c>
      <c r="BF384" s="216">
        <f>IF(N384="snížená",J384,0)</f>
        <v>0</v>
      </c>
      <c r="BG384" s="216">
        <f>IF(N384="zákl. přenesená",J384,0)</f>
        <v>0</v>
      </c>
      <c r="BH384" s="216">
        <f>IF(N384="sníž. přenesená",J384,0)</f>
        <v>0</v>
      </c>
      <c r="BI384" s="216">
        <f>IF(N384="nulová",J384,0)</f>
        <v>0</v>
      </c>
      <c r="BJ384" s="103" t="s">
        <v>55</v>
      </c>
      <c r="BK384" s="216">
        <f>ROUND(I384*H384,2)</f>
        <v>0</v>
      </c>
      <c r="BL384" s="103" t="s">
        <v>126</v>
      </c>
      <c r="BM384" s="215" t="s">
        <v>1707</v>
      </c>
    </row>
    <row r="385" spans="2:65" s="256" customFormat="1" x14ac:dyDescent="0.25">
      <c r="B385" s="112"/>
      <c r="D385" s="217" t="s">
        <v>1109</v>
      </c>
      <c r="F385" s="218" t="s">
        <v>1708</v>
      </c>
      <c r="I385" s="324"/>
      <c r="L385" s="112"/>
      <c r="M385" s="219"/>
      <c r="T385" s="128"/>
      <c r="AT385" s="103" t="s">
        <v>1109</v>
      </c>
      <c r="AU385" s="103" t="s">
        <v>65</v>
      </c>
    </row>
    <row r="386" spans="2:65" s="256" customFormat="1" ht="24.2" customHeight="1" x14ac:dyDescent="0.25">
      <c r="B386" s="112"/>
      <c r="C386" s="206" t="s">
        <v>164</v>
      </c>
      <c r="D386" s="206" t="s">
        <v>1104</v>
      </c>
      <c r="E386" s="207" t="s">
        <v>1709</v>
      </c>
      <c r="F386" s="208" t="s">
        <v>1710</v>
      </c>
      <c r="G386" s="209" t="s">
        <v>1125</v>
      </c>
      <c r="H386" s="210">
        <v>1.784</v>
      </c>
      <c r="I386" s="326"/>
      <c r="J386" s="211">
        <f>ROUND(I386*H386,2)</f>
        <v>0</v>
      </c>
      <c r="K386" s="208" t="s">
        <v>1146</v>
      </c>
      <c r="L386" s="112"/>
      <c r="M386" s="325" t="s">
        <v>1010</v>
      </c>
      <c r="N386" s="212" t="s">
        <v>1025</v>
      </c>
      <c r="P386" s="213">
        <f>O386*H386</f>
        <v>0</v>
      </c>
      <c r="Q386" s="213">
        <v>0</v>
      </c>
      <c r="R386" s="213">
        <f>Q386*H386</f>
        <v>0</v>
      </c>
      <c r="S386" s="213">
        <v>0</v>
      </c>
      <c r="T386" s="214">
        <f>S386*H386</f>
        <v>0</v>
      </c>
      <c r="AR386" s="215" t="s">
        <v>126</v>
      </c>
      <c r="AT386" s="215" t="s">
        <v>1104</v>
      </c>
      <c r="AU386" s="215" t="s">
        <v>65</v>
      </c>
      <c r="AY386" s="103" t="s">
        <v>1102</v>
      </c>
      <c r="BE386" s="216">
        <f>IF(N386="základní",J386,0)</f>
        <v>0</v>
      </c>
      <c r="BF386" s="216">
        <f>IF(N386="snížená",J386,0)</f>
        <v>0</v>
      </c>
      <c r="BG386" s="216">
        <f>IF(N386="zákl. přenesená",J386,0)</f>
        <v>0</v>
      </c>
      <c r="BH386" s="216">
        <f>IF(N386="sníž. přenesená",J386,0)</f>
        <v>0</v>
      </c>
      <c r="BI386" s="216">
        <f>IF(N386="nulová",J386,0)</f>
        <v>0</v>
      </c>
      <c r="BJ386" s="103" t="s">
        <v>55</v>
      </c>
      <c r="BK386" s="216">
        <f>ROUND(I386*H386,2)</f>
        <v>0</v>
      </c>
      <c r="BL386" s="103" t="s">
        <v>126</v>
      </c>
      <c r="BM386" s="215" t="s">
        <v>1711</v>
      </c>
    </row>
    <row r="387" spans="2:65" s="256" customFormat="1" x14ac:dyDescent="0.25">
      <c r="B387" s="112"/>
      <c r="D387" s="217" t="s">
        <v>1109</v>
      </c>
      <c r="F387" s="218" t="s">
        <v>1712</v>
      </c>
      <c r="I387" s="324"/>
      <c r="L387" s="112"/>
      <c r="M387" s="236"/>
      <c r="N387" s="237"/>
      <c r="O387" s="237"/>
      <c r="P387" s="237"/>
      <c r="Q387" s="237"/>
      <c r="R387" s="237"/>
      <c r="S387" s="237"/>
      <c r="T387" s="238"/>
      <c r="AT387" s="103" t="s">
        <v>1109</v>
      </c>
      <c r="AU387" s="103" t="s">
        <v>65</v>
      </c>
    </row>
    <row r="388" spans="2:65" s="256" customFormat="1" ht="6.95" customHeight="1" x14ac:dyDescent="0.25">
      <c r="B388" s="118"/>
      <c r="C388" s="119"/>
      <c r="D388" s="119"/>
      <c r="E388" s="119"/>
      <c r="F388" s="119"/>
      <c r="G388" s="119"/>
      <c r="H388" s="119"/>
      <c r="I388" s="119"/>
      <c r="J388" s="119"/>
      <c r="K388" s="119"/>
      <c r="L388" s="112"/>
    </row>
  </sheetData>
  <sheetProtection algorithmName="SHA-512" hashValue="okutKwUPjk1iBpPjae1TSMm3fL7IrMoVDeK8WTBqXRsRJgv9c9Ey/YaPBGbLb6L7sM4RWvUPilRORx8Rtg8QgA==" saltValue="uF3kzh1M9E+Lp3epG0AhZGCKYF7ZjmGO4TfO2KKXkyUkqk1r6Ezno0RKx1S/QrRP876sbXHlaA0pbc0j40nV8Q==" spinCount="100000" sheet="1" objects="1" scenarios="1" formatColumns="0" formatRows="0" autoFilter="0"/>
  <autoFilter ref="C91:K387" xr:uid="{00000000-0009-0000-0000-000001000000}"/>
  <mergeCells count="9">
    <mergeCell ref="E50:H50"/>
    <mergeCell ref="E82:H82"/>
    <mergeCell ref="E84:H84"/>
    <mergeCell ref="L2:V2"/>
    <mergeCell ref="E7:H7"/>
    <mergeCell ref="E9:H9"/>
    <mergeCell ref="E18:H18"/>
    <mergeCell ref="E27:H27"/>
    <mergeCell ref="E48:H48"/>
  </mergeCells>
  <hyperlinks>
    <hyperlink ref="F96" r:id="rId1" xr:uid="{A270817A-BED3-454D-B590-2F7A883A6ECC}"/>
    <hyperlink ref="F98" r:id="rId2" xr:uid="{13AB2AF9-D270-498E-8F51-BB7EE6B9CB81}"/>
    <hyperlink ref="F100" r:id="rId3" xr:uid="{3019F8AB-739D-4233-9AE0-7833EF280ADE}"/>
    <hyperlink ref="F102" r:id="rId4" xr:uid="{733E6AB1-2862-4E28-8B09-3256084E70FB}"/>
    <hyperlink ref="F104" r:id="rId5" xr:uid="{797FBC95-2677-4BD3-A42C-BCCA8FEA14BB}"/>
    <hyperlink ref="F107" r:id="rId6" xr:uid="{1593B20A-7DB6-4096-A8A0-3CA79F2DAC23}"/>
    <hyperlink ref="F109" r:id="rId7" xr:uid="{4657243B-ACD1-4585-B278-49118B711BDA}"/>
    <hyperlink ref="F114" r:id="rId8" xr:uid="{0B4EC5F4-6726-45AD-8677-C9549E172BFA}"/>
    <hyperlink ref="F116" r:id="rId9" xr:uid="{7D41F6AF-DA21-409E-B0D2-9B81ECA44B48}"/>
    <hyperlink ref="F119" r:id="rId10" xr:uid="{CD09C8BB-D409-4522-A83B-6F8B63A1D004}"/>
    <hyperlink ref="F122" r:id="rId11" xr:uid="{68775E85-A722-476D-AE03-83C9F5F8D230}"/>
    <hyperlink ref="F125" r:id="rId12" xr:uid="{117D8481-03D5-4981-9591-CA711A4EC4F7}"/>
    <hyperlink ref="F129" r:id="rId13" xr:uid="{56603D30-C75A-4718-AEFD-EBE0D2EF1D9A}"/>
    <hyperlink ref="F131" r:id="rId14" xr:uid="{3F1C3D15-4CC7-4E3E-8676-D10B36BAAA90}"/>
    <hyperlink ref="F133" r:id="rId15" xr:uid="{E63DBC11-3F26-48DD-887B-FACEC61D374A}"/>
    <hyperlink ref="F135" r:id="rId16" xr:uid="{6955B724-4966-47A2-859D-D7B0817EC06D}"/>
    <hyperlink ref="F137" r:id="rId17" xr:uid="{4632B9E7-C7C4-4F84-81A8-38103D452622}"/>
    <hyperlink ref="F139" r:id="rId18" xr:uid="{586A0927-CFD6-48E6-BCBF-EAC8874D82FD}"/>
    <hyperlink ref="F142" r:id="rId19" xr:uid="{A873E903-4647-47ED-843A-1666BCD4B456}"/>
    <hyperlink ref="F144" r:id="rId20" xr:uid="{A1F1BAF9-98E2-4DBD-B3F9-5BDAF139B6A8}"/>
    <hyperlink ref="F146" r:id="rId21" xr:uid="{C0306D36-F99E-4304-94D2-AD896A1DBDFA}"/>
    <hyperlink ref="F148" r:id="rId22" xr:uid="{F0BC97DA-49DE-4619-9BCF-674EFB974BAD}"/>
    <hyperlink ref="F150" r:id="rId23" xr:uid="{01EA25F7-B57A-46F9-AD29-7ABD95297AD5}"/>
    <hyperlink ref="F152" r:id="rId24" xr:uid="{57A6E18C-E40E-423B-A5BD-5E3D132F5824}"/>
    <hyperlink ref="F156" r:id="rId25" xr:uid="{52F3C7CC-C588-429F-90E1-642B692BA991}"/>
    <hyperlink ref="F158" r:id="rId26" xr:uid="{301C79CC-9E77-41E2-9365-9A3020280DB9}"/>
    <hyperlink ref="F160" r:id="rId27" xr:uid="{F2D1DEF8-6D4D-44DD-B91A-363D34E39CE2}"/>
    <hyperlink ref="F162" r:id="rId28" xr:uid="{D8BB97A5-4228-4868-81D7-A8D4204391C4}"/>
    <hyperlink ref="F164" r:id="rId29" xr:uid="{4025FE14-47E0-45ED-9B5E-860FD4452923}"/>
    <hyperlink ref="F166" r:id="rId30" xr:uid="{6AA1FCC9-C7C8-4BA0-A1F7-267686310AAF}"/>
    <hyperlink ref="F168" r:id="rId31" xr:uid="{2970639F-F1AA-4579-9C16-225F927F829C}"/>
    <hyperlink ref="F170" r:id="rId32" xr:uid="{C68730E9-3FD1-4A24-A2D7-C3D6E2F1F226}"/>
    <hyperlink ref="F172" r:id="rId33" xr:uid="{510521F4-ACD7-4DD4-8FDD-A7B9BFE55778}"/>
    <hyperlink ref="F174" r:id="rId34" xr:uid="{33912600-F59C-4146-9F33-541F428F52AD}"/>
    <hyperlink ref="F176" r:id="rId35" xr:uid="{B306F96D-FD4C-4712-928A-1069A5248330}"/>
    <hyperlink ref="F179" r:id="rId36" xr:uid="{1BE888E7-EA8E-4FCA-8059-75491B4A6158}"/>
    <hyperlink ref="F181" r:id="rId37" xr:uid="{5963FBCC-F3D4-41C4-BA00-FB9D9CBD4148}"/>
    <hyperlink ref="F183" r:id="rId38" xr:uid="{2356CBC9-674E-47FC-8B4A-55E4AF92DA9B}"/>
    <hyperlink ref="F186" r:id="rId39" xr:uid="{17A809B9-4BAC-4FF3-82CE-6B1B7685A2CA}"/>
    <hyperlink ref="F188" r:id="rId40" xr:uid="{F9594CC7-99EC-4E4E-8070-85E44A86B0E2}"/>
    <hyperlink ref="F191" r:id="rId41" xr:uid="{701F4E1B-7B12-41D8-8BC9-E3F803E86681}"/>
    <hyperlink ref="F193" r:id="rId42" xr:uid="{E79B8771-3ABB-4DD2-970D-D66F8D120A44}"/>
    <hyperlink ref="F197" r:id="rId43" xr:uid="{B259663B-6D6C-4348-AB3E-0985E7E24C12}"/>
    <hyperlink ref="F199" r:id="rId44" xr:uid="{FEDCD24A-3784-46C8-AF60-E9776CB089F6}"/>
    <hyperlink ref="F203" r:id="rId45" xr:uid="{7802094A-04B6-4DCA-AEF1-980AB4E3C29B}"/>
    <hyperlink ref="F206" r:id="rId46" xr:uid="{44E2DD19-94C9-42A0-A82A-534FA12A64C9}"/>
    <hyperlink ref="F211" r:id="rId47" xr:uid="{C5E71AFB-2AD2-448A-9AFD-9C71D058A56E}"/>
    <hyperlink ref="F214" r:id="rId48" xr:uid="{F66F1907-1EF0-4D0F-A218-4FB8A520A01F}"/>
    <hyperlink ref="F217" r:id="rId49" xr:uid="{8ED27780-EA3A-4314-BFCF-C1B99E2BF80D}"/>
    <hyperlink ref="F220" r:id="rId50" xr:uid="{82F95042-A936-45AD-A479-24E958369A90}"/>
    <hyperlink ref="F223" r:id="rId51" xr:uid="{7FB74945-8F5B-4375-A284-CA80F2958ED7}"/>
    <hyperlink ref="F225" r:id="rId52" xr:uid="{B1C9BE32-FF9B-4EA8-A901-09531EAFD9AC}"/>
    <hyperlink ref="F227" r:id="rId53" xr:uid="{1734BFA9-9ED1-4F2E-B9B3-C420A9EB3771}"/>
    <hyperlink ref="F230" r:id="rId54" xr:uid="{55B40CA6-B140-49B5-905D-70EEAB862BA5}"/>
    <hyperlink ref="F233" r:id="rId55" xr:uid="{4F159E52-2EE9-4D30-83EE-D4694BE0839B}"/>
    <hyperlink ref="F235" r:id="rId56" xr:uid="{441864C3-C498-4457-8641-D5EC58632981}"/>
    <hyperlink ref="F237" r:id="rId57" xr:uid="{77F190B2-AB96-41F5-BCFD-A957CEF75151}"/>
    <hyperlink ref="F239" r:id="rId58" xr:uid="{B1B65216-0224-4AC4-A36E-C9D7F62DBD3B}"/>
    <hyperlink ref="F241" r:id="rId59" xr:uid="{8387D920-7D5B-4D1C-BE06-F97BC297F667}"/>
    <hyperlink ref="F243" r:id="rId60" xr:uid="{39EDE368-56AB-4359-A1BE-B3671DE44FE7}"/>
    <hyperlink ref="F245" r:id="rId61" xr:uid="{4A75A7E9-6517-44BF-B72C-201C01A272A5}"/>
    <hyperlink ref="F247" r:id="rId62" xr:uid="{5EBFC454-1EFC-4434-B3FE-04185FA6B3AD}"/>
    <hyperlink ref="F250" r:id="rId63" xr:uid="{0AFFC3DD-C187-4EBD-AE44-A14A3D4F2933}"/>
    <hyperlink ref="F253" r:id="rId64" xr:uid="{22860801-10C1-4237-8EB6-96683BEA7733}"/>
    <hyperlink ref="F256" r:id="rId65" xr:uid="{0D67F059-0334-4E88-9A27-F4547230AD09}"/>
    <hyperlink ref="F258" r:id="rId66" xr:uid="{2DA1792C-EAB4-457A-9CAA-0B9DCB94C8BB}"/>
    <hyperlink ref="F260" r:id="rId67" xr:uid="{E3A140B4-F7B6-4F00-A3E4-F5CD836FCA88}"/>
    <hyperlink ref="F262" r:id="rId68" xr:uid="{E74342E8-5857-400C-A316-F3B328D46E52}"/>
    <hyperlink ref="F265" r:id="rId69" xr:uid="{FC28A3F0-60D3-4573-84DE-4AB513DBE9D3}"/>
    <hyperlink ref="F269" r:id="rId70" xr:uid="{0754D8BD-18F2-4439-BA24-D55A0320767D}"/>
    <hyperlink ref="F273" r:id="rId71" xr:uid="{1527E210-7880-46E0-9A64-9D7F62412FCF}"/>
    <hyperlink ref="F277" r:id="rId72" xr:uid="{3F3E4F45-4FBA-43BA-9A95-9E4A15971254}"/>
    <hyperlink ref="F280" r:id="rId73" xr:uid="{35761EEB-BAA6-4200-8921-328D10339C46}"/>
    <hyperlink ref="F283" r:id="rId74" xr:uid="{877B016F-3FA5-4029-B169-8700166F70EC}"/>
    <hyperlink ref="F286" r:id="rId75" xr:uid="{F6A0A8D0-6F5F-4036-948C-0A3A1BBF431F}"/>
    <hyperlink ref="F288" r:id="rId76" xr:uid="{81AF3F8A-1068-4271-B714-40026FA5090E}"/>
    <hyperlink ref="F290" r:id="rId77" xr:uid="{968C0DFA-A209-48E9-9E36-C42D157D0D39}"/>
    <hyperlink ref="F292" r:id="rId78" xr:uid="{8640B35A-6F14-49BA-9424-1E76270874A8}"/>
    <hyperlink ref="F294" r:id="rId79" xr:uid="{DD3D0932-8D04-40BD-9AF1-60BF54CC96D6}"/>
    <hyperlink ref="F296" r:id="rId80" xr:uid="{5470937E-1588-4288-B084-8DE29C7418BB}"/>
    <hyperlink ref="F298" r:id="rId81" xr:uid="{53979CBC-27DC-4749-BE71-C6D94F2CEE7A}"/>
    <hyperlink ref="F300" r:id="rId82" xr:uid="{F7821981-C7ED-4559-AC69-4BE1F3949FD4}"/>
    <hyperlink ref="F302" r:id="rId83" xr:uid="{84DA007D-3B97-4A14-A5D1-03AA26D63FA8}"/>
    <hyperlink ref="F304" r:id="rId84" xr:uid="{C9C446CC-EE68-4198-B142-1A0BAF1AEECA}"/>
    <hyperlink ref="F306" r:id="rId85" xr:uid="{12BA0A53-B21F-46A0-AB65-FD46EE6CB5D9}"/>
    <hyperlink ref="F308" r:id="rId86" xr:uid="{525F5EA6-C792-4BD1-A332-9E5104B9A7B9}"/>
    <hyperlink ref="F310" r:id="rId87" xr:uid="{22415CAB-3711-4358-8687-FB2E5E0AD768}"/>
    <hyperlink ref="F312" r:id="rId88" xr:uid="{DC8E1A11-85CB-45AF-B565-C34787352D02}"/>
    <hyperlink ref="F314" r:id="rId89" xr:uid="{4DD700FD-6EFA-43E9-A6C4-C4EDACA34CE0}"/>
    <hyperlink ref="F316" r:id="rId90" xr:uid="{F39FDCFD-94EB-4BF7-AFDF-F89D60AA3F6C}"/>
    <hyperlink ref="F319" r:id="rId91" xr:uid="{7BFCE5FD-3C3D-402F-BA23-A0680000DC9F}"/>
    <hyperlink ref="F321" r:id="rId92" xr:uid="{301E26D7-3BB2-480F-B722-BD03BEA01742}"/>
    <hyperlink ref="F323" r:id="rId93" xr:uid="{D9A8D7F7-83A5-4847-A878-8C4D19DD2684}"/>
    <hyperlink ref="F325" r:id="rId94" xr:uid="{5496DACA-EF45-47AF-8689-DDBD6523DC70}"/>
    <hyperlink ref="F327" r:id="rId95" xr:uid="{B59A66C9-1187-48AD-984E-3ECB12BB5B95}"/>
    <hyperlink ref="F329" r:id="rId96" xr:uid="{A1E2F48D-0C2D-43D1-9B48-6AFE266125FE}"/>
    <hyperlink ref="F332" r:id="rId97" xr:uid="{2F0AD586-5270-453A-ACD8-6ADE12EDB08D}"/>
    <hyperlink ref="F334" r:id="rId98" xr:uid="{8F2E97DB-1C8B-4053-B6D0-8AE093B9F128}"/>
    <hyperlink ref="F336" r:id="rId99" xr:uid="{50B44DCC-372E-4815-886F-C821A2189161}"/>
    <hyperlink ref="F338" r:id="rId100" xr:uid="{E3C99A01-3663-4AA3-9B2B-52181D2B6590}"/>
    <hyperlink ref="F340" r:id="rId101" xr:uid="{D3C5196E-FD10-432E-9D52-EAE5595FE889}"/>
    <hyperlink ref="F342" r:id="rId102" xr:uid="{1890D5D0-A2EF-4CC1-9989-F34450F5F9B1}"/>
    <hyperlink ref="F344" r:id="rId103" xr:uid="{889F6838-EB2D-4076-949E-A9506F699B44}"/>
    <hyperlink ref="F346" r:id="rId104" xr:uid="{7089C584-D013-41D8-A61C-FB37DA7B1CEA}"/>
    <hyperlink ref="F348" r:id="rId105" xr:uid="{D651C48C-BB76-482E-968A-244992C1DC17}"/>
    <hyperlink ref="F350" r:id="rId106" xr:uid="{84D672B3-5CEE-45D1-BB7A-BA189CDD4A87}"/>
    <hyperlink ref="F352" r:id="rId107" xr:uid="{3AEC0CD9-4C86-4954-BF51-826F68ABE49D}"/>
    <hyperlink ref="F357" r:id="rId108" xr:uid="{EEF93745-A42E-4F85-B63A-77E9AA33E713}"/>
    <hyperlink ref="F359" r:id="rId109" xr:uid="{C90FA7FF-1D8A-4C82-8FD6-1E20B252CBEA}"/>
    <hyperlink ref="F361" r:id="rId110" xr:uid="{37C9F5CE-3E40-419C-B406-5E10E1BB5FD8}"/>
    <hyperlink ref="F363" r:id="rId111" xr:uid="{A5316354-884C-4B40-94EC-16C21C9D204E}"/>
    <hyperlink ref="F365" r:id="rId112" xr:uid="{7DA2DCC6-2675-425E-BECA-97B5288952B2}"/>
    <hyperlink ref="F367" r:id="rId113" xr:uid="{6255C298-3821-41AD-9F8F-53328BA624B8}"/>
    <hyperlink ref="F369" r:id="rId114" xr:uid="{A7549E54-B8B7-4105-859A-8C81970BB86C}"/>
    <hyperlink ref="F371" r:id="rId115" xr:uid="{F10465B7-7503-46A3-9C5C-A1F3F34A2B4A}"/>
    <hyperlink ref="F373" r:id="rId116" xr:uid="{527DCCB9-3E35-4CFA-A980-35751CC347B3}"/>
    <hyperlink ref="F375" r:id="rId117" xr:uid="{3193C086-533C-4F09-AA34-CE15A681348A}"/>
    <hyperlink ref="F377" r:id="rId118" xr:uid="{66DBBC4C-0689-41B3-AF75-D64DC187ADAE}"/>
    <hyperlink ref="F379" r:id="rId119" xr:uid="{5D86219F-3D0C-4485-8DFD-FF9769BA75BF}"/>
    <hyperlink ref="F381" r:id="rId120" xr:uid="{71DE7E27-33BB-4431-B190-970F54BC3C53}"/>
    <hyperlink ref="F383" r:id="rId121" xr:uid="{51CB8767-311B-4A7B-B327-79CB13F1C4CD}"/>
    <hyperlink ref="F385" r:id="rId122" xr:uid="{B95BDE77-B351-4464-9592-A8CCF5889A24}"/>
    <hyperlink ref="F387" r:id="rId123" xr:uid="{F85B9177-B2A5-43B6-A2DC-4D1705F93811}"/>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2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883D-5486-4DAE-81C1-B0AF9A1F04F2}">
  <sheetPr>
    <pageSetUpPr fitToPage="1"/>
  </sheetPr>
  <dimension ref="B2:BM158"/>
  <sheetViews>
    <sheetView showGridLines="0" workbookViewId="0">
      <selection activeCell="W33" sqref="W33:AE33"/>
    </sheetView>
  </sheetViews>
  <sheetFormatPr defaultRowHeight="11.25" x14ac:dyDescent="0.2"/>
  <cols>
    <col min="1" max="1" width="7.140625" style="251" customWidth="1"/>
    <col min="2" max="2" width="1" style="251" customWidth="1"/>
    <col min="3" max="3" width="3.5703125" style="251" customWidth="1"/>
    <col min="4" max="4" width="3.7109375" style="251" customWidth="1"/>
    <col min="5" max="5" width="14.7109375" style="251" customWidth="1"/>
    <col min="6" max="6" width="86.42578125" style="251" customWidth="1"/>
    <col min="7" max="7" width="6.42578125" style="251" customWidth="1"/>
    <col min="8" max="8" width="12" style="251" customWidth="1"/>
    <col min="9" max="9" width="13.5703125" style="251" customWidth="1"/>
    <col min="10" max="11" width="19.140625" style="251" customWidth="1"/>
    <col min="12" max="12" width="8" style="251" customWidth="1"/>
    <col min="13" max="13" width="9.28515625" style="251" hidden="1" customWidth="1"/>
    <col min="14" max="14" width="9.140625" style="251"/>
    <col min="15" max="20" width="12.140625" style="251" hidden="1" customWidth="1"/>
    <col min="21" max="21" width="14" style="251" hidden="1" customWidth="1"/>
    <col min="22" max="22" width="10.5703125" style="251" customWidth="1"/>
    <col min="23" max="23" width="14" style="251" customWidth="1"/>
    <col min="24" max="24" width="10.5703125" style="251" customWidth="1"/>
    <col min="25" max="25" width="12.85546875" style="251" customWidth="1"/>
    <col min="26" max="26" width="9.42578125" style="251" customWidth="1"/>
    <col min="27" max="27" width="12.85546875" style="251" customWidth="1"/>
    <col min="28" max="28" width="14" style="251" customWidth="1"/>
    <col min="29" max="29" width="9.42578125" style="251" customWidth="1"/>
    <col min="30" max="30" width="12.85546875" style="251" customWidth="1"/>
    <col min="31" max="31" width="14" style="251" customWidth="1"/>
    <col min="32" max="16384" width="9.140625" style="251"/>
  </cols>
  <sheetData>
    <row r="2" spans="2:46" ht="36.950000000000003" customHeight="1" x14ac:dyDescent="0.2">
      <c r="L2" s="415"/>
      <c r="M2" s="415"/>
      <c r="N2" s="415"/>
      <c r="O2" s="415"/>
      <c r="P2" s="415"/>
      <c r="Q2" s="415"/>
      <c r="R2" s="415"/>
      <c r="S2" s="415"/>
      <c r="T2" s="415"/>
      <c r="U2" s="415"/>
      <c r="V2" s="415"/>
      <c r="AT2" s="103" t="s">
        <v>1065</v>
      </c>
    </row>
    <row r="3" spans="2:46" ht="6.95" customHeight="1" x14ac:dyDescent="0.2">
      <c r="B3" s="104"/>
      <c r="C3" s="105"/>
      <c r="D3" s="105"/>
      <c r="E3" s="105"/>
      <c r="F3" s="105"/>
      <c r="G3" s="105"/>
      <c r="H3" s="105"/>
      <c r="I3" s="105"/>
      <c r="J3" s="105"/>
      <c r="K3" s="105"/>
      <c r="L3" s="106"/>
      <c r="AT3" s="103" t="s">
        <v>65</v>
      </c>
    </row>
    <row r="4" spans="2:46" ht="24.95" customHeight="1" x14ac:dyDescent="0.2">
      <c r="B4" s="106"/>
      <c r="D4" s="107" t="s">
        <v>1069</v>
      </c>
      <c r="L4" s="106"/>
      <c r="M4" s="160" t="s">
        <v>1003</v>
      </c>
      <c r="AT4" s="103" t="s">
        <v>999</v>
      </c>
    </row>
    <row r="5" spans="2:46" ht="6.95" customHeight="1" x14ac:dyDescent="0.2">
      <c r="B5" s="106"/>
      <c r="L5" s="106"/>
    </row>
    <row r="6" spans="2:46" ht="12" customHeight="1" x14ac:dyDescent="0.2">
      <c r="B6" s="106"/>
      <c r="D6" s="257" t="s">
        <v>1007</v>
      </c>
      <c r="L6" s="106"/>
    </row>
    <row r="7" spans="2:46" ht="16.5" customHeight="1" x14ac:dyDescent="0.2">
      <c r="B7" s="106"/>
      <c r="E7" s="413" t="str">
        <f>'03 TZBRekapitulace stavby'!K6</f>
        <v>Rekonstrukce administrativní budovy</v>
      </c>
      <c r="F7" s="414"/>
      <c r="G7" s="414"/>
      <c r="H7" s="414"/>
      <c r="L7" s="106"/>
    </row>
    <row r="8" spans="2:46" s="256" customFormat="1" ht="12" customHeight="1" x14ac:dyDescent="0.25">
      <c r="B8" s="112"/>
      <c r="D8" s="257" t="s">
        <v>1070</v>
      </c>
      <c r="L8" s="112"/>
    </row>
    <row r="9" spans="2:46" s="256" customFormat="1" ht="16.5" customHeight="1" x14ac:dyDescent="0.25">
      <c r="B9" s="112"/>
      <c r="E9" s="411" t="s">
        <v>1803</v>
      </c>
      <c r="F9" s="412"/>
      <c r="G9" s="412"/>
      <c r="H9" s="412"/>
      <c r="L9" s="112"/>
    </row>
    <row r="10" spans="2:46" s="256" customFormat="1" x14ac:dyDescent="0.25">
      <c r="B10" s="112"/>
      <c r="L10" s="112"/>
    </row>
    <row r="11" spans="2:46" s="256" customFormat="1" ht="12" customHeight="1" x14ac:dyDescent="0.25">
      <c r="B11" s="112"/>
      <c r="D11" s="257" t="s">
        <v>1009</v>
      </c>
      <c r="F11" s="252" t="s">
        <v>1010</v>
      </c>
      <c r="I11" s="257" t="s">
        <v>1011</v>
      </c>
      <c r="J11" s="252" t="s">
        <v>1010</v>
      </c>
      <c r="L11" s="112"/>
    </row>
    <row r="12" spans="2:46" s="256" customFormat="1" ht="12" customHeight="1" x14ac:dyDescent="0.25">
      <c r="B12" s="112"/>
      <c r="D12" s="257" t="s">
        <v>1012</v>
      </c>
      <c r="F12" s="252" t="s">
        <v>35</v>
      </c>
      <c r="I12" s="257" t="s">
        <v>673</v>
      </c>
      <c r="J12" s="245" t="str">
        <f>'03 TZBRekapitulace stavby'!AN8</f>
        <v>31. 1. 2022</v>
      </c>
      <c r="L12" s="112"/>
    </row>
    <row r="13" spans="2:46" s="256" customFormat="1" ht="10.9" customHeight="1" x14ac:dyDescent="0.25">
      <c r="B13" s="112"/>
      <c r="L13" s="112"/>
    </row>
    <row r="14" spans="2:46" s="256" customFormat="1" ht="12" customHeight="1" x14ac:dyDescent="0.25">
      <c r="B14" s="112"/>
      <c r="D14" s="257" t="s">
        <v>1014</v>
      </c>
      <c r="I14" s="257" t="s">
        <v>1015</v>
      </c>
      <c r="J14" s="252" t="str">
        <f>IF('03 TZBRekapitulace stavby'!AN10="","",'03 TZBRekapitulace stavby'!AN10)</f>
        <v/>
      </c>
      <c r="L14" s="112"/>
    </row>
    <row r="15" spans="2:46" s="256" customFormat="1" ht="18" customHeight="1" x14ac:dyDescent="0.25">
      <c r="B15" s="112"/>
      <c r="E15" s="252" t="str">
        <f>IF('03 TZBRekapitulace stavby'!E11="","",'03 TZBRekapitulace stavby'!E11)</f>
        <v xml:space="preserve"> </v>
      </c>
      <c r="I15" s="257" t="s">
        <v>1016</v>
      </c>
      <c r="J15" s="252" t="str">
        <f>IF('03 TZBRekapitulace stavby'!AN11="","",'03 TZBRekapitulace stavby'!AN11)</f>
        <v/>
      </c>
      <c r="L15" s="112"/>
    </row>
    <row r="16" spans="2:46" s="256" customFormat="1" ht="6.95" customHeight="1" x14ac:dyDescent="0.25">
      <c r="B16" s="112"/>
      <c r="L16" s="112"/>
    </row>
    <row r="17" spans="2:12" s="256" customFormat="1" ht="12" customHeight="1" x14ac:dyDescent="0.25">
      <c r="B17" s="112"/>
      <c r="D17" s="257" t="s">
        <v>2317</v>
      </c>
      <c r="I17" s="257" t="s">
        <v>1015</v>
      </c>
      <c r="J17" s="331" t="str">
        <f>'03 TZBRekapitulace stavby'!AN13</f>
        <v>Vyplň údaj</v>
      </c>
      <c r="L17" s="112"/>
    </row>
    <row r="18" spans="2:12" s="256" customFormat="1" ht="18" customHeight="1" x14ac:dyDescent="0.25">
      <c r="B18" s="112"/>
      <c r="E18" s="416" t="str">
        <f>'03 TZBRekapitulace stavby'!E14</f>
        <v>Vyplň údaj</v>
      </c>
      <c r="F18" s="417"/>
      <c r="G18" s="417"/>
      <c r="H18" s="417"/>
      <c r="I18" s="257" t="s">
        <v>1016</v>
      </c>
      <c r="J18" s="331" t="str">
        <f>'03 TZBRekapitulace stavby'!AN14</f>
        <v>Vyplň údaj</v>
      </c>
      <c r="L18" s="112"/>
    </row>
    <row r="19" spans="2:12" s="256" customFormat="1" ht="6.95" customHeight="1" x14ac:dyDescent="0.25">
      <c r="B19" s="112"/>
      <c r="L19" s="112"/>
    </row>
    <row r="20" spans="2:12" s="256" customFormat="1" ht="12" customHeight="1" x14ac:dyDescent="0.25">
      <c r="B20" s="112"/>
      <c r="D20" s="257" t="s">
        <v>14</v>
      </c>
      <c r="I20" s="257" t="s">
        <v>1015</v>
      </c>
      <c r="J20" s="252" t="str">
        <f>IF('03 TZBRekapitulace stavby'!AN16="","",'03 TZBRekapitulace stavby'!AN16)</f>
        <v/>
      </c>
      <c r="L20" s="112"/>
    </row>
    <row r="21" spans="2:12" s="256" customFormat="1" ht="18" customHeight="1" x14ac:dyDescent="0.25">
      <c r="B21" s="112"/>
      <c r="E21" s="252" t="str">
        <f>IF('03 TZBRekapitulace stavby'!E17="","",'03 TZBRekapitulace stavby'!E17)</f>
        <v xml:space="preserve"> </v>
      </c>
      <c r="I21" s="257" t="s">
        <v>1016</v>
      </c>
      <c r="J21" s="252" t="str">
        <f>IF('03 TZBRekapitulace stavby'!AN17="","",'03 TZBRekapitulace stavby'!AN17)</f>
        <v/>
      </c>
      <c r="L21" s="112"/>
    </row>
    <row r="22" spans="2:12" s="256" customFormat="1" ht="6.95" customHeight="1" x14ac:dyDescent="0.25">
      <c r="B22" s="112"/>
      <c r="L22" s="112"/>
    </row>
    <row r="23" spans="2:12" s="256" customFormat="1" ht="12" customHeight="1" x14ac:dyDescent="0.25">
      <c r="B23" s="112"/>
      <c r="D23" s="257" t="s">
        <v>1018</v>
      </c>
      <c r="I23" s="257" t="s">
        <v>1015</v>
      </c>
      <c r="J23" s="252" t="str">
        <f>IF('03 TZBRekapitulace stavby'!AN19="","",'03 TZBRekapitulace stavby'!AN19)</f>
        <v/>
      </c>
      <c r="L23" s="112"/>
    </row>
    <row r="24" spans="2:12" s="256" customFormat="1" ht="18" customHeight="1" x14ac:dyDescent="0.25">
      <c r="B24" s="112"/>
      <c r="E24" s="252" t="str">
        <f>IF('03 TZBRekapitulace stavby'!E20="","",'03 TZBRekapitulace stavby'!E20)</f>
        <v xml:space="preserve"> </v>
      </c>
      <c r="I24" s="257" t="s">
        <v>1016</v>
      </c>
      <c r="J24" s="252" t="str">
        <f>IF('03 TZBRekapitulace stavby'!AN20="","",'03 TZBRekapitulace stavby'!AN20)</f>
        <v/>
      </c>
      <c r="L24" s="112"/>
    </row>
    <row r="25" spans="2:12" s="256" customFormat="1" ht="6.95" customHeight="1" x14ac:dyDescent="0.25">
      <c r="B25" s="112"/>
      <c r="L25" s="112"/>
    </row>
    <row r="26" spans="2:12" s="256" customFormat="1" ht="12" customHeight="1" x14ac:dyDescent="0.25">
      <c r="B26" s="112"/>
      <c r="D26" s="257" t="s">
        <v>669</v>
      </c>
      <c r="L26" s="112"/>
    </row>
    <row r="27" spans="2:12" s="161" customFormat="1" ht="16.5" customHeight="1" x14ac:dyDescent="0.25">
      <c r="B27" s="162"/>
      <c r="E27" s="418" t="s">
        <v>1010</v>
      </c>
      <c r="F27" s="418"/>
      <c r="G27" s="418"/>
      <c r="H27" s="418"/>
      <c r="L27" s="162"/>
    </row>
    <row r="28" spans="2:12" s="256" customFormat="1" ht="6.95" customHeight="1" x14ac:dyDescent="0.25">
      <c r="B28" s="112"/>
      <c r="L28" s="112"/>
    </row>
    <row r="29" spans="2:12" s="256" customFormat="1" ht="6.95" customHeight="1" x14ac:dyDescent="0.25">
      <c r="B29" s="112"/>
      <c r="D29" s="126"/>
      <c r="E29" s="126"/>
      <c r="F29" s="126"/>
      <c r="G29" s="126"/>
      <c r="H29" s="126"/>
      <c r="I29" s="126"/>
      <c r="J29" s="126"/>
      <c r="K29" s="126"/>
      <c r="L29" s="112"/>
    </row>
    <row r="30" spans="2:12" s="256" customFormat="1" ht="25.35" customHeight="1" x14ac:dyDescent="0.25">
      <c r="B30" s="112"/>
      <c r="D30" s="163" t="s">
        <v>1020</v>
      </c>
      <c r="J30" s="244">
        <f>ROUND(J86, 2)</f>
        <v>0</v>
      </c>
      <c r="L30" s="112"/>
    </row>
    <row r="31" spans="2:12" s="256" customFormat="1" ht="6.95" customHeight="1" x14ac:dyDescent="0.25">
      <c r="B31" s="112"/>
      <c r="D31" s="126"/>
      <c r="E31" s="126"/>
      <c r="F31" s="126"/>
      <c r="G31" s="126"/>
      <c r="H31" s="126"/>
      <c r="I31" s="126"/>
      <c r="J31" s="126"/>
      <c r="K31" s="126"/>
      <c r="L31" s="112"/>
    </row>
    <row r="32" spans="2:12" s="256" customFormat="1" ht="14.45" customHeight="1" x14ac:dyDescent="0.25">
      <c r="B32" s="112"/>
      <c r="F32" s="255" t="s">
        <v>1022</v>
      </c>
      <c r="I32" s="255" t="s">
        <v>1021</v>
      </c>
      <c r="J32" s="255" t="s">
        <v>1023</v>
      </c>
      <c r="L32" s="112"/>
    </row>
    <row r="33" spans="2:12" s="256" customFormat="1" ht="14.45" customHeight="1" x14ac:dyDescent="0.25">
      <c r="B33" s="112"/>
      <c r="D33" s="247" t="s">
        <v>1024</v>
      </c>
      <c r="E33" s="257" t="s">
        <v>1025</v>
      </c>
      <c r="F33" s="164">
        <f>ROUND((SUM(BE86:BE157)),  2)</f>
        <v>0</v>
      </c>
      <c r="I33" s="165">
        <v>0.21</v>
      </c>
      <c r="J33" s="164">
        <f>ROUND(((SUM(BE86:BE157))*I33),  2)</f>
        <v>0</v>
      </c>
      <c r="L33" s="112"/>
    </row>
    <row r="34" spans="2:12" s="256" customFormat="1" ht="14.45" customHeight="1" x14ac:dyDescent="0.25">
      <c r="B34" s="112"/>
      <c r="E34" s="257" t="s">
        <v>1026</v>
      </c>
      <c r="F34" s="164">
        <f>ROUND((SUM(BF86:BF157)),  2)</f>
        <v>0</v>
      </c>
      <c r="I34" s="165">
        <v>0.15</v>
      </c>
      <c r="J34" s="164">
        <f>ROUND(((SUM(BF86:BF157))*I34),  2)</f>
        <v>0</v>
      </c>
      <c r="L34" s="112"/>
    </row>
    <row r="35" spans="2:12" s="256" customFormat="1" ht="14.45" hidden="1" customHeight="1" x14ac:dyDescent="0.25">
      <c r="B35" s="112"/>
      <c r="E35" s="257" t="s">
        <v>1027</v>
      </c>
      <c r="F35" s="164">
        <f>ROUND((SUM(BG86:BG157)),  2)</f>
        <v>0</v>
      </c>
      <c r="I35" s="165">
        <v>0.21</v>
      </c>
      <c r="J35" s="164">
        <f>0</f>
        <v>0</v>
      </c>
      <c r="L35" s="112"/>
    </row>
    <row r="36" spans="2:12" s="256" customFormat="1" ht="14.45" hidden="1" customHeight="1" x14ac:dyDescent="0.25">
      <c r="B36" s="112"/>
      <c r="E36" s="257" t="s">
        <v>1028</v>
      </c>
      <c r="F36" s="164">
        <f>ROUND((SUM(BH86:BH157)),  2)</f>
        <v>0</v>
      </c>
      <c r="I36" s="165">
        <v>0.15</v>
      </c>
      <c r="J36" s="164">
        <f>0</f>
        <v>0</v>
      </c>
      <c r="L36" s="112"/>
    </row>
    <row r="37" spans="2:12" s="256" customFormat="1" ht="14.45" hidden="1" customHeight="1" x14ac:dyDescent="0.25">
      <c r="B37" s="112"/>
      <c r="E37" s="257" t="s">
        <v>1029</v>
      </c>
      <c r="F37" s="164">
        <f>ROUND((SUM(BI86:BI157)),  2)</f>
        <v>0</v>
      </c>
      <c r="I37" s="165">
        <v>0</v>
      </c>
      <c r="J37" s="164">
        <f>0</f>
        <v>0</v>
      </c>
      <c r="L37" s="112"/>
    </row>
    <row r="38" spans="2:12" s="256" customFormat="1" ht="6.95" customHeight="1" x14ac:dyDescent="0.25">
      <c r="B38" s="112"/>
      <c r="L38" s="112"/>
    </row>
    <row r="39" spans="2:12" s="256" customFormat="1" ht="25.35" customHeight="1" x14ac:dyDescent="0.25">
      <c r="B39" s="112"/>
      <c r="C39" s="166"/>
      <c r="D39" s="167" t="s">
        <v>1030</v>
      </c>
      <c r="E39" s="129"/>
      <c r="F39" s="129"/>
      <c r="G39" s="168" t="s">
        <v>1031</v>
      </c>
      <c r="H39" s="169" t="s">
        <v>1032</v>
      </c>
      <c r="I39" s="129"/>
      <c r="J39" s="170">
        <f>SUM(J30:J37)</f>
        <v>0</v>
      </c>
      <c r="K39" s="171"/>
      <c r="L39" s="112"/>
    </row>
    <row r="40" spans="2:12" s="256" customFormat="1" ht="14.45" customHeight="1" x14ac:dyDescent="0.25">
      <c r="B40" s="118"/>
      <c r="C40" s="119"/>
      <c r="D40" s="119"/>
      <c r="E40" s="119"/>
      <c r="F40" s="119"/>
      <c r="G40" s="119"/>
      <c r="H40" s="119"/>
      <c r="I40" s="119"/>
      <c r="J40" s="119"/>
      <c r="K40" s="119"/>
      <c r="L40" s="112"/>
    </row>
    <row r="44" spans="2:12" s="256" customFormat="1" ht="6.95" customHeight="1" x14ac:dyDescent="0.25">
      <c r="B44" s="120"/>
      <c r="C44" s="121"/>
      <c r="D44" s="121"/>
      <c r="E44" s="121"/>
      <c r="F44" s="121"/>
      <c r="G44" s="121"/>
      <c r="H44" s="121"/>
      <c r="I44" s="121"/>
      <c r="J44" s="121"/>
      <c r="K44" s="121"/>
      <c r="L44" s="112"/>
    </row>
    <row r="45" spans="2:12" s="256" customFormat="1" ht="24.95" customHeight="1" x14ac:dyDescent="0.25">
      <c r="B45" s="112"/>
      <c r="C45" s="107" t="s">
        <v>1072</v>
      </c>
      <c r="L45" s="112"/>
    </row>
    <row r="46" spans="2:12" s="256" customFormat="1" ht="6.95" customHeight="1" x14ac:dyDescent="0.25">
      <c r="B46" s="112"/>
      <c r="L46" s="112"/>
    </row>
    <row r="47" spans="2:12" s="256" customFormat="1" ht="12" customHeight="1" x14ac:dyDescent="0.25">
      <c r="B47" s="112"/>
      <c r="C47" s="257" t="s">
        <v>1007</v>
      </c>
      <c r="L47" s="112"/>
    </row>
    <row r="48" spans="2:12" s="256" customFormat="1" ht="16.5" customHeight="1" x14ac:dyDescent="0.25">
      <c r="B48" s="112"/>
      <c r="E48" s="413" t="str">
        <f>E7</f>
        <v>Rekonstrukce administrativní budovy</v>
      </c>
      <c r="F48" s="414"/>
      <c r="G48" s="414"/>
      <c r="H48" s="414"/>
      <c r="L48" s="112"/>
    </row>
    <row r="49" spans="2:47" s="256" customFormat="1" ht="12" customHeight="1" x14ac:dyDescent="0.25">
      <c r="B49" s="112"/>
      <c r="C49" s="257" t="s">
        <v>1070</v>
      </c>
      <c r="L49" s="112"/>
    </row>
    <row r="50" spans="2:47" s="256" customFormat="1" ht="16.5" customHeight="1" x14ac:dyDescent="0.25">
      <c r="B50" s="112"/>
      <c r="E50" s="411" t="str">
        <f>E9</f>
        <v>D14c - Vzduchotechnika</v>
      </c>
      <c r="F50" s="412"/>
      <c r="G50" s="412"/>
      <c r="H50" s="412"/>
      <c r="L50" s="112"/>
    </row>
    <row r="51" spans="2:47" s="256" customFormat="1" ht="6.95" customHeight="1" x14ac:dyDescent="0.25">
      <c r="B51" s="112"/>
      <c r="L51" s="112"/>
    </row>
    <row r="52" spans="2:47" s="256" customFormat="1" ht="12" customHeight="1" x14ac:dyDescent="0.25">
      <c r="B52" s="112"/>
      <c r="C52" s="257" t="s">
        <v>1012</v>
      </c>
      <c r="F52" s="252" t="str">
        <f>F12</f>
        <v xml:space="preserve"> </v>
      </c>
      <c r="I52" s="257" t="s">
        <v>673</v>
      </c>
      <c r="J52" s="245" t="str">
        <f>IF(J12="","",J12)</f>
        <v>31. 1. 2022</v>
      </c>
      <c r="L52" s="112"/>
    </row>
    <row r="53" spans="2:47" s="256" customFormat="1" ht="6.95" customHeight="1" x14ac:dyDescent="0.25">
      <c r="B53" s="112"/>
      <c r="L53" s="112"/>
    </row>
    <row r="54" spans="2:47" s="256" customFormat="1" ht="15.2" customHeight="1" x14ac:dyDescent="0.25">
      <c r="B54" s="112"/>
      <c r="C54" s="257" t="s">
        <v>1014</v>
      </c>
      <c r="F54" s="252" t="str">
        <f>E15</f>
        <v xml:space="preserve"> </v>
      </c>
      <c r="I54" s="257" t="s">
        <v>14</v>
      </c>
      <c r="J54" s="253" t="str">
        <f>E21</f>
        <v xml:space="preserve"> </v>
      </c>
      <c r="L54" s="112"/>
    </row>
    <row r="55" spans="2:47" s="256" customFormat="1" ht="15.2" customHeight="1" x14ac:dyDescent="0.25">
      <c r="B55" s="112"/>
      <c r="C55" s="257" t="s">
        <v>2317</v>
      </c>
      <c r="F55" s="252" t="str">
        <f>IF(E18="","",E18)</f>
        <v>Vyplň údaj</v>
      </c>
      <c r="I55" s="257" t="s">
        <v>1018</v>
      </c>
      <c r="J55" s="253" t="str">
        <f>E24</f>
        <v xml:space="preserve"> </v>
      </c>
      <c r="L55" s="112"/>
    </row>
    <row r="56" spans="2:47" s="256" customFormat="1" ht="10.35" customHeight="1" x14ac:dyDescent="0.25">
      <c r="B56" s="112"/>
      <c r="L56" s="112"/>
    </row>
    <row r="57" spans="2:47" s="256" customFormat="1" ht="29.25" customHeight="1" x14ac:dyDescent="0.25">
      <c r="B57" s="112"/>
      <c r="C57" s="172" t="s">
        <v>1073</v>
      </c>
      <c r="D57" s="166"/>
      <c r="E57" s="166"/>
      <c r="F57" s="166"/>
      <c r="G57" s="166"/>
      <c r="H57" s="166"/>
      <c r="I57" s="166"/>
      <c r="J57" s="173" t="s">
        <v>1074</v>
      </c>
      <c r="K57" s="166"/>
      <c r="L57" s="112"/>
    </row>
    <row r="58" spans="2:47" s="256" customFormat="1" ht="10.35" customHeight="1" x14ac:dyDescent="0.25">
      <c r="B58" s="112"/>
      <c r="L58" s="112"/>
    </row>
    <row r="59" spans="2:47" s="256" customFormat="1" ht="22.9" customHeight="1" x14ac:dyDescent="0.25">
      <c r="B59" s="112"/>
      <c r="C59" s="174" t="s">
        <v>1051</v>
      </c>
      <c r="J59" s="244">
        <f>J86</f>
        <v>0</v>
      </c>
      <c r="L59" s="112"/>
      <c r="AU59" s="103" t="s">
        <v>1075</v>
      </c>
    </row>
    <row r="60" spans="2:47" s="175" customFormat="1" ht="24.95" customHeight="1" x14ac:dyDescent="0.25">
      <c r="B60" s="176"/>
      <c r="D60" s="177" t="s">
        <v>1076</v>
      </c>
      <c r="E60" s="178"/>
      <c r="F60" s="178"/>
      <c r="G60" s="178"/>
      <c r="H60" s="178"/>
      <c r="I60" s="178"/>
      <c r="J60" s="179">
        <f>J87</f>
        <v>0</v>
      </c>
      <c r="L60" s="176"/>
    </row>
    <row r="61" spans="2:47" s="180" customFormat="1" ht="19.899999999999999" customHeight="1" x14ac:dyDescent="0.25">
      <c r="B61" s="181"/>
      <c r="D61" s="182" t="s">
        <v>1078</v>
      </c>
      <c r="E61" s="183"/>
      <c r="F61" s="183"/>
      <c r="G61" s="183"/>
      <c r="H61" s="183"/>
      <c r="I61" s="183"/>
      <c r="J61" s="184">
        <f>J88</f>
        <v>0</v>
      </c>
      <c r="L61" s="181"/>
    </row>
    <row r="62" spans="2:47" s="180" customFormat="1" ht="19.899999999999999" customHeight="1" x14ac:dyDescent="0.25">
      <c r="B62" s="181"/>
      <c r="D62" s="182" t="s">
        <v>1082</v>
      </c>
      <c r="E62" s="183"/>
      <c r="F62" s="183"/>
      <c r="G62" s="183"/>
      <c r="H62" s="183"/>
      <c r="I62" s="183"/>
      <c r="J62" s="184">
        <f>J97</f>
        <v>0</v>
      </c>
      <c r="L62" s="181"/>
    </row>
    <row r="63" spans="2:47" s="180" customFormat="1" ht="19.899999999999999" customHeight="1" x14ac:dyDescent="0.25">
      <c r="B63" s="181"/>
      <c r="D63" s="182" t="s">
        <v>1083</v>
      </c>
      <c r="E63" s="183"/>
      <c r="F63" s="183"/>
      <c r="G63" s="183"/>
      <c r="H63" s="183"/>
      <c r="I63" s="183"/>
      <c r="J63" s="184">
        <f>J107</f>
        <v>0</v>
      </c>
      <c r="L63" s="181"/>
    </row>
    <row r="64" spans="2:47" s="180" customFormat="1" ht="19.899999999999999" customHeight="1" x14ac:dyDescent="0.25">
      <c r="B64" s="181"/>
      <c r="D64" s="182" t="s">
        <v>1084</v>
      </c>
      <c r="E64" s="183"/>
      <c r="F64" s="183"/>
      <c r="G64" s="183"/>
      <c r="H64" s="183"/>
      <c r="I64" s="183"/>
      <c r="J64" s="184">
        <f>J119</f>
        <v>0</v>
      </c>
      <c r="L64" s="181"/>
    </row>
    <row r="65" spans="2:12" s="175" customFormat="1" ht="24.95" customHeight="1" x14ac:dyDescent="0.25">
      <c r="B65" s="176"/>
      <c r="D65" s="177" t="s">
        <v>1085</v>
      </c>
      <c r="E65" s="178"/>
      <c r="F65" s="178"/>
      <c r="G65" s="178"/>
      <c r="H65" s="178"/>
      <c r="I65" s="178"/>
      <c r="J65" s="179">
        <f>J122</f>
        <v>0</v>
      </c>
      <c r="L65" s="176"/>
    </row>
    <row r="66" spans="2:12" s="180" customFormat="1" ht="19.899999999999999" customHeight="1" x14ac:dyDescent="0.25">
      <c r="B66" s="181"/>
      <c r="D66" s="182" t="s">
        <v>1804</v>
      </c>
      <c r="E66" s="183"/>
      <c r="F66" s="183"/>
      <c r="G66" s="183"/>
      <c r="H66" s="183"/>
      <c r="I66" s="183"/>
      <c r="J66" s="184">
        <f>J123</f>
        <v>0</v>
      </c>
      <c r="L66" s="181"/>
    </row>
    <row r="67" spans="2:12" s="256" customFormat="1" ht="21.75" customHeight="1" x14ac:dyDescent="0.25">
      <c r="B67" s="112"/>
      <c r="L67" s="112"/>
    </row>
    <row r="68" spans="2:12" s="256" customFormat="1" ht="6.95" customHeight="1" x14ac:dyDescent="0.25">
      <c r="B68" s="118"/>
      <c r="C68" s="119"/>
      <c r="D68" s="119"/>
      <c r="E68" s="119"/>
      <c r="F68" s="119"/>
      <c r="G68" s="119"/>
      <c r="H68" s="119"/>
      <c r="I68" s="119"/>
      <c r="J68" s="119"/>
      <c r="K68" s="119"/>
      <c r="L68" s="112"/>
    </row>
    <row r="72" spans="2:12" s="256" customFormat="1" ht="6.95" customHeight="1" x14ac:dyDescent="0.25">
      <c r="B72" s="120"/>
      <c r="C72" s="121"/>
      <c r="D72" s="121"/>
      <c r="E72" s="121"/>
      <c r="F72" s="121"/>
      <c r="G72" s="121"/>
      <c r="H72" s="121"/>
      <c r="I72" s="121"/>
      <c r="J72" s="121"/>
      <c r="K72" s="121"/>
      <c r="L72" s="112"/>
    </row>
    <row r="73" spans="2:12" s="256" customFormat="1" ht="24.95" customHeight="1" x14ac:dyDescent="0.25">
      <c r="B73" s="112"/>
      <c r="C73" s="107" t="s">
        <v>1089</v>
      </c>
      <c r="L73" s="112"/>
    </row>
    <row r="74" spans="2:12" s="256" customFormat="1" ht="6.95" customHeight="1" x14ac:dyDescent="0.25">
      <c r="B74" s="112"/>
      <c r="L74" s="112"/>
    </row>
    <row r="75" spans="2:12" s="256" customFormat="1" ht="12" customHeight="1" x14ac:dyDescent="0.25">
      <c r="B75" s="112"/>
      <c r="C75" s="257" t="s">
        <v>1007</v>
      </c>
      <c r="L75" s="112"/>
    </row>
    <row r="76" spans="2:12" s="256" customFormat="1" ht="16.5" customHeight="1" x14ac:dyDescent="0.25">
      <c r="B76" s="112"/>
      <c r="E76" s="413" t="str">
        <f>E7</f>
        <v>Rekonstrukce administrativní budovy</v>
      </c>
      <c r="F76" s="414"/>
      <c r="G76" s="414"/>
      <c r="H76" s="414"/>
      <c r="L76" s="112"/>
    </row>
    <row r="77" spans="2:12" s="256" customFormat="1" ht="12" customHeight="1" x14ac:dyDescent="0.25">
      <c r="B77" s="112"/>
      <c r="C77" s="257" t="s">
        <v>1070</v>
      </c>
      <c r="L77" s="112"/>
    </row>
    <row r="78" spans="2:12" s="256" customFormat="1" ht="16.5" customHeight="1" x14ac:dyDescent="0.25">
      <c r="B78" s="112"/>
      <c r="E78" s="411" t="str">
        <f>E9</f>
        <v>D14c - Vzduchotechnika</v>
      </c>
      <c r="F78" s="412"/>
      <c r="G78" s="412"/>
      <c r="H78" s="412"/>
      <c r="L78" s="112"/>
    </row>
    <row r="79" spans="2:12" s="256" customFormat="1" ht="6.95" customHeight="1" x14ac:dyDescent="0.25">
      <c r="B79" s="112"/>
      <c r="L79" s="112"/>
    </row>
    <row r="80" spans="2:12" s="256" customFormat="1" ht="12" customHeight="1" x14ac:dyDescent="0.25">
      <c r="B80" s="112"/>
      <c r="C80" s="257" t="s">
        <v>1012</v>
      </c>
      <c r="F80" s="252" t="str">
        <f>F12</f>
        <v xml:space="preserve"> </v>
      </c>
      <c r="I80" s="257" t="s">
        <v>673</v>
      </c>
      <c r="J80" s="245" t="str">
        <f>IF(J12="","",J12)</f>
        <v>31. 1. 2022</v>
      </c>
      <c r="L80" s="112"/>
    </row>
    <row r="81" spans="2:65" s="256" customFormat="1" ht="6.95" customHeight="1" x14ac:dyDescent="0.25">
      <c r="B81" s="112"/>
      <c r="L81" s="112"/>
    </row>
    <row r="82" spans="2:65" s="256" customFormat="1" ht="15.2" customHeight="1" x14ac:dyDescent="0.25">
      <c r="B82" s="112"/>
      <c r="C82" s="257" t="s">
        <v>1014</v>
      </c>
      <c r="F82" s="252" t="str">
        <f>E15</f>
        <v xml:space="preserve"> </v>
      </c>
      <c r="I82" s="257" t="s">
        <v>14</v>
      </c>
      <c r="J82" s="253" t="str">
        <f>E21</f>
        <v xml:space="preserve"> </v>
      </c>
      <c r="L82" s="112"/>
    </row>
    <row r="83" spans="2:65" s="256" customFormat="1" ht="15.2" customHeight="1" x14ac:dyDescent="0.25">
      <c r="B83" s="112"/>
      <c r="C83" s="257" t="s">
        <v>2317</v>
      </c>
      <c r="F83" s="252" t="str">
        <f>IF(E18="","",E18)</f>
        <v>Vyplň údaj</v>
      </c>
      <c r="I83" s="257" t="s">
        <v>1018</v>
      </c>
      <c r="J83" s="253" t="str">
        <f>E24</f>
        <v xml:space="preserve"> </v>
      </c>
      <c r="L83" s="112"/>
    </row>
    <row r="84" spans="2:65" s="256" customFormat="1" ht="10.35" customHeight="1" x14ac:dyDescent="0.25">
      <c r="B84" s="112"/>
      <c r="L84" s="112"/>
    </row>
    <row r="85" spans="2:65" s="185" customFormat="1" ht="29.25" customHeight="1" x14ac:dyDescent="0.25">
      <c r="B85" s="186"/>
      <c r="C85" s="187" t="s">
        <v>1090</v>
      </c>
      <c r="D85" s="188" t="s">
        <v>1038</v>
      </c>
      <c r="E85" s="188" t="s">
        <v>27</v>
      </c>
      <c r="F85" s="188" t="s">
        <v>1035</v>
      </c>
      <c r="G85" s="188" t="s">
        <v>1091</v>
      </c>
      <c r="H85" s="188" t="s">
        <v>30</v>
      </c>
      <c r="I85" s="188" t="s">
        <v>1092</v>
      </c>
      <c r="J85" s="188" t="s">
        <v>1074</v>
      </c>
      <c r="K85" s="189" t="s">
        <v>1093</v>
      </c>
      <c r="L85" s="186"/>
      <c r="M85" s="131" t="s">
        <v>1010</v>
      </c>
      <c r="N85" s="132" t="s">
        <v>1024</v>
      </c>
      <c r="O85" s="132" t="s">
        <v>1094</v>
      </c>
      <c r="P85" s="132" t="s">
        <v>1095</v>
      </c>
      <c r="Q85" s="132" t="s">
        <v>1096</v>
      </c>
      <c r="R85" s="132" t="s">
        <v>1097</v>
      </c>
      <c r="S85" s="132" t="s">
        <v>1098</v>
      </c>
      <c r="T85" s="133" t="s">
        <v>1099</v>
      </c>
    </row>
    <row r="86" spans="2:65" s="256" customFormat="1" ht="22.9" customHeight="1" x14ac:dyDescent="0.25">
      <c r="B86" s="112"/>
      <c r="C86" s="137" t="s">
        <v>1100</v>
      </c>
      <c r="J86" s="190">
        <f>BK86</f>
        <v>0</v>
      </c>
      <c r="L86" s="112"/>
      <c r="M86" s="134"/>
      <c r="N86" s="126"/>
      <c r="O86" s="126"/>
      <c r="P86" s="191">
        <f>P87+P122</f>
        <v>0</v>
      </c>
      <c r="Q86" s="126"/>
      <c r="R86" s="191">
        <f>R87+R122</f>
        <v>1.48454</v>
      </c>
      <c r="S86" s="126"/>
      <c r="T86" s="192">
        <f>T87+T122</f>
        <v>0.91959999999999997</v>
      </c>
      <c r="AT86" s="103" t="s">
        <v>1052</v>
      </c>
      <c r="AU86" s="103" t="s">
        <v>1075</v>
      </c>
      <c r="BK86" s="193">
        <f>BK87+BK122</f>
        <v>0</v>
      </c>
    </row>
    <row r="87" spans="2:65" s="194" customFormat="1" ht="25.9" customHeight="1" x14ac:dyDescent="0.2">
      <c r="B87" s="195"/>
      <c r="D87" s="196" t="s">
        <v>1052</v>
      </c>
      <c r="E87" s="197" t="s">
        <v>681</v>
      </c>
      <c r="F87" s="197" t="s">
        <v>1101</v>
      </c>
      <c r="I87" s="327"/>
      <c r="J87" s="198">
        <f>BK87</f>
        <v>0</v>
      </c>
      <c r="L87" s="195"/>
      <c r="M87" s="199"/>
      <c r="P87" s="200">
        <f>P88+P97+P107+P119</f>
        <v>0</v>
      </c>
      <c r="R87" s="200">
        <f>R88+R97+R107+R119</f>
        <v>0.81071000000000004</v>
      </c>
      <c r="T87" s="201">
        <f>T88+T97+T107+T119</f>
        <v>0.91959999999999997</v>
      </c>
      <c r="AR87" s="196" t="s">
        <v>55</v>
      </c>
      <c r="AT87" s="202" t="s">
        <v>1052</v>
      </c>
      <c r="AU87" s="202" t="s">
        <v>166</v>
      </c>
      <c r="AY87" s="196" t="s">
        <v>1102</v>
      </c>
      <c r="BK87" s="203">
        <f>BK88+BK97+BK107+BK119</f>
        <v>0</v>
      </c>
    </row>
    <row r="88" spans="2:65" s="194" customFormat="1" ht="22.9" customHeight="1" x14ac:dyDescent="0.2">
      <c r="B88" s="195"/>
      <c r="D88" s="196" t="s">
        <v>1052</v>
      </c>
      <c r="E88" s="204" t="s">
        <v>59</v>
      </c>
      <c r="F88" s="204" t="s">
        <v>1143</v>
      </c>
      <c r="I88" s="327"/>
      <c r="J88" s="205">
        <f>BK88</f>
        <v>0</v>
      </c>
      <c r="L88" s="195"/>
      <c r="M88" s="199"/>
      <c r="P88" s="200">
        <f>SUM(P89:P96)</f>
        <v>0</v>
      </c>
      <c r="R88" s="200">
        <f>SUM(R89:R96)</f>
        <v>0.7834000000000001</v>
      </c>
      <c r="T88" s="201">
        <f>SUM(T89:T96)</f>
        <v>0</v>
      </c>
      <c r="AR88" s="196" t="s">
        <v>55</v>
      </c>
      <c r="AT88" s="202" t="s">
        <v>1052</v>
      </c>
      <c r="AU88" s="202" t="s">
        <v>55</v>
      </c>
      <c r="AY88" s="196" t="s">
        <v>1102</v>
      </c>
      <c r="BK88" s="203">
        <f>SUM(BK89:BK96)</f>
        <v>0</v>
      </c>
    </row>
    <row r="89" spans="2:65" s="256" customFormat="1" ht="21.75" customHeight="1" x14ac:dyDescent="0.25">
      <c r="B89" s="112"/>
      <c r="C89" s="206" t="s">
        <v>55</v>
      </c>
      <c r="D89" s="206" t="s">
        <v>1104</v>
      </c>
      <c r="E89" s="207" t="s">
        <v>1144</v>
      </c>
      <c r="F89" s="208" t="s">
        <v>1145</v>
      </c>
      <c r="G89" s="209" t="s">
        <v>113</v>
      </c>
      <c r="H89" s="210">
        <v>15</v>
      </c>
      <c r="I89" s="326"/>
      <c r="J89" s="211">
        <f>ROUND(I89*H89,2)</f>
        <v>0</v>
      </c>
      <c r="K89" s="208" t="s">
        <v>1161</v>
      </c>
      <c r="L89" s="112"/>
      <c r="M89" s="325" t="s">
        <v>1010</v>
      </c>
      <c r="N89" s="212" t="s">
        <v>1025</v>
      </c>
      <c r="P89" s="213">
        <f>O89*H89</f>
        <v>0</v>
      </c>
      <c r="Q89" s="213">
        <v>1.2619999999999999E-2</v>
      </c>
      <c r="R89" s="213">
        <f>Q89*H89</f>
        <v>0.1893</v>
      </c>
      <c r="S89" s="213">
        <v>0</v>
      </c>
      <c r="T89" s="214">
        <f>S89*H89</f>
        <v>0</v>
      </c>
      <c r="AR89" s="215" t="s">
        <v>76</v>
      </c>
      <c r="AT89" s="215" t="s">
        <v>1104</v>
      </c>
      <c r="AU89" s="215" t="s">
        <v>65</v>
      </c>
      <c r="AY89" s="103" t="s">
        <v>1102</v>
      </c>
      <c r="BE89" s="216">
        <f>IF(N89="základní",J89,0)</f>
        <v>0</v>
      </c>
      <c r="BF89" s="216">
        <f>IF(N89="snížená",J89,0)</f>
        <v>0</v>
      </c>
      <c r="BG89" s="216">
        <f>IF(N89="zákl. přenesená",J89,0)</f>
        <v>0</v>
      </c>
      <c r="BH89" s="216">
        <f>IF(N89="sníž. přenesená",J89,0)</f>
        <v>0</v>
      </c>
      <c r="BI89" s="216">
        <f>IF(N89="nulová",J89,0)</f>
        <v>0</v>
      </c>
      <c r="BJ89" s="103" t="s">
        <v>55</v>
      </c>
      <c r="BK89" s="216">
        <f>ROUND(I89*H89,2)</f>
        <v>0</v>
      </c>
      <c r="BL89" s="103" t="s">
        <v>76</v>
      </c>
      <c r="BM89" s="215" t="s">
        <v>1805</v>
      </c>
    </row>
    <row r="90" spans="2:65" s="256" customFormat="1" x14ac:dyDescent="0.25">
      <c r="B90" s="112"/>
      <c r="D90" s="217" t="s">
        <v>1109</v>
      </c>
      <c r="F90" s="218" t="s">
        <v>1718</v>
      </c>
      <c r="I90" s="324"/>
      <c r="L90" s="112"/>
      <c r="M90" s="219"/>
      <c r="T90" s="128"/>
      <c r="AT90" s="103" t="s">
        <v>1109</v>
      </c>
      <c r="AU90" s="103" t="s">
        <v>65</v>
      </c>
    </row>
    <row r="91" spans="2:65" s="256" customFormat="1" ht="24.2" customHeight="1" x14ac:dyDescent="0.25">
      <c r="B91" s="112"/>
      <c r="C91" s="206" t="s">
        <v>65</v>
      </c>
      <c r="D91" s="206" t="s">
        <v>1104</v>
      </c>
      <c r="E91" s="207" t="s">
        <v>1149</v>
      </c>
      <c r="F91" s="208" t="s">
        <v>1150</v>
      </c>
      <c r="G91" s="209" t="s">
        <v>113</v>
      </c>
      <c r="H91" s="210">
        <v>7</v>
      </c>
      <c r="I91" s="326"/>
      <c r="J91" s="211">
        <f>ROUND(I91*H91,2)</f>
        <v>0</v>
      </c>
      <c r="K91" s="208" t="s">
        <v>1146</v>
      </c>
      <c r="L91" s="112"/>
      <c r="M91" s="325" t="s">
        <v>1010</v>
      </c>
      <c r="N91" s="212" t="s">
        <v>1025</v>
      </c>
      <c r="P91" s="213">
        <f>O91*H91</f>
        <v>0</v>
      </c>
      <c r="Q91" s="213">
        <v>4.8430000000000001E-2</v>
      </c>
      <c r="R91" s="213">
        <f>Q91*H91</f>
        <v>0.33901000000000003</v>
      </c>
      <c r="S91" s="213">
        <v>0</v>
      </c>
      <c r="T91" s="214">
        <f>S91*H91</f>
        <v>0</v>
      </c>
      <c r="AR91" s="215" t="s">
        <v>76</v>
      </c>
      <c r="AT91" s="215" t="s">
        <v>1104</v>
      </c>
      <c r="AU91" s="215" t="s">
        <v>65</v>
      </c>
      <c r="AY91" s="103" t="s">
        <v>1102</v>
      </c>
      <c r="BE91" s="216">
        <f>IF(N91="základní",J91,0)</f>
        <v>0</v>
      </c>
      <c r="BF91" s="216">
        <f>IF(N91="snížená",J91,0)</f>
        <v>0</v>
      </c>
      <c r="BG91" s="216">
        <f>IF(N91="zákl. přenesená",J91,0)</f>
        <v>0</v>
      </c>
      <c r="BH91" s="216">
        <f>IF(N91="sníž. přenesená",J91,0)</f>
        <v>0</v>
      </c>
      <c r="BI91" s="216">
        <f>IF(N91="nulová",J91,0)</f>
        <v>0</v>
      </c>
      <c r="BJ91" s="103" t="s">
        <v>55</v>
      </c>
      <c r="BK91" s="216">
        <f>ROUND(I91*H91,2)</f>
        <v>0</v>
      </c>
      <c r="BL91" s="103" t="s">
        <v>76</v>
      </c>
      <c r="BM91" s="215" t="s">
        <v>1806</v>
      </c>
    </row>
    <row r="92" spans="2:65" s="256" customFormat="1" x14ac:dyDescent="0.25">
      <c r="B92" s="112"/>
      <c r="D92" s="217" t="s">
        <v>1109</v>
      </c>
      <c r="F92" s="218" t="s">
        <v>1152</v>
      </c>
      <c r="I92" s="324"/>
      <c r="L92" s="112"/>
      <c r="M92" s="219"/>
      <c r="T92" s="128"/>
      <c r="AT92" s="103" t="s">
        <v>1109</v>
      </c>
      <c r="AU92" s="103" t="s">
        <v>65</v>
      </c>
    </row>
    <row r="93" spans="2:65" s="256" customFormat="1" ht="24.2" customHeight="1" x14ac:dyDescent="0.25">
      <c r="B93" s="112"/>
      <c r="C93" s="206" t="s">
        <v>59</v>
      </c>
      <c r="D93" s="206" t="s">
        <v>1104</v>
      </c>
      <c r="E93" s="207" t="s">
        <v>1807</v>
      </c>
      <c r="F93" s="208" t="s">
        <v>1808</v>
      </c>
      <c r="G93" s="209" t="s">
        <v>113</v>
      </c>
      <c r="H93" s="210">
        <v>1</v>
      </c>
      <c r="I93" s="326"/>
      <c r="J93" s="211">
        <f>ROUND(I93*H93,2)</f>
        <v>0</v>
      </c>
      <c r="K93" s="208" t="s">
        <v>1146</v>
      </c>
      <c r="L93" s="112"/>
      <c r="M93" s="325" t="s">
        <v>1010</v>
      </c>
      <c r="N93" s="212" t="s">
        <v>1025</v>
      </c>
      <c r="P93" s="213">
        <f>O93*H93</f>
        <v>0</v>
      </c>
      <c r="Q93" s="213">
        <v>7.3669999999999999E-2</v>
      </c>
      <c r="R93" s="213">
        <f>Q93*H93</f>
        <v>7.3669999999999999E-2</v>
      </c>
      <c r="S93" s="213">
        <v>0</v>
      </c>
      <c r="T93" s="214">
        <f>S93*H93</f>
        <v>0</v>
      </c>
      <c r="AR93" s="215" t="s">
        <v>76</v>
      </c>
      <c r="AT93" s="215" t="s">
        <v>1104</v>
      </c>
      <c r="AU93" s="215" t="s">
        <v>65</v>
      </c>
      <c r="AY93" s="103" t="s">
        <v>1102</v>
      </c>
      <c r="BE93" s="216">
        <f>IF(N93="základní",J93,0)</f>
        <v>0</v>
      </c>
      <c r="BF93" s="216">
        <f>IF(N93="snížená",J93,0)</f>
        <v>0</v>
      </c>
      <c r="BG93" s="216">
        <f>IF(N93="zákl. přenesená",J93,0)</f>
        <v>0</v>
      </c>
      <c r="BH93" s="216">
        <f>IF(N93="sníž. přenesená",J93,0)</f>
        <v>0</v>
      </c>
      <c r="BI93" s="216">
        <f>IF(N93="nulová",J93,0)</f>
        <v>0</v>
      </c>
      <c r="BJ93" s="103" t="s">
        <v>55</v>
      </c>
      <c r="BK93" s="216">
        <f>ROUND(I93*H93,2)</f>
        <v>0</v>
      </c>
      <c r="BL93" s="103" t="s">
        <v>76</v>
      </c>
      <c r="BM93" s="215" t="s">
        <v>1809</v>
      </c>
    </row>
    <row r="94" spans="2:65" s="256" customFormat="1" x14ac:dyDescent="0.25">
      <c r="B94" s="112"/>
      <c r="D94" s="217" t="s">
        <v>1109</v>
      </c>
      <c r="F94" s="218" t="s">
        <v>1810</v>
      </c>
      <c r="I94" s="324"/>
      <c r="L94" s="112"/>
      <c r="M94" s="219"/>
      <c r="T94" s="128"/>
      <c r="AT94" s="103" t="s">
        <v>1109</v>
      </c>
      <c r="AU94" s="103" t="s">
        <v>65</v>
      </c>
    </row>
    <row r="95" spans="2:65" s="256" customFormat="1" ht="24.2" customHeight="1" x14ac:dyDescent="0.25">
      <c r="B95" s="112"/>
      <c r="C95" s="206" t="s">
        <v>76</v>
      </c>
      <c r="D95" s="206" t="s">
        <v>1104</v>
      </c>
      <c r="E95" s="207" t="s">
        <v>1811</v>
      </c>
      <c r="F95" s="208" t="s">
        <v>1812</v>
      </c>
      <c r="G95" s="209" t="s">
        <v>113</v>
      </c>
      <c r="H95" s="210">
        <v>1</v>
      </c>
      <c r="I95" s="326"/>
      <c r="J95" s="211">
        <f>ROUND(I95*H95,2)</f>
        <v>0</v>
      </c>
      <c r="K95" s="208" t="s">
        <v>1146</v>
      </c>
      <c r="L95" s="112"/>
      <c r="M95" s="325" t="s">
        <v>1010</v>
      </c>
      <c r="N95" s="212" t="s">
        <v>1025</v>
      </c>
      <c r="P95" s="213">
        <f>O95*H95</f>
        <v>0</v>
      </c>
      <c r="Q95" s="213">
        <v>0.18142</v>
      </c>
      <c r="R95" s="213">
        <f>Q95*H95</f>
        <v>0.18142</v>
      </c>
      <c r="S95" s="213">
        <v>0</v>
      </c>
      <c r="T95" s="214">
        <f>S95*H95</f>
        <v>0</v>
      </c>
      <c r="AR95" s="215" t="s">
        <v>76</v>
      </c>
      <c r="AT95" s="215" t="s">
        <v>1104</v>
      </c>
      <c r="AU95" s="215" t="s">
        <v>65</v>
      </c>
      <c r="AY95" s="103" t="s">
        <v>1102</v>
      </c>
      <c r="BE95" s="216">
        <f>IF(N95="základní",J95,0)</f>
        <v>0</v>
      </c>
      <c r="BF95" s="216">
        <f>IF(N95="snížená",J95,0)</f>
        <v>0</v>
      </c>
      <c r="BG95" s="216">
        <f>IF(N95="zákl. přenesená",J95,0)</f>
        <v>0</v>
      </c>
      <c r="BH95" s="216">
        <f>IF(N95="sníž. přenesená",J95,0)</f>
        <v>0</v>
      </c>
      <c r="BI95" s="216">
        <f>IF(N95="nulová",J95,0)</f>
        <v>0</v>
      </c>
      <c r="BJ95" s="103" t="s">
        <v>55</v>
      </c>
      <c r="BK95" s="216">
        <f>ROUND(I95*H95,2)</f>
        <v>0</v>
      </c>
      <c r="BL95" s="103" t="s">
        <v>76</v>
      </c>
      <c r="BM95" s="215" t="s">
        <v>1813</v>
      </c>
    </row>
    <row r="96" spans="2:65" s="256" customFormat="1" x14ac:dyDescent="0.25">
      <c r="B96" s="112"/>
      <c r="D96" s="217" t="s">
        <v>1109</v>
      </c>
      <c r="F96" s="218" t="s">
        <v>1814</v>
      </c>
      <c r="I96" s="324"/>
      <c r="L96" s="112"/>
      <c r="M96" s="219"/>
      <c r="T96" s="128"/>
      <c r="AT96" s="103" t="s">
        <v>1109</v>
      </c>
      <c r="AU96" s="103" t="s">
        <v>65</v>
      </c>
    </row>
    <row r="97" spans="2:65" s="194" customFormat="1" ht="22.9" customHeight="1" x14ac:dyDescent="0.2">
      <c r="B97" s="195"/>
      <c r="D97" s="196" t="s">
        <v>1052</v>
      </c>
      <c r="E97" s="204" t="s">
        <v>110</v>
      </c>
      <c r="F97" s="204" t="s">
        <v>1227</v>
      </c>
      <c r="I97" s="327"/>
      <c r="J97" s="205">
        <f>BK97</f>
        <v>0</v>
      </c>
      <c r="L97" s="195"/>
      <c r="M97" s="199"/>
      <c r="P97" s="200">
        <f>SUM(P98:P106)</f>
        <v>0</v>
      </c>
      <c r="R97" s="200">
        <f>SUM(R98:R106)</f>
        <v>2.7310000000000001E-2</v>
      </c>
      <c r="T97" s="201">
        <f>SUM(T98:T106)</f>
        <v>0.91959999999999997</v>
      </c>
      <c r="AR97" s="196" t="s">
        <v>55</v>
      </c>
      <c r="AT97" s="202" t="s">
        <v>1052</v>
      </c>
      <c r="AU97" s="202" t="s">
        <v>55</v>
      </c>
      <c r="AY97" s="196" t="s">
        <v>1102</v>
      </c>
      <c r="BK97" s="203">
        <f>SUM(BK98:BK106)</f>
        <v>0</v>
      </c>
    </row>
    <row r="98" spans="2:65" s="256" customFormat="1" ht="24.2" customHeight="1" x14ac:dyDescent="0.25">
      <c r="B98" s="112"/>
      <c r="C98" s="206" t="s">
        <v>82</v>
      </c>
      <c r="D98" s="206" t="s">
        <v>1104</v>
      </c>
      <c r="E98" s="207" t="s">
        <v>1815</v>
      </c>
      <c r="F98" s="208" t="s">
        <v>1816</v>
      </c>
      <c r="G98" s="209" t="s">
        <v>113</v>
      </c>
      <c r="H98" s="210">
        <v>1</v>
      </c>
      <c r="I98" s="326"/>
      <c r="J98" s="211">
        <f>ROUND(I98*H98,2)</f>
        <v>0</v>
      </c>
      <c r="K98" s="208" t="s">
        <v>1146</v>
      </c>
      <c r="L98" s="112"/>
      <c r="M98" s="325" t="s">
        <v>1010</v>
      </c>
      <c r="N98" s="212" t="s">
        <v>1025</v>
      </c>
      <c r="P98" s="213">
        <f>O98*H98</f>
        <v>0</v>
      </c>
      <c r="Q98" s="213">
        <v>0</v>
      </c>
      <c r="R98" s="213">
        <f>Q98*H98</f>
        <v>0</v>
      </c>
      <c r="S98" s="213">
        <v>7.3999999999999996E-2</v>
      </c>
      <c r="T98" s="214">
        <f>S98*H98</f>
        <v>7.3999999999999996E-2</v>
      </c>
      <c r="AR98" s="215" t="s">
        <v>76</v>
      </c>
      <c r="AT98" s="215" t="s">
        <v>1104</v>
      </c>
      <c r="AU98" s="215" t="s">
        <v>65</v>
      </c>
      <c r="AY98" s="103" t="s">
        <v>1102</v>
      </c>
      <c r="BE98" s="216">
        <f>IF(N98="základní",J98,0)</f>
        <v>0</v>
      </c>
      <c r="BF98" s="216">
        <f>IF(N98="snížená",J98,0)</f>
        <v>0</v>
      </c>
      <c r="BG98" s="216">
        <f>IF(N98="zákl. přenesená",J98,0)</f>
        <v>0</v>
      </c>
      <c r="BH98" s="216">
        <f>IF(N98="sníž. přenesená",J98,0)</f>
        <v>0</v>
      </c>
      <c r="BI98" s="216">
        <f>IF(N98="nulová",J98,0)</f>
        <v>0</v>
      </c>
      <c r="BJ98" s="103" t="s">
        <v>55</v>
      </c>
      <c r="BK98" s="216">
        <f>ROUND(I98*H98,2)</f>
        <v>0</v>
      </c>
      <c r="BL98" s="103" t="s">
        <v>76</v>
      </c>
      <c r="BM98" s="215" t="s">
        <v>1817</v>
      </c>
    </row>
    <row r="99" spans="2:65" s="256" customFormat="1" x14ac:dyDescent="0.25">
      <c r="B99" s="112"/>
      <c r="D99" s="217" t="s">
        <v>1109</v>
      </c>
      <c r="F99" s="218" t="s">
        <v>1818</v>
      </c>
      <c r="I99" s="324"/>
      <c r="L99" s="112"/>
      <c r="M99" s="219"/>
      <c r="T99" s="128"/>
      <c r="AT99" s="103" t="s">
        <v>1109</v>
      </c>
      <c r="AU99" s="103" t="s">
        <v>65</v>
      </c>
    </row>
    <row r="100" spans="2:65" s="256" customFormat="1" ht="24.2" customHeight="1" x14ac:dyDescent="0.25">
      <c r="B100" s="112"/>
      <c r="C100" s="206" t="s">
        <v>88</v>
      </c>
      <c r="D100" s="206" t="s">
        <v>1104</v>
      </c>
      <c r="E100" s="207" t="s">
        <v>1819</v>
      </c>
      <c r="F100" s="208" t="s">
        <v>1820</v>
      </c>
      <c r="G100" s="209" t="s">
        <v>113</v>
      </c>
      <c r="H100" s="210">
        <v>1</v>
      </c>
      <c r="I100" s="326"/>
      <c r="J100" s="211">
        <f>ROUND(I100*H100,2)</f>
        <v>0</v>
      </c>
      <c r="K100" s="208" t="s">
        <v>1146</v>
      </c>
      <c r="L100" s="112"/>
      <c r="M100" s="325" t="s">
        <v>1010</v>
      </c>
      <c r="N100" s="212" t="s">
        <v>1025</v>
      </c>
      <c r="P100" s="213">
        <f>O100*H100</f>
        <v>0</v>
      </c>
      <c r="Q100" s="213">
        <v>0</v>
      </c>
      <c r="R100" s="213">
        <f>Q100*H100</f>
        <v>0</v>
      </c>
      <c r="S100" s="213">
        <v>0.20699999999999999</v>
      </c>
      <c r="T100" s="214">
        <f>S100*H100</f>
        <v>0.20699999999999999</v>
      </c>
      <c r="AR100" s="215" t="s">
        <v>76</v>
      </c>
      <c r="AT100" s="215" t="s">
        <v>1104</v>
      </c>
      <c r="AU100" s="215" t="s">
        <v>65</v>
      </c>
      <c r="AY100" s="103" t="s">
        <v>1102</v>
      </c>
      <c r="BE100" s="216">
        <f>IF(N100="základní",J100,0)</f>
        <v>0</v>
      </c>
      <c r="BF100" s="216">
        <f>IF(N100="snížená",J100,0)</f>
        <v>0</v>
      </c>
      <c r="BG100" s="216">
        <f>IF(N100="zákl. přenesená",J100,0)</f>
        <v>0</v>
      </c>
      <c r="BH100" s="216">
        <f>IF(N100="sníž. přenesená",J100,0)</f>
        <v>0</v>
      </c>
      <c r="BI100" s="216">
        <f>IF(N100="nulová",J100,0)</f>
        <v>0</v>
      </c>
      <c r="BJ100" s="103" t="s">
        <v>55</v>
      </c>
      <c r="BK100" s="216">
        <f>ROUND(I100*H100,2)</f>
        <v>0</v>
      </c>
      <c r="BL100" s="103" t="s">
        <v>76</v>
      </c>
      <c r="BM100" s="215" t="s">
        <v>1821</v>
      </c>
    </row>
    <row r="101" spans="2:65" s="256" customFormat="1" x14ac:dyDescent="0.25">
      <c r="B101" s="112"/>
      <c r="D101" s="217" t="s">
        <v>1109</v>
      </c>
      <c r="F101" s="218" t="s">
        <v>1822</v>
      </c>
      <c r="I101" s="324"/>
      <c r="L101" s="112"/>
      <c r="M101" s="219"/>
      <c r="T101" s="128"/>
      <c r="AT101" s="103" t="s">
        <v>1109</v>
      </c>
      <c r="AU101" s="103" t="s">
        <v>65</v>
      </c>
    </row>
    <row r="102" spans="2:65" s="256" customFormat="1" ht="24.2" customHeight="1" x14ac:dyDescent="0.25">
      <c r="B102" s="112"/>
      <c r="C102" s="206" t="s">
        <v>95</v>
      </c>
      <c r="D102" s="206" t="s">
        <v>1104</v>
      </c>
      <c r="E102" s="207" t="s">
        <v>1823</v>
      </c>
      <c r="F102" s="208" t="s">
        <v>1824</v>
      </c>
      <c r="G102" s="209" t="s">
        <v>104</v>
      </c>
      <c r="H102" s="210">
        <v>2.2999999999999998</v>
      </c>
      <c r="I102" s="326"/>
      <c r="J102" s="211">
        <f>ROUND(I102*H102,2)</f>
        <v>0</v>
      </c>
      <c r="K102" s="208" t="s">
        <v>1161</v>
      </c>
      <c r="L102" s="112"/>
      <c r="M102" s="325" t="s">
        <v>1010</v>
      </c>
      <c r="N102" s="212" t="s">
        <v>1025</v>
      </c>
      <c r="P102" s="213">
        <f>O102*H102</f>
        <v>0</v>
      </c>
      <c r="Q102" s="213">
        <v>1.3699999999999999E-3</v>
      </c>
      <c r="R102" s="213">
        <f>Q102*H102</f>
        <v>3.1509999999999997E-3</v>
      </c>
      <c r="S102" s="213">
        <v>2.9000000000000001E-2</v>
      </c>
      <c r="T102" s="214">
        <f>S102*H102</f>
        <v>6.6699999999999995E-2</v>
      </c>
      <c r="AR102" s="215" t="s">
        <v>76</v>
      </c>
      <c r="AT102" s="215" t="s">
        <v>1104</v>
      </c>
      <c r="AU102" s="215" t="s">
        <v>65</v>
      </c>
      <c r="AY102" s="103" t="s">
        <v>1102</v>
      </c>
      <c r="BE102" s="216">
        <f>IF(N102="základní",J102,0)</f>
        <v>0</v>
      </c>
      <c r="BF102" s="216">
        <f>IF(N102="snížená",J102,0)</f>
        <v>0</v>
      </c>
      <c r="BG102" s="216">
        <f>IF(N102="zákl. přenesená",J102,0)</f>
        <v>0</v>
      </c>
      <c r="BH102" s="216">
        <f>IF(N102="sníž. přenesená",J102,0)</f>
        <v>0</v>
      </c>
      <c r="BI102" s="216">
        <f>IF(N102="nulová",J102,0)</f>
        <v>0</v>
      </c>
      <c r="BJ102" s="103" t="s">
        <v>55</v>
      </c>
      <c r="BK102" s="216">
        <f>ROUND(I102*H102,2)</f>
        <v>0</v>
      </c>
      <c r="BL102" s="103" t="s">
        <v>76</v>
      </c>
      <c r="BM102" s="215" t="s">
        <v>1825</v>
      </c>
    </row>
    <row r="103" spans="2:65" s="256" customFormat="1" x14ac:dyDescent="0.25">
      <c r="B103" s="112"/>
      <c r="D103" s="217" t="s">
        <v>1109</v>
      </c>
      <c r="F103" s="218" t="s">
        <v>1826</v>
      </c>
      <c r="I103" s="324"/>
      <c r="L103" s="112"/>
      <c r="M103" s="219"/>
      <c r="T103" s="128"/>
      <c r="AT103" s="103" t="s">
        <v>1109</v>
      </c>
      <c r="AU103" s="103" t="s">
        <v>65</v>
      </c>
    </row>
    <row r="104" spans="2:65" s="256" customFormat="1" ht="24.2" customHeight="1" x14ac:dyDescent="0.25">
      <c r="B104" s="112"/>
      <c r="C104" s="206" t="s">
        <v>101</v>
      </c>
      <c r="D104" s="206" t="s">
        <v>1104</v>
      </c>
      <c r="E104" s="207" t="s">
        <v>1827</v>
      </c>
      <c r="F104" s="208" t="s">
        <v>1828</v>
      </c>
      <c r="G104" s="209" t="s">
        <v>104</v>
      </c>
      <c r="H104" s="210">
        <v>2.6</v>
      </c>
      <c r="I104" s="326"/>
      <c r="J104" s="211">
        <f>ROUND(I104*H104,2)</f>
        <v>0</v>
      </c>
      <c r="K104" s="208" t="s">
        <v>1010</v>
      </c>
      <c r="L104" s="112"/>
      <c r="M104" s="325" t="s">
        <v>1010</v>
      </c>
      <c r="N104" s="212" t="s">
        <v>1025</v>
      </c>
      <c r="P104" s="213">
        <f>O104*H104</f>
        <v>0</v>
      </c>
      <c r="Q104" s="213">
        <v>2.7899999999999999E-3</v>
      </c>
      <c r="R104" s="213">
        <f>Q104*H104</f>
        <v>7.254E-3</v>
      </c>
      <c r="S104" s="213">
        <v>5.6000000000000001E-2</v>
      </c>
      <c r="T104" s="214">
        <f>S104*H104</f>
        <v>0.14560000000000001</v>
      </c>
      <c r="AR104" s="215" t="s">
        <v>76</v>
      </c>
      <c r="AT104" s="215" t="s">
        <v>1104</v>
      </c>
      <c r="AU104" s="215" t="s">
        <v>65</v>
      </c>
      <c r="AY104" s="103" t="s">
        <v>1102</v>
      </c>
      <c r="BE104" s="216">
        <f>IF(N104="základní",J104,0)</f>
        <v>0</v>
      </c>
      <c r="BF104" s="216">
        <f>IF(N104="snížená",J104,0)</f>
        <v>0</v>
      </c>
      <c r="BG104" s="216">
        <f>IF(N104="zákl. přenesená",J104,0)</f>
        <v>0</v>
      </c>
      <c r="BH104" s="216">
        <f>IF(N104="sníž. přenesená",J104,0)</f>
        <v>0</v>
      </c>
      <c r="BI104" s="216">
        <f>IF(N104="nulová",J104,0)</f>
        <v>0</v>
      </c>
      <c r="BJ104" s="103" t="s">
        <v>55</v>
      </c>
      <c r="BK104" s="216">
        <f>ROUND(I104*H104,2)</f>
        <v>0</v>
      </c>
      <c r="BL104" s="103" t="s">
        <v>76</v>
      </c>
      <c r="BM104" s="215" t="s">
        <v>1829</v>
      </c>
    </row>
    <row r="105" spans="2:65" s="256" customFormat="1" ht="24.2" customHeight="1" x14ac:dyDescent="0.25">
      <c r="B105" s="112"/>
      <c r="C105" s="206" t="s">
        <v>110</v>
      </c>
      <c r="D105" s="206" t="s">
        <v>1104</v>
      </c>
      <c r="E105" s="207" t="s">
        <v>1830</v>
      </c>
      <c r="F105" s="208" t="s">
        <v>1831</v>
      </c>
      <c r="G105" s="209" t="s">
        <v>104</v>
      </c>
      <c r="H105" s="210">
        <v>4.9000000000000004</v>
      </c>
      <c r="I105" s="326"/>
      <c r="J105" s="211">
        <f>ROUND(I105*H105,2)</f>
        <v>0</v>
      </c>
      <c r="K105" s="208" t="s">
        <v>1146</v>
      </c>
      <c r="L105" s="112"/>
      <c r="M105" s="325" t="s">
        <v>1010</v>
      </c>
      <c r="N105" s="212" t="s">
        <v>1025</v>
      </c>
      <c r="P105" s="213">
        <f>O105*H105</f>
        <v>0</v>
      </c>
      <c r="Q105" s="213">
        <v>3.4499999999999999E-3</v>
      </c>
      <c r="R105" s="213">
        <f>Q105*H105</f>
        <v>1.6905E-2</v>
      </c>
      <c r="S105" s="213">
        <v>8.6999999999999994E-2</v>
      </c>
      <c r="T105" s="214">
        <f>S105*H105</f>
        <v>0.42630000000000001</v>
      </c>
      <c r="AR105" s="215" t="s">
        <v>76</v>
      </c>
      <c r="AT105" s="215" t="s">
        <v>1104</v>
      </c>
      <c r="AU105" s="215" t="s">
        <v>65</v>
      </c>
      <c r="AY105" s="103" t="s">
        <v>1102</v>
      </c>
      <c r="BE105" s="216">
        <f>IF(N105="základní",J105,0)</f>
        <v>0</v>
      </c>
      <c r="BF105" s="216">
        <f>IF(N105="snížená",J105,0)</f>
        <v>0</v>
      </c>
      <c r="BG105" s="216">
        <f>IF(N105="zákl. přenesená",J105,0)</f>
        <v>0</v>
      </c>
      <c r="BH105" s="216">
        <f>IF(N105="sníž. přenesená",J105,0)</f>
        <v>0</v>
      </c>
      <c r="BI105" s="216">
        <f>IF(N105="nulová",J105,0)</f>
        <v>0</v>
      </c>
      <c r="BJ105" s="103" t="s">
        <v>55</v>
      </c>
      <c r="BK105" s="216">
        <f>ROUND(I105*H105,2)</f>
        <v>0</v>
      </c>
      <c r="BL105" s="103" t="s">
        <v>76</v>
      </c>
      <c r="BM105" s="215" t="s">
        <v>1832</v>
      </c>
    </row>
    <row r="106" spans="2:65" s="256" customFormat="1" x14ac:dyDescent="0.25">
      <c r="B106" s="112"/>
      <c r="D106" s="217" t="s">
        <v>1109</v>
      </c>
      <c r="F106" s="218" t="s">
        <v>1833</v>
      </c>
      <c r="I106" s="324"/>
      <c r="L106" s="112"/>
      <c r="M106" s="219"/>
      <c r="T106" s="128"/>
      <c r="AT106" s="103" t="s">
        <v>1109</v>
      </c>
      <c r="AU106" s="103" t="s">
        <v>65</v>
      </c>
    </row>
    <row r="107" spans="2:65" s="194" customFormat="1" ht="22.9" customHeight="1" x14ac:dyDescent="0.2">
      <c r="B107" s="195"/>
      <c r="D107" s="196" t="s">
        <v>1052</v>
      </c>
      <c r="E107" s="204" t="s">
        <v>1272</v>
      </c>
      <c r="F107" s="204" t="s">
        <v>1273</v>
      </c>
      <c r="I107" s="327"/>
      <c r="J107" s="205">
        <f>BK107</f>
        <v>0</v>
      </c>
      <c r="L107" s="195"/>
      <c r="M107" s="199"/>
      <c r="P107" s="200">
        <f>SUM(P108:P118)</f>
        <v>0</v>
      </c>
      <c r="R107" s="200">
        <f>SUM(R108:R118)</f>
        <v>0</v>
      </c>
      <c r="T107" s="201">
        <f>SUM(T108:T118)</f>
        <v>0</v>
      </c>
      <c r="AR107" s="196" t="s">
        <v>55</v>
      </c>
      <c r="AT107" s="202" t="s">
        <v>1052</v>
      </c>
      <c r="AU107" s="202" t="s">
        <v>55</v>
      </c>
      <c r="AY107" s="196" t="s">
        <v>1102</v>
      </c>
      <c r="BK107" s="203">
        <f>SUM(BK108:BK118)</f>
        <v>0</v>
      </c>
    </row>
    <row r="108" spans="2:65" s="256" customFormat="1" ht="24.2" customHeight="1" x14ac:dyDescent="0.25">
      <c r="B108" s="112"/>
      <c r="C108" s="206" t="s">
        <v>116</v>
      </c>
      <c r="D108" s="206" t="s">
        <v>1104</v>
      </c>
      <c r="E108" s="207" t="s">
        <v>1274</v>
      </c>
      <c r="F108" s="208" t="s">
        <v>1275</v>
      </c>
      <c r="G108" s="209" t="s">
        <v>1125</v>
      </c>
      <c r="H108" s="210">
        <v>0.92</v>
      </c>
      <c r="I108" s="326"/>
      <c r="J108" s="211">
        <f>ROUND(I108*H108,2)</f>
        <v>0</v>
      </c>
      <c r="K108" s="208" t="s">
        <v>1146</v>
      </c>
      <c r="L108" s="112"/>
      <c r="M108" s="325" t="s">
        <v>1010</v>
      </c>
      <c r="N108" s="212" t="s">
        <v>1025</v>
      </c>
      <c r="P108" s="213">
        <f>O108*H108</f>
        <v>0</v>
      </c>
      <c r="Q108" s="213">
        <v>0</v>
      </c>
      <c r="R108" s="213">
        <f>Q108*H108</f>
        <v>0</v>
      </c>
      <c r="S108" s="213">
        <v>0</v>
      </c>
      <c r="T108" s="214">
        <f>S108*H108</f>
        <v>0</v>
      </c>
      <c r="AR108" s="215" t="s">
        <v>76</v>
      </c>
      <c r="AT108" s="215" t="s">
        <v>1104</v>
      </c>
      <c r="AU108" s="215" t="s">
        <v>65</v>
      </c>
      <c r="AY108" s="103" t="s">
        <v>1102</v>
      </c>
      <c r="BE108" s="216">
        <f>IF(N108="základní",J108,0)</f>
        <v>0</v>
      </c>
      <c r="BF108" s="216">
        <f>IF(N108="snížená",J108,0)</f>
        <v>0</v>
      </c>
      <c r="BG108" s="216">
        <f>IF(N108="zákl. přenesená",J108,0)</f>
        <v>0</v>
      </c>
      <c r="BH108" s="216">
        <f>IF(N108="sníž. přenesená",J108,0)</f>
        <v>0</v>
      </c>
      <c r="BI108" s="216">
        <f>IF(N108="nulová",J108,0)</f>
        <v>0</v>
      </c>
      <c r="BJ108" s="103" t="s">
        <v>55</v>
      </c>
      <c r="BK108" s="216">
        <f>ROUND(I108*H108,2)</f>
        <v>0</v>
      </c>
      <c r="BL108" s="103" t="s">
        <v>76</v>
      </c>
      <c r="BM108" s="215" t="s">
        <v>1834</v>
      </c>
    </row>
    <row r="109" spans="2:65" s="256" customFormat="1" x14ac:dyDescent="0.25">
      <c r="B109" s="112"/>
      <c r="D109" s="217" t="s">
        <v>1109</v>
      </c>
      <c r="F109" s="218" t="s">
        <v>1835</v>
      </c>
      <c r="I109" s="324"/>
      <c r="L109" s="112"/>
      <c r="M109" s="219"/>
      <c r="T109" s="128"/>
      <c r="AT109" s="103" t="s">
        <v>1109</v>
      </c>
      <c r="AU109" s="103" t="s">
        <v>65</v>
      </c>
    </row>
    <row r="110" spans="2:65" s="256" customFormat="1" ht="21.75" customHeight="1" x14ac:dyDescent="0.25">
      <c r="B110" s="112"/>
      <c r="C110" s="206" t="s">
        <v>118</v>
      </c>
      <c r="D110" s="206" t="s">
        <v>1104</v>
      </c>
      <c r="E110" s="207" t="s">
        <v>1278</v>
      </c>
      <c r="F110" s="208" t="s">
        <v>1279</v>
      </c>
      <c r="G110" s="209" t="s">
        <v>1125</v>
      </c>
      <c r="H110" s="210">
        <v>0.92</v>
      </c>
      <c r="I110" s="326"/>
      <c r="J110" s="211">
        <f>ROUND(I110*H110,2)</f>
        <v>0</v>
      </c>
      <c r="K110" s="208" t="s">
        <v>1107</v>
      </c>
      <c r="L110" s="112"/>
      <c r="M110" s="325" t="s">
        <v>1010</v>
      </c>
      <c r="N110" s="212" t="s">
        <v>1025</v>
      </c>
      <c r="P110" s="213">
        <f>O110*H110</f>
        <v>0</v>
      </c>
      <c r="Q110" s="213">
        <v>0</v>
      </c>
      <c r="R110" s="213">
        <f>Q110*H110</f>
        <v>0</v>
      </c>
      <c r="S110" s="213">
        <v>0</v>
      </c>
      <c r="T110" s="214">
        <f>S110*H110</f>
        <v>0</v>
      </c>
      <c r="AR110" s="215" t="s">
        <v>126</v>
      </c>
      <c r="AT110" s="215" t="s">
        <v>1104</v>
      </c>
      <c r="AU110" s="215" t="s">
        <v>65</v>
      </c>
      <c r="AY110" s="103" t="s">
        <v>1102</v>
      </c>
      <c r="BE110" s="216">
        <f>IF(N110="základní",J110,0)</f>
        <v>0</v>
      </c>
      <c r="BF110" s="216">
        <f>IF(N110="snížená",J110,0)</f>
        <v>0</v>
      </c>
      <c r="BG110" s="216">
        <f>IF(N110="zákl. přenesená",J110,0)</f>
        <v>0</v>
      </c>
      <c r="BH110" s="216">
        <f>IF(N110="sníž. přenesená",J110,0)</f>
        <v>0</v>
      </c>
      <c r="BI110" s="216">
        <f>IF(N110="nulová",J110,0)</f>
        <v>0</v>
      </c>
      <c r="BJ110" s="103" t="s">
        <v>55</v>
      </c>
      <c r="BK110" s="216">
        <f>ROUND(I110*H110,2)</f>
        <v>0</v>
      </c>
      <c r="BL110" s="103" t="s">
        <v>126</v>
      </c>
      <c r="BM110" s="215" t="s">
        <v>1836</v>
      </c>
    </row>
    <row r="111" spans="2:65" s="256" customFormat="1" x14ac:dyDescent="0.25">
      <c r="B111" s="112"/>
      <c r="D111" s="217" t="s">
        <v>1109</v>
      </c>
      <c r="F111" s="218" t="s">
        <v>1281</v>
      </c>
      <c r="I111" s="324"/>
      <c r="L111" s="112"/>
      <c r="M111" s="219"/>
      <c r="T111" s="128"/>
      <c r="AT111" s="103" t="s">
        <v>1109</v>
      </c>
      <c r="AU111" s="103" t="s">
        <v>65</v>
      </c>
    </row>
    <row r="112" spans="2:65" s="256" customFormat="1" ht="24.2" customHeight="1" x14ac:dyDescent="0.25">
      <c r="B112" s="112"/>
      <c r="C112" s="206" t="s">
        <v>119</v>
      </c>
      <c r="D112" s="206" t="s">
        <v>1104</v>
      </c>
      <c r="E112" s="207" t="s">
        <v>1282</v>
      </c>
      <c r="F112" s="208" t="s">
        <v>1283</v>
      </c>
      <c r="G112" s="209" t="s">
        <v>1125</v>
      </c>
      <c r="H112" s="210">
        <v>9.1999999999999993</v>
      </c>
      <c r="I112" s="326"/>
      <c r="J112" s="211">
        <f>ROUND(I112*H112,2)</f>
        <v>0</v>
      </c>
      <c r="K112" s="208" t="s">
        <v>1107</v>
      </c>
      <c r="L112" s="112"/>
      <c r="M112" s="325" t="s">
        <v>1010</v>
      </c>
      <c r="N112" s="212" t="s">
        <v>1025</v>
      </c>
      <c r="P112" s="213">
        <f>O112*H112</f>
        <v>0</v>
      </c>
      <c r="Q112" s="213">
        <v>0</v>
      </c>
      <c r="R112" s="213">
        <f>Q112*H112</f>
        <v>0</v>
      </c>
      <c r="S112" s="213">
        <v>0</v>
      </c>
      <c r="T112" s="214">
        <f>S112*H112</f>
        <v>0</v>
      </c>
      <c r="AR112" s="215" t="s">
        <v>76</v>
      </c>
      <c r="AT112" s="215" t="s">
        <v>1104</v>
      </c>
      <c r="AU112" s="215" t="s">
        <v>65</v>
      </c>
      <c r="AY112" s="103" t="s">
        <v>1102</v>
      </c>
      <c r="BE112" s="216">
        <f>IF(N112="základní",J112,0)</f>
        <v>0</v>
      </c>
      <c r="BF112" s="216">
        <f>IF(N112="snížená",J112,0)</f>
        <v>0</v>
      </c>
      <c r="BG112" s="216">
        <f>IF(N112="zákl. přenesená",J112,0)</f>
        <v>0</v>
      </c>
      <c r="BH112" s="216">
        <f>IF(N112="sníž. přenesená",J112,0)</f>
        <v>0</v>
      </c>
      <c r="BI112" s="216">
        <f>IF(N112="nulová",J112,0)</f>
        <v>0</v>
      </c>
      <c r="BJ112" s="103" t="s">
        <v>55</v>
      </c>
      <c r="BK112" s="216">
        <f>ROUND(I112*H112,2)</f>
        <v>0</v>
      </c>
      <c r="BL112" s="103" t="s">
        <v>76</v>
      </c>
      <c r="BM112" s="215" t="s">
        <v>1837</v>
      </c>
    </row>
    <row r="113" spans="2:65" s="256" customFormat="1" x14ac:dyDescent="0.25">
      <c r="B113" s="112"/>
      <c r="D113" s="217" t="s">
        <v>1109</v>
      </c>
      <c r="F113" s="218" t="s">
        <v>1285</v>
      </c>
      <c r="I113" s="324"/>
      <c r="L113" s="112"/>
      <c r="M113" s="219"/>
      <c r="T113" s="128"/>
      <c r="AT113" s="103" t="s">
        <v>1109</v>
      </c>
      <c r="AU113" s="103" t="s">
        <v>65</v>
      </c>
    </row>
    <row r="114" spans="2:65" s="220" customFormat="1" x14ac:dyDescent="0.25">
      <c r="B114" s="221"/>
      <c r="D114" s="222" t="s">
        <v>1128</v>
      </c>
      <c r="F114" s="223" t="s">
        <v>1838</v>
      </c>
      <c r="H114" s="224">
        <v>9.1999999999999993</v>
      </c>
      <c r="I114" s="330"/>
      <c r="L114" s="221"/>
      <c r="M114" s="225"/>
      <c r="T114" s="226"/>
      <c r="AT114" s="227" t="s">
        <v>1128</v>
      </c>
      <c r="AU114" s="227" t="s">
        <v>65</v>
      </c>
      <c r="AV114" s="220" t="s">
        <v>65</v>
      </c>
      <c r="AW114" s="220" t="s">
        <v>999</v>
      </c>
      <c r="AX114" s="220" t="s">
        <v>55</v>
      </c>
      <c r="AY114" s="227" t="s">
        <v>1102</v>
      </c>
    </row>
    <row r="115" spans="2:65" s="256" customFormat="1" ht="24.2" customHeight="1" x14ac:dyDescent="0.25">
      <c r="B115" s="112"/>
      <c r="C115" s="206" t="s">
        <v>120</v>
      </c>
      <c r="D115" s="206" t="s">
        <v>1104</v>
      </c>
      <c r="E115" s="207" t="s">
        <v>1287</v>
      </c>
      <c r="F115" s="208" t="s">
        <v>1288</v>
      </c>
      <c r="G115" s="209" t="s">
        <v>1125</v>
      </c>
      <c r="H115" s="210">
        <v>0.92</v>
      </c>
      <c r="I115" s="326"/>
      <c r="J115" s="211">
        <f>ROUND(I115*H115,2)</f>
        <v>0</v>
      </c>
      <c r="K115" s="208" t="s">
        <v>1161</v>
      </c>
      <c r="L115" s="112"/>
      <c r="M115" s="325" t="s">
        <v>1010</v>
      </c>
      <c r="N115" s="212" t="s">
        <v>1025</v>
      </c>
      <c r="P115" s="213">
        <f>O115*H115</f>
        <v>0</v>
      </c>
      <c r="Q115" s="213">
        <v>0</v>
      </c>
      <c r="R115" s="213">
        <f>Q115*H115</f>
        <v>0</v>
      </c>
      <c r="S115" s="213">
        <v>0</v>
      </c>
      <c r="T115" s="214">
        <f>S115*H115</f>
        <v>0</v>
      </c>
      <c r="AR115" s="215" t="s">
        <v>76</v>
      </c>
      <c r="AT115" s="215" t="s">
        <v>1104</v>
      </c>
      <c r="AU115" s="215" t="s">
        <v>65</v>
      </c>
      <c r="AY115" s="103" t="s">
        <v>1102</v>
      </c>
      <c r="BE115" s="216">
        <f>IF(N115="základní",J115,0)</f>
        <v>0</v>
      </c>
      <c r="BF115" s="216">
        <f>IF(N115="snížená",J115,0)</f>
        <v>0</v>
      </c>
      <c r="BG115" s="216">
        <f>IF(N115="zákl. přenesená",J115,0)</f>
        <v>0</v>
      </c>
      <c r="BH115" s="216">
        <f>IF(N115="sníž. přenesená",J115,0)</f>
        <v>0</v>
      </c>
      <c r="BI115" s="216">
        <f>IF(N115="nulová",J115,0)</f>
        <v>0</v>
      </c>
      <c r="BJ115" s="103" t="s">
        <v>55</v>
      </c>
      <c r="BK115" s="216">
        <f>ROUND(I115*H115,2)</f>
        <v>0</v>
      </c>
      <c r="BL115" s="103" t="s">
        <v>76</v>
      </c>
      <c r="BM115" s="215" t="s">
        <v>1839</v>
      </c>
    </row>
    <row r="116" spans="2:65" s="256" customFormat="1" x14ac:dyDescent="0.25">
      <c r="B116" s="112"/>
      <c r="D116" s="217" t="s">
        <v>1109</v>
      </c>
      <c r="F116" s="218" t="s">
        <v>1290</v>
      </c>
      <c r="I116" s="324"/>
      <c r="L116" s="112"/>
      <c r="M116" s="219"/>
      <c r="T116" s="128"/>
      <c r="AT116" s="103" t="s">
        <v>1109</v>
      </c>
      <c r="AU116" s="103" t="s">
        <v>65</v>
      </c>
    </row>
    <row r="117" spans="2:65" s="256" customFormat="1" ht="16.5" customHeight="1" x14ac:dyDescent="0.25">
      <c r="B117" s="112"/>
      <c r="C117" s="206" t="s">
        <v>121</v>
      </c>
      <c r="D117" s="206" t="s">
        <v>1104</v>
      </c>
      <c r="E117" s="207" t="s">
        <v>1291</v>
      </c>
      <c r="F117" s="208" t="s">
        <v>1292</v>
      </c>
      <c r="G117" s="209" t="s">
        <v>1125</v>
      </c>
      <c r="H117" s="210">
        <v>0.92</v>
      </c>
      <c r="I117" s="326"/>
      <c r="J117" s="211">
        <f>ROUND(I117*H117,2)</f>
        <v>0</v>
      </c>
      <c r="K117" s="208" t="s">
        <v>1107</v>
      </c>
      <c r="L117" s="112"/>
      <c r="M117" s="325" t="s">
        <v>1010</v>
      </c>
      <c r="N117" s="212" t="s">
        <v>1025</v>
      </c>
      <c r="P117" s="213">
        <f>O117*H117</f>
        <v>0</v>
      </c>
      <c r="Q117" s="213">
        <v>0</v>
      </c>
      <c r="R117" s="213">
        <f>Q117*H117</f>
        <v>0</v>
      </c>
      <c r="S117" s="213">
        <v>0</v>
      </c>
      <c r="T117" s="214">
        <f>S117*H117</f>
        <v>0</v>
      </c>
      <c r="AR117" s="215" t="s">
        <v>76</v>
      </c>
      <c r="AT117" s="215" t="s">
        <v>1104</v>
      </c>
      <c r="AU117" s="215" t="s">
        <v>65</v>
      </c>
      <c r="AY117" s="103" t="s">
        <v>1102</v>
      </c>
      <c r="BE117" s="216">
        <f>IF(N117="základní",J117,0)</f>
        <v>0</v>
      </c>
      <c r="BF117" s="216">
        <f>IF(N117="snížená",J117,0)</f>
        <v>0</v>
      </c>
      <c r="BG117" s="216">
        <f>IF(N117="zákl. přenesená",J117,0)</f>
        <v>0</v>
      </c>
      <c r="BH117" s="216">
        <f>IF(N117="sníž. přenesená",J117,0)</f>
        <v>0</v>
      </c>
      <c r="BI117" s="216">
        <f>IF(N117="nulová",J117,0)</f>
        <v>0</v>
      </c>
      <c r="BJ117" s="103" t="s">
        <v>55</v>
      </c>
      <c r="BK117" s="216">
        <f>ROUND(I117*H117,2)</f>
        <v>0</v>
      </c>
      <c r="BL117" s="103" t="s">
        <v>76</v>
      </c>
      <c r="BM117" s="215" t="s">
        <v>1840</v>
      </c>
    </row>
    <row r="118" spans="2:65" s="256" customFormat="1" x14ac:dyDescent="0.25">
      <c r="B118" s="112"/>
      <c r="D118" s="217" t="s">
        <v>1109</v>
      </c>
      <c r="F118" s="218" t="s">
        <v>1294</v>
      </c>
      <c r="I118" s="324"/>
      <c r="L118" s="112"/>
      <c r="M118" s="219"/>
      <c r="T118" s="128"/>
      <c r="AT118" s="103" t="s">
        <v>1109</v>
      </c>
      <c r="AU118" s="103" t="s">
        <v>65</v>
      </c>
    </row>
    <row r="119" spans="2:65" s="194" customFormat="1" ht="22.9" customHeight="1" x14ac:dyDescent="0.2">
      <c r="B119" s="195"/>
      <c r="D119" s="196" t="s">
        <v>1052</v>
      </c>
      <c r="E119" s="204" t="s">
        <v>1295</v>
      </c>
      <c r="F119" s="204" t="s">
        <v>1296</v>
      </c>
      <c r="I119" s="327"/>
      <c r="J119" s="205">
        <f>BK119</f>
        <v>0</v>
      </c>
      <c r="L119" s="195"/>
      <c r="M119" s="199"/>
      <c r="P119" s="200">
        <f>SUM(P120:P121)</f>
        <v>0</v>
      </c>
      <c r="R119" s="200">
        <f>SUM(R120:R121)</f>
        <v>0</v>
      </c>
      <c r="T119" s="201">
        <f>SUM(T120:T121)</f>
        <v>0</v>
      </c>
      <c r="AR119" s="196" t="s">
        <v>55</v>
      </c>
      <c r="AT119" s="202" t="s">
        <v>1052</v>
      </c>
      <c r="AU119" s="202" t="s">
        <v>55</v>
      </c>
      <c r="AY119" s="196" t="s">
        <v>1102</v>
      </c>
      <c r="BK119" s="203">
        <f>SUM(BK120:BK121)</f>
        <v>0</v>
      </c>
    </row>
    <row r="120" spans="2:65" s="256" customFormat="1" ht="33" customHeight="1" x14ac:dyDescent="0.25">
      <c r="B120" s="112"/>
      <c r="C120" s="206" t="s">
        <v>124</v>
      </c>
      <c r="D120" s="206" t="s">
        <v>1104</v>
      </c>
      <c r="E120" s="207" t="s">
        <v>1297</v>
      </c>
      <c r="F120" s="208" t="s">
        <v>1298</v>
      </c>
      <c r="G120" s="209" t="s">
        <v>1125</v>
      </c>
      <c r="H120" s="210">
        <v>0.81599999999999995</v>
      </c>
      <c r="I120" s="326"/>
      <c r="J120" s="211">
        <f>ROUND(I120*H120,2)</f>
        <v>0</v>
      </c>
      <c r="K120" s="208" t="s">
        <v>1146</v>
      </c>
      <c r="L120" s="112"/>
      <c r="M120" s="325" t="s">
        <v>1010</v>
      </c>
      <c r="N120" s="212" t="s">
        <v>1025</v>
      </c>
      <c r="P120" s="213">
        <f>O120*H120</f>
        <v>0</v>
      </c>
      <c r="Q120" s="213">
        <v>0</v>
      </c>
      <c r="R120" s="213">
        <f>Q120*H120</f>
        <v>0</v>
      </c>
      <c r="S120" s="213">
        <v>0</v>
      </c>
      <c r="T120" s="214">
        <f>S120*H120</f>
        <v>0</v>
      </c>
      <c r="AR120" s="215" t="s">
        <v>76</v>
      </c>
      <c r="AT120" s="215" t="s">
        <v>1104</v>
      </c>
      <c r="AU120" s="215" t="s">
        <v>65</v>
      </c>
      <c r="AY120" s="103" t="s">
        <v>1102</v>
      </c>
      <c r="BE120" s="216">
        <f>IF(N120="základní",J120,0)</f>
        <v>0</v>
      </c>
      <c r="BF120" s="216">
        <f>IF(N120="snížená",J120,0)</f>
        <v>0</v>
      </c>
      <c r="BG120" s="216">
        <f>IF(N120="zákl. přenesená",J120,0)</f>
        <v>0</v>
      </c>
      <c r="BH120" s="216">
        <f>IF(N120="sníž. přenesená",J120,0)</f>
        <v>0</v>
      </c>
      <c r="BI120" s="216">
        <f>IF(N120="nulová",J120,0)</f>
        <v>0</v>
      </c>
      <c r="BJ120" s="103" t="s">
        <v>55</v>
      </c>
      <c r="BK120" s="216">
        <f>ROUND(I120*H120,2)</f>
        <v>0</v>
      </c>
      <c r="BL120" s="103" t="s">
        <v>76</v>
      </c>
      <c r="BM120" s="215" t="s">
        <v>1841</v>
      </c>
    </row>
    <row r="121" spans="2:65" s="256" customFormat="1" x14ac:dyDescent="0.25">
      <c r="B121" s="112"/>
      <c r="D121" s="217" t="s">
        <v>1109</v>
      </c>
      <c r="F121" s="218" t="s">
        <v>1300</v>
      </c>
      <c r="I121" s="324"/>
      <c r="L121" s="112"/>
      <c r="M121" s="219"/>
      <c r="T121" s="128"/>
      <c r="AT121" s="103" t="s">
        <v>1109</v>
      </c>
      <c r="AU121" s="103" t="s">
        <v>65</v>
      </c>
    </row>
    <row r="122" spans="2:65" s="194" customFormat="1" ht="25.9" customHeight="1" x14ac:dyDescent="0.2">
      <c r="B122" s="195"/>
      <c r="D122" s="196" t="s">
        <v>1052</v>
      </c>
      <c r="E122" s="197" t="s">
        <v>687</v>
      </c>
      <c r="F122" s="197" t="s">
        <v>1305</v>
      </c>
      <c r="I122" s="327"/>
      <c r="J122" s="198">
        <f>BK122</f>
        <v>0</v>
      </c>
      <c r="L122" s="195"/>
      <c r="M122" s="199"/>
      <c r="P122" s="200">
        <f>P123</f>
        <v>0</v>
      </c>
      <c r="R122" s="200">
        <f>R123</f>
        <v>0.67383000000000004</v>
      </c>
      <c r="T122" s="201">
        <f>T123</f>
        <v>0</v>
      </c>
      <c r="AR122" s="196" t="s">
        <v>65</v>
      </c>
      <c r="AT122" s="202" t="s">
        <v>1052</v>
      </c>
      <c r="AU122" s="202" t="s">
        <v>166</v>
      </c>
      <c r="AY122" s="196" t="s">
        <v>1102</v>
      </c>
      <c r="BK122" s="203">
        <f>BK123</f>
        <v>0</v>
      </c>
    </row>
    <row r="123" spans="2:65" s="194" customFormat="1" ht="22.9" customHeight="1" x14ac:dyDescent="0.2">
      <c r="B123" s="195"/>
      <c r="D123" s="196" t="s">
        <v>1052</v>
      </c>
      <c r="E123" s="204" t="s">
        <v>1842</v>
      </c>
      <c r="F123" s="204" t="s">
        <v>788</v>
      </c>
      <c r="I123" s="327"/>
      <c r="J123" s="205">
        <f>BK123</f>
        <v>0</v>
      </c>
      <c r="L123" s="195"/>
      <c r="M123" s="199"/>
      <c r="P123" s="200">
        <f>SUM(P124:P157)</f>
        <v>0</v>
      </c>
      <c r="R123" s="200">
        <f>SUM(R124:R157)</f>
        <v>0.67383000000000004</v>
      </c>
      <c r="T123" s="201">
        <f>SUM(T124:T157)</f>
        <v>0</v>
      </c>
      <c r="AR123" s="196" t="s">
        <v>65</v>
      </c>
      <c r="AT123" s="202" t="s">
        <v>1052</v>
      </c>
      <c r="AU123" s="202" t="s">
        <v>55</v>
      </c>
      <c r="AY123" s="196" t="s">
        <v>1102</v>
      </c>
      <c r="BK123" s="203">
        <f>SUM(BK124:BK157)</f>
        <v>0</v>
      </c>
    </row>
    <row r="124" spans="2:65" s="256" customFormat="1" ht="16.5" customHeight="1" x14ac:dyDescent="0.25">
      <c r="B124" s="112"/>
      <c r="C124" s="206" t="s">
        <v>126</v>
      </c>
      <c r="D124" s="206" t="s">
        <v>1104</v>
      </c>
      <c r="E124" s="207" t="s">
        <v>1843</v>
      </c>
      <c r="F124" s="208" t="s">
        <v>1844</v>
      </c>
      <c r="G124" s="209" t="s">
        <v>113</v>
      </c>
      <c r="H124" s="210">
        <v>27</v>
      </c>
      <c r="I124" s="326"/>
      <c r="J124" s="211">
        <f>ROUND(I124*H124,2)</f>
        <v>0</v>
      </c>
      <c r="K124" s="208" t="s">
        <v>1161</v>
      </c>
      <c r="L124" s="112"/>
      <c r="M124" s="325" t="s">
        <v>1010</v>
      </c>
      <c r="N124" s="212" t="s">
        <v>1025</v>
      </c>
      <c r="P124" s="213">
        <f>O124*H124</f>
        <v>0</v>
      </c>
      <c r="Q124" s="213">
        <v>0</v>
      </c>
      <c r="R124" s="213">
        <f>Q124*H124</f>
        <v>0</v>
      </c>
      <c r="S124" s="213">
        <v>0</v>
      </c>
      <c r="T124" s="214">
        <f>S124*H124</f>
        <v>0</v>
      </c>
      <c r="AR124" s="215" t="s">
        <v>126</v>
      </c>
      <c r="AT124" s="215" t="s">
        <v>1104</v>
      </c>
      <c r="AU124" s="215" t="s">
        <v>65</v>
      </c>
      <c r="AY124" s="103" t="s">
        <v>1102</v>
      </c>
      <c r="BE124" s="216">
        <f>IF(N124="základní",J124,0)</f>
        <v>0</v>
      </c>
      <c r="BF124" s="216">
        <f>IF(N124="snížená",J124,0)</f>
        <v>0</v>
      </c>
      <c r="BG124" s="216">
        <f>IF(N124="zákl. přenesená",J124,0)</f>
        <v>0</v>
      </c>
      <c r="BH124" s="216">
        <f>IF(N124="sníž. přenesená",J124,0)</f>
        <v>0</v>
      </c>
      <c r="BI124" s="216">
        <f>IF(N124="nulová",J124,0)</f>
        <v>0</v>
      </c>
      <c r="BJ124" s="103" t="s">
        <v>55</v>
      </c>
      <c r="BK124" s="216">
        <f>ROUND(I124*H124,2)</f>
        <v>0</v>
      </c>
      <c r="BL124" s="103" t="s">
        <v>126</v>
      </c>
      <c r="BM124" s="215" t="s">
        <v>1845</v>
      </c>
    </row>
    <row r="125" spans="2:65" s="256" customFormat="1" x14ac:dyDescent="0.25">
      <c r="B125" s="112"/>
      <c r="D125" s="217" t="s">
        <v>1109</v>
      </c>
      <c r="F125" s="218" t="s">
        <v>1846</v>
      </c>
      <c r="I125" s="324"/>
      <c r="L125" s="112"/>
      <c r="M125" s="219"/>
      <c r="T125" s="128"/>
      <c r="AT125" s="103" t="s">
        <v>1109</v>
      </c>
      <c r="AU125" s="103" t="s">
        <v>65</v>
      </c>
    </row>
    <row r="126" spans="2:65" s="256" customFormat="1" ht="16.5" customHeight="1" x14ac:dyDescent="0.25">
      <c r="B126" s="112"/>
      <c r="C126" s="228" t="s">
        <v>128</v>
      </c>
      <c r="D126" s="228" t="s">
        <v>1138</v>
      </c>
      <c r="E126" s="229" t="s">
        <v>1847</v>
      </c>
      <c r="F126" s="230" t="s">
        <v>1848</v>
      </c>
      <c r="G126" s="231" t="s">
        <v>113</v>
      </c>
      <c r="H126" s="232">
        <v>27</v>
      </c>
      <c r="I126" s="329"/>
      <c r="J126" s="233">
        <f>ROUND(I126*H126,2)</f>
        <v>0</v>
      </c>
      <c r="K126" s="230" t="s">
        <v>1161</v>
      </c>
      <c r="L126" s="234"/>
      <c r="M126" s="328" t="s">
        <v>1010</v>
      </c>
      <c r="N126" s="235" t="s">
        <v>1025</v>
      </c>
      <c r="P126" s="213">
        <f>O126*H126</f>
        <v>0</v>
      </c>
      <c r="Q126" s="213">
        <v>5.6999999999999998E-4</v>
      </c>
      <c r="R126" s="213">
        <f>Q126*H126</f>
        <v>1.5389999999999999E-2</v>
      </c>
      <c r="S126" s="213">
        <v>0</v>
      </c>
      <c r="T126" s="214">
        <f>S126*H126</f>
        <v>0</v>
      </c>
      <c r="AR126" s="215" t="s">
        <v>160</v>
      </c>
      <c r="AT126" s="215" t="s">
        <v>1138</v>
      </c>
      <c r="AU126" s="215" t="s">
        <v>65</v>
      </c>
      <c r="AY126" s="103" t="s">
        <v>1102</v>
      </c>
      <c r="BE126" s="216">
        <f>IF(N126="základní",J126,0)</f>
        <v>0</v>
      </c>
      <c r="BF126" s="216">
        <f>IF(N126="snížená",J126,0)</f>
        <v>0</v>
      </c>
      <c r="BG126" s="216">
        <f>IF(N126="zákl. přenesená",J126,0)</f>
        <v>0</v>
      </c>
      <c r="BH126" s="216">
        <f>IF(N126="sníž. přenesená",J126,0)</f>
        <v>0</v>
      </c>
      <c r="BI126" s="216">
        <f>IF(N126="nulová",J126,0)</f>
        <v>0</v>
      </c>
      <c r="BJ126" s="103" t="s">
        <v>55</v>
      </c>
      <c r="BK126" s="216">
        <f>ROUND(I126*H126,2)</f>
        <v>0</v>
      </c>
      <c r="BL126" s="103" t="s">
        <v>126</v>
      </c>
      <c r="BM126" s="215" t="s">
        <v>1849</v>
      </c>
    </row>
    <row r="127" spans="2:65" s="256" customFormat="1" ht="21.75" customHeight="1" x14ac:dyDescent="0.25">
      <c r="B127" s="112"/>
      <c r="C127" s="206" t="s">
        <v>129</v>
      </c>
      <c r="D127" s="206" t="s">
        <v>1104</v>
      </c>
      <c r="E127" s="207" t="s">
        <v>1850</v>
      </c>
      <c r="F127" s="208" t="s">
        <v>1851</v>
      </c>
      <c r="G127" s="209" t="s">
        <v>113</v>
      </c>
      <c r="H127" s="210">
        <v>2</v>
      </c>
      <c r="I127" s="326"/>
      <c r="J127" s="211">
        <f>ROUND(I127*H127,2)</f>
        <v>0</v>
      </c>
      <c r="K127" s="208" t="s">
        <v>1146</v>
      </c>
      <c r="L127" s="112"/>
      <c r="M127" s="325" t="s">
        <v>1010</v>
      </c>
      <c r="N127" s="212" t="s">
        <v>1025</v>
      </c>
      <c r="P127" s="213">
        <f>O127*H127</f>
        <v>0</v>
      </c>
      <c r="Q127" s="213">
        <v>0</v>
      </c>
      <c r="R127" s="213">
        <f>Q127*H127</f>
        <v>0</v>
      </c>
      <c r="S127" s="213">
        <v>0</v>
      </c>
      <c r="T127" s="214">
        <f>S127*H127</f>
        <v>0</v>
      </c>
      <c r="AR127" s="215" t="s">
        <v>126</v>
      </c>
      <c r="AT127" s="215" t="s">
        <v>1104</v>
      </c>
      <c r="AU127" s="215" t="s">
        <v>65</v>
      </c>
      <c r="AY127" s="103" t="s">
        <v>1102</v>
      </c>
      <c r="BE127" s="216">
        <f>IF(N127="základní",J127,0)</f>
        <v>0</v>
      </c>
      <c r="BF127" s="216">
        <f>IF(N127="snížená",J127,0)</f>
        <v>0</v>
      </c>
      <c r="BG127" s="216">
        <f>IF(N127="zákl. přenesená",J127,0)</f>
        <v>0</v>
      </c>
      <c r="BH127" s="216">
        <f>IF(N127="sníž. přenesená",J127,0)</f>
        <v>0</v>
      </c>
      <c r="BI127" s="216">
        <f>IF(N127="nulová",J127,0)</f>
        <v>0</v>
      </c>
      <c r="BJ127" s="103" t="s">
        <v>55</v>
      </c>
      <c r="BK127" s="216">
        <f>ROUND(I127*H127,2)</f>
        <v>0</v>
      </c>
      <c r="BL127" s="103" t="s">
        <v>126</v>
      </c>
      <c r="BM127" s="215" t="s">
        <v>1852</v>
      </c>
    </row>
    <row r="128" spans="2:65" s="256" customFormat="1" x14ac:dyDescent="0.25">
      <c r="B128" s="112"/>
      <c r="D128" s="217" t="s">
        <v>1109</v>
      </c>
      <c r="F128" s="218" t="s">
        <v>1853</v>
      </c>
      <c r="I128" s="324"/>
      <c r="L128" s="112"/>
      <c r="M128" s="219"/>
      <c r="T128" s="128"/>
      <c r="AT128" s="103" t="s">
        <v>1109</v>
      </c>
      <c r="AU128" s="103" t="s">
        <v>65</v>
      </c>
    </row>
    <row r="129" spans="2:65" s="256" customFormat="1" ht="21.75" customHeight="1" x14ac:dyDescent="0.25">
      <c r="B129" s="112"/>
      <c r="C129" s="206" t="s">
        <v>132</v>
      </c>
      <c r="D129" s="206" t="s">
        <v>1104</v>
      </c>
      <c r="E129" s="207" t="s">
        <v>1854</v>
      </c>
      <c r="F129" s="208" t="s">
        <v>1855</v>
      </c>
      <c r="G129" s="209" t="s">
        <v>113</v>
      </c>
      <c r="H129" s="210">
        <v>6</v>
      </c>
      <c r="I129" s="326"/>
      <c r="J129" s="211">
        <f>ROUND(I129*H129,2)</f>
        <v>0</v>
      </c>
      <c r="K129" s="208" t="s">
        <v>1161</v>
      </c>
      <c r="L129" s="112"/>
      <c r="M129" s="325" t="s">
        <v>1010</v>
      </c>
      <c r="N129" s="212" t="s">
        <v>1025</v>
      </c>
      <c r="P129" s="213">
        <f>O129*H129</f>
        <v>0</v>
      </c>
      <c r="Q129" s="213">
        <v>0</v>
      </c>
      <c r="R129" s="213">
        <f>Q129*H129</f>
        <v>0</v>
      </c>
      <c r="S129" s="213">
        <v>0</v>
      </c>
      <c r="T129" s="214">
        <f>S129*H129</f>
        <v>0</v>
      </c>
      <c r="AR129" s="215" t="s">
        <v>126</v>
      </c>
      <c r="AT129" s="215" t="s">
        <v>1104</v>
      </c>
      <c r="AU129" s="215" t="s">
        <v>65</v>
      </c>
      <c r="AY129" s="103" t="s">
        <v>1102</v>
      </c>
      <c r="BE129" s="216">
        <f>IF(N129="základní",J129,0)</f>
        <v>0</v>
      </c>
      <c r="BF129" s="216">
        <f>IF(N129="snížená",J129,0)</f>
        <v>0</v>
      </c>
      <c r="BG129" s="216">
        <f>IF(N129="zákl. přenesená",J129,0)</f>
        <v>0</v>
      </c>
      <c r="BH129" s="216">
        <f>IF(N129="sníž. přenesená",J129,0)</f>
        <v>0</v>
      </c>
      <c r="BI129" s="216">
        <f>IF(N129="nulová",J129,0)</f>
        <v>0</v>
      </c>
      <c r="BJ129" s="103" t="s">
        <v>55</v>
      </c>
      <c r="BK129" s="216">
        <f>ROUND(I129*H129,2)</f>
        <v>0</v>
      </c>
      <c r="BL129" s="103" t="s">
        <v>126</v>
      </c>
      <c r="BM129" s="215" t="s">
        <v>1856</v>
      </c>
    </row>
    <row r="130" spans="2:65" s="256" customFormat="1" x14ac:dyDescent="0.25">
      <c r="B130" s="112"/>
      <c r="D130" s="217" t="s">
        <v>1109</v>
      </c>
      <c r="F130" s="218" t="s">
        <v>1857</v>
      </c>
      <c r="I130" s="324"/>
      <c r="L130" s="112"/>
      <c r="M130" s="219"/>
      <c r="T130" s="128"/>
      <c r="AT130" s="103" t="s">
        <v>1109</v>
      </c>
      <c r="AU130" s="103" t="s">
        <v>65</v>
      </c>
    </row>
    <row r="131" spans="2:65" s="256" customFormat="1" ht="16.5" customHeight="1" x14ac:dyDescent="0.25">
      <c r="B131" s="112"/>
      <c r="C131" s="228" t="s">
        <v>137</v>
      </c>
      <c r="D131" s="228" t="s">
        <v>1138</v>
      </c>
      <c r="E131" s="229" t="s">
        <v>1858</v>
      </c>
      <c r="F131" s="230" t="s">
        <v>1859</v>
      </c>
      <c r="G131" s="231" t="s">
        <v>113</v>
      </c>
      <c r="H131" s="232">
        <v>4</v>
      </c>
      <c r="I131" s="329"/>
      <c r="J131" s="233">
        <f>ROUND(I131*H131,2)</f>
        <v>0</v>
      </c>
      <c r="K131" s="230" t="s">
        <v>1161</v>
      </c>
      <c r="L131" s="234"/>
      <c r="M131" s="328" t="s">
        <v>1010</v>
      </c>
      <c r="N131" s="235" t="s">
        <v>1025</v>
      </c>
      <c r="P131" s="213">
        <f>O131*H131</f>
        <v>0</v>
      </c>
      <c r="Q131" s="213">
        <v>8.0000000000000004E-4</v>
      </c>
      <c r="R131" s="213">
        <f>Q131*H131</f>
        <v>3.2000000000000002E-3</v>
      </c>
      <c r="S131" s="213">
        <v>0</v>
      </c>
      <c r="T131" s="214">
        <f>S131*H131</f>
        <v>0</v>
      </c>
      <c r="AR131" s="215" t="s">
        <v>160</v>
      </c>
      <c r="AT131" s="215" t="s">
        <v>1138</v>
      </c>
      <c r="AU131" s="215" t="s">
        <v>65</v>
      </c>
      <c r="AY131" s="103" t="s">
        <v>1102</v>
      </c>
      <c r="BE131" s="216">
        <f>IF(N131="základní",J131,0)</f>
        <v>0</v>
      </c>
      <c r="BF131" s="216">
        <f>IF(N131="snížená",J131,0)</f>
        <v>0</v>
      </c>
      <c r="BG131" s="216">
        <f>IF(N131="zákl. přenesená",J131,0)</f>
        <v>0</v>
      </c>
      <c r="BH131" s="216">
        <f>IF(N131="sníž. přenesená",J131,0)</f>
        <v>0</v>
      </c>
      <c r="BI131" s="216">
        <f>IF(N131="nulová",J131,0)</f>
        <v>0</v>
      </c>
      <c r="BJ131" s="103" t="s">
        <v>55</v>
      </c>
      <c r="BK131" s="216">
        <f>ROUND(I131*H131,2)</f>
        <v>0</v>
      </c>
      <c r="BL131" s="103" t="s">
        <v>126</v>
      </c>
      <c r="BM131" s="215" t="s">
        <v>1860</v>
      </c>
    </row>
    <row r="132" spans="2:65" s="256" customFormat="1" ht="16.5" customHeight="1" x14ac:dyDescent="0.25">
      <c r="B132" s="112"/>
      <c r="C132" s="228" t="s">
        <v>140</v>
      </c>
      <c r="D132" s="228" t="s">
        <v>1138</v>
      </c>
      <c r="E132" s="229" t="s">
        <v>1861</v>
      </c>
      <c r="F132" s="230" t="s">
        <v>1859</v>
      </c>
      <c r="G132" s="231" t="s">
        <v>113</v>
      </c>
      <c r="H132" s="232">
        <v>2</v>
      </c>
      <c r="I132" s="329"/>
      <c r="J132" s="233">
        <f>ROUND(I132*H132,2)</f>
        <v>0</v>
      </c>
      <c r="K132" s="230" t="s">
        <v>1010</v>
      </c>
      <c r="L132" s="234"/>
      <c r="M132" s="328" t="s">
        <v>1010</v>
      </c>
      <c r="N132" s="235" t="s">
        <v>1025</v>
      </c>
      <c r="P132" s="213">
        <f>O132*H132</f>
        <v>0</v>
      </c>
      <c r="Q132" s="213">
        <v>8.0000000000000004E-4</v>
      </c>
      <c r="R132" s="213">
        <f>Q132*H132</f>
        <v>1.6000000000000001E-3</v>
      </c>
      <c r="S132" s="213">
        <v>0</v>
      </c>
      <c r="T132" s="214">
        <f>S132*H132</f>
        <v>0</v>
      </c>
      <c r="AR132" s="215" t="s">
        <v>160</v>
      </c>
      <c r="AT132" s="215" t="s">
        <v>1138</v>
      </c>
      <c r="AU132" s="215" t="s">
        <v>65</v>
      </c>
      <c r="AY132" s="103" t="s">
        <v>1102</v>
      </c>
      <c r="BE132" s="216">
        <f>IF(N132="základní",J132,0)</f>
        <v>0</v>
      </c>
      <c r="BF132" s="216">
        <f>IF(N132="snížená",J132,0)</f>
        <v>0</v>
      </c>
      <c r="BG132" s="216">
        <f>IF(N132="zákl. přenesená",J132,0)</f>
        <v>0</v>
      </c>
      <c r="BH132" s="216">
        <f>IF(N132="sníž. přenesená",J132,0)</f>
        <v>0</v>
      </c>
      <c r="BI132" s="216">
        <f>IF(N132="nulová",J132,0)</f>
        <v>0</v>
      </c>
      <c r="BJ132" s="103" t="s">
        <v>55</v>
      </c>
      <c r="BK132" s="216">
        <f>ROUND(I132*H132,2)</f>
        <v>0</v>
      </c>
      <c r="BL132" s="103" t="s">
        <v>126</v>
      </c>
      <c r="BM132" s="215" t="s">
        <v>1862</v>
      </c>
    </row>
    <row r="133" spans="2:65" s="256" customFormat="1" ht="24.2" customHeight="1" x14ac:dyDescent="0.25">
      <c r="B133" s="112"/>
      <c r="C133" s="206" t="s">
        <v>141</v>
      </c>
      <c r="D133" s="206" t="s">
        <v>1104</v>
      </c>
      <c r="E133" s="207" t="s">
        <v>1863</v>
      </c>
      <c r="F133" s="208" t="s">
        <v>1864</v>
      </c>
      <c r="G133" s="209" t="s">
        <v>113</v>
      </c>
      <c r="H133" s="210">
        <v>2</v>
      </c>
      <c r="I133" s="326"/>
      <c r="J133" s="211">
        <f>ROUND(I133*H133,2)</f>
        <v>0</v>
      </c>
      <c r="K133" s="208" t="s">
        <v>1146</v>
      </c>
      <c r="L133" s="112"/>
      <c r="M133" s="325" t="s">
        <v>1010</v>
      </c>
      <c r="N133" s="212" t="s">
        <v>1025</v>
      </c>
      <c r="P133" s="213">
        <f>O133*H133</f>
        <v>0</v>
      </c>
      <c r="Q133" s="213">
        <v>0</v>
      </c>
      <c r="R133" s="213">
        <f>Q133*H133</f>
        <v>0</v>
      </c>
      <c r="S133" s="213">
        <v>0</v>
      </c>
      <c r="T133" s="214">
        <f>S133*H133</f>
        <v>0</v>
      </c>
      <c r="AR133" s="215" t="s">
        <v>126</v>
      </c>
      <c r="AT133" s="215" t="s">
        <v>1104</v>
      </c>
      <c r="AU133" s="215" t="s">
        <v>65</v>
      </c>
      <c r="AY133" s="103" t="s">
        <v>1102</v>
      </c>
      <c r="BE133" s="216">
        <f>IF(N133="základní",J133,0)</f>
        <v>0</v>
      </c>
      <c r="BF133" s="216">
        <f>IF(N133="snížená",J133,0)</f>
        <v>0</v>
      </c>
      <c r="BG133" s="216">
        <f>IF(N133="zákl. přenesená",J133,0)</f>
        <v>0</v>
      </c>
      <c r="BH133" s="216">
        <f>IF(N133="sníž. přenesená",J133,0)</f>
        <v>0</v>
      </c>
      <c r="BI133" s="216">
        <f>IF(N133="nulová",J133,0)</f>
        <v>0</v>
      </c>
      <c r="BJ133" s="103" t="s">
        <v>55</v>
      </c>
      <c r="BK133" s="216">
        <f>ROUND(I133*H133,2)</f>
        <v>0</v>
      </c>
      <c r="BL133" s="103" t="s">
        <v>126</v>
      </c>
      <c r="BM133" s="215" t="s">
        <v>1865</v>
      </c>
    </row>
    <row r="134" spans="2:65" s="256" customFormat="1" x14ac:dyDescent="0.25">
      <c r="B134" s="112"/>
      <c r="D134" s="217" t="s">
        <v>1109</v>
      </c>
      <c r="F134" s="218" t="s">
        <v>1866</v>
      </c>
      <c r="I134" s="324"/>
      <c r="L134" s="112"/>
      <c r="M134" s="219"/>
      <c r="T134" s="128"/>
      <c r="AT134" s="103" t="s">
        <v>1109</v>
      </c>
      <c r="AU134" s="103" t="s">
        <v>65</v>
      </c>
    </row>
    <row r="135" spans="2:65" s="256" customFormat="1" ht="16.5" customHeight="1" x14ac:dyDescent="0.25">
      <c r="B135" s="112"/>
      <c r="C135" s="228" t="s">
        <v>142</v>
      </c>
      <c r="D135" s="228" t="s">
        <v>1138</v>
      </c>
      <c r="E135" s="229" t="s">
        <v>1867</v>
      </c>
      <c r="F135" s="230" t="s">
        <v>1868</v>
      </c>
      <c r="G135" s="231" t="s">
        <v>113</v>
      </c>
      <c r="H135" s="232">
        <v>1</v>
      </c>
      <c r="I135" s="329"/>
      <c r="J135" s="233">
        <f>ROUND(I135*H135,2)</f>
        <v>0</v>
      </c>
      <c r="K135" s="230" t="s">
        <v>1010</v>
      </c>
      <c r="L135" s="234"/>
      <c r="M135" s="328" t="s">
        <v>1010</v>
      </c>
      <c r="N135" s="235" t="s">
        <v>1025</v>
      </c>
      <c r="P135" s="213">
        <f>O135*H135</f>
        <v>0</v>
      </c>
      <c r="Q135" s="213">
        <v>2.8E-3</v>
      </c>
      <c r="R135" s="213">
        <f>Q135*H135</f>
        <v>2.8E-3</v>
      </c>
      <c r="S135" s="213">
        <v>0</v>
      </c>
      <c r="T135" s="214">
        <f>S135*H135</f>
        <v>0</v>
      </c>
      <c r="AR135" s="215" t="s">
        <v>160</v>
      </c>
      <c r="AT135" s="215" t="s">
        <v>1138</v>
      </c>
      <c r="AU135" s="215" t="s">
        <v>65</v>
      </c>
      <c r="AY135" s="103" t="s">
        <v>1102</v>
      </c>
      <c r="BE135" s="216">
        <f>IF(N135="základní",J135,0)</f>
        <v>0</v>
      </c>
      <c r="BF135" s="216">
        <f>IF(N135="snížená",J135,0)</f>
        <v>0</v>
      </c>
      <c r="BG135" s="216">
        <f>IF(N135="zákl. přenesená",J135,0)</f>
        <v>0</v>
      </c>
      <c r="BH135" s="216">
        <f>IF(N135="sníž. přenesená",J135,0)</f>
        <v>0</v>
      </c>
      <c r="BI135" s="216">
        <f>IF(N135="nulová",J135,0)</f>
        <v>0</v>
      </c>
      <c r="BJ135" s="103" t="s">
        <v>55</v>
      </c>
      <c r="BK135" s="216">
        <f>ROUND(I135*H135,2)</f>
        <v>0</v>
      </c>
      <c r="BL135" s="103" t="s">
        <v>126</v>
      </c>
      <c r="BM135" s="215" t="s">
        <v>1869</v>
      </c>
    </row>
    <row r="136" spans="2:65" s="256" customFormat="1" ht="16.5" customHeight="1" x14ac:dyDescent="0.25">
      <c r="B136" s="112"/>
      <c r="C136" s="228" t="s">
        <v>146</v>
      </c>
      <c r="D136" s="228" t="s">
        <v>1138</v>
      </c>
      <c r="E136" s="229" t="s">
        <v>1870</v>
      </c>
      <c r="F136" s="230" t="s">
        <v>1868</v>
      </c>
      <c r="G136" s="231" t="s">
        <v>113</v>
      </c>
      <c r="H136" s="232">
        <v>1</v>
      </c>
      <c r="I136" s="329"/>
      <c r="J136" s="233">
        <f>ROUND(I136*H136,2)</f>
        <v>0</v>
      </c>
      <c r="K136" s="230" t="s">
        <v>1146</v>
      </c>
      <c r="L136" s="234"/>
      <c r="M136" s="328" t="s">
        <v>1010</v>
      </c>
      <c r="N136" s="235" t="s">
        <v>1025</v>
      </c>
      <c r="P136" s="213">
        <f>O136*H136</f>
        <v>0</v>
      </c>
      <c r="Q136" s="213">
        <v>2.8E-3</v>
      </c>
      <c r="R136" s="213">
        <f>Q136*H136</f>
        <v>2.8E-3</v>
      </c>
      <c r="S136" s="213">
        <v>0</v>
      </c>
      <c r="T136" s="214">
        <f>S136*H136</f>
        <v>0</v>
      </c>
      <c r="AR136" s="215" t="s">
        <v>160</v>
      </c>
      <c r="AT136" s="215" t="s">
        <v>1138</v>
      </c>
      <c r="AU136" s="215" t="s">
        <v>65</v>
      </c>
      <c r="AY136" s="103" t="s">
        <v>1102</v>
      </c>
      <c r="BE136" s="216">
        <f>IF(N136="základní",J136,0)</f>
        <v>0</v>
      </c>
      <c r="BF136" s="216">
        <f>IF(N136="snížená",J136,0)</f>
        <v>0</v>
      </c>
      <c r="BG136" s="216">
        <f>IF(N136="zákl. přenesená",J136,0)</f>
        <v>0</v>
      </c>
      <c r="BH136" s="216">
        <f>IF(N136="sníž. přenesená",J136,0)</f>
        <v>0</v>
      </c>
      <c r="BI136" s="216">
        <f>IF(N136="nulová",J136,0)</f>
        <v>0</v>
      </c>
      <c r="BJ136" s="103" t="s">
        <v>55</v>
      </c>
      <c r="BK136" s="216">
        <f>ROUND(I136*H136,2)</f>
        <v>0</v>
      </c>
      <c r="BL136" s="103" t="s">
        <v>126</v>
      </c>
      <c r="BM136" s="215" t="s">
        <v>1871</v>
      </c>
    </row>
    <row r="137" spans="2:65" s="256" customFormat="1" ht="21.75" customHeight="1" x14ac:dyDescent="0.25">
      <c r="B137" s="112"/>
      <c r="C137" s="206" t="s">
        <v>149</v>
      </c>
      <c r="D137" s="206" t="s">
        <v>1104</v>
      </c>
      <c r="E137" s="207" t="s">
        <v>1872</v>
      </c>
      <c r="F137" s="208" t="s">
        <v>1873</v>
      </c>
      <c r="G137" s="209" t="s">
        <v>104</v>
      </c>
      <c r="H137" s="210">
        <v>50.4</v>
      </c>
      <c r="I137" s="326"/>
      <c r="J137" s="211">
        <f>ROUND(I137*H137,2)</f>
        <v>0</v>
      </c>
      <c r="K137" s="208" t="s">
        <v>1146</v>
      </c>
      <c r="L137" s="112"/>
      <c r="M137" s="325" t="s">
        <v>1010</v>
      </c>
      <c r="N137" s="212" t="s">
        <v>1025</v>
      </c>
      <c r="P137" s="213">
        <f>O137*H137</f>
        <v>0</v>
      </c>
      <c r="Q137" s="213">
        <v>0</v>
      </c>
      <c r="R137" s="213">
        <f>Q137*H137</f>
        <v>0</v>
      </c>
      <c r="S137" s="213">
        <v>0</v>
      </c>
      <c r="T137" s="214">
        <f>S137*H137</f>
        <v>0</v>
      </c>
      <c r="AR137" s="215" t="s">
        <v>126</v>
      </c>
      <c r="AT137" s="215" t="s">
        <v>1104</v>
      </c>
      <c r="AU137" s="215" t="s">
        <v>65</v>
      </c>
      <c r="AY137" s="103" t="s">
        <v>1102</v>
      </c>
      <c r="BE137" s="216">
        <f>IF(N137="základní",J137,0)</f>
        <v>0</v>
      </c>
      <c r="BF137" s="216">
        <f>IF(N137="snížená",J137,0)</f>
        <v>0</v>
      </c>
      <c r="BG137" s="216">
        <f>IF(N137="zákl. přenesená",J137,0)</f>
        <v>0</v>
      </c>
      <c r="BH137" s="216">
        <f>IF(N137="sníž. přenesená",J137,0)</f>
        <v>0</v>
      </c>
      <c r="BI137" s="216">
        <f>IF(N137="nulová",J137,0)</f>
        <v>0</v>
      </c>
      <c r="BJ137" s="103" t="s">
        <v>55</v>
      </c>
      <c r="BK137" s="216">
        <f>ROUND(I137*H137,2)</f>
        <v>0</v>
      </c>
      <c r="BL137" s="103" t="s">
        <v>126</v>
      </c>
      <c r="BM137" s="215" t="s">
        <v>1874</v>
      </c>
    </row>
    <row r="138" spans="2:65" s="256" customFormat="1" x14ac:dyDescent="0.25">
      <c r="B138" s="112"/>
      <c r="D138" s="217" t="s">
        <v>1109</v>
      </c>
      <c r="F138" s="218" t="s">
        <v>1875</v>
      </c>
      <c r="I138" s="324"/>
      <c r="L138" s="112"/>
      <c r="M138" s="219"/>
      <c r="T138" s="128"/>
      <c r="AT138" s="103" t="s">
        <v>1109</v>
      </c>
      <c r="AU138" s="103" t="s">
        <v>65</v>
      </c>
    </row>
    <row r="139" spans="2:65" s="256" customFormat="1" ht="21.75" customHeight="1" x14ac:dyDescent="0.25">
      <c r="B139" s="112"/>
      <c r="C139" s="228" t="s">
        <v>150</v>
      </c>
      <c r="D139" s="228" t="s">
        <v>1138</v>
      </c>
      <c r="E139" s="229" t="s">
        <v>1876</v>
      </c>
      <c r="F139" s="230" t="s">
        <v>1877</v>
      </c>
      <c r="G139" s="231" t="s">
        <v>104</v>
      </c>
      <c r="H139" s="232">
        <v>40.200000000000003</v>
      </c>
      <c r="I139" s="329"/>
      <c r="J139" s="233">
        <f>ROUND(I139*H139,2)</f>
        <v>0</v>
      </c>
      <c r="K139" s="230" t="s">
        <v>1146</v>
      </c>
      <c r="L139" s="234"/>
      <c r="M139" s="328" t="s">
        <v>1010</v>
      </c>
      <c r="N139" s="235" t="s">
        <v>1025</v>
      </c>
      <c r="P139" s="213">
        <f>O139*H139</f>
        <v>0</v>
      </c>
      <c r="Q139" s="213">
        <v>7.9000000000000008E-3</v>
      </c>
      <c r="R139" s="213">
        <f>Q139*H139</f>
        <v>0.31758000000000003</v>
      </c>
      <c r="S139" s="213">
        <v>0</v>
      </c>
      <c r="T139" s="214">
        <f>S139*H139</f>
        <v>0</v>
      </c>
      <c r="AR139" s="215" t="s">
        <v>160</v>
      </c>
      <c r="AT139" s="215" t="s">
        <v>1138</v>
      </c>
      <c r="AU139" s="215" t="s">
        <v>65</v>
      </c>
      <c r="AY139" s="103" t="s">
        <v>1102</v>
      </c>
      <c r="BE139" s="216">
        <f>IF(N139="základní",J139,0)</f>
        <v>0</v>
      </c>
      <c r="BF139" s="216">
        <f>IF(N139="snížená",J139,0)</f>
        <v>0</v>
      </c>
      <c r="BG139" s="216">
        <f>IF(N139="zákl. přenesená",J139,0)</f>
        <v>0</v>
      </c>
      <c r="BH139" s="216">
        <f>IF(N139="sníž. přenesená",J139,0)</f>
        <v>0</v>
      </c>
      <c r="BI139" s="216">
        <f>IF(N139="nulová",J139,0)</f>
        <v>0</v>
      </c>
      <c r="BJ139" s="103" t="s">
        <v>55</v>
      </c>
      <c r="BK139" s="216">
        <f>ROUND(I139*H139,2)</f>
        <v>0</v>
      </c>
      <c r="BL139" s="103" t="s">
        <v>126</v>
      </c>
      <c r="BM139" s="215" t="s">
        <v>1878</v>
      </c>
    </row>
    <row r="140" spans="2:65" s="256" customFormat="1" ht="21.75" customHeight="1" x14ac:dyDescent="0.25">
      <c r="B140" s="112"/>
      <c r="C140" s="228" t="s">
        <v>152</v>
      </c>
      <c r="D140" s="228" t="s">
        <v>1138</v>
      </c>
      <c r="E140" s="229" t="s">
        <v>1879</v>
      </c>
      <c r="F140" s="230" t="s">
        <v>1880</v>
      </c>
      <c r="G140" s="231" t="s">
        <v>104</v>
      </c>
      <c r="H140" s="232">
        <v>10.199999999999999</v>
      </c>
      <c r="I140" s="329"/>
      <c r="J140" s="233">
        <f>ROUND(I140*H140,2)</f>
        <v>0</v>
      </c>
      <c r="K140" s="230" t="s">
        <v>1146</v>
      </c>
      <c r="L140" s="234"/>
      <c r="M140" s="328" t="s">
        <v>1010</v>
      </c>
      <c r="N140" s="235" t="s">
        <v>1025</v>
      </c>
      <c r="P140" s="213">
        <f>O140*H140</f>
        <v>0</v>
      </c>
      <c r="Q140" s="213">
        <v>9.5999999999999992E-3</v>
      </c>
      <c r="R140" s="213">
        <f>Q140*H140</f>
        <v>9.7919999999999979E-2</v>
      </c>
      <c r="S140" s="213">
        <v>0</v>
      </c>
      <c r="T140" s="214">
        <f>S140*H140</f>
        <v>0</v>
      </c>
      <c r="AR140" s="215" t="s">
        <v>160</v>
      </c>
      <c r="AT140" s="215" t="s">
        <v>1138</v>
      </c>
      <c r="AU140" s="215" t="s">
        <v>65</v>
      </c>
      <c r="AY140" s="103" t="s">
        <v>1102</v>
      </c>
      <c r="BE140" s="216">
        <f>IF(N140="základní",J140,0)</f>
        <v>0</v>
      </c>
      <c r="BF140" s="216">
        <f>IF(N140="snížená",J140,0)</f>
        <v>0</v>
      </c>
      <c r="BG140" s="216">
        <f>IF(N140="zákl. přenesená",J140,0)</f>
        <v>0</v>
      </c>
      <c r="BH140" s="216">
        <f>IF(N140="sníž. přenesená",J140,0)</f>
        <v>0</v>
      </c>
      <c r="BI140" s="216">
        <f>IF(N140="nulová",J140,0)</f>
        <v>0</v>
      </c>
      <c r="BJ140" s="103" t="s">
        <v>55</v>
      </c>
      <c r="BK140" s="216">
        <f>ROUND(I140*H140,2)</f>
        <v>0</v>
      </c>
      <c r="BL140" s="103" t="s">
        <v>126</v>
      </c>
      <c r="BM140" s="215" t="s">
        <v>1881</v>
      </c>
    </row>
    <row r="141" spans="2:65" s="256" customFormat="1" ht="21.75" customHeight="1" x14ac:dyDescent="0.25">
      <c r="B141" s="112"/>
      <c r="C141" s="206" t="s">
        <v>154</v>
      </c>
      <c r="D141" s="206" t="s">
        <v>1104</v>
      </c>
      <c r="E141" s="207" t="s">
        <v>1882</v>
      </c>
      <c r="F141" s="208" t="s">
        <v>1883</v>
      </c>
      <c r="G141" s="209" t="s">
        <v>104</v>
      </c>
      <c r="H141" s="210">
        <v>15.5</v>
      </c>
      <c r="I141" s="326"/>
      <c r="J141" s="211">
        <f>ROUND(I141*H141,2)</f>
        <v>0</v>
      </c>
      <c r="K141" s="208" t="s">
        <v>1146</v>
      </c>
      <c r="L141" s="112"/>
      <c r="M141" s="325" t="s">
        <v>1010</v>
      </c>
      <c r="N141" s="212" t="s">
        <v>1025</v>
      </c>
      <c r="P141" s="213">
        <f>O141*H141</f>
        <v>0</v>
      </c>
      <c r="Q141" s="213">
        <v>0</v>
      </c>
      <c r="R141" s="213">
        <f>Q141*H141</f>
        <v>0</v>
      </c>
      <c r="S141" s="213">
        <v>0</v>
      </c>
      <c r="T141" s="214">
        <f>S141*H141</f>
        <v>0</v>
      </c>
      <c r="AR141" s="215" t="s">
        <v>126</v>
      </c>
      <c r="AT141" s="215" t="s">
        <v>1104</v>
      </c>
      <c r="AU141" s="215" t="s">
        <v>65</v>
      </c>
      <c r="AY141" s="103" t="s">
        <v>1102</v>
      </c>
      <c r="BE141" s="216">
        <f>IF(N141="základní",J141,0)</f>
        <v>0</v>
      </c>
      <c r="BF141" s="216">
        <f>IF(N141="snížená",J141,0)</f>
        <v>0</v>
      </c>
      <c r="BG141" s="216">
        <f>IF(N141="zákl. přenesená",J141,0)</f>
        <v>0</v>
      </c>
      <c r="BH141" s="216">
        <f>IF(N141="sníž. přenesená",J141,0)</f>
        <v>0</v>
      </c>
      <c r="BI141" s="216">
        <f>IF(N141="nulová",J141,0)</f>
        <v>0</v>
      </c>
      <c r="BJ141" s="103" t="s">
        <v>55</v>
      </c>
      <c r="BK141" s="216">
        <f>ROUND(I141*H141,2)</f>
        <v>0</v>
      </c>
      <c r="BL141" s="103" t="s">
        <v>126</v>
      </c>
      <c r="BM141" s="215" t="s">
        <v>1884</v>
      </c>
    </row>
    <row r="142" spans="2:65" s="256" customFormat="1" x14ac:dyDescent="0.25">
      <c r="B142" s="112"/>
      <c r="D142" s="217" t="s">
        <v>1109</v>
      </c>
      <c r="F142" s="218" t="s">
        <v>1885</v>
      </c>
      <c r="I142" s="324"/>
      <c r="L142" s="112"/>
      <c r="M142" s="219"/>
      <c r="T142" s="128"/>
      <c r="AT142" s="103" t="s">
        <v>1109</v>
      </c>
      <c r="AU142" s="103" t="s">
        <v>65</v>
      </c>
    </row>
    <row r="143" spans="2:65" s="256" customFormat="1" ht="21.75" customHeight="1" x14ac:dyDescent="0.25">
      <c r="B143" s="112"/>
      <c r="C143" s="228" t="s">
        <v>155</v>
      </c>
      <c r="D143" s="228" t="s">
        <v>1138</v>
      </c>
      <c r="E143" s="229" t="s">
        <v>1886</v>
      </c>
      <c r="F143" s="230" t="s">
        <v>1887</v>
      </c>
      <c r="G143" s="231" t="s">
        <v>104</v>
      </c>
      <c r="H143" s="232">
        <v>15.5</v>
      </c>
      <c r="I143" s="329"/>
      <c r="J143" s="233">
        <f>ROUND(I143*H143,2)</f>
        <v>0</v>
      </c>
      <c r="K143" s="230" t="s">
        <v>1146</v>
      </c>
      <c r="L143" s="234"/>
      <c r="M143" s="328" t="s">
        <v>1010</v>
      </c>
      <c r="N143" s="235" t="s">
        <v>1025</v>
      </c>
      <c r="P143" s="213">
        <f>O143*H143</f>
        <v>0</v>
      </c>
      <c r="Q143" s="213">
        <v>1.26E-2</v>
      </c>
      <c r="R143" s="213">
        <f>Q143*H143</f>
        <v>0.1953</v>
      </c>
      <c r="S143" s="213">
        <v>0</v>
      </c>
      <c r="T143" s="214">
        <f>S143*H143</f>
        <v>0</v>
      </c>
      <c r="AR143" s="215" t="s">
        <v>160</v>
      </c>
      <c r="AT143" s="215" t="s">
        <v>1138</v>
      </c>
      <c r="AU143" s="215" t="s">
        <v>65</v>
      </c>
      <c r="AY143" s="103" t="s">
        <v>1102</v>
      </c>
      <c r="BE143" s="216">
        <f>IF(N143="základní",J143,0)</f>
        <v>0</v>
      </c>
      <c r="BF143" s="216">
        <f>IF(N143="snížená",J143,0)</f>
        <v>0</v>
      </c>
      <c r="BG143" s="216">
        <f>IF(N143="zákl. přenesená",J143,0)</f>
        <v>0</v>
      </c>
      <c r="BH143" s="216">
        <f>IF(N143="sníž. přenesená",J143,0)</f>
        <v>0</v>
      </c>
      <c r="BI143" s="216">
        <f>IF(N143="nulová",J143,0)</f>
        <v>0</v>
      </c>
      <c r="BJ143" s="103" t="s">
        <v>55</v>
      </c>
      <c r="BK143" s="216">
        <f>ROUND(I143*H143,2)</f>
        <v>0</v>
      </c>
      <c r="BL143" s="103" t="s">
        <v>126</v>
      </c>
      <c r="BM143" s="215" t="s">
        <v>1888</v>
      </c>
    </row>
    <row r="144" spans="2:65" s="256" customFormat="1" ht="21.75" customHeight="1" x14ac:dyDescent="0.25">
      <c r="B144" s="112"/>
      <c r="C144" s="206" t="s">
        <v>158</v>
      </c>
      <c r="D144" s="206" t="s">
        <v>1104</v>
      </c>
      <c r="E144" s="207" t="s">
        <v>1889</v>
      </c>
      <c r="F144" s="208" t="s">
        <v>1890</v>
      </c>
      <c r="G144" s="209" t="s">
        <v>104</v>
      </c>
      <c r="H144" s="210">
        <v>102</v>
      </c>
      <c r="I144" s="326"/>
      <c r="J144" s="211">
        <f>ROUND(I144*H144,2)</f>
        <v>0</v>
      </c>
      <c r="K144" s="208" t="s">
        <v>1161</v>
      </c>
      <c r="L144" s="112"/>
      <c r="M144" s="325" t="s">
        <v>1010</v>
      </c>
      <c r="N144" s="212" t="s">
        <v>1025</v>
      </c>
      <c r="P144" s="213">
        <f>O144*H144</f>
        <v>0</v>
      </c>
      <c r="Q144" s="213">
        <v>2.2000000000000001E-4</v>
      </c>
      <c r="R144" s="213">
        <f>Q144*H144</f>
        <v>2.2440000000000002E-2</v>
      </c>
      <c r="S144" s="213">
        <v>0</v>
      </c>
      <c r="T144" s="214">
        <f>S144*H144</f>
        <v>0</v>
      </c>
      <c r="AR144" s="215" t="s">
        <v>126</v>
      </c>
      <c r="AT144" s="215" t="s">
        <v>1104</v>
      </c>
      <c r="AU144" s="215" t="s">
        <v>65</v>
      </c>
      <c r="AY144" s="103" t="s">
        <v>1102</v>
      </c>
      <c r="BE144" s="216">
        <f>IF(N144="základní",J144,0)</f>
        <v>0</v>
      </c>
      <c r="BF144" s="216">
        <f>IF(N144="snížená",J144,0)</f>
        <v>0</v>
      </c>
      <c r="BG144" s="216">
        <f>IF(N144="zákl. přenesená",J144,0)</f>
        <v>0</v>
      </c>
      <c r="BH144" s="216">
        <f>IF(N144="sníž. přenesená",J144,0)</f>
        <v>0</v>
      </c>
      <c r="BI144" s="216">
        <f>IF(N144="nulová",J144,0)</f>
        <v>0</v>
      </c>
      <c r="BJ144" s="103" t="s">
        <v>55</v>
      </c>
      <c r="BK144" s="216">
        <f>ROUND(I144*H144,2)</f>
        <v>0</v>
      </c>
      <c r="BL144" s="103" t="s">
        <v>126</v>
      </c>
      <c r="BM144" s="215" t="s">
        <v>1891</v>
      </c>
    </row>
    <row r="145" spans="2:65" s="256" customFormat="1" x14ac:dyDescent="0.25">
      <c r="B145" s="112"/>
      <c r="D145" s="217" t="s">
        <v>1109</v>
      </c>
      <c r="F145" s="218" t="s">
        <v>1892</v>
      </c>
      <c r="I145" s="324"/>
      <c r="L145" s="112"/>
      <c r="M145" s="219"/>
      <c r="T145" s="128"/>
      <c r="AT145" s="103" t="s">
        <v>1109</v>
      </c>
      <c r="AU145" s="103" t="s">
        <v>65</v>
      </c>
    </row>
    <row r="146" spans="2:65" s="256" customFormat="1" ht="21.75" customHeight="1" x14ac:dyDescent="0.25">
      <c r="B146" s="112"/>
      <c r="C146" s="206" t="s">
        <v>159</v>
      </c>
      <c r="D146" s="206" t="s">
        <v>1104</v>
      </c>
      <c r="E146" s="207" t="s">
        <v>1893</v>
      </c>
      <c r="F146" s="208" t="s">
        <v>1894</v>
      </c>
      <c r="G146" s="209" t="s">
        <v>104</v>
      </c>
      <c r="H146" s="210">
        <v>32</v>
      </c>
      <c r="I146" s="326"/>
      <c r="J146" s="211">
        <f>ROUND(I146*H146,2)</f>
        <v>0</v>
      </c>
      <c r="K146" s="208" t="s">
        <v>1146</v>
      </c>
      <c r="L146" s="112"/>
      <c r="M146" s="325" t="s">
        <v>1010</v>
      </c>
      <c r="N146" s="212" t="s">
        <v>1025</v>
      </c>
      <c r="P146" s="213">
        <f>O146*H146</f>
        <v>0</v>
      </c>
      <c r="Q146" s="213">
        <v>2.7999999999999998E-4</v>
      </c>
      <c r="R146" s="213">
        <f>Q146*H146</f>
        <v>8.9599999999999992E-3</v>
      </c>
      <c r="S146" s="213">
        <v>0</v>
      </c>
      <c r="T146" s="214">
        <f>S146*H146</f>
        <v>0</v>
      </c>
      <c r="AR146" s="215" t="s">
        <v>126</v>
      </c>
      <c r="AT146" s="215" t="s">
        <v>1104</v>
      </c>
      <c r="AU146" s="215" t="s">
        <v>65</v>
      </c>
      <c r="AY146" s="103" t="s">
        <v>1102</v>
      </c>
      <c r="BE146" s="216">
        <f>IF(N146="základní",J146,0)</f>
        <v>0</v>
      </c>
      <c r="BF146" s="216">
        <f>IF(N146="snížená",J146,0)</f>
        <v>0</v>
      </c>
      <c r="BG146" s="216">
        <f>IF(N146="zákl. přenesená",J146,0)</f>
        <v>0</v>
      </c>
      <c r="BH146" s="216">
        <f>IF(N146="sníž. přenesená",J146,0)</f>
        <v>0</v>
      </c>
      <c r="BI146" s="216">
        <f>IF(N146="nulová",J146,0)</f>
        <v>0</v>
      </c>
      <c r="BJ146" s="103" t="s">
        <v>55</v>
      </c>
      <c r="BK146" s="216">
        <f>ROUND(I146*H146,2)</f>
        <v>0</v>
      </c>
      <c r="BL146" s="103" t="s">
        <v>126</v>
      </c>
      <c r="BM146" s="215" t="s">
        <v>1895</v>
      </c>
    </row>
    <row r="147" spans="2:65" s="256" customFormat="1" x14ac:dyDescent="0.25">
      <c r="B147" s="112"/>
      <c r="D147" s="217" t="s">
        <v>1109</v>
      </c>
      <c r="F147" s="218" t="s">
        <v>1896</v>
      </c>
      <c r="I147" s="324"/>
      <c r="L147" s="112"/>
      <c r="M147" s="219"/>
      <c r="T147" s="128"/>
      <c r="AT147" s="103" t="s">
        <v>1109</v>
      </c>
      <c r="AU147" s="103" t="s">
        <v>65</v>
      </c>
    </row>
    <row r="148" spans="2:65" s="256" customFormat="1" ht="24.2" customHeight="1" x14ac:dyDescent="0.25">
      <c r="B148" s="112"/>
      <c r="C148" s="206" t="s">
        <v>160</v>
      </c>
      <c r="D148" s="206" t="s">
        <v>1104</v>
      </c>
      <c r="E148" s="207" t="s">
        <v>1897</v>
      </c>
      <c r="F148" s="208" t="s">
        <v>1898</v>
      </c>
      <c r="G148" s="209" t="s">
        <v>113</v>
      </c>
      <c r="H148" s="210">
        <v>2</v>
      </c>
      <c r="I148" s="326"/>
      <c r="J148" s="211">
        <f>ROUND(I148*H148,2)</f>
        <v>0</v>
      </c>
      <c r="K148" s="208" t="s">
        <v>1146</v>
      </c>
      <c r="L148" s="112"/>
      <c r="M148" s="325" t="s">
        <v>1010</v>
      </c>
      <c r="N148" s="212" t="s">
        <v>1025</v>
      </c>
      <c r="P148" s="213">
        <f>O148*H148</f>
        <v>0</v>
      </c>
      <c r="Q148" s="213">
        <v>4.6000000000000001E-4</v>
      </c>
      <c r="R148" s="213">
        <f>Q148*H148</f>
        <v>9.2000000000000003E-4</v>
      </c>
      <c r="S148" s="213">
        <v>0</v>
      </c>
      <c r="T148" s="214">
        <f>S148*H148</f>
        <v>0</v>
      </c>
      <c r="AR148" s="215" t="s">
        <v>126</v>
      </c>
      <c r="AT148" s="215" t="s">
        <v>1104</v>
      </c>
      <c r="AU148" s="215" t="s">
        <v>65</v>
      </c>
      <c r="AY148" s="103" t="s">
        <v>1102</v>
      </c>
      <c r="BE148" s="216">
        <f>IF(N148="základní",J148,0)</f>
        <v>0</v>
      </c>
      <c r="BF148" s="216">
        <f>IF(N148="snížená",J148,0)</f>
        <v>0</v>
      </c>
      <c r="BG148" s="216">
        <f>IF(N148="zákl. přenesená",J148,0)</f>
        <v>0</v>
      </c>
      <c r="BH148" s="216">
        <f>IF(N148="sníž. přenesená",J148,0)</f>
        <v>0</v>
      </c>
      <c r="BI148" s="216">
        <f>IF(N148="nulová",J148,0)</f>
        <v>0</v>
      </c>
      <c r="BJ148" s="103" t="s">
        <v>55</v>
      </c>
      <c r="BK148" s="216">
        <f>ROUND(I148*H148,2)</f>
        <v>0</v>
      </c>
      <c r="BL148" s="103" t="s">
        <v>126</v>
      </c>
      <c r="BM148" s="215" t="s">
        <v>1899</v>
      </c>
    </row>
    <row r="149" spans="2:65" s="256" customFormat="1" x14ac:dyDescent="0.25">
      <c r="B149" s="112"/>
      <c r="D149" s="217" t="s">
        <v>1109</v>
      </c>
      <c r="F149" s="218" t="s">
        <v>1900</v>
      </c>
      <c r="I149" s="324"/>
      <c r="L149" s="112"/>
      <c r="M149" s="219"/>
      <c r="T149" s="128"/>
      <c r="AT149" s="103" t="s">
        <v>1109</v>
      </c>
      <c r="AU149" s="103" t="s">
        <v>65</v>
      </c>
    </row>
    <row r="150" spans="2:65" s="256" customFormat="1" ht="24.2" customHeight="1" x14ac:dyDescent="0.25">
      <c r="B150" s="112"/>
      <c r="C150" s="206" t="s">
        <v>161</v>
      </c>
      <c r="D150" s="206" t="s">
        <v>1104</v>
      </c>
      <c r="E150" s="207" t="s">
        <v>1901</v>
      </c>
      <c r="F150" s="208" t="s">
        <v>1902</v>
      </c>
      <c r="G150" s="209" t="s">
        <v>113</v>
      </c>
      <c r="H150" s="210">
        <v>6</v>
      </c>
      <c r="I150" s="326"/>
      <c r="J150" s="211">
        <f>ROUND(I150*H150,2)</f>
        <v>0</v>
      </c>
      <c r="K150" s="208" t="s">
        <v>1161</v>
      </c>
      <c r="L150" s="112"/>
      <c r="M150" s="325" t="s">
        <v>1010</v>
      </c>
      <c r="N150" s="212" t="s">
        <v>1025</v>
      </c>
      <c r="P150" s="213">
        <f>O150*H150</f>
        <v>0</v>
      </c>
      <c r="Q150" s="213">
        <v>8.1999999999999998E-4</v>
      </c>
      <c r="R150" s="213">
        <f>Q150*H150</f>
        <v>4.9199999999999999E-3</v>
      </c>
      <c r="S150" s="213">
        <v>0</v>
      </c>
      <c r="T150" s="214">
        <f>S150*H150</f>
        <v>0</v>
      </c>
      <c r="AR150" s="215" t="s">
        <v>76</v>
      </c>
      <c r="AT150" s="215" t="s">
        <v>1104</v>
      </c>
      <c r="AU150" s="215" t="s">
        <v>65</v>
      </c>
      <c r="AY150" s="103" t="s">
        <v>1102</v>
      </c>
      <c r="BE150" s="216">
        <f>IF(N150="základní",J150,0)</f>
        <v>0</v>
      </c>
      <c r="BF150" s="216">
        <f>IF(N150="snížená",J150,0)</f>
        <v>0</v>
      </c>
      <c r="BG150" s="216">
        <f>IF(N150="zákl. přenesená",J150,0)</f>
        <v>0</v>
      </c>
      <c r="BH150" s="216">
        <f>IF(N150="sníž. přenesená",J150,0)</f>
        <v>0</v>
      </c>
      <c r="BI150" s="216">
        <f>IF(N150="nulová",J150,0)</f>
        <v>0</v>
      </c>
      <c r="BJ150" s="103" t="s">
        <v>55</v>
      </c>
      <c r="BK150" s="216">
        <f>ROUND(I150*H150,2)</f>
        <v>0</v>
      </c>
      <c r="BL150" s="103" t="s">
        <v>76</v>
      </c>
      <c r="BM150" s="215" t="s">
        <v>1903</v>
      </c>
    </row>
    <row r="151" spans="2:65" s="256" customFormat="1" x14ac:dyDescent="0.25">
      <c r="B151" s="112"/>
      <c r="D151" s="217" t="s">
        <v>1109</v>
      </c>
      <c r="F151" s="218" t="s">
        <v>1904</v>
      </c>
      <c r="I151" s="324"/>
      <c r="L151" s="112"/>
      <c r="M151" s="219"/>
      <c r="T151" s="128"/>
      <c r="AT151" s="103" t="s">
        <v>1109</v>
      </c>
      <c r="AU151" s="103" t="s">
        <v>65</v>
      </c>
    </row>
    <row r="152" spans="2:65" s="256" customFormat="1" ht="16.5" customHeight="1" x14ac:dyDescent="0.25">
      <c r="B152" s="112"/>
      <c r="C152" s="206" t="s">
        <v>162</v>
      </c>
      <c r="D152" s="206" t="s">
        <v>1104</v>
      </c>
      <c r="E152" s="207" t="s">
        <v>1905</v>
      </c>
      <c r="F152" s="208" t="s">
        <v>1906</v>
      </c>
      <c r="G152" s="209" t="s">
        <v>113</v>
      </c>
      <c r="H152" s="210">
        <v>29</v>
      </c>
      <c r="I152" s="326"/>
      <c r="J152" s="211">
        <f>ROUND(I152*H152,2)</f>
        <v>0</v>
      </c>
      <c r="K152" s="208" t="s">
        <v>1107</v>
      </c>
      <c r="L152" s="112"/>
      <c r="M152" s="325" t="s">
        <v>1010</v>
      </c>
      <c r="N152" s="212" t="s">
        <v>1025</v>
      </c>
      <c r="P152" s="213">
        <f>O152*H152</f>
        <v>0</v>
      </c>
      <c r="Q152" s="213">
        <v>0</v>
      </c>
      <c r="R152" s="213">
        <f>Q152*H152</f>
        <v>0</v>
      </c>
      <c r="S152" s="213">
        <v>0</v>
      </c>
      <c r="T152" s="214">
        <f>S152*H152</f>
        <v>0</v>
      </c>
      <c r="AR152" s="215" t="s">
        <v>126</v>
      </c>
      <c r="AT152" s="215" t="s">
        <v>1104</v>
      </c>
      <c r="AU152" s="215" t="s">
        <v>65</v>
      </c>
      <c r="AY152" s="103" t="s">
        <v>1102</v>
      </c>
      <c r="BE152" s="216">
        <f>IF(N152="základní",J152,0)</f>
        <v>0</v>
      </c>
      <c r="BF152" s="216">
        <f>IF(N152="snížená",J152,0)</f>
        <v>0</v>
      </c>
      <c r="BG152" s="216">
        <f>IF(N152="zákl. přenesená",J152,0)</f>
        <v>0</v>
      </c>
      <c r="BH152" s="216">
        <f>IF(N152="sníž. přenesená",J152,0)</f>
        <v>0</v>
      </c>
      <c r="BI152" s="216">
        <f>IF(N152="nulová",J152,0)</f>
        <v>0</v>
      </c>
      <c r="BJ152" s="103" t="s">
        <v>55</v>
      </c>
      <c r="BK152" s="216">
        <f>ROUND(I152*H152,2)</f>
        <v>0</v>
      </c>
      <c r="BL152" s="103" t="s">
        <v>126</v>
      </c>
      <c r="BM152" s="215" t="s">
        <v>1907</v>
      </c>
    </row>
    <row r="153" spans="2:65" s="256" customFormat="1" x14ac:dyDescent="0.25">
      <c r="B153" s="112"/>
      <c r="D153" s="217" t="s">
        <v>1109</v>
      </c>
      <c r="F153" s="218" t="s">
        <v>1908</v>
      </c>
      <c r="I153" s="324"/>
      <c r="L153" s="112"/>
      <c r="M153" s="219"/>
      <c r="T153" s="128"/>
      <c r="AT153" s="103" t="s">
        <v>1109</v>
      </c>
      <c r="AU153" s="103" t="s">
        <v>65</v>
      </c>
    </row>
    <row r="154" spans="2:65" s="256" customFormat="1" ht="24.2" customHeight="1" x14ac:dyDescent="0.25">
      <c r="B154" s="112"/>
      <c r="C154" s="206" t="s">
        <v>163</v>
      </c>
      <c r="D154" s="206" t="s">
        <v>1104</v>
      </c>
      <c r="E154" s="207" t="s">
        <v>1909</v>
      </c>
      <c r="F154" s="208" t="s">
        <v>1910</v>
      </c>
      <c r="G154" s="209" t="s">
        <v>1125</v>
      </c>
      <c r="H154" s="210">
        <v>0.66900000000000004</v>
      </c>
      <c r="I154" s="326"/>
      <c r="J154" s="211">
        <f>ROUND(I154*H154,2)</f>
        <v>0</v>
      </c>
      <c r="K154" s="208" t="s">
        <v>1107</v>
      </c>
      <c r="L154" s="112"/>
      <c r="M154" s="325" t="s">
        <v>1010</v>
      </c>
      <c r="N154" s="212" t="s">
        <v>1025</v>
      </c>
      <c r="P154" s="213">
        <f>O154*H154</f>
        <v>0</v>
      </c>
      <c r="Q154" s="213">
        <v>0</v>
      </c>
      <c r="R154" s="213">
        <f>Q154*H154</f>
        <v>0</v>
      </c>
      <c r="S154" s="213">
        <v>0</v>
      </c>
      <c r="T154" s="214">
        <f>S154*H154</f>
        <v>0</v>
      </c>
      <c r="AR154" s="215" t="s">
        <v>126</v>
      </c>
      <c r="AT154" s="215" t="s">
        <v>1104</v>
      </c>
      <c r="AU154" s="215" t="s">
        <v>65</v>
      </c>
      <c r="AY154" s="103" t="s">
        <v>1102</v>
      </c>
      <c r="BE154" s="216">
        <f>IF(N154="základní",J154,0)</f>
        <v>0</v>
      </c>
      <c r="BF154" s="216">
        <f>IF(N154="snížená",J154,0)</f>
        <v>0</v>
      </c>
      <c r="BG154" s="216">
        <f>IF(N154="zákl. přenesená",J154,0)</f>
        <v>0</v>
      </c>
      <c r="BH154" s="216">
        <f>IF(N154="sníž. přenesená",J154,0)</f>
        <v>0</v>
      </c>
      <c r="BI154" s="216">
        <f>IF(N154="nulová",J154,0)</f>
        <v>0</v>
      </c>
      <c r="BJ154" s="103" t="s">
        <v>55</v>
      </c>
      <c r="BK154" s="216">
        <f>ROUND(I154*H154,2)</f>
        <v>0</v>
      </c>
      <c r="BL154" s="103" t="s">
        <v>126</v>
      </c>
      <c r="BM154" s="215" t="s">
        <v>1911</v>
      </c>
    </row>
    <row r="155" spans="2:65" s="256" customFormat="1" x14ac:dyDescent="0.25">
      <c r="B155" s="112"/>
      <c r="D155" s="217" t="s">
        <v>1109</v>
      </c>
      <c r="F155" s="218" t="s">
        <v>1912</v>
      </c>
      <c r="I155" s="324"/>
      <c r="L155" s="112"/>
      <c r="M155" s="219"/>
      <c r="T155" s="128"/>
      <c r="AT155" s="103" t="s">
        <v>1109</v>
      </c>
      <c r="AU155" s="103" t="s">
        <v>65</v>
      </c>
    </row>
    <row r="156" spans="2:65" s="256" customFormat="1" ht="24.2" customHeight="1" x14ac:dyDescent="0.25">
      <c r="B156" s="112"/>
      <c r="C156" s="206" t="s">
        <v>164</v>
      </c>
      <c r="D156" s="206" t="s">
        <v>1104</v>
      </c>
      <c r="E156" s="207" t="s">
        <v>1913</v>
      </c>
      <c r="F156" s="208" t="s">
        <v>1914</v>
      </c>
      <c r="G156" s="209" t="s">
        <v>1125</v>
      </c>
      <c r="H156" s="210">
        <v>0.66900000000000004</v>
      </c>
      <c r="I156" s="326"/>
      <c r="J156" s="211">
        <f>ROUND(I156*H156,2)</f>
        <v>0</v>
      </c>
      <c r="K156" s="208" t="s">
        <v>1107</v>
      </c>
      <c r="L156" s="112"/>
      <c r="M156" s="325" t="s">
        <v>1010</v>
      </c>
      <c r="N156" s="212" t="s">
        <v>1025</v>
      </c>
      <c r="P156" s="213">
        <f>O156*H156</f>
        <v>0</v>
      </c>
      <c r="Q156" s="213">
        <v>0</v>
      </c>
      <c r="R156" s="213">
        <f>Q156*H156</f>
        <v>0</v>
      </c>
      <c r="S156" s="213">
        <v>0</v>
      </c>
      <c r="T156" s="214">
        <f>S156*H156</f>
        <v>0</v>
      </c>
      <c r="AR156" s="215" t="s">
        <v>126</v>
      </c>
      <c r="AT156" s="215" t="s">
        <v>1104</v>
      </c>
      <c r="AU156" s="215" t="s">
        <v>65</v>
      </c>
      <c r="AY156" s="103" t="s">
        <v>1102</v>
      </c>
      <c r="BE156" s="216">
        <f>IF(N156="základní",J156,0)</f>
        <v>0</v>
      </c>
      <c r="BF156" s="216">
        <f>IF(N156="snížená",J156,0)</f>
        <v>0</v>
      </c>
      <c r="BG156" s="216">
        <f>IF(N156="zákl. přenesená",J156,0)</f>
        <v>0</v>
      </c>
      <c r="BH156" s="216">
        <f>IF(N156="sníž. přenesená",J156,0)</f>
        <v>0</v>
      </c>
      <c r="BI156" s="216">
        <f>IF(N156="nulová",J156,0)</f>
        <v>0</v>
      </c>
      <c r="BJ156" s="103" t="s">
        <v>55</v>
      </c>
      <c r="BK156" s="216">
        <f>ROUND(I156*H156,2)</f>
        <v>0</v>
      </c>
      <c r="BL156" s="103" t="s">
        <v>126</v>
      </c>
      <c r="BM156" s="215" t="s">
        <v>1915</v>
      </c>
    </row>
    <row r="157" spans="2:65" s="256" customFormat="1" x14ac:dyDescent="0.25">
      <c r="B157" s="112"/>
      <c r="D157" s="217" t="s">
        <v>1109</v>
      </c>
      <c r="F157" s="218" t="s">
        <v>1916</v>
      </c>
      <c r="I157" s="324"/>
      <c r="L157" s="112"/>
      <c r="M157" s="236"/>
      <c r="N157" s="237"/>
      <c r="O157" s="237"/>
      <c r="P157" s="237"/>
      <c r="Q157" s="237"/>
      <c r="R157" s="237"/>
      <c r="S157" s="237"/>
      <c r="T157" s="238"/>
      <c r="AT157" s="103" t="s">
        <v>1109</v>
      </c>
      <c r="AU157" s="103" t="s">
        <v>65</v>
      </c>
    </row>
    <row r="158" spans="2:65" s="256" customFormat="1" ht="6.95" customHeight="1" x14ac:dyDescent="0.25">
      <c r="B158" s="118"/>
      <c r="C158" s="119"/>
      <c r="D158" s="119"/>
      <c r="E158" s="119"/>
      <c r="F158" s="119"/>
      <c r="G158" s="119"/>
      <c r="H158" s="119"/>
      <c r="I158" s="119"/>
      <c r="J158" s="119"/>
      <c r="K158" s="119"/>
      <c r="L158" s="112"/>
    </row>
  </sheetData>
  <sheetProtection algorithmName="SHA-512" hashValue="Tpn9nIqG+H5D4VogydRmUfbkejUvqunC2V0bIW+M31Cs49BYFdLaPxzESe2O//UFgAoGHpfbe9JMGOIXm++R6Q==" saltValue="SK333+00Zl7odn9kj52rEKvwvouless3d2Gfr7GKZW8MaeDQ3JjYJgkWeep4Kk2UchzR4iuT4OJZuORSir9MVA==" spinCount="100000" sheet="1" objects="1" scenarios="1" formatColumns="0" formatRows="0" autoFilter="0"/>
  <autoFilter ref="C85:K157" xr:uid="{00000000-0009-0000-0000-000003000000}"/>
  <mergeCells count="9">
    <mergeCell ref="E50:H50"/>
    <mergeCell ref="E76:H76"/>
    <mergeCell ref="E78:H78"/>
    <mergeCell ref="L2:V2"/>
    <mergeCell ref="E7:H7"/>
    <mergeCell ref="E9:H9"/>
    <mergeCell ref="E18:H18"/>
    <mergeCell ref="E27:H27"/>
    <mergeCell ref="E48:H48"/>
  </mergeCells>
  <hyperlinks>
    <hyperlink ref="F90" r:id="rId1" xr:uid="{6821B8DC-3A3F-4EF2-A5B4-D781F5995734}"/>
    <hyperlink ref="F92" r:id="rId2" xr:uid="{D14EA69D-FE3B-40E3-91FD-2F92C4156E42}"/>
    <hyperlink ref="F94" r:id="rId3" xr:uid="{B5CB9C75-07F5-4188-AC37-4854DAB1F007}"/>
    <hyperlink ref="F96" r:id="rId4" xr:uid="{CEB266C9-EF06-4110-82A1-CE626077A63E}"/>
    <hyperlink ref="F99" r:id="rId5" xr:uid="{824E5D53-536D-4391-BE8C-E4EA949D6776}"/>
    <hyperlink ref="F101" r:id="rId6" xr:uid="{BBC66D58-CDA3-4E83-B87A-F77DBE1A25C0}"/>
    <hyperlink ref="F103" r:id="rId7" xr:uid="{EBFA6617-16DD-4F58-A45F-AC1A93B7EDF6}"/>
    <hyperlink ref="F106" r:id="rId8" xr:uid="{B54F3AB0-193E-42BD-9A15-CB0F68101DCA}"/>
    <hyperlink ref="F109" r:id="rId9" xr:uid="{24716B71-D288-47D2-8887-3C0AF2803B11}"/>
    <hyperlink ref="F111" r:id="rId10" xr:uid="{89A5E273-C427-4A87-85BD-928F73DDC526}"/>
    <hyperlink ref="F113" r:id="rId11" xr:uid="{58A59BE8-E1BD-4972-9160-BCC3961BF7F0}"/>
    <hyperlink ref="F116" r:id="rId12" xr:uid="{148DDCFD-9025-4888-9FB5-1E2D1891B987}"/>
    <hyperlink ref="F118" r:id="rId13" xr:uid="{F0A4FB33-69E5-4B7E-AE2E-0152AA2AA8F5}"/>
    <hyperlink ref="F121" r:id="rId14" xr:uid="{B6CDE077-C5D5-4C8D-8A7F-5172D0E84254}"/>
    <hyperlink ref="F125" r:id="rId15" xr:uid="{3A2601F7-67BE-44DA-9A1C-9DFD377612B2}"/>
    <hyperlink ref="F128" r:id="rId16" xr:uid="{95C45419-FD50-4EDF-9F60-7F483306A20C}"/>
    <hyperlink ref="F130" r:id="rId17" xr:uid="{0B8A3B2E-39EF-4078-B600-A3215AE8ADA3}"/>
    <hyperlink ref="F134" r:id="rId18" xr:uid="{A240C7F5-1AF5-45AB-B153-62CE7F994F66}"/>
    <hyperlink ref="F138" r:id="rId19" xr:uid="{8A415045-B6B7-4A5C-AC6C-D4FAA1410F2D}"/>
    <hyperlink ref="F142" r:id="rId20" xr:uid="{A6E241AF-1FF9-4ADD-B87C-5BEA31C865B3}"/>
    <hyperlink ref="F145" r:id="rId21" xr:uid="{3CBF18B2-C7AD-473C-84E9-10BF2B12AE9C}"/>
    <hyperlink ref="F147" r:id="rId22" xr:uid="{E6690654-5BCA-45A9-9663-DB4AA80BF1F6}"/>
    <hyperlink ref="F149" r:id="rId23" xr:uid="{C281B13F-2E44-4E5D-BF0F-E4FA70376B19}"/>
    <hyperlink ref="F151" r:id="rId24" xr:uid="{D47EFB34-9B38-47D4-B1CB-A4F86E90C4D7}"/>
    <hyperlink ref="F153" r:id="rId25" xr:uid="{B1930751-81D7-4B36-A44F-7180FCBEC1EB}"/>
    <hyperlink ref="F155" r:id="rId26" xr:uid="{D6B3074F-1D49-4B98-8EFA-3976167DC7E8}"/>
    <hyperlink ref="F157" r:id="rId27" xr:uid="{151667A2-4E6A-4D03-A6A3-56839675B767}"/>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2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E5AFC-AA65-4955-9626-51ED1A6261F7}">
  <sheetPr>
    <pageSetUpPr fitToPage="1"/>
  </sheetPr>
  <dimension ref="B2:BM262"/>
  <sheetViews>
    <sheetView showGridLines="0" workbookViewId="0">
      <selection activeCell="W33" sqref="W33:AE33"/>
    </sheetView>
  </sheetViews>
  <sheetFormatPr defaultRowHeight="11.25" x14ac:dyDescent="0.2"/>
  <cols>
    <col min="1" max="1" width="7.140625" style="251" customWidth="1"/>
    <col min="2" max="2" width="1" style="251" customWidth="1"/>
    <col min="3" max="3" width="3.5703125" style="251" customWidth="1"/>
    <col min="4" max="4" width="3.7109375" style="251" customWidth="1"/>
    <col min="5" max="5" width="14.7109375" style="251" customWidth="1"/>
    <col min="6" max="6" width="86.42578125" style="251" customWidth="1"/>
    <col min="7" max="7" width="6.42578125" style="251" customWidth="1"/>
    <col min="8" max="8" width="12" style="251" customWidth="1"/>
    <col min="9" max="9" width="13.5703125" style="251" customWidth="1"/>
    <col min="10" max="11" width="19.140625" style="251" customWidth="1"/>
    <col min="12" max="12" width="8" style="251" customWidth="1"/>
    <col min="13" max="13" width="9.28515625" style="251" hidden="1" customWidth="1"/>
    <col min="14" max="14" width="9.140625" style="251"/>
    <col min="15" max="20" width="12.140625" style="251" hidden="1" customWidth="1"/>
    <col min="21" max="21" width="14" style="251" hidden="1" customWidth="1"/>
    <col min="22" max="22" width="10.5703125" style="251" customWidth="1"/>
    <col min="23" max="23" width="14" style="251" customWidth="1"/>
    <col min="24" max="24" width="10.5703125" style="251" customWidth="1"/>
    <col min="25" max="25" width="12.85546875" style="251" customWidth="1"/>
    <col min="26" max="26" width="9.42578125" style="251" customWidth="1"/>
    <col min="27" max="27" width="12.85546875" style="251" customWidth="1"/>
    <col min="28" max="28" width="14" style="251" customWidth="1"/>
    <col min="29" max="29" width="9.42578125" style="251" customWidth="1"/>
    <col min="30" max="30" width="12.85546875" style="251" customWidth="1"/>
    <col min="31" max="31" width="14" style="251" customWidth="1"/>
    <col min="32" max="16384" width="9.140625" style="251"/>
  </cols>
  <sheetData>
    <row r="2" spans="2:46" ht="36.950000000000003" customHeight="1" x14ac:dyDescent="0.2">
      <c r="L2" s="415"/>
      <c r="M2" s="415"/>
      <c r="N2" s="415"/>
      <c r="O2" s="415"/>
      <c r="P2" s="415"/>
      <c r="Q2" s="415"/>
      <c r="R2" s="415"/>
      <c r="S2" s="415"/>
      <c r="T2" s="415"/>
      <c r="U2" s="415"/>
      <c r="V2" s="415"/>
      <c r="AT2" s="103" t="s">
        <v>1068</v>
      </c>
    </row>
    <row r="3" spans="2:46" ht="6.95" customHeight="1" x14ac:dyDescent="0.2">
      <c r="B3" s="104"/>
      <c r="C3" s="105"/>
      <c r="D3" s="105"/>
      <c r="E3" s="105"/>
      <c r="F3" s="105"/>
      <c r="G3" s="105"/>
      <c r="H3" s="105"/>
      <c r="I3" s="105"/>
      <c r="J3" s="105"/>
      <c r="K3" s="105"/>
      <c r="L3" s="106"/>
      <c r="AT3" s="103" t="s">
        <v>65</v>
      </c>
    </row>
    <row r="4" spans="2:46" ht="24.95" customHeight="1" x14ac:dyDescent="0.2">
      <c r="B4" s="106"/>
      <c r="D4" s="107" t="s">
        <v>1069</v>
      </c>
      <c r="L4" s="106"/>
      <c r="M4" s="160" t="s">
        <v>1003</v>
      </c>
      <c r="AT4" s="103" t="s">
        <v>999</v>
      </c>
    </row>
    <row r="5" spans="2:46" ht="6.95" customHeight="1" x14ac:dyDescent="0.2">
      <c r="B5" s="106"/>
      <c r="L5" s="106"/>
    </row>
    <row r="6" spans="2:46" ht="12" customHeight="1" x14ac:dyDescent="0.2">
      <c r="B6" s="106"/>
      <c r="D6" s="257" t="s">
        <v>1007</v>
      </c>
      <c r="L6" s="106"/>
    </row>
    <row r="7" spans="2:46" ht="16.5" customHeight="1" x14ac:dyDescent="0.2">
      <c r="B7" s="106"/>
      <c r="E7" s="413" t="str">
        <f>'03 TZBRekapitulace stavby'!K6</f>
        <v>Rekonstrukce administrativní budovy</v>
      </c>
      <c r="F7" s="414"/>
      <c r="G7" s="414"/>
      <c r="H7" s="414"/>
      <c r="L7" s="106"/>
    </row>
    <row r="8" spans="2:46" s="256" customFormat="1" ht="12" customHeight="1" x14ac:dyDescent="0.25">
      <c r="B8" s="112"/>
      <c r="D8" s="257" t="s">
        <v>1070</v>
      </c>
      <c r="L8" s="112"/>
    </row>
    <row r="9" spans="2:46" s="256" customFormat="1" ht="16.5" customHeight="1" x14ac:dyDescent="0.25">
      <c r="B9" s="112"/>
      <c r="E9" s="411" t="s">
        <v>1917</v>
      </c>
      <c r="F9" s="412"/>
      <c r="G9" s="412"/>
      <c r="H9" s="412"/>
      <c r="L9" s="112"/>
    </row>
    <row r="10" spans="2:46" s="256" customFormat="1" x14ac:dyDescent="0.25">
      <c r="B10" s="112"/>
      <c r="L10" s="112"/>
    </row>
    <row r="11" spans="2:46" s="256" customFormat="1" ht="12" customHeight="1" x14ac:dyDescent="0.25">
      <c r="B11" s="112"/>
      <c r="D11" s="257" t="s">
        <v>1009</v>
      </c>
      <c r="F11" s="252" t="s">
        <v>1010</v>
      </c>
      <c r="I11" s="257" t="s">
        <v>1011</v>
      </c>
      <c r="J11" s="252" t="s">
        <v>1010</v>
      </c>
      <c r="L11" s="112"/>
    </row>
    <row r="12" spans="2:46" s="256" customFormat="1" ht="12" customHeight="1" x14ac:dyDescent="0.25">
      <c r="B12" s="112"/>
      <c r="D12" s="257" t="s">
        <v>1012</v>
      </c>
      <c r="F12" s="252" t="s">
        <v>35</v>
      </c>
      <c r="I12" s="257" t="s">
        <v>673</v>
      </c>
      <c r="J12" s="245" t="str">
        <f>'03 TZBRekapitulace stavby'!AN8</f>
        <v>31. 1. 2022</v>
      </c>
      <c r="L12" s="112"/>
    </row>
    <row r="13" spans="2:46" s="256" customFormat="1" ht="10.9" customHeight="1" x14ac:dyDescent="0.25">
      <c r="B13" s="112"/>
      <c r="L13" s="112"/>
    </row>
    <row r="14" spans="2:46" s="256" customFormat="1" ht="12" customHeight="1" x14ac:dyDescent="0.25">
      <c r="B14" s="112"/>
      <c r="D14" s="257" t="s">
        <v>1014</v>
      </c>
      <c r="I14" s="257" t="s">
        <v>1015</v>
      </c>
      <c r="J14" s="252" t="str">
        <f>IF('03 TZBRekapitulace stavby'!AN10="","",'03 TZBRekapitulace stavby'!AN10)</f>
        <v/>
      </c>
      <c r="L14" s="112"/>
    </row>
    <row r="15" spans="2:46" s="256" customFormat="1" ht="18" customHeight="1" x14ac:dyDescent="0.25">
      <c r="B15" s="112"/>
      <c r="E15" s="252" t="str">
        <f>IF('03 TZBRekapitulace stavby'!E11="","",'03 TZBRekapitulace stavby'!E11)</f>
        <v xml:space="preserve"> </v>
      </c>
      <c r="I15" s="257" t="s">
        <v>1016</v>
      </c>
      <c r="J15" s="252" t="str">
        <f>IF('03 TZBRekapitulace stavby'!AN11="","",'03 TZBRekapitulace stavby'!AN11)</f>
        <v/>
      </c>
      <c r="L15" s="112"/>
    </row>
    <row r="16" spans="2:46" s="256" customFormat="1" ht="6.95" customHeight="1" x14ac:dyDescent="0.25">
      <c r="B16" s="112"/>
      <c r="L16" s="112"/>
    </row>
    <row r="17" spans="2:12" s="256" customFormat="1" ht="12" customHeight="1" x14ac:dyDescent="0.25">
      <c r="B17" s="112"/>
      <c r="D17" s="257" t="s">
        <v>2317</v>
      </c>
      <c r="I17" s="257" t="s">
        <v>1015</v>
      </c>
      <c r="J17" s="331" t="str">
        <f>'03 TZBRekapitulace stavby'!AN13</f>
        <v>Vyplň údaj</v>
      </c>
      <c r="L17" s="112"/>
    </row>
    <row r="18" spans="2:12" s="256" customFormat="1" ht="18" customHeight="1" x14ac:dyDescent="0.25">
      <c r="B18" s="112"/>
      <c r="E18" s="416" t="str">
        <f>'03 TZBRekapitulace stavby'!E14</f>
        <v>Vyplň údaj</v>
      </c>
      <c r="F18" s="417"/>
      <c r="G18" s="417"/>
      <c r="H18" s="417"/>
      <c r="I18" s="257" t="s">
        <v>1016</v>
      </c>
      <c r="J18" s="331" t="str">
        <f>'03 TZBRekapitulace stavby'!AN14</f>
        <v>Vyplň údaj</v>
      </c>
      <c r="L18" s="112"/>
    </row>
    <row r="19" spans="2:12" s="256" customFormat="1" ht="6.95" customHeight="1" x14ac:dyDescent="0.25">
      <c r="B19" s="112"/>
      <c r="L19" s="112"/>
    </row>
    <row r="20" spans="2:12" s="256" customFormat="1" ht="12" customHeight="1" x14ac:dyDescent="0.25">
      <c r="B20" s="112"/>
      <c r="D20" s="257" t="s">
        <v>14</v>
      </c>
      <c r="I20" s="257" t="s">
        <v>1015</v>
      </c>
      <c r="J20" s="252" t="str">
        <f>IF('03 TZBRekapitulace stavby'!AN16="","",'03 TZBRekapitulace stavby'!AN16)</f>
        <v/>
      </c>
      <c r="L20" s="112"/>
    </row>
    <row r="21" spans="2:12" s="256" customFormat="1" ht="18" customHeight="1" x14ac:dyDescent="0.25">
      <c r="B21" s="112"/>
      <c r="E21" s="252" t="str">
        <f>IF('03 TZBRekapitulace stavby'!E17="","",'03 TZBRekapitulace stavby'!E17)</f>
        <v xml:space="preserve"> </v>
      </c>
      <c r="I21" s="257" t="s">
        <v>1016</v>
      </c>
      <c r="J21" s="252" t="str">
        <f>IF('03 TZBRekapitulace stavby'!AN17="","",'03 TZBRekapitulace stavby'!AN17)</f>
        <v/>
      </c>
      <c r="L21" s="112"/>
    </row>
    <row r="22" spans="2:12" s="256" customFormat="1" ht="6.95" customHeight="1" x14ac:dyDescent="0.25">
      <c r="B22" s="112"/>
      <c r="L22" s="112"/>
    </row>
    <row r="23" spans="2:12" s="256" customFormat="1" ht="12" customHeight="1" x14ac:dyDescent="0.25">
      <c r="B23" s="112"/>
      <c r="D23" s="257" t="s">
        <v>1018</v>
      </c>
      <c r="I23" s="257" t="s">
        <v>1015</v>
      </c>
      <c r="J23" s="252" t="str">
        <f>IF('03 TZBRekapitulace stavby'!AN19="","",'03 TZBRekapitulace stavby'!AN19)</f>
        <v/>
      </c>
      <c r="L23" s="112"/>
    </row>
    <row r="24" spans="2:12" s="256" customFormat="1" ht="18" customHeight="1" x14ac:dyDescent="0.25">
      <c r="B24" s="112"/>
      <c r="E24" s="252" t="str">
        <f>IF('03 TZBRekapitulace stavby'!E20="","",'03 TZBRekapitulace stavby'!E20)</f>
        <v xml:space="preserve"> </v>
      </c>
      <c r="I24" s="257" t="s">
        <v>1016</v>
      </c>
      <c r="J24" s="252" t="str">
        <f>IF('03 TZBRekapitulace stavby'!AN20="","",'03 TZBRekapitulace stavby'!AN20)</f>
        <v/>
      </c>
      <c r="L24" s="112"/>
    </row>
    <row r="25" spans="2:12" s="256" customFormat="1" ht="6.95" customHeight="1" x14ac:dyDescent="0.25">
      <c r="B25" s="112"/>
      <c r="L25" s="112"/>
    </row>
    <row r="26" spans="2:12" s="256" customFormat="1" ht="12" customHeight="1" x14ac:dyDescent="0.25">
      <c r="B26" s="112"/>
      <c r="D26" s="257" t="s">
        <v>669</v>
      </c>
      <c r="L26" s="112"/>
    </row>
    <row r="27" spans="2:12" s="161" customFormat="1" ht="16.5" customHeight="1" x14ac:dyDescent="0.25">
      <c r="B27" s="162"/>
      <c r="E27" s="418" t="s">
        <v>1010</v>
      </c>
      <c r="F27" s="418"/>
      <c r="G27" s="418"/>
      <c r="H27" s="418"/>
      <c r="L27" s="162"/>
    </row>
    <row r="28" spans="2:12" s="256" customFormat="1" ht="6.95" customHeight="1" x14ac:dyDescent="0.25">
      <c r="B28" s="112"/>
      <c r="L28" s="112"/>
    </row>
    <row r="29" spans="2:12" s="256" customFormat="1" ht="6.95" customHeight="1" x14ac:dyDescent="0.25">
      <c r="B29" s="112"/>
      <c r="D29" s="126"/>
      <c r="E29" s="126"/>
      <c r="F29" s="126"/>
      <c r="G29" s="126"/>
      <c r="H29" s="126"/>
      <c r="I29" s="126"/>
      <c r="J29" s="126"/>
      <c r="K29" s="126"/>
      <c r="L29" s="112"/>
    </row>
    <row r="30" spans="2:12" s="256" customFormat="1" ht="25.35" customHeight="1" x14ac:dyDescent="0.25">
      <c r="B30" s="112"/>
      <c r="D30" s="163" t="s">
        <v>1020</v>
      </c>
      <c r="J30" s="244">
        <f>ROUND(J91, 2)</f>
        <v>0</v>
      </c>
      <c r="L30" s="112"/>
    </row>
    <row r="31" spans="2:12" s="256" customFormat="1" ht="6.95" customHeight="1" x14ac:dyDescent="0.25">
      <c r="B31" s="112"/>
      <c r="D31" s="126"/>
      <c r="E31" s="126"/>
      <c r="F31" s="126"/>
      <c r="G31" s="126"/>
      <c r="H31" s="126"/>
      <c r="I31" s="126"/>
      <c r="J31" s="126"/>
      <c r="K31" s="126"/>
      <c r="L31" s="112"/>
    </row>
    <row r="32" spans="2:12" s="256" customFormat="1" ht="14.45" customHeight="1" x14ac:dyDescent="0.25">
      <c r="B32" s="112"/>
      <c r="F32" s="255" t="s">
        <v>1022</v>
      </c>
      <c r="I32" s="255" t="s">
        <v>1021</v>
      </c>
      <c r="J32" s="255" t="s">
        <v>1023</v>
      </c>
      <c r="L32" s="112"/>
    </row>
    <row r="33" spans="2:12" s="256" customFormat="1" ht="14.45" customHeight="1" x14ac:dyDescent="0.25">
      <c r="B33" s="112"/>
      <c r="D33" s="247" t="s">
        <v>1024</v>
      </c>
      <c r="E33" s="257" t="s">
        <v>1025</v>
      </c>
      <c r="F33" s="164">
        <f>ROUND((SUM(BE91:BE261)),  2)</f>
        <v>0</v>
      </c>
      <c r="I33" s="165">
        <v>0.21</v>
      </c>
      <c r="J33" s="164">
        <f>ROUND(((SUM(BE91:BE261))*I33),  2)</f>
        <v>0</v>
      </c>
      <c r="L33" s="112"/>
    </row>
    <row r="34" spans="2:12" s="256" customFormat="1" ht="14.45" customHeight="1" x14ac:dyDescent="0.25">
      <c r="B34" s="112"/>
      <c r="E34" s="257" t="s">
        <v>1026</v>
      </c>
      <c r="F34" s="164">
        <f>ROUND((SUM(BF91:BF261)),  2)</f>
        <v>0</v>
      </c>
      <c r="I34" s="165">
        <v>0.15</v>
      </c>
      <c r="J34" s="164">
        <f>ROUND(((SUM(BF91:BF261))*I34),  2)</f>
        <v>0</v>
      </c>
      <c r="L34" s="112"/>
    </row>
    <row r="35" spans="2:12" s="256" customFormat="1" ht="14.45" hidden="1" customHeight="1" x14ac:dyDescent="0.25">
      <c r="B35" s="112"/>
      <c r="E35" s="257" t="s">
        <v>1027</v>
      </c>
      <c r="F35" s="164">
        <f>ROUND((SUM(BG91:BG261)),  2)</f>
        <v>0</v>
      </c>
      <c r="I35" s="165">
        <v>0.21</v>
      </c>
      <c r="J35" s="164">
        <f>0</f>
        <v>0</v>
      </c>
      <c r="L35" s="112"/>
    </row>
    <row r="36" spans="2:12" s="256" customFormat="1" ht="14.45" hidden="1" customHeight="1" x14ac:dyDescent="0.25">
      <c r="B36" s="112"/>
      <c r="E36" s="257" t="s">
        <v>1028</v>
      </c>
      <c r="F36" s="164">
        <f>ROUND((SUM(BH91:BH261)),  2)</f>
        <v>0</v>
      </c>
      <c r="I36" s="165">
        <v>0.15</v>
      </c>
      <c r="J36" s="164">
        <f>0</f>
        <v>0</v>
      </c>
      <c r="L36" s="112"/>
    </row>
    <row r="37" spans="2:12" s="256" customFormat="1" ht="14.45" hidden="1" customHeight="1" x14ac:dyDescent="0.25">
      <c r="B37" s="112"/>
      <c r="E37" s="257" t="s">
        <v>1029</v>
      </c>
      <c r="F37" s="164">
        <f>ROUND((SUM(BI91:BI261)),  2)</f>
        <v>0</v>
      </c>
      <c r="I37" s="165">
        <v>0</v>
      </c>
      <c r="J37" s="164">
        <f>0</f>
        <v>0</v>
      </c>
      <c r="L37" s="112"/>
    </row>
    <row r="38" spans="2:12" s="256" customFormat="1" ht="6.95" customHeight="1" x14ac:dyDescent="0.25">
      <c r="B38" s="112"/>
      <c r="L38" s="112"/>
    </row>
    <row r="39" spans="2:12" s="256" customFormat="1" ht="25.35" customHeight="1" x14ac:dyDescent="0.25">
      <c r="B39" s="112"/>
      <c r="C39" s="166"/>
      <c r="D39" s="167" t="s">
        <v>1030</v>
      </c>
      <c r="E39" s="129"/>
      <c r="F39" s="129"/>
      <c r="G39" s="168" t="s">
        <v>1031</v>
      </c>
      <c r="H39" s="169" t="s">
        <v>1032</v>
      </c>
      <c r="I39" s="129"/>
      <c r="J39" s="170">
        <f>SUM(J30:J37)</f>
        <v>0</v>
      </c>
      <c r="K39" s="171"/>
      <c r="L39" s="112"/>
    </row>
    <row r="40" spans="2:12" s="256" customFormat="1" ht="14.45" customHeight="1" x14ac:dyDescent="0.25">
      <c r="B40" s="118"/>
      <c r="C40" s="119"/>
      <c r="D40" s="119"/>
      <c r="E40" s="119"/>
      <c r="F40" s="119"/>
      <c r="G40" s="119"/>
      <c r="H40" s="119"/>
      <c r="I40" s="119"/>
      <c r="J40" s="119"/>
      <c r="K40" s="119"/>
      <c r="L40" s="112"/>
    </row>
    <row r="44" spans="2:12" s="256" customFormat="1" ht="6.95" customHeight="1" x14ac:dyDescent="0.25">
      <c r="B44" s="120"/>
      <c r="C44" s="121"/>
      <c r="D44" s="121"/>
      <c r="E44" s="121"/>
      <c r="F44" s="121"/>
      <c r="G44" s="121"/>
      <c r="H44" s="121"/>
      <c r="I44" s="121"/>
      <c r="J44" s="121"/>
      <c r="K44" s="121"/>
      <c r="L44" s="112"/>
    </row>
    <row r="45" spans="2:12" s="256" customFormat="1" ht="24.95" customHeight="1" x14ac:dyDescent="0.25">
      <c r="B45" s="112"/>
      <c r="C45" s="107" t="s">
        <v>1072</v>
      </c>
      <c r="L45" s="112"/>
    </row>
    <row r="46" spans="2:12" s="256" customFormat="1" ht="6.95" customHeight="1" x14ac:dyDescent="0.25">
      <c r="B46" s="112"/>
      <c r="L46" s="112"/>
    </row>
    <row r="47" spans="2:12" s="256" customFormat="1" ht="12" customHeight="1" x14ac:dyDescent="0.25">
      <c r="B47" s="112"/>
      <c r="C47" s="257" t="s">
        <v>1007</v>
      </c>
      <c r="L47" s="112"/>
    </row>
    <row r="48" spans="2:12" s="256" customFormat="1" ht="16.5" customHeight="1" x14ac:dyDescent="0.25">
      <c r="B48" s="112"/>
      <c r="E48" s="413" t="str">
        <f>E7</f>
        <v>Rekonstrukce administrativní budovy</v>
      </c>
      <c r="F48" s="414"/>
      <c r="G48" s="414"/>
      <c r="H48" s="414"/>
      <c r="L48" s="112"/>
    </row>
    <row r="49" spans="2:47" s="256" customFormat="1" ht="12" customHeight="1" x14ac:dyDescent="0.25">
      <c r="B49" s="112"/>
      <c r="C49" s="257" t="s">
        <v>1070</v>
      </c>
      <c r="L49" s="112"/>
    </row>
    <row r="50" spans="2:47" s="256" customFormat="1" ht="16.5" customHeight="1" x14ac:dyDescent="0.25">
      <c r="B50" s="112"/>
      <c r="E50" s="411" t="str">
        <f>E9</f>
        <v>D14d - Vytápění a chlazení</v>
      </c>
      <c r="F50" s="412"/>
      <c r="G50" s="412"/>
      <c r="H50" s="412"/>
      <c r="L50" s="112"/>
    </row>
    <row r="51" spans="2:47" s="256" customFormat="1" ht="6.95" customHeight="1" x14ac:dyDescent="0.25">
      <c r="B51" s="112"/>
      <c r="L51" s="112"/>
    </row>
    <row r="52" spans="2:47" s="256" customFormat="1" ht="12" customHeight="1" x14ac:dyDescent="0.25">
      <c r="B52" s="112"/>
      <c r="C52" s="257" t="s">
        <v>1012</v>
      </c>
      <c r="F52" s="252" t="str">
        <f>F12</f>
        <v xml:space="preserve"> </v>
      </c>
      <c r="I52" s="257" t="s">
        <v>673</v>
      </c>
      <c r="J52" s="245" t="str">
        <f>IF(J12="","",J12)</f>
        <v>31. 1. 2022</v>
      </c>
      <c r="L52" s="112"/>
    </row>
    <row r="53" spans="2:47" s="256" customFormat="1" ht="6.95" customHeight="1" x14ac:dyDescent="0.25">
      <c r="B53" s="112"/>
      <c r="L53" s="112"/>
    </row>
    <row r="54" spans="2:47" s="256" customFormat="1" ht="15.2" customHeight="1" x14ac:dyDescent="0.25">
      <c r="B54" s="112"/>
      <c r="C54" s="257" t="s">
        <v>1014</v>
      </c>
      <c r="F54" s="252" t="str">
        <f>E15</f>
        <v xml:space="preserve"> </v>
      </c>
      <c r="I54" s="257" t="s">
        <v>14</v>
      </c>
      <c r="J54" s="253" t="str">
        <f>E21</f>
        <v xml:space="preserve"> </v>
      </c>
      <c r="L54" s="112"/>
    </row>
    <row r="55" spans="2:47" s="256" customFormat="1" ht="15.2" customHeight="1" x14ac:dyDescent="0.25">
      <c r="B55" s="112"/>
      <c r="C55" s="257" t="s">
        <v>2317</v>
      </c>
      <c r="F55" s="252" t="str">
        <f>IF(E18="","",E18)</f>
        <v>Vyplň údaj</v>
      </c>
      <c r="I55" s="257" t="s">
        <v>1018</v>
      </c>
      <c r="J55" s="253" t="str">
        <f>E24</f>
        <v xml:space="preserve"> </v>
      </c>
      <c r="L55" s="112"/>
    </row>
    <row r="56" spans="2:47" s="256" customFormat="1" ht="10.35" customHeight="1" x14ac:dyDescent="0.25">
      <c r="B56" s="112"/>
      <c r="L56" s="112"/>
    </row>
    <row r="57" spans="2:47" s="256" customFormat="1" ht="29.25" customHeight="1" x14ac:dyDescent="0.25">
      <c r="B57" s="112"/>
      <c r="C57" s="172" t="s">
        <v>1073</v>
      </c>
      <c r="D57" s="166"/>
      <c r="E57" s="166"/>
      <c r="F57" s="166"/>
      <c r="G57" s="166"/>
      <c r="H57" s="166"/>
      <c r="I57" s="166"/>
      <c r="J57" s="173" t="s">
        <v>1074</v>
      </c>
      <c r="K57" s="166"/>
      <c r="L57" s="112"/>
    </row>
    <row r="58" spans="2:47" s="256" customFormat="1" ht="10.35" customHeight="1" x14ac:dyDescent="0.25">
      <c r="B58" s="112"/>
      <c r="L58" s="112"/>
    </row>
    <row r="59" spans="2:47" s="256" customFormat="1" ht="22.9" customHeight="1" x14ac:dyDescent="0.25">
      <c r="B59" s="112"/>
      <c r="C59" s="174" t="s">
        <v>1051</v>
      </c>
      <c r="J59" s="244">
        <f>J91</f>
        <v>0</v>
      </c>
      <c r="L59" s="112"/>
      <c r="AU59" s="103" t="s">
        <v>1075</v>
      </c>
    </row>
    <row r="60" spans="2:47" s="175" customFormat="1" ht="24.95" customHeight="1" x14ac:dyDescent="0.25">
      <c r="B60" s="176"/>
      <c r="D60" s="177" t="s">
        <v>1076</v>
      </c>
      <c r="E60" s="178"/>
      <c r="F60" s="178"/>
      <c r="G60" s="178"/>
      <c r="H60" s="178"/>
      <c r="I60" s="178"/>
      <c r="J60" s="179">
        <f>J92</f>
        <v>0</v>
      </c>
      <c r="L60" s="176"/>
    </row>
    <row r="61" spans="2:47" s="180" customFormat="1" ht="19.899999999999999" customHeight="1" x14ac:dyDescent="0.25">
      <c r="B61" s="181"/>
      <c r="D61" s="182" t="s">
        <v>1078</v>
      </c>
      <c r="E61" s="183"/>
      <c r="F61" s="183"/>
      <c r="G61" s="183"/>
      <c r="H61" s="183"/>
      <c r="I61" s="183"/>
      <c r="J61" s="184">
        <f>J93</f>
        <v>0</v>
      </c>
      <c r="L61" s="181"/>
    </row>
    <row r="62" spans="2:47" s="180" customFormat="1" ht="19.899999999999999" customHeight="1" x14ac:dyDescent="0.25">
      <c r="B62" s="181"/>
      <c r="D62" s="182" t="s">
        <v>1080</v>
      </c>
      <c r="E62" s="183"/>
      <c r="F62" s="183"/>
      <c r="G62" s="183"/>
      <c r="H62" s="183"/>
      <c r="I62" s="183"/>
      <c r="J62" s="184">
        <f>J96</f>
        <v>0</v>
      </c>
      <c r="L62" s="181"/>
    </row>
    <row r="63" spans="2:47" s="180" customFormat="1" ht="19.899999999999999" customHeight="1" x14ac:dyDescent="0.25">
      <c r="B63" s="181"/>
      <c r="D63" s="182" t="s">
        <v>1082</v>
      </c>
      <c r="E63" s="183"/>
      <c r="F63" s="183"/>
      <c r="G63" s="183"/>
      <c r="H63" s="183"/>
      <c r="I63" s="183"/>
      <c r="J63" s="184">
        <f>J101</f>
        <v>0</v>
      </c>
      <c r="L63" s="181"/>
    </row>
    <row r="64" spans="2:47" s="180" customFormat="1" ht="19.899999999999999" customHeight="1" x14ac:dyDescent="0.25">
      <c r="B64" s="181"/>
      <c r="D64" s="182" t="s">
        <v>1083</v>
      </c>
      <c r="E64" s="183"/>
      <c r="F64" s="183"/>
      <c r="G64" s="183"/>
      <c r="H64" s="183"/>
      <c r="I64" s="183"/>
      <c r="J64" s="184">
        <f>J108</f>
        <v>0</v>
      </c>
      <c r="L64" s="181"/>
    </row>
    <row r="65" spans="2:12" s="180" customFormat="1" ht="19.899999999999999" customHeight="1" x14ac:dyDescent="0.25">
      <c r="B65" s="181"/>
      <c r="D65" s="182" t="s">
        <v>1084</v>
      </c>
      <c r="E65" s="183"/>
      <c r="F65" s="183"/>
      <c r="G65" s="183"/>
      <c r="H65" s="183"/>
      <c r="I65" s="183"/>
      <c r="J65" s="184">
        <f>J120</f>
        <v>0</v>
      </c>
      <c r="L65" s="181"/>
    </row>
    <row r="66" spans="2:12" s="175" customFormat="1" ht="24.95" customHeight="1" x14ac:dyDescent="0.25">
      <c r="B66" s="176"/>
      <c r="D66" s="177" t="s">
        <v>1085</v>
      </c>
      <c r="E66" s="178"/>
      <c r="F66" s="178"/>
      <c r="G66" s="178"/>
      <c r="H66" s="178"/>
      <c r="I66" s="178"/>
      <c r="J66" s="179">
        <f>J123</f>
        <v>0</v>
      </c>
      <c r="L66" s="176"/>
    </row>
    <row r="67" spans="2:12" s="180" customFormat="1" ht="19.899999999999999" customHeight="1" x14ac:dyDescent="0.25">
      <c r="B67" s="181"/>
      <c r="D67" s="182" t="s">
        <v>1918</v>
      </c>
      <c r="E67" s="183"/>
      <c r="F67" s="183"/>
      <c r="G67" s="183"/>
      <c r="H67" s="183"/>
      <c r="I67" s="183"/>
      <c r="J67" s="184">
        <f>J124</f>
        <v>0</v>
      </c>
      <c r="L67" s="181"/>
    </row>
    <row r="68" spans="2:12" s="180" customFormat="1" ht="19.899999999999999" customHeight="1" x14ac:dyDescent="0.25">
      <c r="B68" s="181"/>
      <c r="D68" s="182" t="s">
        <v>1919</v>
      </c>
      <c r="E68" s="183"/>
      <c r="F68" s="183"/>
      <c r="G68" s="183"/>
      <c r="H68" s="183"/>
      <c r="I68" s="183"/>
      <c r="J68" s="184">
        <f>J142</f>
        <v>0</v>
      </c>
      <c r="L68" s="181"/>
    </row>
    <row r="69" spans="2:12" s="180" customFormat="1" ht="19.899999999999999" customHeight="1" x14ac:dyDescent="0.25">
      <c r="B69" s="181"/>
      <c r="D69" s="182" t="s">
        <v>1920</v>
      </c>
      <c r="E69" s="183"/>
      <c r="F69" s="183"/>
      <c r="G69" s="183"/>
      <c r="H69" s="183"/>
      <c r="I69" s="183"/>
      <c r="J69" s="184">
        <f>J166</f>
        <v>0</v>
      </c>
      <c r="L69" s="181"/>
    </row>
    <row r="70" spans="2:12" s="180" customFormat="1" ht="19.899999999999999" customHeight="1" x14ac:dyDescent="0.25">
      <c r="B70" s="181"/>
      <c r="D70" s="182" t="s">
        <v>1921</v>
      </c>
      <c r="E70" s="183"/>
      <c r="F70" s="183"/>
      <c r="G70" s="183"/>
      <c r="H70" s="183"/>
      <c r="I70" s="183"/>
      <c r="J70" s="184">
        <f>J203</f>
        <v>0</v>
      </c>
      <c r="L70" s="181"/>
    </row>
    <row r="71" spans="2:12" s="180" customFormat="1" ht="19.899999999999999" customHeight="1" x14ac:dyDescent="0.25">
      <c r="B71" s="181"/>
      <c r="D71" s="182" t="s">
        <v>1922</v>
      </c>
      <c r="E71" s="183"/>
      <c r="F71" s="183"/>
      <c r="G71" s="183"/>
      <c r="H71" s="183"/>
      <c r="I71" s="183"/>
      <c r="J71" s="184">
        <f>J238</f>
        <v>0</v>
      </c>
      <c r="L71" s="181"/>
    </row>
    <row r="72" spans="2:12" s="256" customFormat="1" ht="21.75" customHeight="1" x14ac:dyDescent="0.25">
      <c r="B72" s="112"/>
      <c r="L72" s="112"/>
    </row>
    <row r="73" spans="2:12" s="256" customFormat="1" ht="6.95" customHeight="1" x14ac:dyDescent="0.25">
      <c r="B73" s="118"/>
      <c r="C73" s="119"/>
      <c r="D73" s="119"/>
      <c r="E73" s="119"/>
      <c r="F73" s="119"/>
      <c r="G73" s="119"/>
      <c r="H73" s="119"/>
      <c r="I73" s="119"/>
      <c r="J73" s="119"/>
      <c r="K73" s="119"/>
      <c r="L73" s="112"/>
    </row>
    <row r="77" spans="2:12" s="256" customFormat="1" ht="6.95" customHeight="1" x14ac:dyDescent="0.25">
      <c r="B77" s="120"/>
      <c r="C77" s="121"/>
      <c r="D77" s="121"/>
      <c r="E77" s="121"/>
      <c r="F77" s="121"/>
      <c r="G77" s="121"/>
      <c r="H77" s="121"/>
      <c r="I77" s="121"/>
      <c r="J77" s="121"/>
      <c r="K77" s="121"/>
      <c r="L77" s="112"/>
    </row>
    <row r="78" spans="2:12" s="256" customFormat="1" ht="24.95" customHeight="1" x14ac:dyDescent="0.25">
      <c r="B78" s="112"/>
      <c r="C78" s="107" t="s">
        <v>1089</v>
      </c>
      <c r="L78" s="112"/>
    </row>
    <row r="79" spans="2:12" s="256" customFormat="1" ht="6.95" customHeight="1" x14ac:dyDescent="0.25">
      <c r="B79" s="112"/>
      <c r="L79" s="112"/>
    </row>
    <row r="80" spans="2:12" s="256" customFormat="1" ht="12" customHeight="1" x14ac:dyDescent="0.25">
      <c r="B80" s="112"/>
      <c r="C80" s="257" t="s">
        <v>1007</v>
      </c>
      <c r="L80" s="112"/>
    </row>
    <row r="81" spans="2:65" s="256" customFormat="1" ht="16.5" customHeight="1" x14ac:dyDescent="0.25">
      <c r="B81" s="112"/>
      <c r="E81" s="413" t="str">
        <f>E7</f>
        <v>Rekonstrukce administrativní budovy</v>
      </c>
      <c r="F81" s="414"/>
      <c r="G81" s="414"/>
      <c r="H81" s="414"/>
      <c r="L81" s="112"/>
    </row>
    <row r="82" spans="2:65" s="256" customFormat="1" ht="12" customHeight="1" x14ac:dyDescent="0.25">
      <c r="B82" s="112"/>
      <c r="C82" s="257" t="s">
        <v>1070</v>
      </c>
      <c r="L82" s="112"/>
    </row>
    <row r="83" spans="2:65" s="256" customFormat="1" ht="16.5" customHeight="1" x14ac:dyDescent="0.25">
      <c r="B83" s="112"/>
      <c r="E83" s="411" t="str">
        <f>E9</f>
        <v>D14d - Vytápění a chlazení</v>
      </c>
      <c r="F83" s="412"/>
      <c r="G83" s="412"/>
      <c r="H83" s="412"/>
      <c r="L83" s="112"/>
    </row>
    <row r="84" spans="2:65" s="256" customFormat="1" ht="6.95" customHeight="1" x14ac:dyDescent="0.25">
      <c r="B84" s="112"/>
      <c r="L84" s="112"/>
    </row>
    <row r="85" spans="2:65" s="256" customFormat="1" ht="12" customHeight="1" x14ac:dyDescent="0.25">
      <c r="B85" s="112"/>
      <c r="C85" s="257" t="s">
        <v>1012</v>
      </c>
      <c r="F85" s="252" t="str">
        <f>F12</f>
        <v xml:space="preserve"> </v>
      </c>
      <c r="I85" s="257" t="s">
        <v>673</v>
      </c>
      <c r="J85" s="245" t="str">
        <f>IF(J12="","",J12)</f>
        <v>31. 1. 2022</v>
      </c>
      <c r="L85" s="112"/>
    </row>
    <row r="86" spans="2:65" s="256" customFormat="1" ht="6.95" customHeight="1" x14ac:dyDescent="0.25">
      <c r="B86" s="112"/>
      <c r="L86" s="112"/>
    </row>
    <row r="87" spans="2:65" s="256" customFormat="1" ht="15.2" customHeight="1" x14ac:dyDescent="0.25">
      <c r="B87" s="112"/>
      <c r="C87" s="257" t="s">
        <v>1014</v>
      </c>
      <c r="F87" s="252" t="str">
        <f>E15</f>
        <v xml:space="preserve"> </v>
      </c>
      <c r="I87" s="257" t="s">
        <v>14</v>
      </c>
      <c r="J87" s="253" t="str">
        <f>E21</f>
        <v xml:space="preserve"> </v>
      </c>
      <c r="L87" s="112"/>
    </row>
    <row r="88" spans="2:65" s="256" customFormat="1" ht="15.2" customHeight="1" x14ac:dyDescent="0.25">
      <c r="B88" s="112"/>
      <c r="C88" s="257" t="s">
        <v>2317</v>
      </c>
      <c r="F88" s="252" t="str">
        <f>IF(E18="","",E18)</f>
        <v>Vyplň údaj</v>
      </c>
      <c r="I88" s="257" t="s">
        <v>1018</v>
      </c>
      <c r="J88" s="253" t="str">
        <f>E24</f>
        <v xml:space="preserve"> </v>
      </c>
      <c r="L88" s="112"/>
    </row>
    <row r="89" spans="2:65" s="256" customFormat="1" ht="10.35" customHeight="1" x14ac:dyDescent="0.25">
      <c r="B89" s="112"/>
      <c r="L89" s="112"/>
    </row>
    <row r="90" spans="2:65" s="185" customFormat="1" ht="29.25" customHeight="1" x14ac:dyDescent="0.25">
      <c r="B90" s="186"/>
      <c r="C90" s="187" t="s">
        <v>1090</v>
      </c>
      <c r="D90" s="188" t="s">
        <v>1038</v>
      </c>
      <c r="E90" s="188" t="s">
        <v>27</v>
      </c>
      <c r="F90" s="188" t="s">
        <v>1035</v>
      </c>
      <c r="G90" s="188" t="s">
        <v>1091</v>
      </c>
      <c r="H90" s="188" t="s">
        <v>30</v>
      </c>
      <c r="I90" s="188" t="s">
        <v>1092</v>
      </c>
      <c r="J90" s="188" t="s">
        <v>1074</v>
      </c>
      <c r="K90" s="189" t="s">
        <v>1093</v>
      </c>
      <c r="L90" s="186"/>
      <c r="M90" s="131" t="s">
        <v>1010</v>
      </c>
      <c r="N90" s="132" t="s">
        <v>1024</v>
      </c>
      <c r="O90" s="132" t="s">
        <v>1094</v>
      </c>
      <c r="P90" s="132" t="s">
        <v>1095</v>
      </c>
      <c r="Q90" s="132" t="s">
        <v>1096</v>
      </c>
      <c r="R90" s="132" t="s">
        <v>1097</v>
      </c>
      <c r="S90" s="132" t="s">
        <v>1098</v>
      </c>
      <c r="T90" s="133" t="s">
        <v>1099</v>
      </c>
    </row>
    <row r="91" spans="2:65" s="256" customFormat="1" ht="22.9" customHeight="1" x14ac:dyDescent="0.25">
      <c r="B91" s="112"/>
      <c r="C91" s="137" t="s">
        <v>1100</v>
      </c>
      <c r="J91" s="190">
        <f>BK91</f>
        <v>0</v>
      </c>
      <c r="L91" s="112"/>
      <c r="M91" s="134"/>
      <c r="N91" s="126"/>
      <c r="O91" s="126"/>
      <c r="P91" s="191">
        <f>P92+P123</f>
        <v>0</v>
      </c>
      <c r="Q91" s="126"/>
      <c r="R91" s="191">
        <f>R92+R123</f>
        <v>24.04365</v>
      </c>
      <c r="S91" s="126"/>
      <c r="T91" s="192">
        <f>T92+T123</f>
        <v>24.422249999999998</v>
      </c>
      <c r="AT91" s="103" t="s">
        <v>1052</v>
      </c>
      <c r="AU91" s="103" t="s">
        <v>1075</v>
      </c>
      <c r="BK91" s="193">
        <f>BK92+BK123</f>
        <v>0</v>
      </c>
    </row>
    <row r="92" spans="2:65" s="194" customFormat="1" ht="25.9" customHeight="1" x14ac:dyDescent="0.2">
      <c r="B92" s="195"/>
      <c r="D92" s="196" t="s">
        <v>1052</v>
      </c>
      <c r="E92" s="197" t="s">
        <v>681</v>
      </c>
      <c r="F92" s="197" t="s">
        <v>1101</v>
      </c>
      <c r="I92" s="327"/>
      <c r="J92" s="198">
        <f>BK92</f>
        <v>0</v>
      </c>
      <c r="L92" s="195"/>
      <c r="M92" s="199"/>
      <c r="P92" s="200">
        <f>P93+P96+P101+P108+P120</f>
        <v>0</v>
      </c>
      <c r="R92" s="200">
        <f>R93+R96+R101+R108+R120</f>
        <v>20.41949</v>
      </c>
      <c r="T92" s="201">
        <f>T93+T96+T101+T108+T120</f>
        <v>18.026</v>
      </c>
      <c r="AR92" s="196" t="s">
        <v>55</v>
      </c>
      <c r="AT92" s="202" t="s">
        <v>1052</v>
      </c>
      <c r="AU92" s="202" t="s">
        <v>166</v>
      </c>
      <c r="AY92" s="196" t="s">
        <v>1102</v>
      </c>
      <c r="BK92" s="203">
        <f>BK93+BK96+BK101+BK108+BK120</f>
        <v>0</v>
      </c>
    </row>
    <row r="93" spans="2:65" s="194" customFormat="1" ht="22.9" customHeight="1" x14ac:dyDescent="0.2">
      <c r="B93" s="195"/>
      <c r="D93" s="196" t="s">
        <v>1052</v>
      </c>
      <c r="E93" s="204" t="s">
        <v>59</v>
      </c>
      <c r="F93" s="204" t="s">
        <v>1143</v>
      </c>
      <c r="I93" s="327"/>
      <c r="J93" s="205">
        <f>BK93</f>
        <v>0</v>
      </c>
      <c r="L93" s="195"/>
      <c r="M93" s="199"/>
      <c r="P93" s="200">
        <f>SUM(P94:P95)</f>
        <v>0</v>
      </c>
      <c r="R93" s="200">
        <f>SUM(R94:R95)</f>
        <v>0.99697999999999998</v>
      </c>
      <c r="T93" s="201">
        <f>SUM(T94:T95)</f>
        <v>0</v>
      </c>
      <c r="AR93" s="196" t="s">
        <v>55</v>
      </c>
      <c r="AT93" s="202" t="s">
        <v>1052</v>
      </c>
      <c r="AU93" s="202" t="s">
        <v>55</v>
      </c>
      <c r="AY93" s="196" t="s">
        <v>1102</v>
      </c>
      <c r="BK93" s="203">
        <f>SUM(BK94:BK95)</f>
        <v>0</v>
      </c>
    </row>
    <row r="94" spans="2:65" s="256" customFormat="1" ht="21.75" customHeight="1" x14ac:dyDescent="0.25">
      <c r="B94" s="112"/>
      <c r="C94" s="206" t="s">
        <v>55</v>
      </c>
      <c r="D94" s="206" t="s">
        <v>1104</v>
      </c>
      <c r="E94" s="207" t="s">
        <v>1144</v>
      </c>
      <c r="F94" s="208" t="s">
        <v>1145</v>
      </c>
      <c r="G94" s="209" t="s">
        <v>113</v>
      </c>
      <c r="H94" s="210">
        <v>79</v>
      </c>
      <c r="I94" s="326"/>
      <c r="J94" s="211">
        <f>ROUND(I94*H94,2)</f>
        <v>0</v>
      </c>
      <c r="K94" s="208" t="s">
        <v>1161</v>
      </c>
      <c r="L94" s="112"/>
      <c r="M94" s="325" t="s">
        <v>1010</v>
      </c>
      <c r="N94" s="212" t="s">
        <v>1025</v>
      </c>
      <c r="P94" s="213">
        <f>O94*H94</f>
        <v>0</v>
      </c>
      <c r="Q94" s="213">
        <v>1.2619999999999999E-2</v>
      </c>
      <c r="R94" s="213">
        <f>Q94*H94</f>
        <v>0.99697999999999998</v>
      </c>
      <c r="S94" s="213">
        <v>0</v>
      </c>
      <c r="T94" s="214">
        <f>S94*H94</f>
        <v>0</v>
      </c>
      <c r="AR94" s="215" t="s">
        <v>76</v>
      </c>
      <c r="AT94" s="215" t="s">
        <v>1104</v>
      </c>
      <c r="AU94" s="215" t="s">
        <v>65</v>
      </c>
      <c r="AY94" s="103" t="s">
        <v>1102</v>
      </c>
      <c r="BE94" s="216">
        <f>IF(N94="základní",J94,0)</f>
        <v>0</v>
      </c>
      <c r="BF94" s="216">
        <f>IF(N94="snížená",J94,0)</f>
        <v>0</v>
      </c>
      <c r="BG94" s="216">
        <f>IF(N94="zákl. přenesená",J94,0)</f>
        <v>0</v>
      </c>
      <c r="BH94" s="216">
        <f>IF(N94="sníž. přenesená",J94,0)</f>
        <v>0</v>
      </c>
      <c r="BI94" s="216">
        <f>IF(N94="nulová",J94,0)</f>
        <v>0</v>
      </c>
      <c r="BJ94" s="103" t="s">
        <v>55</v>
      </c>
      <c r="BK94" s="216">
        <f>ROUND(I94*H94,2)</f>
        <v>0</v>
      </c>
      <c r="BL94" s="103" t="s">
        <v>76</v>
      </c>
      <c r="BM94" s="215" t="s">
        <v>1923</v>
      </c>
    </row>
    <row r="95" spans="2:65" s="256" customFormat="1" x14ac:dyDescent="0.25">
      <c r="B95" s="112"/>
      <c r="D95" s="217" t="s">
        <v>1109</v>
      </c>
      <c r="F95" s="218" t="s">
        <v>1718</v>
      </c>
      <c r="I95" s="324"/>
      <c r="L95" s="112"/>
      <c r="M95" s="219"/>
      <c r="T95" s="128"/>
      <c r="AT95" s="103" t="s">
        <v>1109</v>
      </c>
      <c r="AU95" s="103" t="s">
        <v>65</v>
      </c>
    </row>
    <row r="96" spans="2:65" s="194" customFormat="1" ht="22.9" customHeight="1" x14ac:dyDescent="0.2">
      <c r="B96" s="195"/>
      <c r="D96" s="196" t="s">
        <v>1052</v>
      </c>
      <c r="E96" s="204" t="s">
        <v>88</v>
      </c>
      <c r="F96" s="204" t="s">
        <v>1158</v>
      </c>
      <c r="I96" s="327"/>
      <c r="J96" s="205">
        <f>BK96</f>
        <v>0</v>
      </c>
      <c r="L96" s="195"/>
      <c r="M96" s="199"/>
      <c r="P96" s="200">
        <f>SUM(P97:P100)</f>
        <v>0</v>
      </c>
      <c r="R96" s="200">
        <f>SUM(R97:R100)</f>
        <v>19.397649999999999</v>
      </c>
      <c r="T96" s="201">
        <f>SUM(T97:T100)</f>
        <v>0</v>
      </c>
      <c r="AR96" s="196" t="s">
        <v>55</v>
      </c>
      <c r="AT96" s="202" t="s">
        <v>1052</v>
      </c>
      <c r="AU96" s="202" t="s">
        <v>55</v>
      </c>
      <c r="AY96" s="196" t="s">
        <v>1102</v>
      </c>
      <c r="BK96" s="203">
        <f>SUM(BK97:BK100)</f>
        <v>0</v>
      </c>
    </row>
    <row r="97" spans="2:65" s="256" customFormat="1" ht="16.5" customHeight="1" x14ac:dyDescent="0.25">
      <c r="B97" s="112"/>
      <c r="C97" s="206" t="s">
        <v>65</v>
      </c>
      <c r="D97" s="206" t="s">
        <v>1104</v>
      </c>
      <c r="E97" s="207" t="s">
        <v>1159</v>
      </c>
      <c r="F97" s="208" t="s">
        <v>1160</v>
      </c>
      <c r="G97" s="209" t="s">
        <v>58</v>
      </c>
      <c r="H97" s="210">
        <v>53.5</v>
      </c>
      <c r="I97" s="326"/>
      <c r="J97" s="211">
        <f>ROUND(I97*H97,2)</f>
        <v>0</v>
      </c>
      <c r="K97" s="208" t="s">
        <v>1161</v>
      </c>
      <c r="L97" s="112"/>
      <c r="M97" s="325" t="s">
        <v>1010</v>
      </c>
      <c r="N97" s="212" t="s">
        <v>1025</v>
      </c>
      <c r="P97" s="213">
        <f>O97*H97</f>
        <v>0</v>
      </c>
      <c r="Q97" s="213">
        <v>0.04</v>
      </c>
      <c r="R97" s="213">
        <f>Q97*H97</f>
        <v>2.14</v>
      </c>
      <c r="S97" s="213">
        <v>0</v>
      </c>
      <c r="T97" s="214">
        <f>S97*H97</f>
        <v>0</v>
      </c>
      <c r="AR97" s="215" t="s">
        <v>76</v>
      </c>
      <c r="AT97" s="215" t="s">
        <v>1104</v>
      </c>
      <c r="AU97" s="215" t="s">
        <v>65</v>
      </c>
      <c r="AY97" s="103" t="s">
        <v>1102</v>
      </c>
      <c r="BE97" s="216">
        <f>IF(N97="základní",J97,0)</f>
        <v>0</v>
      </c>
      <c r="BF97" s="216">
        <f>IF(N97="snížená",J97,0)</f>
        <v>0</v>
      </c>
      <c r="BG97" s="216">
        <f>IF(N97="zákl. přenesená",J97,0)</f>
        <v>0</v>
      </c>
      <c r="BH97" s="216">
        <f>IF(N97="sníž. přenesená",J97,0)</f>
        <v>0</v>
      </c>
      <c r="BI97" s="216">
        <f>IF(N97="nulová",J97,0)</f>
        <v>0</v>
      </c>
      <c r="BJ97" s="103" t="s">
        <v>55</v>
      </c>
      <c r="BK97" s="216">
        <f>ROUND(I97*H97,2)</f>
        <v>0</v>
      </c>
      <c r="BL97" s="103" t="s">
        <v>76</v>
      </c>
      <c r="BM97" s="215" t="s">
        <v>1924</v>
      </c>
    </row>
    <row r="98" spans="2:65" s="256" customFormat="1" x14ac:dyDescent="0.25">
      <c r="B98" s="112"/>
      <c r="D98" s="217" t="s">
        <v>1109</v>
      </c>
      <c r="F98" s="218" t="s">
        <v>1163</v>
      </c>
      <c r="I98" s="324"/>
      <c r="L98" s="112"/>
      <c r="M98" s="219"/>
      <c r="T98" s="128"/>
      <c r="AT98" s="103" t="s">
        <v>1109</v>
      </c>
      <c r="AU98" s="103" t="s">
        <v>65</v>
      </c>
    </row>
    <row r="99" spans="2:65" s="256" customFormat="1" ht="24.2" customHeight="1" x14ac:dyDescent="0.25">
      <c r="B99" s="112"/>
      <c r="C99" s="206" t="s">
        <v>59</v>
      </c>
      <c r="D99" s="206" t="s">
        <v>1104</v>
      </c>
      <c r="E99" s="207" t="s">
        <v>1925</v>
      </c>
      <c r="F99" s="208" t="s">
        <v>1926</v>
      </c>
      <c r="G99" s="209" t="s">
        <v>737</v>
      </c>
      <c r="H99" s="210">
        <v>7.5</v>
      </c>
      <c r="I99" s="326"/>
      <c r="J99" s="211">
        <f>ROUND(I99*H99,2)</f>
        <v>0</v>
      </c>
      <c r="K99" s="208" t="s">
        <v>1146</v>
      </c>
      <c r="L99" s="112"/>
      <c r="M99" s="325" t="s">
        <v>1010</v>
      </c>
      <c r="N99" s="212" t="s">
        <v>1025</v>
      </c>
      <c r="P99" s="213">
        <f>O99*H99</f>
        <v>0</v>
      </c>
      <c r="Q99" s="213">
        <v>2.3010199999999998</v>
      </c>
      <c r="R99" s="213">
        <f>Q99*H99</f>
        <v>17.257649999999998</v>
      </c>
      <c r="S99" s="213">
        <v>0</v>
      </c>
      <c r="T99" s="214">
        <f>S99*H99</f>
        <v>0</v>
      </c>
      <c r="AR99" s="215" t="s">
        <v>76</v>
      </c>
      <c r="AT99" s="215" t="s">
        <v>1104</v>
      </c>
      <c r="AU99" s="215" t="s">
        <v>65</v>
      </c>
      <c r="AY99" s="103" t="s">
        <v>1102</v>
      </c>
      <c r="BE99" s="216">
        <f>IF(N99="základní",J99,0)</f>
        <v>0</v>
      </c>
      <c r="BF99" s="216">
        <f>IF(N99="snížená",J99,0)</f>
        <v>0</v>
      </c>
      <c r="BG99" s="216">
        <f>IF(N99="zákl. přenesená",J99,0)</f>
        <v>0</v>
      </c>
      <c r="BH99" s="216">
        <f>IF(N99="sníž. přenesená",J99,0)</f>
        <v>0</v>
      </c>
      <c r="BI99" s="216">
        <f>IF(N99="nulová",J99,0)</f>
        <v>0</v>
      </c>
      <c r="BJ99" s="103" t="s">
        <v>55</v>
      </c>
      <c r="BK99" s="216">
        <f>ROUND(I99*H99,2)</f>
        <v>0</v>
      </c>
      <c r="BL99" s="103" t="s">
        <v>76</v>
      </c>
      <c r="BM99" s="215" t="s">
        <v>1927</v>
      </c>
    </row>
    <row r="100" spans="2:65" s="256" customFormat="1" x14ac:dyDescent="0.25">
      <c r="B100" s="112"/>
      <c r="D100" s="217" t="s">
        <v>1109</v>
      </c>
      <c r="F100" s="218" t="s">
        <v>1928</v>
      </c>
      <c r="I100" s="324"/>
      <c r="L100" s="112"/>
      <c r="M100" s="219"/>
      <c r="T100" s="128"/>
      <c r="AT100" s="103" t="s">
        <v>1109</v>
      </c>
      <c r="AU100" s="103" t="s">
        <v>65</v>
      </c>
    </row>
    <row r="101" spans="2:65" s="194" customFormat="1" ht="22.9" customHeight="1" x14ac:dyDescent="0.2">
      <c r="B101" s="195"/>
      <c r="D101" s="196" t="s">
        <v>1052</v>
      </c>
      <c r="E101" s="204" t="s">
        <v>110</v>
      </c>
      <c r="F101" s="204" t="s">
        <v>1227</v>
      </c>
      <c r="I101" s="327"/>
      <c r="J101" s="205">
        <f>BK101</f>
        <v>0</v>
      </c>
      <c r="L101" s="195"/>
      <c r="M101" s="199"/>
      <c r="P101" s="200">
        <f>SUM(P102:P107)</f>
        <v>0</v>
      </c>
      <c r="R101" s="200">
        <f>SUM(R102:R107)</f>
        <v>2.486E-2</v>
      </c>
      <c r="T101" s="201">
        <f>SUM(T102:T107)</f>
        <v>18.026</v>
      </c>
      <c r="AR101" s="196" t="s">
        <v>55</v>
      </c>
      <c r="AT101" s="202" t="s">
        <v>1052</v>
      </c>
      <c r="AU101" s="202" t="s">
        <v>55</v>
      </c>
      <c r="AY101" s="196" t="s">
        <v>1102</v>
      </c>
      <c r="BK101" s="203">
        <f>SUM(BK102:BK107)</f>
        <v>0</v>
      </c>
    </row>
    <row r="102" spans="2:65" s="256" customFormat="1" ht="16.5" customHeight="1" x14ac:dyDescent="0.25">
      <c r="B102" s="112"/>
      <c r="C102" s="206" t="s">
        <v>76</v>
      </c>
      <c r="D102" s="206" t="s">
        <v>1104</v>
      </c>
      <c r="E102" s="207" t="s">
        <v>1929</v>
      </c>
      <c r="F102" s="208" t="s">
        <v>1930</v>
      </c>
      <c r="G102" s="209" t="s">
        <v>737</v>
      </c>
      <c r="H102" s="210">
        <v>7.5</v>
      </c>
      <c r="I102" s="326"/>
      <c r="J102" s="211">
        <f>ROUND(I102*H102,2)</f>
        <v>0</v>
      </c>
      <c r="K102" s="208" t="s">
        <v>1146</v>
      </c>
      <c r="L102" s="112"/>
      <c r="M102" s="325" t="s">
        <v>1010</v>
      </c>
      <c r="N102" s="212" t="s">
        <v>1025</v>
      </c>
      <c r="P102" s="213">
        <f>O102*H102</f>
        <v>0</v>
      </c>
      <c r="Q102" s="213">
        <v>0</v>
      </c>
      <c r="R102" s="213">
        <f>Q102*H102</f>
        <v>0</v>
      </c>
      <c r="S102" s="213">
        <v>2.2000000000000002</v>
      </c>
      <c r="T102" s="214">
        <f>S102*H102</f>
        <v>16.5</v>
      </c>
      <c r="AR102" s="215" t="s">
        <v>76</v>
      </c>
      <c r="AT102" s="215" t="s">
        <v>1104</v>
      </c>
      <c r="AU102" s="215" t="s">
        <v>65</v>
      </c>
      <c r="AY102" s="103" t="s">
        <v>1102</v>
      </c>
      <c r="BE102" s="216">
        <f>IF(N102="základní",J102,0)</f>
        <v>0</v>
      </c>
      <c r="BF102" s="216">
        <f>IF(N102="snížená",J102,0)</f>
        <v>0</v>
      </c>
      <c r="BG102" s="216">
        <f>IF(N102="zákl. přenesená",J102,0)</f>
        <v>0</v>
      </c>
      <c r="BH102" s="216">
        <f>IF(N102="sníž. přenesená",J102,0)</f>
        <v>0</v>
      </c>
      <c r="BI102" s="216">
        <f>IF(N102="nulová",J102,0)</f>
        <v>0</v>
      </c>
      <c r="BJ102" s="103" t="s">
        <v>55</v>
      </c>
      <c r="BK102" s="216">
        <f>ROUND(I102*H102,2)</f>
        <v>0</v>
      </c>
      <c r="BL102" s="103" t="s">
        <v>76</v>
      </c>
      <c r="BM102" s="215" t="s">
        <v>1931</v>
      </c>
    </row>
    <row r="103" spans="2:65" s="256" customFormat="1" x14ac:dyDescent="0.25">
      <c r="B103" s="112"/>
      <c r="D103" s="217" t="s">
        <v>1109</v>
      </c>
      <c r="F103" s="218" t="s">
        <v>1932</v>
      </c>
      <c r="I103" s="324"/>
      <c r="L103" s="112"/>
      <c r="M103" s="219"/>
      <c r="T103" s="128"/>
      <c r="AT103" s="103" t="s">
        <v>1109</v>
      </c>
      <c r="AU103" s="103" t="s">
        <v>65</v>
      </c>
    </row>
    <row r="104" spans="2:65" s="256" customFormat="1" ht="21.75" customHeight="1" x14ac:dyDescent="0.25">
      <c r="B104" s="112"/>
      <c r="C104" s="206" t="s">
        <v>82</v>
      </c>
      <c r="D104" s="206" t="s">
        <v>1104</v>
      </c>
      <c r="E104" s="207" t="s">
        <v>1228</v>
      </c>
      <c r="F104" s="208" t="s">
        <v>1229</v>
      </c>
      <c r="G104" s="209" t="s">
        <v>104</v>
      </c>
      <c r="H104" s="210">
        <v>214</v>
      </c>
      <c r="I104" s="326"/>
      <c r="J104" s="211">
        <f>ROUND(I104*H104,2)</f>
        <v>0</v>
      </c>
      <c r="K104" s="208" t="s">
        <v>1161</v>
      </c>
      <c r="L104" s="112"/>
      <c r="M104" s="325" t="s">
        <v>1010</v>
      </c>
      <c r="N104" s="212" t="s">
        <v>1025</v>
      </c>
      <c r="P104" s="213">
        <f>O104*H104</f>
        <v>0</v>
      </c>
      <c r="Q104" s="213">
        <v>0</v>
      </c>
      <c r="R104" s="213">
        <f>Q104*H104</f>
        <v>0</v>
      </c>
      <c r="S104" s="213">
        <v>6.0000000000000001E-3</v>
      </c>
      <c r="T104" s="214">
        <f>S104*H104</f>
        <v>1.284</v>
      </c>
      <c r="AR104" s="215" t="s">
        <v>76</v>
      </c>
      <c r="AT104" s="215" t="s">
        <v>1104</v>
      </c>
      <c r="AU104" s="215" t="s">
        <v>65</v>
      </c>
      <c r="AY104" s="103" t="s">
        <v>1102</v>
      </c>
      <c r="BE104" s="216">
        <f>IF(N104="základní",J104,0)</f>
        <v>0</v>
      </c>
      <c r="BF104" s="216">
        <f>IF(N104="snížená",J104,0)</f>
        <v>0</v>
      </c>
      <c r="BG104" s="216">
        <f>IF(N104="zákl. přenesená",J104,0)</f>
        <v>0</v>
      </c>
      <c r="BH104" s="216">
        <f>IF(N104="sníž. přenesená",J104,0)</f>
        <v>0</v>
      </c>
      <c r="BI104" s="216">
        <f>IF(N104="nulová",J104,0)</f>
        <v>0</v>
      </c>
      <c r="BJ104" s="103" t="s">
        <v>55</v>
      </c>
      <c r="BK104" s="216">
        <f>ROUND(I104*H104,2)</f>
        <v>0</v>
      </c>
      <c r="BL104" s="103" t="s">
        <v>76</v>
      </c>
      <c r="BM104" s="215" t="s">
        <v>1933</v>
      </c>
    </row>
    <row r="105" spans="2:65" s="256" customFormat="1" x14ac:dyDescent="0.25">
      <c r="B105" s="112"/>
      <c r="D105" s="217" t="s">
        <v>1109</v>
      </c>
      <c r="F105" s="218" t="s">
        <v>1721</v>
      </c>
      <c r="I105" s="324"/>
      <c r="L105" s="112"/>
      <c r="M105" s="219"/>
      <c r="T105" s="128"/>
      <c r="AT105" s="103" t="s">
        <v>1109</v>
      </c>
      <c r="AU105" s="103" t="s">
        <v>65</v>
      </c>
    </row>
    <row r="106" spans="2:65" s="256" customFormat="1" ht="24.2" customHeight="1" x14ac:dyDescent="0.25">
      <c r="B106" s="112"/>
      <c r="C106" s="206" t="s">
        <v>88</v>
      </c>
      <c r="D106" s="206" t="s">
        <v>1104</v>
      </c>
      <c r="E106" s="207" t="s">
        <v>1256</v>
      </c>
      <c r="F106" s="208" t="s">
        <v>1257</v>
      </c>
      <c r="G106" s="209" t="s">
        <v>104</v>
      </c>
      <c r="H106" s="210">
        <v>22</v>
      </c>
      <c r="I106" s="326"/>
      <c r="J106" s="211">
        <f>ROUND(I106*H106,2)</f>
        <v>0</v>
      </c>
      <c r="K106" s="208" t="s">
        <v>1161</v>
      </c>
      <c r="L106" s="112"/>
      <c r="M106" s="325" t="s">
        <v>1010</v>
      </c>
      <c r="N106" s="212" t="s">
        <v>1025</v>
      </c>
      <c r="P106" s="213">
        <f>O106*H106</f>
        <v>0</v>
      </c>
      <c r="Q106" s="213">
        <v>1.1299999999999999E-3</v>
      </c>
      <c r="R106" s="213">
        <f>Q106*H106</f>
        <v>2.486E-2</v>
      </c>
      <c r="S106" s="213">
        <v>1.0999999999999999E-2</v>
      </c>
      <c r="T106" s="214">
        <f>S106*H106</f>
        <v>0.24199999999999999</v>
      </c>
      <c r="AR106" s="215" t="s">
        <v>76</v>
      </c>
      <c r="AT106" s="215" t="s">
        <v>1104</v>
      </c>
      <c r="AU106" s="215" t="s">
        <v>65</v>
      </c>
      <c r="AY106" s="103" t="s">
        <v>1102</v>
      </c>
      <c r="BE106" s="216">
        <f>IF(N106="základní",J106,0)</f>
        <v>0</v>
      </c>
      <c r="BF106" s="216">
        <f>IF(N106="snížená",J106,0)</f>
        <v>0</v>
      </c>
      <c r="BG106" s="216">
        <f>IF(N106="zákl. přenesená",J106,0)</f>
        <v>0</v>
      </c>
      <c r="BH106" s="216">
        <f>IF(N106="sníž. přenesená",J106,0)</f>
        <v>0</v>
      </c>
      <c r="BI106" s="216">
        <f>IF(N106="nulová",J106,0)</f>
        <v>0</v>
      </c>
      <c r="BJ106" s="103" t="s">
        <v>55</v>
      </c>
      <c r="BK106" s="216">
        <f>ROUND(I106*H106,2)</f>
        <v>0</v>
      </c>
      <c r="BL106" s="103" t="s">
        <v>76</v>
      </c>
      <c r="BM106" s="215" t="s">
        <v>1934</v>
      </c>
    </row>
    <row r="107" spans="2:65" s="256" customFormat="1" x14ac:dyDescent="0.25">
      <c r="B107" s="112"/>
      <c r="D107" s="217" t="s">
        <v>1109</v>
      </c>
      <c r="F107" s="218" t="s">
        <v>1935</v>
      </c>
      <c r="I107" s="324"/>
      <c r="L107" s="112"/>
      <c r="M107" s="219"/>
      <c r="T107" s="128"/>
      <c r="AT107" s="103" t="s">
        <v>1109</v>
      </c>
      <c r="AU107" s="103" t="s">
        <v>65</v>
      </c>
    </row>
    <row r="108" spans="2:65" s="194" customFormat="1" ht="22.9" customHeight="1" x14ac:dyDescent="0.2">
      <c r="B108" s="195"/>
      <c r="D108" s="196" t="s">
        <v>1052</v>
      </c>
      <c r="E108" s="204" t="s">
        <v>1272</v>
      </c>
      <c r="F108" s="204" t="s">
        <v>1273</v>
      </c>
      <c r="I108" s="327"/>
      <c r="J108" s="205">
        <f>BK108</f>
        <v>0</v>
      </c>
      <c r="L108" s="195"/>
      <c r="M108" s="199"/>
      <c r="P108" s="200">
        <f>SUM(P109:P119)</f>
        <v>0</v>
      </c>
      <c r="R108" s="200">
        <f>SUM(R109:R119)</f>
        <v>0</v>
      </c>
      <c r="T108" s="201">
        <f>SUM(T109:T119)</f>
        <v>0</v>
      </c>
      <c r="AR108" s="196" t="s">
        <v>55</v>
      </c>
      <c r="AT108" s="202" t="s">
        <v>1052</v>
      </c>
      <c r="AU108" s="202" t="s">
        <v>55</v>
      </c>
      <c r="AY108" s="196" t="s">
        <v>1102</v>
      </c>
      <c r="BK108" s="203">
        <f>SUM(BK109:BK119)</f>
        <v>0</v>
      </c>
    </row>
    <row r="109" spans="2:65" s="256" customFormat="1" ht="24.2" customHeight="1" x14ac:dyDescent="0.25">
      <c r="B109" s="112"/>
      <c r="C109" s="206" t="s">
        <v>95</v>
      </c>
      <c r="D109" s="206" t="s">
        <v>1104</v>
      </c>
      <c r="E109" s="207" t="s">
        <v>1936</v>
      </c>
      <c r="F109" s="208" t="s">
        <v>1937</v>
      </c>
      <c r="G109" s="209" t="s">
        <v>1125</v>
      </c>
      <c r="H109" s="210">
        <v>24.422000000000001</v>
      </c>
      <c r="I109" s="326"/>
      <c r="J109" s="211">
        <f>ROUND(I109*H109,2)</f>
        <v>0</v>
      </c>
      <c r="K109" s="208" t="s">
        <v>1161</v>
      </c>
      <c r="L109" s="112"/>
      <c r="M109" s="325" t="s">
        <v>1010</v>
      </c>
      <c r="N109" s="212" t="s">
        <v>1025</v>
      </c>
      <c r="P109" s="213">
        <f>O109*H109</f>
        <v>0</v>
      </c>
      <c r="Q109" s="213">
        <v>0</v>
      </c>
      <c r="R109" s="213">
        <f>Q109*H109</f>
        <v>0</v>
      </c>
      <c r="S109" s="213">
        <v>0</v>
      </c>
      <c r="T109" s="214">
        <f>S109*H109</f>
        <v>0</v>
      </c>
      <c r="AR109" s="215" t="s">
        <v>76</v>
      </c>
      <c r="AT109" s="215" t="s">
        <v>1104</v>
      </c>
      <c r="AU109" s="215" t="s">
        <v>65</v>
      </c>
      <c r="AY109" s="103" t="s">
        <v>1102</v>
      </c>
      <c r="BE109" s="216">
        <f>IF(N109="základní",J109,0)</f>
        <v>0</v>
      </c>
      <c r="BF109" s="216">
        <f>IF(N109="snížená",J109,0)</f>
        <v>0</v>
      </c>
      <c r="BG109" s="216">
        <f>IF(N109="zákl. přenesená",J109,0)</f>
        <v>0</v>
      </c>
      <c r="BH109" s="216">
        <f>IF(N109="sníž. přenesená",J109,0)</f>
        <v>0</v>
      </c>
      <c r="BI109" s="216">
        <f>IF(N109="nulová",J109,0)</f>
        <v>0</v>
      </c>
      <c r="BJ109" s="103" t="s">
        <v>55</v>
      </c>
      <c r="BK109" s="216">
        <f>ROUND(I109*H109,2)</f>
        <v>0</v>
      </c>
      <c r="BL109" s="103" t="s">
        <v>76</v>
      </c>
      <c r="BM109" s="215" t="s">
        <v>1938</v>
      </c>
    </row>
    <row r="110" spans="2:65" s="256" customFormat="1" x14ac:dyDescent="0.25">
      <c r="B110" s="112"/>
      <c r="D110" s="217" t="s">
        <v>1109</v>
      </c>
      <c r="F110" s="218" t="s">
        <v>1939</v>
      </c>
      <c r="I110" s="324"/>
      <c r="L110" s="112"/>
      <c r="M110" s="219"/>
      <c r="T110" s="128"/>
      <c r="AT110" s="103" t="s">
        <v>1109</v>
      </c>
      <c r="AU110" s="103" t="s">
        <v>65</v>
      </c>
    </row>
    <row r="111" spans="2:65" s="256" customFormat="1" ht="21.75" customHeight="1" x14ac:dyDescent="0.25">
      <c r="B111" s="112"/>
      <c r="C111" s="206" t="s">
        <v>101</v>
      </c>
      <c r="D111" s="206" t="s">
        <v>1104</v>
      </c>
      <c r="E111" s="207" t="s">
        <v>1278</v>
      </c>
      <c r="F111" s="208" t="s">
        <v>1279</v>
      </c>
      <c r="G111" s="209" t="s">
        <v>1125</v>
      </c>
      <c r="H111" s="210">
        <v>24.422000000000001</v>
      </c>
      <c r="I111" s="326"/>
      <c r="J111" s="211">
        <f>ROUND(I111*H111,2)</f>
        <v>0</v>
      </c>
      <c r="K111" s="208" t="s">
        <v>1107</v>
      </c>
      <c r="L111" s="112"/>
      <c r="M111" s="325" t="s">
        <v>1010</v>
      </c>
      <c r="N111" s="212" t="s">
        <v>1025</v>
      </c>
      <c r="P111" s="213">
        <f>O111*H111</f>
        <v>0</v>
      </c>
      <c r="Q111" s="213">
        <v>0</v>
      </c>
      <c r="R111" s="213">
        <f>Q111*H111</f>
        <v>0</v>
      </c>
      <c r="S111" s="213">
        <v>0</v>
      </c>
      <c r="T111" s="214">
        <f>S111*H111</f>
        <v>0</v>
      </c>
      <c r="AR111" s="215" t="s">
        <v>126</v>
      </c>
      <c r="AT111" s="215" t="s">
        <v>1104</v>
      </c>
      <c r="AU111" s="215" t="s">
        <v>65</v>
      </c>
      <c r="AY111" s="103" t="s">
        <v>1102</v>
      </c>
      <c r="BE111" s="216">
        <f>IF(N111="základní",J111,0)</f>
        <v>0</v>
      </c>
      <c r="BF111" s="216">
        <f>IF(N111="snížená",J111,0)</f>
        <v>0</v>
      </c>
      <c r="BG111" s="216">
        <f>IF(N111="zákl. přenesená",J111,0)</f>
        <v>0</v>
      </c>
      <c r="BH111" s="216">
        <f>IF(N111="sníž. přenesená",J111,0)</f>
        <v>0</v>
      </c>
      <c r="BI111" s="216">
        <f>IF(N111="nulová",J111,0)</f>
        <v>0</v>
      </c>
      <c r="BJ111" s="103" t="s">
        <v>55</v>
      </c>
      <c r="BK111" s="216">
        <f>ROUND(I111*H111,2)</f>
        <v>0</v>
      </c>
      <c r="BL111" s="103" t="s">
        <v>126</v>
      </c>
      <c r="BM111" s="215" t="s">
        <v>1940</v>
      </c>
    </row>
    <row r="112" spans="2:65" s="256" customFormat="1" x14ac:dyDescent="0.25">
      <c r="B112" s="112"/>
      <c r="D112" s="217" t="s">
        <v>1109</v>
      </c>
      <c r="F112" s="218" t="s">
        <v>1281</v>
      </c>
      <c r="I112" s="324"/>
      <c r="L112" s="112"/>
      <c r="M112" s="219"/>
      <c r="T112" s="128"/>
      <c r="AT112" s="103" t="s">
        <v>1109</v>
      </c>
      <c r="AU112" s="103" t="s">
        <v>65</v>
      </c>
    </row>
    <row r="113" spans="2:65" s="256" customFormat="1" ht="24.2" customHeight="1" x14ac:dyDescent="0.25">
      <c r="B113" s="112"/>
      <c r="C113" s="206" t="s">
        <v>110</v>
      </c>
      <c r="D113" s="206" t="s">
        <v>1104</v>
      </c>
      <c r="E113" s="207" t="s">
        <v>1282</v>
      </c>
      <c r="F113" s="208" t="s">
        <v>1283</v>
      </c>
      <c r="G113" s="209" t="s">
        <v>1125</v>
      </c>
      <c r="H113" s="210">
        <v>244.22</v>
      </c>
      <c r="I113" s="326"/>
      <c r="J113" s="211">
        <f>ROUND(I113*H113,2)</f>
        <v>0</v>
      </c>
      <c r="K113" s="208" t="s">
        <v>1107</v>
      </c>
      <c r="L113" s="112"/>
      <c r="M113" s="325" t="s">
        <v>1010</v>
      </c>
      <c r="N113" s="212" t="s">
        <v>1025</v>
      </c>
      <c r="P113" s="213">
        <f>O113*H113</f>
        <v>0</v>
      </c>
      <c r="Q113" s="213">
        <v>0</v>
      </c>
      <c r="R113" s="213">
        <f>Q113*H113</f>
        <v>0</v>
      </c>
      <c r="S113" s="213">
        <v>0</v>
      </c>
      <c r="T113" s="214">
        <f>S113*H113</f>
        <v>0</v>
      </c>
      <c r="AR113" s="215" t="s">
        <v>76</v>
      </c>
      <c r="AT113" s="215" t="s">
        <v>1104</v>
      </c>
      <c r="AU113" s="215" t="s">
        <v>65</v>
      </c>
      <c r="AY113" s="103" t="s">
        <v>1102</v>
      </c>
      <c r="BE113" s="216">
        <f>IF(N113="základní",J113,0)</f>
        <v>0</v>
      </c>
      <c r="BF113" s="216">
        <f>IF(N113="snížená",J113,0)</f>
        <v>0</v>
      </c>
      <c r="BG113" s="216">
        <f>IF(N113="zákl. přenesená",J113,0)</f>
        <v>0</v>
      </c>
      <c r="BH113" s="216">
        <f>IF(N113="sníž. přenesená",J113,0)</f>
        <v>0</v>
      </c>
      <c r="BI113" s="216">
        <f>IF(N113="nulová",J113,0)</f>
        <v>0</v>
      </c>
      <c r="BJ113" s="103" t="s">
        <v>55</v>
      </c>
      <c r="BK113" s="216">
        <f>ROUND(I113*H113,2)</f>
        <v>0</v>
      </c>
      <c r="BL113" s="103" t="s">
        <v>76</v>
      </c>
      <c r="BM113" s="215" t="s">
        <v>1941</v>
      </c>
    </row>
    <row r="114" spans="2:65" s="256" customFormat="1" x14ac:dyDescent="0.25">
      <c r="B114" s="112"/>
      <c r="D114" s="217" t="s">
        <v>1109</v>
      </c>
      <c r="F114" s="218" t="s">
        <v>1285</v>
      </c>
      <c r="I114" s="324"/>
      <c r="L114" s="112"/>
      <c r="M114" s="219"/>
      <c r="T114" s="128"/>
      <c r="AT114" s="103" t="s">
        <v>1109</v>
      </c>
      <c r="AU114" s="103" t="s">
        <v>65</v>
      </c>
    </row>
    <row r="115" spans="2:65" s="220" customFormat="1" x14ac:dyDescent="0.25">
      <c r="B115" s="221"/>
      <c r="D115" s="222" t="s">
        <v>1128</v>
      </c>
      <c r="F115" s="223" t="s">
        <v>1942</v>
      </c>
      <c r="H115" s="224">
        <v>244.22</v>
      </c>
      <c r="I115" s="330"/>
      <c r="L115" s="221"/>
      <c r="M115" s="225"/>
      <c r="T115" s="226"/>
      <c r="AT115" s="227" t="s">
        <v>1128</v>
      </c>
      <c r="AU115" s="227" t="s">
        <v>65</v>
      </c>
      <c r="AV115" s="220" t="s">
        <v>65</v>
      </c>
      <c r="AW115" s="220" t="s">
        <v>999</v>
      </c>
      <c r="AX115" s="220" t="s">
        <v>55</v>
      </c>
      <c r="AY115" s="227" t="s">
        <v>1102</v>
      </c>
    </row>
    <row r="116" spans="2:65" s="256" customFormat="1" ht="24.2" customHeight="1" x14ac:dyDescent="0.25">
      <c r="B116" s="112"/>
      <c r="C116" s="206" t="s">
        <v>116</v>
      </c>
      <c r="D116" s="206" t="s">
        <v>1104</v>
      </c>
      <c r="E116" s="207" t="s">
        <v>1287</v>
      </c>
      <c r="F116" s="208" t="s">
        <v>1288</v>
      </c>
      <c r="G116" s="209" t="s">
        <v>1125</v>
      </c>
      <c r="H116" s="210">
        <v>24.422000000000001</v>
      </c>
      <c r="I116" s="326"/>
      <c r="J116" s="211">
        <f>ROUND(I116*H116,2)</f>
        <v>0</v>
      </c>
      <c r="K116" s="208" t="s">
        <v>1161</v>
      </c>
      <c r="L116" s="112"/>
      <c r="M116" s="325" t="s">
        <v>1010</v>
      </c>
      <c r="N116" s="212" t="s">
        <v>1025</v>
      </c>
      <c r="P116" s="213">
        <f>O116*H116</f>
        <v>0</v>
      </c>
      <c r="Q116" s="213">
        <v>0</v>
      </c>
      <c r="R116" s="213">
        <f>Q116*H116</f>
        <v>0</v>
      </c>
      <c r="S116" s="213">
        <v>0</v>
      </c>
      <c r="T116" s="214">
        <f>S116*H116</f>
        <v>0</v>
      </c>
      <c r="AR116" s="215" t="s">
        <v>76</v>
      </c>
      <c r="AT116" s="215" t="s">
        <v>1104</v>
      </c>
      <c r="AU116" s="215" t="s">
        <v>65</v>
      </c>
      <c r="AY116" s="103" t="s">
        <v>1102</v>
      </c>
      <c r="BE116" s="216">
        <f>IF(N116="základní",J116,0)</f>
        <v>0</v>
      </c>
      <c r="BF116" s="216">
        <f>IF(N116="snížená",J116,0)</f>
        <v>0</v>
      </c>
      <c r="BG116" s="216">
        <f>IF(N116="zákl. přenesená",J116,0)</f>
        <v>0</v>
      </c>
      <c r="BH116" s="216">
        <f>IF(N116="sníž. přenesená",J116,0)</f>
        <v>0</v>
      </c>
      <c r="BI116" s="216">
        <f>IF(N116="nulová",J116,0)</f>
        <v>0</v>
      </c>
      <c r="BJ116" s="103" t="s">
        <v>55</v>
      </c>
      <c r="BK116" s="216">
        <f>ROUND(I116*H116,2)</f>
        <v>0</v>
      </c>
      <c r="BL116" s="103" t="s">
        <v>76</v>
      </c>
      <c r="BM116" s="215" t="s">
        <v>1943</v>
      </c>
    </row>
    <row r="117" spans="2:65" s="256" customFormat="1" x14ac:dyDescent="0.25">
      <c r="B117" s="112"/>
      <c r="D117" s="217" t="s">
        <v>1109</v>
      </c>
      <c r="F117" s="218" t="s">
        <v>1290</v>
      </c>
      <c r="I117" s="324"/>
      <c r="L117" s="112"/>
      <c r="M117" s="219"/>
      <c r="T117" s="128"/>
      <c r="AT117" s="103" t="s">
        <v>1109</v>
      </c>
      <c r="AU117" s="103" t="s">
        <v>65</v>
      </c>
    </row>
    <row r="118" spans="2:65" s="256" customFormat="1" ht="16.5" customHeight="1" x14ac:dyDescent="0.25">
      <c r="B118" s="112"/>
      <c r="C118" s="206" t="s">
        <v>118</v>
      </c>
      <c r="D118" s="206" t="s">
        <v>1104</v>
      </c>
      <c r="E118" s="207" t="s">
        <v>1291</v>
      </c>
      <c r="F118" s="208" t="s">
        <v>1292</v>
      </c>
      <c r="G118" s="209" t="s">
        <v>1125</v>
      </c>
      <c r="H118" s="210">
        <v>24.422000000000001</v>
      </c>
      <c r="I118" s="326"/>
      <c r="J118" s="211">
        <f>ROUND(I118*H118,2)</f>
        <v>0</v>
      </c>
      <c r="K118" s="208" t="s">
        <v>1107</v>
      </c>
      <c r="L118" s="112"/>
      <c r="M118" s="325" t="s">
        <v>1010</v>
      </c>
      <c r="N118" s="212" t="s">
        <v>1025</v>
      </c>
      <c r="P118" s="213">
        <f>O118*H118</f>
        <v>0</v>
      </c>
      <c r="Q118" s="213">
        <v>0</v>
      </c>
      <c r="R118" s="213">
        <f>Q118*H118</f>
        <v>0</v>
      </c>
      <c r="S118" s="213">
        <v>0</v>
      </c>
      <c r="T118" s="214">
        <f>S118*H118</f>
        <v>0</v>
      </c>
      <c r="AR118" s="215" t="s">
        <v>76</v>
      </c>
      <c r="AT118" s="215" t="s">
        <v>1104</v>
      </c>
      <c r="AU118" s="215" t="s">
        <v>65</v>
      </c>
      <c r="AY118" s="103" t="s">
        <v>1102</v>
      </c>
      <c r="BE118" s="216">
        <f>IF(N118="základní",J118,0)</f>
        <v>0</v>
      </c>
      <c r="BF118" s="216">
        <f>IF(N118="snížená",J118,0)</f>
        <v>0</v>
      </c>
      <c r="BG118" s="216">
        <f>IF(N118="zákl. přenesená",J118,0)</f>
        <v>0</v>
      </c>
      <c r="BH118" s="216">
        <f>IF(N118="sníž. přenesená",J118,0)</f>
        <v>0</v>
      </c>
      <c r="BI118" s="216">
        <f>IF(N118="nulová",J118,0)</f>
        <v>0</v>
      </c>
      <c r="BJ118" s="103" t="s">
        <v>55</v>
      </c>
      <c r="BK118" s="216">
        <f>ROUND(I118*H118,2)</f>
        <v>0</v>
      </c>
      <c r="BL118" s="103" t="s">
        <v>76</v>
      </c>
      <c r="BM118" s="215" t="s">
        <v>1944</v>
      </c>
    </row>
    <row r="119" spans="2:65" s="256" customFormat="1" x14ac:dyDescent="0.25">
      <c r="B119" s="112"/>
      <c r="D119" s="217" t="s">
        <v>1109</v>
      </c>
      <c r="F119" s="218" t="s">
        <v>1294</v>
      </c>
      <c r="I119" s="324"/>
      <c r="L119" s="112"/>
      <c r="M119" s="219"/>
      <c r="T119" s="128"/>
      <c r="AT119" s="103" t="s">
        <v>1109</v>
      </c>
      <c r="AU119" s="103" t="s">
        <v>65</v>
      </c>
    </row>
    <row r="120" spans="2:65" s="194" customFormat="1" ht="22.9" customHeight="1" x14ac:dyDescent="0.2">
      <c r="B120" s="195"/>
      <c r="D120" s="196" t="s">
        <v>1052</v>
      </c>
      <c r="E120" s="204" t="s">
        <v>1295</v>
      </c>
      <c r="F120" s="204" t="s">
        <v>1296</v>
      </c>
      <c r="I120" s="327"/>
      <c r="J120" s="205">
        <f>BK120</f>
        <v>0</v>
      </c>
      <c r="L120" s="195"/>
      <c r="M120" s="199"/>
      <c r="P120" s="200">
        <f>SUM(P121:P122)</f>
        <v>0</v>
      </c>
      <c r="R120" s="200">
        <f>SUM(R121:R122)</f>
        <v>0</v>
      </c>
      <c r="T120" s="201">
        <f>SUM(T121:T122)</f>
        <v>0</v>
      </c>
      <c r="AR120" s="196" t="s">
        <v>55</v>
      </c>
      <c r="AT120" s="202" t="s">
        <v>1052</v>
      </c>
      <c r="AU120" s="202" t="s">
        <v>55</v>
      </c>
      <c r="AY120" s="196" t="s">
        <v>1102</v>
      </c>
      <c r="BK120" s="203">
        <f>SUM(BK121:BK122)</f>
        <v>0</v>
      </c>
    </row>
    <row r="121" spans="2:65" s="256" customFormat="1" ht="33" customHeight="1" x14ac:dyDescent="0.25">
      <c r="B121" s="112"/>
      <c r="C121" s="206" t="s">
        <v>119</v>
      </c>
      <c r="D121" s="206" t="s">
        <v>1104</v>
      </c>
      <c r="E121" s="207" t="s">
        <v>1297</v>
      </c>
      <c r="F121" s="208" t="s">
        <v>1298</v>
      </c>
      <c r="G121" s="209" t="s">
        <v>1125</v>
      </c>
      <c r="H121" s="210">
        <v>20.420999999999999</v>
      </c>
      <c r="I121" s="326"/>
      <c r="J121" s="211">
        <f>ROUND(I121*H121,2)</f>
        <v>0</v>
      </c>
      <c r="K121" s="208" t="s">
        <v>1146</v>
      </c>
      <c r="L121" s="112"/>
      <c r="M121" s="325" t="s">
        <v>1010</v>
      </c>
      <c r="N121" s="212" t="s">
        <v>1025</v>
      </c>
      <c r="P121" s="213">
        <f>O121*H121</f>
        <v>0</v>
      </c>
      <c r="Q121" s="213">
        <v>0</v>
      </c>
      <c r="R121" s="213">
        <f>Q121*H121</f>
        <v>0</v>
      </c>
      <c r="S121" s="213">
        <v>0</v>
      </c>
      <c r="T121" s="214">
        <f>S121*H121</f>
        <v>0</v>
      </c>
      <c r="AR121" s="215" t="s">
        <v>76</v>
      </c>
      <c r="AT121" s="215" t="s">
        <v>1104</v>
      </c>
      <c r="AU121" s="215" t="s">
        <v>65</v>
      </c>
      <c r="AY121" s="103" t="s">
        <v>1102</v>
      </c>
      <c r="BE121" s="216">
        <f>IF(N121="základní",J121,0)</f>
        <v>0</v>
      </c>
      <c r="BF121" s="216">
        <f>IF(N121="snížená",J121,0)</f>
        <v>0</v>
      </c>
      <c r="BG121" s="216">
        <f>IF(N121="zákl. přenesená",J121,0)</f>
        <v>0</v>
      </c>
      <c r="BH121" s="216">
        <f>IF(N121="sníž. přenesená",J121,0)</f>
        <v>0</v>
      </c>
      <c r="BI121" s="216">
        <f>IF(N121="nulová",J121,0)</f>
        <v>0</v>
      </c>
      <c r="BJ121" s="103" t="s">
        <v>55</v>
      </c>
      <c r="BK121" s="216">
        <f>ROUND(I121*H121,2)</f>
        <v>0</v>
      </c>
      <c r="BL121" s="103" t="s">
        <v>76</v>
      </c>
      <c r="BM121" s="215" t="s">
        <v>1945</v>
      </c>
    </row>
    <row r="122" spans="2:65" s="256" customFormat="1" x14ac:dyDescent="0.25">
      <c r="B122" s="112"/>
      <c r="D122" s="217" t="s">
        <v>1109</v>
      </c>
      <c r="F122" s="218" t="s">
        <v>1300</v>
      </c>
      <c r="I122" s="324"/>
      <c r="L122" s="112"/>
      <c r="M122" s="219"/>
      <c r="T122" s="128"/>
      <c r="AT122" s="103" t="s">
        <v>1109</v>
      </c>
      <c r="AU122" s="103" t="s">
        <v>65</v>
      </c>
    </row>
    <row r="123" spans="2:65" s="194" customFormat="1" ht="25.9" customHeight="1" x14ac:dyDescent="0.2">
      <c r="B123" s="195"/>
      <c r="D123" s="196" t="s">
        <v>1052</v>
      </c>
      <c r="E123" s="197" t="s">
        <v>687</v>
      </c>
      <c r="F123" s="197" t="s">
        <v>1305</v>
      </c>
      <c r="I123" s="327"/>
      <c r="J123" s="198">
        <f>BK123</f>
        <v>0</v>
      </c>
      <c r="L123" s="195"/>
      <c r="M123" s="199"/>
      <c r="P123" s="200">
        <f>P124+P142+P166+P203+P238</f>
        <v>0</v>
      </c>
      <c r="R123" s="200">
        <f>R124+R142+R166+R203+R238</f>
        <v>3.6241600000000003</v>
      </c>
      <c r="T123" s="201">
        <f>T124+T142+T166+T203+T238</f>
        <v>6.3962500000000002</v>
      </c>
      <c r="AR123" s="196" t="s">
        <v>65</v>
      </c>
      <c r="AT123" s="202" t="s">
        <v>1052</v>
      </c>
      <c r="AU123" s="202" t="s">
        <v>166</v>
      </c>
      <c r="AY123" s="196" t="s">
        <v>1102</v>
      </c>
      <c r="BK123" s="203">
        <f>BK124+BK142+BK166+BK203+BK238</f>
        <v>0</v>
      </c>
    </row>
    <row r="124" spans="2:65" s="194" customFormat="1" ht="22.9" customHeight="1" x14ac:dyDescent="0.2">
      <c r="B124" s="195"/>
      <c r="D124" s="196" t="s">
        <v>1052</v>
      </c>
      <c r="E124" s="204" t="s">
        <v>1946</v>
      </c>
      <c r="F124" s="204" t="s">
        <v>1947</v>
      </c>
      <c r="I124" s="327"/>
      <c r="J124" s="205">
        <f>BK124</f>
        <v>0</v>
      </c>
      <c r="L124" s="195"/>
      <c r="M124" s="199"/>
      <c r="P124" s="200">
        <f>SUM(P125:P141)</f>
        <v>0</v>
      </c>
      <c r="R124" s="200">
        <f>SUM(R125:R141)</f>
        <v>0.11730999999999998</v>
      </c>
      <c r="T124" s="201">
        <f>SUM(T125:T141)</f>
        <v>0.91875000000000007</v>
      </c>
      <c r="AR124" s="196" t="s">
        <v>65</v>
      </c>
      <c r="AT124" s="202" t="s">
        <v>1052</v>
      </c>
      <c r="AU124" s="202" t="s">
        <v>55</v>
      </c>
      <c r="AY124" s="196" t="s">
        <v>1102</v>
      </c>
      <c r="BK124" s="203">
        <f>SUM(BK125:BK141)</f>
        <v>0</v>
      </c>
    </row>
    <row r="125" spans="2:65" s="256" customFormat="1" ht="16.5" customHeight="1" x14ac:dyDescent="0.25">
      <c r="B125" s="112"/>
      <c r="C125" s="206" t="s">
        <v>120</v>
      </c>
      <c r="D125" s="206" t="s">
        <v>1104</v>
      </c>
      <c r="E125" s="207" t="s">
        <v>1948</v>
      </c>
      <c r="F125" s="208" t="s">
        <v>1949</v>
      </c>
      <c r="G125" s="209" t="s">
        <v>113</v>
      </c>
      <c r="H125" s="210">
        <v>3</v>
      </c>
      <c r="I125" s="326"/>
      <c r="J125" s="211">
        <f>ROUND(I125*H125,2)</f>
        <v>0</v>
      </c>
      <c r="K125" s="208" t="s">
        <v>1146</v>
      </c>
      <c r="L125" s="112"/>
      <c r="M125" s="325" t="s">
        <v>1010</v>
      </c>
      <c r="N125" s="212" t="s">
        <v>1025</v>
      </c>
      <c r="P125" s="213">
        <f>O125*H125</f>
        <v>0</v>
      </c>
      <c r="Q125" s="213">
        <v>1.7000000000000001E-4</v>
      </c>
      <c r="R125" s="213">
        <f>Q125*H125</f>
        <v>5.1000000000000004E-4</v>
      </c>
      <c r="S125" s="213">
        <v>0.30625000000000002</v>
      </c>
      <c r="T125" s="214">
        <f>S125*H125</f>
        <v>0.91875000000000007</v>
      </c>
      <c r="AR125" s="215" t="s">
        <v>126</v>
      </c>
      <c r="AT125" s="215" t="s">
        <v>1104</v>
      </c>
      <c r="AU125" s="215" t="s">
        <v>65</v>
      </c>
      <c r="AY125" s="103" t="s">
        <v>1102</v>
      </c>
      <c r="BE125" s="216">
        <f>IF(N125="základní",J125,0)</f>
        <v>0</v>
      </c>
      <c r="BF125" s="216">
        <f>IF(N125="snížená",J125,0)</f>
        <v>0</v>
      </c>
      <c r="BG125" s="216">
        <f>IF(N125="zákl. přenesená",J125,0)</f>
        <v>0</v>
      </c>
      <c r="BH125" s="216">
        <f>IF(N125="sníž. přenesená",J125,0)</f>
        <v>0</v>
      </c>
      <c r="BI125" s="216">
        <f>IF(N125="nulová",J125,0)</f>
        <v>0</v>
      </c>
      <c r="BJ125" s="103" t="s">
        <v>55</v>
      </c>
      <c r="BK125" s="216">
        <f>ROUND(I125*H125,2)</f>
        <v>0</v>
      </c>
      <c r="BL125" s="103" t="s">
        <v>126</v>
      </c>
      <c r="BM125" s="215" t="s">
        <v>1950</v>
      </c>
    </row>
    <row r="126" spans="2:65" s="256" customFormat="1" x14ac:dyDescent="0.25">
      <c r="B126" s="112"/>
      <c r="D126" s="217" t="s">
        <v>1109</v>
      </c>
      <c r="F126" s="218" t="s">
        <v>1951</v>
      </c>
      <c r="I126" s="324"/>
      <c r="L126" s="112"/>
      <c r="M126" s="219"/>
      <c r="T126" s="128"/>
      <c r="AT126" s="103" t="s">
        <v>1109</v>
      </c>
      <c r="AU126" s="103" t="s">
        <v>65</v>
      </c>
    </row>
    <row r="127" spans="2:65" s="256" customFormat="1" ht="24.2" customHeight="1" x14ac:dyDescent="0.25">
      <c r="B127" s="112"/>
      <c r="C127" s="206" t="s">
        <v>121</v>
      </c>
      <c r="D127" s="206" t="s">
        <v>1104</v>
      </c>
      <c r="E127" s="207" t="s">
        <v>1952</v>
      </c>
      <c r="F127" s="208" t="s">
        <v>1953</v>
      </c>
      <c r="G127" s="209" t="s">
        <v>1533</v>
      </c>
      <c r="H127" s="210">
        <v>2</v>
      </c>
      <c r="I127" s="326"/>
      <c r="J127" s="211">
        <f>ROUND(I127*H127,2)</f>
        <v>0</v>
      </c>
      <c r="K127" s="208" t="s">
        <v>1146</v>
      </c>
      <c r="L127" s="112"/>
      <c r="M127" s="325" t="s">
        <v>1010</v>
      </c>
      <c r="N127" s="212" t="s">
        <v>1025</v>
      </c>
      <c r="P127" s="213">
        <f>O127*H127</f>
        <v>0</v>
      </c>
      <c r="Q127" s="213">
        <v>2.6099999999999999E-3</v>
      </c>
      <c r="R127" s="213">
        <f>Q127*H127</f>
        <v>5.2199999999999998E-3</v>
      </c>
      <c r="S127" s="213">
        <v>0</v>
      </c>
      <c r="T127" s="214">
        <f>S127*H127</f>
        <v>0</v>
      </c>
      <c r="AR127" s="215" t="s">
        <v>126</v>
      </c>
      <c r="AT127" s="215" t="s">
        <v>1104</v>
      </c>
      <c r="AU127" s="215" t="s">
        <v>65</v>
      </c>
      <c r="AY127" s="103" t="s">
        <v>1102</v>
      </c>
      <c r="BE127" s="216">
        <f>IF(N127="základní",J127,0)</f>
        <v>0</v>
      </c>
      <c r="BF127" s="216">
        <f>IF(N127="snížená",J127,0)</f>
        <v>0</v>
      </c>
      <c r="BG127" s="216">
        <f>IF(N127="zákl. přenesená",J127,0)</f>
        <v>0</v>
      </c>
      <c r="BH127" s="216">
        <f>IF(N127="sníž. přenesená",J127,0)</f>
        <v>0</v>
      </c>
      <c r="BI127" s="216">
        <f>IF(N127="nulová",J127,0)</f>
        <v>0</v>
      </c>
      <c r="BJ127" s="103" t="s">
        <v>55</v>
      </c>
      <c r="BK127" s="216">
        <f>ROUND(I127*H127,2)</f>
        <v>0</v>
      </c>
      <c r="BL127" s="103" t="s">
        <v>126</v>
      </c>
      <c r="BM127" s="215" t="s">
        <v>1954</v>
      </c>
    </row>
    <row r="128" spans="2:65" s="256" customFormat="1" x14ac:dyDescent="0.25">
      <c r="B128" s="112"/>
      <c r="D128" s="217" t="s">
        <v>1109</v>
      </c>
      <c r="F128" s="218" t="s">
        <v>1955</v>
      </c>
      <c r="I128" s="324"/>
      <c r="L128" s="112"/>
      <c r="M128" s="219"/>
      <c r="T128" s="128"/>
      <c r="AT128" s="103" t="s">
        <v>1109</v>
      </c>
      <c r="AU128" s="103" t="s">
        <v>65</v>
      </c>
    </row>
    <row r="129" spans="2:65" s="256" customFormat="1" ht="16.5" customHeight="1" x14ac:dyDescent="0.25">
      <c r="B129" s="112"/>
      <c r="C129" s="228" t="s">
        <v>124</v>
      </c>
      <c r="D129" s="228" t="s">
        <v>1138</v>
      </c>
      <c r="E129" s="229" t="s">
        <v>1956</v>
      </c>
      <c r="F129" s="230" t="s">
        <v>1957</v>
      </c>
      <c r="G129" s="231" t="s">
        <v>113</v>
      </c>
      <c r="H129" s="232">
        <v>2</v>
      </c>
      <c r="I129" s="329"/>
      <c r="J129" s="233">
        <f>ROUND(I129*H129,2)</f>
        <v>0</v>
      </c>
      <c r="K129" s="230" t="s">
        <v>1010</v>
      </c>
      <c r="L129" s="234"/>
      <c r="M129" s="328" t="s">
        <v>1010</v>
      </c>
      <c r="N129" s="235" t="s">
        <v>1025</v>
      </c>
      <c r="P129" s="213">
        <f>O129*H129</f>
        <v>0</v>
      </c>
      <c r="Q129" s="213">
        <v>5.1999999999999998E-2</v>
      </c>
      <c r="R129" s="213">
        <f>Q129*H129</f>
        <v>0.104</v>
      </c>
      <c r="S129" s="213">
        <v>0</v>
      </c>
      <c r="T129" s="214">
        <f>S129*H129</f>
        <v>0</v>
      </c>
      <c r="AR129" s="215" t="s">
        <v>160</v>
      </c>
      <c r="AT129" s="215" t="s">
        <v>1138</v>
      </c>
      <c r="AU129" s="215" t="s">
        <v>65</v>
      </c>
      <c r="AY129" s="103" t="s">
        <v>1102</v>
      </c>
      <c r="BE129" s="216">
        <f>IF(N129="základní",J129,0)</f>
        <v>0</v>
      </c>
      <c r="BF129" s="216">
        <f>IF(N129="snížená",J129,0)</f>
        <v>0</v>
      </c>
      <c r="BG129" s="216">
        <f>IF(N129="zákl. přenesená",J129,0)</f>
        <v>0</v>
      </c>
      <c r="BH129" s="216">
        <f>IF(N129="sníž. přenesená",J129,0)</f>
        <v>0</v>
      </c>
      <c r="BI129" s="216">
        <f>IF(N129="nulová",J129,0)</f>
        <v>0</v>
      </c>
      <c r="BJ129" s="103" t="s">
        <v>55</v>
      </c>
      <c r="BK129" s="216">
        <f>ROUND(I129*H129,2)</f>
        <v>0</v>
      </c>
      <c r="BL129" s="103" t="s">
        <v>126</v>
      </c>
      <c r="BM129" s="215" t="s">
        <v>1958</v>
      </c>
    </row>
    <row r="130" spans="2:65" s="256" customFormat="1" ht="24.2" customHeight="1" x14ac:dyDescent="0.25">
      <c r="B130" s="112"/>
      <c r="C130" s="206" t="s">
        <v>126</v>
      </c>
      <c r="D130" s="206" t="s">
        <v>1104</v>
      </c>
      <c r="E130" s="207" t="s">
        <v>1959</v>
      </c>
      <c r="F130" s="208" t="s">
        <v>1960</v>
      </c>
      <c r="G130" s="209" t="s">
        <v>1533</v>
      </c>
      <c r="H130" s="210">
        <v>2</v>
      </c>
      <c r="I130" s="326"/>
      <c r="J130" s="211">
        <f>ROUND(I130*H130,2)</f>
        <v>0</v>
      </c>
      <c r="K130" s="208" t="s">
        <v>1146</v>
      </c>
      <c r="L130" s="112"/>
      <c r="M130" s="325" t="s">
        <v>1010</v>
      </c>
      <c r="N130" s="212" t="s">
        <v>1025</v>
      </c>
      <c r="P130" s="213">
        <f>O130*H130</f>
        <v>0</v>
      </c>
      <c r="Q130" s="213">
        <v>8.3000000000000001E-4</v>
      </c>
      <c r="R130" s="213">
        <f>Q130*H130</f>
        <v>1.66E-3</v>
      </c>
      <c r="S130" s="213">
        <v>0</v>
      </c>
      <c r="T130" s="214">
        <f>S130*H130</f>
        <v>0</v>
      </c>
      <c r="AR130" s="215" t="s">
        <v>126</v>
      </c>
      <c r="AT130" s="215" t="s">
        <v>1104</v>
      </c>
      <c r="AU130" s="215" t="s">
        <v>65</v>
      </c>
      <c r="AY130" s="103" t="s">
        <v>1102</v>
      </c>
      <c r="BE130" s="216">
        <f>IF(N130="základní",J130,0)</f>
        <v>0</v>
      </c>
      <c r="BF130" s="216">
        <f>IF(N130="snížená",J130,0)</f>
        <v>0</v>
      </c>
      <c r="BG130" s="216">
        <f>IF(N130="zákl. přenesená",J130,0)</f>
        <v>0</v>
      </c>
      <c r="BH130" s="216">
        <f>IF(N130="sníž. přenesená",J130,0)</f>
        <v>0</v>
      </c>
      <c r="BI130" s="216">
        <f>IF(N130="nulová",J130,0)</f>
        <v>0</v>
      </c>
      <c r="BJ130" s="103" t="s">
        <v>55</v>
      </c>
      <c r="BK130" s="216">
        <f>ROUND(I130*H130,2)</f>
        <v>0</v>
      </c>
      <c r="BL130" s="103" t="s">
        <v>126</v>
      </c>
      <c r="BM130" s="215" t="s">
        <v>1961</v>
      </c>
    </row>
    <row r="131" spans="2:65" s="256" customFormat="1" x14ac:dyDescent="0.25">
      <c r="B131" s="112"/>
      <c r="D131" s="217" t="s">
        <v>1109</v>
      </c>
      <c r="F131" s="218" t="s">
        <v>1962</v>
      </c>
      <c r="I131" s="324"/>
      <c r="L131" s="112"/>
      <c r="M131" s="219"/>
      <c r="T131" s="128"/>
      <c r="AT131" s="103" t="s">
        <v>1109</v>
      </c>
      <c r="AU131" s="103" t="s">
        <v>65</v>
      </c>
    </row>
    <row r="132" spans="2:65" s="256" customFormat="1" ht="24.2" customHeight="1" x14ac:dyDescent="0.25">
      <c r="B132" s="112"/>
      <c r="C132" s="206" t="s">
        <v>128</v>
      </c>
      <c r="D132" s="206" t="s">
        <v>1104</v>
      </c>
      <c r="E132" s="207" t="s">
        <v>1963</v>
      </c>
      <c r="F132" s="208" t="s">
        <v>1964</v>
      </c>
      <c r="G132" s="209" t="s">
        <v>1533</v>
      </c>
      <c r="H132" s="210">
        <v>1</v>
      </c>
      <c r="I132" s="326"/>
      <c r="J132" s="211">
        <f>ROUND(I132*H132,2)</f>
        <v>0</v>
      </c>
      <c r="K132" s="208" t="s">
        <v>1146</v>
      </c>
      <c r="L132" s="112"/>
      <c r="M132" s="325" t="s">
        <v>1010</v>
      </c>
      <c r="N132" s="212" t="s">
        <v>1025</v>
      </c>
      <c r="P132" s="213">
        <f>O132*H132</f>
        <v>0</v>
      </c>
      <c r="Q132" s="213">
        <v>1.5200000000000001E-3</v>
      </c>
      <c r="R132" s="213">
        <f>Q132*H132</f>
        <v>1.5200000000000001E-3</v>
      </c>
      <c r="S132" s="213">
        <v>0</v>
      </c>
      <c r="T132" s="214">
        <f>S132*H132</f>
        <v>0</v>
      </c>
      <c r="AR132" s="215" t="s">
        <v>76</v>
      </c>
      <c r="AT132" s="215" t="s">
        <v>1104</v>
      </c>
      <c r="AU132" s="215" t="s">
        <v>65</v>
      </c>
      <c r="AY132" s="103" t="s">
        <v>1102</v>
      </c>
      <c r="BE132" s="216">
        <f>IF(N132="základní",J132,0)</f>
        <v>0</v>
      </c>
      <c r="BF132" s="216">
        <f>IF(N132="snížená",J132,0)</f>
        <v>0</v>
      </c>
      <c r="BG132" s="216">
        <f>IF(N132="zákl. přenesená",J132,0)</f>
        <v>0</v>
      </c>
      <c r="BH132" s="216">
        <f>IF(N132="sníž. přenesená",J132,0)</f>
        <v>0</v>
      </c>
      <c r="BI132" s="216">
        <f>IF(N132="nulová",J132,0)</f>
        <v>0</v>
      </c>
      <c r="BJ132" s="103" t="s">
        <v>55</v>
      </c>
      <c r="BK132" s="216">
        <f>ROUND(I132*H132,2)</f>
        <v>0</v>
      </c>
      <c r="BL132" s="103" t="s">
        <v>76</v>
      </c>
      <c r="BM132" s="215" t="s">
        <v>1965</v>
      </c>
    </row>
    <row r="133" spans="2:65" s="256" customFormat="1" x14ac:dyDescent="0.25">
      <c r="B133" s="112"/>
      <c r="D133" s="217" t="s">
        <v>1109</v>
      </c>
      <c r="F133" s="218" t="s">
        <v>1966</v>
      </c>
      <c r="I133" s="324"/>
      <c r="L133" s="112"/>
      <c r="M133" s="219"/>
      <c r="T133" s="128"/>
      <c r="AT133" s="103" t="s">
        <v>1109</v>
      </c>
      <c r="AU133" s="103" t="s">
        <v>65</v>
      </c>
    </row>
    <row r="134" spans="2:65" s="256" customFormat="1" ht="21.75" customHeight="1" x14ac:dyDescent="0.25">
      <c r="B134" s="112"/>
      <c r="C134" s="206" t="s">
        <v>129</v>
      </c>
      <c r="D134" s="206" t="s">
        <v>1104</v>
      </c>
      <c r="E134" s="207" t="s">
        <v>1967</v>
      </c>
      <c r="F134" s="208" t="s">
        <v>1968</v>
      </c>
      <c r="G134" s="209" t="s">
        <v>104</v>
      </c>
      <c r="H134" s="210">
        <v>10</v>
      </c>
      <c r="I134" s="326"/>
      <c r="J134" s="211">
        <f>ROUND(I134*H134,2)</f>
        <v>0</v>
      </c>
      <c r="K134" s="208" t="s">
        <v>1146</v>
      </c>
      <c r="L134" s="112"/>
      <c r="M134" s="325" t="s">
        <v>1010</v>
      </c>
      <c r="N134" s="212" t="s">
        <v>1025</v>
      </c>
      <c r="P134" s="213">
        <f>O134*H134</f>
        <v>0</v>
      </c>
      <c r="Q134" s="213">
        <v>4.4000000000000002E-4</v>
      </c>
      <c r="R134" s="213">
        <f>Q134*H134</f>
        <v>4.4000000000000003E-3</v>
      </c>
      <c r="S134" s="213">
        <v>0</v>
      </c>
      <c r="T134" s="214">
        <f>S134*H134</f>
        <v>0</v>
      </c>
      <c r="AR134" s="215" t="s">
        <v>126</v>
      </c>
      <c r="AT134" s="215" t="s">
        <v>1104</v>
      </c>
      <c r="AU134" s="215" t="s">
        <v>65</v>
      </c>
      <c r="AY134" s="103" t="s">
        <v>1102</v>
      </c>
      <c r="BE134" s="216">
        <f>IF(N134="základní",J134,0)</f>
        <v>0</v>
      </c>
      <c r="BF134" s="216">
        <f>IF(N134="snížená",J134,0)</f>
        <v>0</v>
      </c>
      <c r="BG134" s="216">
        <f>IF(N134="zákl. přenesená",J134,0)</f>
        <v>0</v>
      </c>
      <c r="BH134" s="216">
        <f>IF(N134="sníž. přenesená",J134,0)</f>
        <v>0</v>
      </c>
      <c r="BI134" s="216">
        <f>IF(N134="nulová",J134,0)</f>
        <v>0</v>
      </c>
      <c r="BJ134" s="103" t="s">
        <v>55</v>
      </c>
      <c r="BK134" s="216">
        <f>ROUND(I134*H134,2)</f>
        <v>0</v>
      </c>
      <c r="BL134" s="103" t="s">
        <v>126</v>
      </c>
      <c r="BM134" s="215" t="s">
        <v>1969</v>
      </c>
    </row>
    <row r="135" spans="2:65" s="256" customFormat="1" x14ac:dyDescent="0.25">
      <c r="B135" s="112"/>
      <c r="D135" s="217" t="s">
        <v>1109</v>
      </c>
      <c r="F135" s="218" t="s">
        <v>1970</v>
      </c>
      <c r="I135" s="324"/>
      <c r="L135" s="112"/>
      <c r="M135" s="219"/>
      <c r="T135" s="128"/>
      <c r="AT135" s="103" t="s">
        <v>1109</v>
      </c>
      <c r="AU135" s="103" t="s">
        <v>65</v>
      </c>
    </row>
    <row r="136" spans="2:65" s="256" customFormat="1" ht="24.2" customHeight="1" x14ac:dyDescent="0.25">
      <c r="B136" s="112"/>
      <c r="C136" s="206" t="s">
        <v>132</v>
      </c>
      <c r="D136" s="206" t="s">
        <v>1104</v>
      </c>
      <c r="E136" s="207" t="s">
        <v>1971</v>
      </c>
      <c r="F136" s="208" t="s">
        <v>1972</v>
      </c>
      <c r="G136" s="209" t="s">
        <v>1125</v>
      </c>
      <c r="H136" s="210">
        <v>2.63</v>
      </c>
      <c r="I136" s="326"/>
      <c r="J136" s="211">
        <f>ROUND(I136*H136,2)</f>
        <v>0</v>
      </c>
      <c r="K136" s="208" t="s">
        <v>1161</v>
      </c>
      <c r="L136" s="112"/>
      <c r="M136" s="325" t="s">
        <v>1010</v>
      </c>
      <c r="N136" s="212" t="s">
        <v>1025</v>
      </c>
      <c r="P136" s="213">
        <f>O136*H136</f>
        <v>0</v>
      </c>
      <c r="Q136" s="213">
        <v>0</v>
      </c>
      <c r="R136" s="213">
        <f>Q136*H136</f>
        <v>0</v>
      </c>
      <c r="S136" s="213">
        <v>0</v>
      </c>
      <c r="T136" s="214">
        <f>S136*H136</f>
        <v>0</v>
      </c>
      <c r="AR136" s="215" t="s">
        <v>126</v>
      </c>
      <c r="AT136" s="215" t="s">
        <v>1104</v>
      </c>
      <c r="AU136" s="215" t="s">
        <v>65</v>
      </c>
      <c r="AY136" s="103" t="s">
        <v>1102</v>
      </c>
      <c r="BE136" s="216">
        <f>IF(N136="základní",J136,0)</f>
        <v>0</v>
      </c>
      <c r="BF136" s="216">
        <f>IF(N136="snížená",J136,0)</f>
        <v>0</v>
      </c>
      <c r="BG136" s="216">
        <f>IF(N136="zákl. přenesená",J136,0)</f>
        <v>0</v>
      </c>
      <c r="BH136" s="216">
        <f>IF(N136="sníž. přenesená",J136,0)</f>
        <v>0</v>
      </c>
      <c r="BI136" s="216">
        <f>IF(N136="nulová",J136,0)</f>
        <v>0</v>
      </c>
      <c r="BJ136" s="103" t="s">
        <v>55</v>
      </c>
      <c r="BK136" s="216">
        <f>ROUND(I136*H136,2)</f>
        <v>0</v>
      </c>
      <c r="BL136" s="103" t="s">
        <v>126</v>
      </c>
      <c r="BM136" s="215" t="s">
        <v>1973</v>
      </c>
    </row>
    <row r="137" spans="2:65" s="256" customFormat="1" x14ac:dyDescent="0.25">
      <c r="B137" s="112"/>
      <c r="D137" s="217" t="s">
        <v>1109</v>
      </c>
      <c r="F137" s="218" t="s">
        <v>1974</v>
      </c>
      <c r="I137" s="324"/>
      <c r="L137" s="112"/>
      <c r="M137" s="219"/>
      <c r="T137" s="128"/>
      <c r="AT137" s="103" t="s">
        <v>1109</v>
      </c>
      <c r="AU137" s="103" t="s">
        <v>65</v>
      </c>
    </row>
    <row r="138" spans="2:65" s="256" customFormat="1" ht="24.2" customHeight="1" x14ac:dyDescent="0.25">
      <c r="B138" s="112"/>
      <c r="C138" s="206" t="s">
        <v>137</v>
      </c>
      <c r="D138" s="206" t="s">
        <v>1104</v>
      </c>
      <c r="E138" s="207" t="s">
        <v>1975</v>
      </c>
      <c r="F138" s="208" t="s">
        <v>1976</v>
      </c>
      <c r="G138" s="209" t="s">
        <v>1125</v>
      </c>
      <c r="H138" s="210">
        <v>0.11600000000000001</v>
      </c>
      <c r="I138" s="326"/>
      <c r="J138" s="211">
        <f>ROUND(I138*H138,2)</f>
        <v>0</v>
      </c>
      <c r="K138" s="208" t="s">
        <v>1161</v>
      </c>
      <c r="L138" s="112"/>
      <c r="M138" s="325" t="s">
        <v>1010</v>
      </c>
      <c r="N138" s="212" t="s">
        <v>1025</v>
      </c>
      <c r="P138" s="213">
        <f>O138*H138</f>
        <v>0</v>
      </c>
      <c r="Q138" s="213">
        <v>0</v>
      </c>
      <c r="R138" s="213">
        <f>Q138*H138</f>
        <v>0</v>
      </c>
      <c r="S138" s="213">
        <v>0</v>
      </c>
      <c r="T138" s="214">
        <f>S138*H138</f>
        <v>0</v>
      </c>
      <c r="AR138" s="215" t="s">
        <v>126</v>
      </c>
      <c r="AT138" s="215" t="s">
        <v>1104</v>
      </c>
      <c r="AU138" s="215" t="s">
        <v>65</v>
      </c>
      <c r="AY138" s="103" t="s">
        <v>1102</v>
      </c>
      <c r="BE138" s="216">
        <f>IF(N138="základní",J138,0)</f>
        <v>0</v>
      </c>
      <c r="BF138" s="216">
        <f>IF(N138="snížená",J138,0)</f>
        <v>0</v>
      </c>
      <c r="BG138" s="216">
        <f>IF(N138="zákl. přenesená",J138,0)</f>
        <v>0</v>
      </c>
      <c r="BH138" s="216">
        <f>IF(N138="sníž. přenesená",J138,0)</f>
        <v>0</v>
      </c>
      <c r="BI138" s="216">
        <f>IF(N138="nulová",J138,0)</f>
        <v>0</v>
      </c>
      <c r="BJ138" s="103" t="s">
        <v>55</v>
      </c>
      <c r="BK138" s="216">
        <f>ROUND(I138*H138,2)</f>
        <v>0</v>
      </c>
      <c r="BL138" s="103" t="s">
        <v>126</v>
      </c>
      <c r="BM138" s="215" t="s">
        <v>1977</v>
      </c>
    </row>
    <row r="139" spans="2:65" s="256" customFormat="1" x14ac:dyDescent="0.25">
      <c r="B139" s="112"/>
      <c r="D139" s="217" t="s">
        <v>1109</v>
      </c>
      <c r="F139" s="218" t="s">
        <v>1978</v>
      </c>
      <c r="I139" s="324"/>
      <c r="L139" s="112"/>
      <c r="M139" s="219"/>
      <c r="T139" s="128"/>
      <c r="AT139" s="103" t="s">
        <v>1109</v>
      </c>
      <c r="AU139" s="103" t="s">
        <v>65</v>
      </c>
    </row>
    <row r="140" spans="2:65" s="256" customFormat="1" ht="24.2" customHeight="1" x14ac:dyDescent="0.25">
      <c r="B140" s="112"/>
      <c r="C140" s="206" t="s">
        <v>140</v>
      </c>
      <c r="D140" s="206" t="s">
        <v>1104</v>
      </c>
      <c r="E140" s="207" t="s">
        <v>1979</v>
      </c>
      <c r="F140" s="208" t="s">
        <v>1980</v>
      </c>
      <c r="G140" s="209" t="s">
        <v>1125</v>
      </c>
      <c r="H140" s="210">
        <v>0.11600000000000001</v>
      </c>
      <c r="I140" s="326"/>
      <c r="J140" s="211">
        <f>ROUND(I140*H140,2)</f>
        <v>0</v>
      </c>
      <c r="K140" s="208" t="s">
        <v>1161</v>
      </c>
      <c r="L140" s="112"/>
      <c r="M140" s="325" t="s">
        <v>1010</v>
      </c>
      <c r="N140" s="212" t="s">
        <v>1025</v>
      </c>
      <c r="P140" s="213">
        <f>O140*H140</f>
        <v>0</v>
      </c>
      <c r="Q140" s="213">
        <v>0</v>
      </c>
      <c r="R140" s="213">
        <f>Q140*H140</f>
        <v>0</v>
      </c>
      <c r="S140" s="213">
        <v>0</v>
      </c>
      <c r="T140" s="214">
        <f>S140*H140</f>
        <v>0</v>
      </c>
      <c r="AR140" s="215" t="s">
        <v>126</v>
      </c>
      <c r="AT140" s="215" t="s">
        <v>1104</v>
      </c>
      <c r="AU140" s="215" t="s">
        <v>65</v>
      </c>
      <c r="AY140" s="103" t="s">
        <v>1102</v>
      </c>
      <c r="BE140" s="216">
        <f>IF(N140="základní",J140,0)</f>
        <v>0</v>
      </c>
      <c r="BF140" s="216">
        <f>IF(N140="snížená",J140,0)</f>
        <v>0</v>
      </c>
      <c r="BG140" s="216">
        <f>IF(N140="zákl. přenesená",J140,0)</f>
        <v>0</v>
      </c>
      <c r="BH140" s="216">
        <f>IF(N140="sníž. přenesená",J140,0)</f>
        <v>0</v>
      </c>
      <c r="BI140" s="216">
        <f>IF(N140="nulová",J140,0)</f>
        <v>0</v>
      </c>
      <c r="BJ140" s="103" t="s">
        <v>55</v>
      </c>
      <c r="BK140" s="216">
        <f>ROUND(I140*H140,2)</f>
        <v>0</v>
      </c>
      <c r="BL140" s="103" t="s">
        <v>126</v>
      </c>
      <c r="BM140" s="215" t="s">
        <v>1981</v>
      </c>
    </row>
    <row r="141" spans="2:65" s="256" customFormat="1" x14ac:dyDescent="0.25">
      <c r="B141" s="112"/>
      <c r="D141" s="217" t="s">
        <v>1109</v>
      </c>
      <c r="F141" s="218" t="s">
        <v>1982</v>
      </c>
      <c r="I141" s="324"/>
      <c r="L141" s="112"/>
      <c r="M141" s="219"/>
      <c r="T141" s="128"/>
      <c r="AT141" s="103" t="s">
        <v>1109</v>
      </c>
      <c r="AU141" s="103" t="s">
        <v>65</v>
      </c>
    </row>
    <row r="142" spans="2:65" s="194" customFormat="1" ht="22.9" customHeight="1" x14ac:dyDescent="0.2">
      <c r="B142" s="195"/>
      <c r="D142" s="196" t="s">
        <v>1052</v>
      </c>
      <c r="E142" s="204" t="s">
        <v>1983</v>
      </c>
      <c r="F142" s="204" t="s">
        <v>1984</v>
      </c>
      <c r="I142" s="327"/>
      <c r="J142" s="205">
        <f>BK142</f>
        <v>0</v>
      </c>
      <c r="L142" s="195"/>
      <c r="M142" s="199"/>
      <c r="P142" s="200">
        <f>SUM(P143:P165)</f>
        <v>0</v>
      </c>
      <c r="R142" s="200">
        <f>SUM(R143:R165)</f>
        <v>0.7011400000000001</v>
      </c>
      <c r="T142" s="201">
        <f>SUM(T143:T165)</f>
        <v>0</v>
      </c>
      <c r="AR142" s="196" t="s">
        <v>65</v>
      </c>
      <c r="AT142" s="202" t="s">
        <v>1052</v>
      </c>
      <c r="AU142" s="202" t="s">
        <v>55</v>
      </c>
      <c r="AY142" s="196" t="s">
        <v>1102</v>
      </c>
      <c r="BK142" s="203">
        <f>SUM(BK143:BK165)</f>
        <v>0</v>
      </c>
    </row>
    <row r="143" spans="2:65" s="256" customFormat="1" ht="16.5" customHeight="1" x14ac:dyDescent="0.25">
      <c r="B143" s="112"/>
      <c r="C143" s="206" t="s">
        <v>141</v>
      </c>
      <c r="D143" s="206" t="s">
        <v>1104</v>
      </c>
      <c r="E143" s="207" t="s">
        <v>1985</v>
      </c>
      <c r="F143" s="208" t="s">
        <v>1986</v>
      </c>
      <c r="G143" s="209" t="s">
        <v>113</v>
      </c>
      <c r="H143" s="210">
        <v>1</v>
      </c>
      <c r="I143" s="326"/>
      <c r="J143" s="211">
        <f>ROUND(I143*H143,2)</f>
        <v>0</v>
      </c>
      <c r="K143" s="208" t="s">
        <v>1161</v>
      </c>
      <c r="L143" s="112"/>
      <c r="M143" s="325" t="s">
        <v>1010</v>
      </c>
      <c r="N143" s="212" t="s">
        <v>1025</v>
      </c>
      <c r="P143" s="213">
        <f>O143*H143</f>
        <v>0</v>
      </c>
      <c r="Q143" s="213">
        <v>2E-3</v>
      </c>
      <c r="R143" s="213">
        <f>Q143*H143</f>
        <v>2E-3</v>
      </c>
      <c r="S143" s="213">
        <v>0</v>
      </c>
      <c r="T143" s="214">
        <f>S143*H143</f>
        <v>0</v>
      </c>
      <c r="AR143" s="215" t="s">
        <v>126</v>
      </c>
      <c r="AT143" s="215" t="s">
        <v>1104</v>
      </c>
      <c r="AU143" s="215" t="s">
        <v>65</v>
      </c>
      <c r="AY143" s="103" t="s">
        <v>1102</v>
      </c>
      <c r="BE143" s="216">
        <f>IF(N143="základní",J143,0)</f>
        <v>0</v>
      </c>
      <c r="BF143" s="216">
        <f>IF(N143="snížená",J143,0)</f>
        <v>0</v>
      </c>
      <c r="BG143" s="216">
        <f>IF(N143="zákl. přenesená",J143,0)</f>
        <v>0</v>
      </c>
      <c r="BH143" s="216">
        <f>IF(N143="sníž. přenesená",J143,0)</f>
        <v>0</v>
      </c>
      <c r="BI143" s="216">
        <f>IF(N143="nulová",J143,0)</f>
        <v>0</v>
      </c>
      <c r="BJ143" s="103" t="s">
        <v>55</v>
      </c>
      <c r="BK143" s="216">
        <f>ROUND(I143*H143,2)</f>
        <v>0</v>
      </c>
      <c r="BL143" s="103" t="s">
        <v>126</v>
      </c>
      <c r="BM143" s="215" t="s">
        <v>1987</v>
      </c>
    </row>
    <row r="144" spans="2:65" s="256" customFormat="1" x14ac:dyDescent="0.25">
      <c r="B144" s="112"/>
      <c r="D144" s="217" t="s">
        <v>1109</v>
      </c>
      <c r="F144" s="218" t="s">
        <v>1988</v>
      </c>
      <c r="I144" s="324"/>
      <c r="L144" s="112"/>
      <c r="M144" s="219"/>
      <c r="T144" s="128"/>
      <c r="AT144" s="103" t="s">
        <v>1109</v>
      </c>
      <c r="AU144" s="103" t="s">
        <v>65</v>
      </c>
    </row>
    <row r="145" spans="2:65" s="256" customFormat="1" ht="21.75" customHeight="1" x14ac:dyDescent="0.25">
      <c r="B145" s="112"/>
      <c r="C145" s="206" t="s">
        <v>142</v>
      </c>
      <c r="D145" s="206" t="s">
        <v>1104</v>
      </c>
      <c r="E145" s="207" t="s">
        <v>1989</v>
      </c>
      <c r="F145" s="208" t="s">
        <v>1990</v>
      </c>
      <c r="G145" s="209" t="s">
        <v>113</v>
      </c>
      <c r="H145" s="210">
        <v>1</v>
      </c>
      <c r="I145" s="326"/>
      <c r="J145" s="211">
        <f>ROUND(I145*H145,2)</f>
        <v>0</v>
      </c>
      <c r="K145" s="208" t="s">
        <v>1161</v>
      </c>
      <c r="L145" s="112"/>
      <c r="M145" s="325" t="s">
        <v>1010</v>
      </c>
      <c r="N145" s="212" t="s">
        <v>1025</v>
      </c>
      <c r="P145" s="213">
        <f>O145*H145</f>
        <v>0</v>
      </c>
      <c r="Q145" s="213">
        <v>1.2700000000000001E-3</v>
      </c>
      <c r="R145" s="213">
        <f>Q145*H145</f>
        <v>1.2700000000000001E-3</v>
      </c>
      <c r="S145" s="213">
        <v>0</v>
      </c>
      <c r="T145" s="214">
        <f>S145*H145</f>
        <v>0</v>
      </c>
      <c r="AR145" s="215" t="s">
        <v>126</v>
      </c>
      <c r="AT145" s="215" t="s">
        <v>1104</v>
      </c>
      <c r="AU145" s="215" t="s">
        <v>65</v>
      </c>
      <c r="AY145" s="103" t="s">
        <v>1102</v>
      </c>
      <c r="BE145" s="216">
        <f>IF(N145="základní",J145,0)</f>
        <v>0</v>
      </c>
      <c r="BF145" s="216">
        <f>IF(N145="snížená",J145,0)</f>
        <v>0</v>
      </c>
      <c r="BG145" s="216">
        <f>IF(N145="zákl. přenesená",J145,0)</f>
        <v>0</v>
      </c>
      <c r="BH145" s="216">
        <f>IF(N145="sníž. přenesená",J145,0)</f>
        <v>0</v>
      </c>
      <c r="BI145" s="216">
        <f>IF(N145="nulová",J145,0)</f>
        <v>0</v>
      </c>
      <c r="BJ145" s="103" t="s">
        <v>55</v>
      </c>
      <c r="BK145" s="216">
        <f>ROUND(I145*H145,2)</f>
        <v>0</v>
      </c>
      <c r="BL145" s="103" t="s">
        <v>126</v>
      </c>
      <c r="BM145" s="215" t="s">
        <v>1991</v>
      </c>
    </row>
    <row r="146" spans="2:65" s="256" customFormat="1" x14ac:dyDescent="0.25">
      <c r="B146" s="112"/>
      <c r="D146" s="217" t="s">
        <v>1109</v>
      </c>
      <c r="F146" s="218" t="s">
        <v>1992</v>
      </c>
      <c r="I146" s="324"/>
      <c r="L146" s="112"/>
      <c r="M146" s="219"/>
      <c r="T146" s="128"/>
      <c r="AT146" s="103" t="s">
        <v>1109</v>
      </c>
      <c r="AU146" s="103" t="s">
        <v>65</v>
      </c>
    </row>
    <row r="147" spans="2:65" s="256" customFormat="1" ht="24.2" customHeight="1" x14ac:dyDescent="0.25">
      <c r="B147" s="112"/>
      <c r="C147" s="206" t="s">
        <v>146</v>
      </c>
      <c r="D147" s="206" t="s">
        <v>1104</v>
      </c>
      <c r="E147" s="207" t="s">
        <v>1993</v>
      </c>
      <c r="F147" s="208" t="s">
        <v>1994</v>
      </c>
      <c r="G147" s="209" t="s">
        <v>113</v>
      </c>
      <c r="H147" s="210">
        <v>1</v>
      </c>
      <c r="I147" s="326"/>
      <c r="J147" s="211">
        <f>ROUND(I147*H147,2)</f>
        <v>0</v>
      </c>
      <c r="K147" s="208" t="s">
        <v>1146</v>
      </c>
      <c r="L147" s="112"/>
      <c r="M147" s="325" t="s">
        <v>1010</v>
      </c>
      <c r="N147" s="212" t="s">
        <v>1025</v>
      </c>
      <c r="P147" s="213">
        <f>O147*H147</f>
        <v>0</v>
      </c>
      <c r="Q147" s="213">
        <v>1.1129999999999999E-2</v>
      </c>
      <c r="R147" s="213">
        <f>Q147*H147</f>
        <v>1.1129999999999999E-2</v>
      </c>
      <c r="S147" s="213">
        <v>0</v>
      </c>
      <c r="T147" s="214">
        <f>S147*H147</f>
        <v>0</v>
      </c>
      <c r="AR147" s="215" t="s">
        <v>126</v>
      </c>
      <c r="AT147" s="215" t="s">
        <v>1104</v>
      </c>
      <c r="AU147" s="215" t="s">
        <v>65</v>
      </c>
      <c r="AY147" s="103" t="s">
        <v>1102</v>
      </c>
      <c r="BE147" s="216">
        <f>IF(N147="základní",J147,0)</f>
        <v>0</v>
      </c>
      <c r="BF147" s="216">
        <f>IF(N147="snížená",J147,0)</f>
        <v>0</v>
      </c>
      <c r="BG147" s="216">
        <f>IF(N147="zákl. přenesená",J147,0)</f>
        <v>0</v>
      </c>
      <c r="BH147" s="216">
        <f>IF(N147="sníž. přenesená",J147,0)</f>
        <v>0</v>
      </c>
      <c r="BI147" s="216">
        <f>IF(N147="nulová",J147,0)</f>
        <v>0</v>
      </c>
      <c r="BJ147" s="103" t="s">
        <v>55</v>
      </c>
      <c r="BK147" s="216">
        <f>ROUND(I147*H147,2)</f>
        <v>0</v>
      </c>
      <c r="BL147" s="103" t="s">
        <v>126</v>
      </c>
      <c r="BM147" s="215" t="s">
        <v>1995</v>
      </c>
    </row>
    <row r="148" spans="2:65" s="256" customFormat="1" x14ac:dyDescent="0.25">
      <c r="B148" s="112"/>
      <c r="D148" s="217" t="s">
        <v>1109</v>
      </c>
      <c r="F148" s="218" t="s">
        <v>1996</v>
      </c>
      <c r="I148" s="324"/>
      <c r="L148" s="112"/>
      <c r="M148" s="219"/>
      <c r="T148" s="128"/>
      <c r="AT148" s="103" t="s">
        <v>1109</v>
      </c>
      <c r="AU148" s="103" t="s">
        <v>65</v>
      </c>
    </row>
    <row r="149" spans="2:65" s="256" customFormat="1" ht="24.2" customHeight="1" x14ac:dyDescent="0.25">
      <c r="B149" s="112"/>
      <c r="C149" s="206" t="s">
        <v>149</v>
      </c>
      <c r="D149" s="206" t="s">
        <v>1104</v>
      </c>
      <c r="E149" s="207" t="s">
        <v>1997</v>
      </c>
      <c r="F149" s="208" t="s">
        <v>1998</v>
      </c>
      <c r="G149" s="209" t="s">
        <v>1533</v>
      </c>
      <c r="H149" s="210">
        <v>1</v>
      </c>
      <c r="I149" s="326"/>
      <c r="J149" s="211">
        <f>ROUND(I149*H149,2)</f>
        <v>0</v>
      </c>
      <c r="K149" s="208" t="s">
        <v>1010</v>
      </c>
      <c r="L149" s="112"/>
      <c r="M149" s="325" t="s">
        <v>1010</v>
      </c>
      <c r="N149" s="212" t="s">
        <v>1025</v>
      </c>
      <c r="P149" s="213">
        <f>O149*H149</f>
        <v>0</v>
      </c>
      <c r="Q149" s="213">
        <v>0.108</v>
      </c>
      <c r="R149" s="213">
        <f>Q149*H149</f>
        <v>0.108</v>
      </c>
      <c r="S149" s="213">
        <v>0</v>
      </c>
      <c r="T149" s="214">
        <f>S149*H149</f>
        <v>0</v>
      </c>
      <c r="AR149" s="215" t="s">
        <v>126</v>
      </c>
      <c r="AT149" s="215" t="s">
        <v>1104</v>
      </c>
      <c r="AU149" s="215" t="s">
        <v>65</v>
      </c>
      <c r="AY149" s="103" t="s">
        <v>1102</v>
      </c>
      <c r="BE149" s="216">
        <f>IF(N149="základní",J149,0)</f>
        <v>0</v>
      </c>
      <c r="BF149" s="216">
        <f>IF(N149="snížená",J149,0)</f>
        <v>0</v>
      </c>
      <c r="BG149" s="216">
        <f>IF(N149="zákl. přenesená",J149,0)</f>
        <v>0</v>
      </c>
      <c r="BH149" s="216">
        <f>IF(N149="sníž. přenesená",J149,0)</f>
        <v>0</v>
      </c>
      <c r="BI149" s="216">
        <f>IF(N149="nulová",J149,0)</f>
        <v>0</v>
      </c>
      <c r="BJ149" s="103" t="s">
        <v>55</v>
      </c>
      <c r="BK149" s="216">
        <f>ROUND(I149*H149,2)</f>
        <v>0</v>
      </c>
      <c r="BL149" s="103" t="s">
        <v>126</v>
      </c>
      <c r="BM149" s="215" t="s">
        <v>1999</v>
      </c>
    </row>
    <row r="150" spans="2:65" s="256" customFormat="1" ht="16.5" customHeight="1" x14ac:dyDescent="0.25">
      <c r="B150" s="112"/>
      <c r="C150" s="206" t="s">
        <v>150</v>
      </c>
      <c r="D150" s="206" t="s">
        <v>1104</v>
      </c>
      <c r="E150" s="207" t="s">
        <v>2000</v>
      </c>
      <c r="F150" s="208" t="s">
        <v>2001</v>
      </c>
      <c r="G150" s="209" t="s">
        <v>1533</v>
      </c>
      <c r="H150" s="210">
        <v>1</v>
      </c>
      <c r="I150" s="326"/>
      <c r="J150" s="211">
        <f>ROUND(I150*H150,2)</f>
        <v>0</v>
      </c>
      <c r="K150" s="208" t="s">
        <v>1010</v>
      </c>
      <c r="L150" s="112"/>
      <c r="M150" s="325" t="s">
        <v>1010</v>
      </c>
      <c r="N150" s="212" t="s">
        <v>1025</v>
      </c>
      <c r="P150" s="213">
        <f>O150*H150</f>
        <v>0</v>
      </c>
      <c r="Q150" s="213">
        <v>0.06</v>
      </c>
      <c r="R150" s="213">
        <f>Q150*H150</f>
        <v>0.06</v>
      </c>
      <c r="S150" s="213">
        <v>0</v>
      </c>
      <c r="T150" s="214">
        <f>S150*H150</f>
        <v>0</v>
      </c>
      <c r="AR150" s="215" t="s">
        <v>126</v>
      </c>
      <c r="AT150" s="215" t="s">
        <v>1104</v>
      </c>
      <c r="AU150" s="215" t="s">
        <v>65</v>
      </c>
      <c r="AY150" s="103" t="s">
        <v>1102</v>
      </c>
      <c r="BE150" s="216">
        <f>IF(N150="základní",J150,0)</f>
        <v>0</v>
      </c>
      <c r="BF150" s="216">
        <f>IF(N150="snížená",J150,0)</f>
        <v>0</v>
      </c>
      <c r="BG150" s="216">
        <f>IF(N150="zákl. přenesená",J150,0)</f>
        <v>0</v>
      </c>
      <c r="BH150" s="216">
        <f>IF(N150="sníž. přenesená",J150,0)</f>
        <v>0</v>
      </c>
      <c r="BI150" s="216">
        <f>IF(N150="nulová",J150,0)</f>
        <v>0</v>
      </c>
      <c r="BJ150" s="103" t="s">
        <v>55</v>
      </c>
      <c r="BK150" s="216">
        <f>ROUND(I150*H150,2)</f>
        <v>0</v>
      </c>
      <c r="BL150" s="103" t="s">
        <v>126</v>
      </c>
      <c r="BM150" s="215" t="s">
        <v>2002</v>
      </c>
    </row>
    <row r="151" spans="2:65" s="256" customFormat="1" ht="24.2" customHeight="1" x14ac:dyDescent="0.25">
      <c r="B151" s="112"/>
      <c r="C151" s="206" t="s">
        <v>152</v>
      </c>
      <c r="D151" s="206" t="s">
        <v>1104</v>
      </c>
      <c r="E151" s="207" t="s">
        <v>2003</v>
      </c>
      <c r="F151" s="208" t="s">
        <v>2004</v>
      </c>
      <c r="G151" s="209" t="s">
        <v>1533</v>
      </c>
      <c r="H151" s="210">
        <v>1</v>
      </c>
      <c r="I151" s="326"/>
      <c r="J151" s="211">
        <f>ROUND(I151*H151,2)</f>
        <v>0</v>
      </c>
      <c r="K151" s="208" t="s">
        <v>1146</v>
      </c>
      <c r="L151" s="112"/>
      <c r="M151" s="325" t="s">
        <v>1010</v>
      </c>
      <c r="N151" s="212" t="s">
        <v>1025</v>
      </c>
      <c r="P151" s="213">
        <f>O151*H151</f>
        <v>0</v>
      </c>
      <c r="Q151" s="213">
        <v>2.257E-2</v>
      </c>
      <c r="R151" s="213">
        <f>Q151*H151</f>
        <v>2.257E-2</v>
      </c>
      <c r="S151" s="213">
        <v>0</v>
      </c>
      <c r="T151" s="214">
        <f>S151*H151</f>
        <v>0</v>
      </c>
      <c r="AR151" s="215" t="s">
        <v>126</v>
      </c>
      <c r="AT151" s="215" t="s">
        <v>1104</v>
      </c>
      <c r="AU151" s="215" t="s">
        <v>65</v>
      </c>
      <c r="AY151" s="103" t="s">
        <v>1102</v>
      </c>
      <c r="BE151" s="216">
        <f>IF(N151="základní",J151,0)</f>
        <v>0</v>
      </c>
      <c r="BF151" s="216">
        <f>IF(N151="snížená",J151,0)</f>
        <v>0</v>
      </c>
      <c r="BG151" s="216">
        <f>IF(N151="zákl. přenesená",J151,0)</f>
        <v>0</v>
      </c>
      <c r="BH151" s="216">
        <f>IF(N151="sníž. přenesená",J151,0)</f>
        <v>0</v>
      </c>
      <c r="BI151" s="216">
        <f>IF(N151="nulová",J151,0)</f>
        <v>0</v>
      </c>
      <c r="BJ151" s="103" t="s">
        <v>55</v>
      </c>
      <c r="BK151" s="216">
        <f>ROUND(I151*H151,2)</f>
        <v>0</v>
      </c>
      <c r="BL151" s="103" t="s">
        <v>126</v>
      </c>
      <c r="BM151" s="215" t="s">
        <v>2005</v>
      </c>
    </row>
    <row r="152" spans="2:65" s="256" customFormat="1" x14ac:dyDescent="0.25">
      <c r="B152" s="112"/>
      <c r="D152" s="217" t="s">
        <v>1109</v>
      </c>
      <c r="F152" s="218" t="s">
        <v>2006</v>
      </c>
      <c r="I152" s="324"/>
      <c r="L152" s="112"/>
      <c r="M152" s="219"/>
      <c r="T152" s="128"/>
      <c r="AT152" s="103" t="s">
        <v>1109</v>
      </c>
      <c r="AU152" s="103" t="s">
        <v>65</v>
      </c>
    </row>
    <row r="153" spans="2:65" s="256" customFormat="1" ht="16.5" customHeight="1" x14ac:dyDescent="0.25">
      <c r="B153" s="112"/>
      <c r="C153" s="206" t="s">
        <v>154</v>
      </c>
      <c r="D153" s="206" t="s">
        <v>1104</v>
      </c>
      <c r="E153" s="207" t="s">
        <v>2007</v>
      </c>
      <c r="F153" s="208" t="s">
        <v>2008</v>
      </c>
      <c r="G153" s="209" t="s">
        <v>861</v>
      </c>
      <c r="H153" s="210">
        <v>2</v>
      </c>
      <c r="I153" s="326"/>
      <c r="J153" s="211">
        <f>ROUND(I153*H153,2)</f>
        <v>0</v>
      </c>
      <c r="K153" s="208" t="s">
        <v>1161</v>
      </c>
      <c r="L153" s="112"/>
      <c r="M153" s="325" t="s">
        <v>1010</v>
      </c>
      <c r="N153" s="212" t="s">
        <v>1025</v>
      </c>
      <c r="P153" s="213">
        <f>O153*H153</f>
        <v>0</v>
      </c>
      <c r="Q153" s="213">
        <v>9.7259999999999999E-2</v>
      </c>
      <c r="R153" s="213">
        <f>Q153*H153</f>
        <v>0.19452</v>
      </c>
      <c r="S153" s="213">
        <v>0</v>
      </c>
      <c r="T153" s="214">
        <f>S153*H153</f>
        <v>0</v>
      </c>
      <c r="AR153" s="215" t="s">
        <v>126</v>
      </c>
      <c r="AT153" s="215" t="s">
        <v>1104</v>
      </c>
      <c r="AU153" s="215" t="s">
        <v>65</v>
      </c>
      <c r="AY153" s="103" t="s">
        <v>1102</v>
      </c>
      <c r="BE153" s="216">
        <f>IF(N153="základní",J153,0)</f>
        <v>0</v>
      </c>
      <c r="BF153" s="216">
        <f>IF(N153="snížená",J153,0)</f>
        <v>0</v>
      </c>
      <c r="BG153" s="216">
        <f>IF(N153="zákl. přenesená",J153,0)</f>
        <v>0</v>
      </c>
      <c r="BH153" s="216">
        <f>IF(N153="sníž. přenesená",J153,0)</f>
        <v>0</v>
      </c>
      <c r="BI153" s="216">
        <f>IF(N153="nulová",J153,0)</f>
        <v>0</v>
      </c>
      <c r="BJ153" s="103" t="s">
        <v>55</v>
      </c>
      <c r="BK153" s="216">
        <f>ROUND(I153*H153,2)</f>
        <v>0</v>
      </c>
      <c r="BL153" s="103" t="s">
        <v>126</v>
      </c>
      <c r="BM153" s="215" t="s">
        <v>2009</v>
      </c>
    </row>
    <row r="154" spans="2:65" s="256" customFormat="1" x14ac:dyDescent="0.25">
      <c r="B154" s="112"/>
      <c r="D154" s="217" t="s">
        <v>1109</v>
      </c>
      <c r="F154" s="218" t="s">
        <v>2010</v>
      </c>
      <c r="I154" s="324"/>
      <c r="L154" s="112"/>
      <c r="M154" s="219"/>
      <c r="T154" s="128"/>
      <c r="AT154" s="103" t="s">
        <v>1109</v>
      </c>
      <c r="AU154" s="103" t="s">
        <v>65</v>
      </c>
    </row>
    <row r="155" spans="2:65" s="256" customFormat="1" ht="24.2" customHeight="1" x14ac:dyDescent="0.25">
      <c r="B155" s="112"/>
      <c r="C155" s="206" t="s">
        <v>155</v>
      </c>
      <c r="D155" s="206" t="s">
        <v>1104</v>
      </c>
      <c r="E155" s="207" t="s">
        <v>2011</v>
      </c>
      <c r="F155" s="208" t="s">
        <v>2012</v>
      </c>
      <c r="G155" s="209" t="s">
        <v>1533</v>
      </c>
      <c r="H155" s="210">
        <v>1</v>
      </c>
      <c r="I155" s="326"/>
      <c r="J155" s="211">
        <f>ROUND(I155*H155,2)</f>
        <v>0</v>
      </c>
      <c r="K155" s="208" t="s">
        <v>1010</v>
      </c>
      <c r="L155" s="112"/>
      <c r="M155" s="325" t="s">
        <v>1010</v>
      </c>
      <c r="N155" s="212" t="s">
        <v>1025</v>
      </c>
      <c r="P155" s="213">
        <f>O155*H155</f>
        <v>0</v>
      </c>
      <c r="Q155" s="213">
        <v>9.7259999999999999E-2</v>
      </c>
      <c r="R155" s="213">
        <f>Q155*H155</f>
        <v>9.7259999999999999E-2</v>
      </c>
      <c r="S155" s="213">
        <v>0</v>
      </c>
      <c r="T155" s="214">
        <f>S155*H155</f>
        <v>0</v>
      </c>
      <c r="AR155" s="215" t="s">
        <v>126</v>
      </c>
      <c r="AT155" s="215" t="s">
        <v>1104</v>
      </c>
      <c r="AU155" s="215" t="s">
        <v>65</v>
      </c>
      <c r="AY155" s="103" t="s">
        <v>1102</v>
      </c>
      <c r="BE155" s="216">
        <f>IF(N155="základní",J155,0)</f>
        <v>0</v>
      </c>
      <c r="BF155" s="216">
        <f>IF(N155="snížená",J155,0)</f>
        <v>0</v>
      </c>
      <c r="BG155" s="216">
        <f>IF(N155="zákl. přenesená",J155,0)</f>
        <v>0</v>
      </c>
      <c r="BH155" s="216">
        <f>IF(N155="sníž. přenesená",J155,0)</f>
        <v>0</v>
      </c>
      <c r="BI155" s="216">
        <f>IF(N155="nulová",J155,0)</f>
        <v>0</v>
      </c>
      <c r="BJ155" s="103" t="s">
        <v>55</v>
      </c>
      <c r="BK155" s="216">
        <f>ROUND(I155*H155,2)</f>
        <v>0</v>
      </c>
      <c r="BL155" s="103" t="s">
        <v>126</v>
      </c>
      <c r="BM155" s="215" t="s">
        <v>2013</v>
      </c>
    </row>
    <row r="156" spans="2:65" s="256" customFormat="1" ht="16.5" customHeight="1" x14ac:dyDescent="0.25">
      <c r="B156" s="112"/>
      <c r="C156" s="206" t="s">
        <v>158</v>
      </c>
      <c r="D156" s="206" t="s">
        <v>1104</v>
      </c>
      <c r="E156" s="207" t="s">
        <v>2014</v>
      </c>
      <c r="F156" s="208" t="s">
        <v>2015</v>
      </c>
      <c r="G156" s="209" t="s">
        <v>1533</v>
      </c>
      <c r="H156" s="210">
        <v>2</v>
      </c>
      <c r="I156" s="326"/>
      <c r="J156" s="211">
        <f>ROUND(I156*H156,2)</f>
        <v>0</v>
      </c>
      <c r="K156" s="208" t="s">
        <v>1010</v>
      </c>
      <c r="L156" s="112"/>
      <c r="M156" s="325" t="s">
        <v>1010</v>
      </c>
      <c r="N156" s="212" t="s">
        <v>1025</v>
      </c>
      <c r="P156" s="213">
        <f>O156*H156</f>
        <v>0</v>
      </c>
      <c r="Q156" s="213">
        <v>9.7259999999999999E-2</v>
      </c>
      <c r="R156" s="213">
        <f>Q156*H156</f>
        <v>0.19452</v>
      </c>
      <c r="S156" s="213">
        <v>0</v>
      </c>
      <c r="T156" s="214">
        <f>S156*H156</f>
        <v>0</v>
      </c>
      <c r="AR156" s="215" t="s">
        <v>126</v>
      </c>
      <c r="AT156" s="215" t="s">
        <v>1104</v>
      </c>
      <c r="AU156" s="215" t="s">
        <v>65</v>
      </c>
      <c r="AY156" s="103" t="s">
        <v>1102</v>
      </c>
      <c r="BE156" s="216">
        <f>IF(N156="základní",J156,0)</f>
        <v>0</v>
      </c>
      <c r="BF156" s="216">
        <f>IF(N156="snížená",J156,0)</f>
        <v>0</v>
      </c>
      <c r="BG156" s="216">
        <f>IF(N156="zákl. přenesená",J156,0)</f>
        <v>0</v>
      </c>
      <c r="BH156" s="216">
        <f>IF(N156="sníž. přenesená",J156,0)</f>
        <v>0</v>
      </c>
      <c r="BI156" s="216">
        <f>IF(N156="nulová",J156,0)</f>
        <v>0</v>
      </c>
      <c r="BJ156" s="103" t="s">
        <v>55</v>
      </c>
      <c r="BK156" s="216">
        <f>ROUND(I156*H156,2)</f>
        <v>0</v>
      </c>
      <c r="BL156" s="103" t="s">
        <v>126</v>
      </c>
      <c r="BM156" s="215" t="s">
        <v>2016</v>
      </c>
    </row>
    <row r="157" spans="2:65" s="220" customFormat="1" x14ac:dyDescent="0.25">
      <c r="B157" s="221"/>
      <c r="D157" s="222" t="s">
        <v>1128</v>
      </c>
      <c r="F157" s="223" t="s">
        <v>2017</v>
      </c>
      <c r="H157" s="224">
        <v>2</v>
      </c>
      <c r="I157" s="330"/>
      <c r="L157" s="221"/>
      <c r="M157" s="225"/>
      <c r="T157" s="226"/>
      <c r="AT157" s="227" t="s">
        <v>1128</v>
      </c>
      <c r="AU157" s="227" t="s">
        <v>65</v>
      </c>
      <c r="AV157" s="220" t="s">
        <v>65</v>
      </c>
      <c r="AW157" s="220" t="s">
        <v>999</v>
      </c>
      <c r="AX157" s="220" t="s">
        <v>55</v>
      </c>
      <c r="AY157" s="227" t="s">
        <v>1102</v>
      </c>
    </row>
    <row r="158" spans="2:65" s="256" customFormat="1" ht="33" customHeight="1" x14ac:dyDescent="0.25">
      <c r="B158" s="112"/>
      <c r="C158" s="206" t="s">
        <v>159</v>
      </c>
      <c r="D158" s="206" t="s">
        <v>1104</v>
      </c>
      <c r="E158" s="207" t="s">
        <v>2018</v>
      </c>
      <c r="F158" s="208" t="s">
        <v>2019</v>
      </c>
      <c r="G158" s="209" t="s">
        <v>1533</v>
      </c>
      <c r="H158" s="210">
        <v>1</v>
      </c>
      <c r="I158" s="326"/>
      <c r="J158" s="211">
        <f>ROUND(I158*H158,2)</f>
        <v>0</v>
      </c>
      <c r="K158" s="208" t="s">
        <v>1161</v>
      </c>
      <c r="L158" s="112"/>
      <c r="M158" s="325" t="s">
        <v>1010</v>
      </c>
      <c r="N158" s="212" t="s">
        <v>1025</v>
      </c>
      <c r="P158" s="213">
        <f>O158*H158</f>
        <v>0</v>
      </c>
      <c r="Q158" s="213">
        <v>2.8800000000000002E-3</v>
      </c>
      <c r="R158" s="213">
        <f>Q158*H158</f>
        <v>2.8800000000000002E-3</v>
      </c>
      <c r="S158" s="213">
        <v>0</v>
      </c>
      <c r="T158" s="214">
        <f>S158*H158</f>
        <v>0</v>
      </c>
      <c r="AR158" s="215" t="s">
        <v>126</v>
      </c>
      <c r="AT158" s="215" t="s">
        <v>1104</v>
      </c>
      <c r="AU158" s="215" t="s">
        <v>65</v>
      </c>
      <c r="AY158" s="103" t="s">
        <v>1102</v>
      </c>
      <c r="BE158" s="216">
        <f>IF(N158="základní",J158,0)</f>
        <v>0</v>
      </c>
      <c r="BF158" s="216">
        <f>IF(N158="snížená",J158,0)</f>
        <v>0</v>
      </c>
      <c r="BG158" s="216">
        <f>IF(N158="zákl. přenesená",J158,0)</f>
        <v>0</v>
      </c>
      <c r="BH158" s="216">
        <f>IF(N158="sníž. přenesená",J158,0)</f>
        <v>0</v>
      </c>
      <c r="BI158" s="216">
        <f>IF(N158="nulová",J158,0)</f>
        <v>0</v>
      </c>
      <c r="BJ158" s="103" t="s">
        <v>55</v>
      </c>
      <c r="BK158" s="216">
        <f>ROUND(I158*H158,2)</f>
        <v>0</v>
      </c>
      <c r="BL158" s="103" t="s">
        <v>126</v>
      </c>
      <c r="BM158" s="215" t="s">
        <v>2020</v>
      </c>
    </row>
    <row r="159" spans="2:65" s="256" customFormat="1" x14ac:dyDescent="0.25">
      <c r="B159" s="112"/>
      <c r="D159" s="217" t="s">
        <v>1109</v>
      </c>
      <c r="F159" s="218" t="s">
        <v>2021</v>
      </c>
      <c r="I159" s="324"/>
      <c r="L159" s="112"/>
      <c r="M159" s="219"/>
      <c r="T159" s="128"/>
      <c r="AT159" s="103" t="s">
        <v>1109</v>
      </c>
      <c r="AU159" s="103" t="s">
        <v>65</v>
      </c>
    </row>
    <row r="160" spans="2:65" s="256" customFormat="1" ht="33" customHeight="1" x14ac:dyDescent="0.25">
      <c r="B160" s="112"/>
      <c r="C160" s="206" t="s">
        <v>160</v>
      </c>
      <c r="D160" s="206" t="s">
        <v>1104</v>
      </c>
      <c r="E160" s="207" t="s">
        <v>2022</v>
      </c>
      <c r="F160" s="208" t="s">
        <v>2023</v>
      </c>
      <c r="G160" s="209" t="s">
        <v>1533</v>
      </c>
      <c r="H160" s="210">
        <v>1</v>
      </c>
      <c r="I160" s="326"/>
      <c r="J160" s="211">
        <f>ROUND(I160*H160,2)</f>
        <v>0</v>
      </c>
      <c r="K160" s="208" t="s">
        <v>1161</v>
      </c>
      <c r="L160" s="112"/>
      <c r="M160" s="325" t="s">
        <v>1010</v>
      </c>
      <c r="N160" s="212" t="s">
        <v>1025</v>
      </c>
      <c r="P160" s="213">
        <f>O160*H160</f>
        <v>0</v>
      </c>
      <c r="Q160" s="213">
        <v>6.9899999999999997E-3</v>
      </c>
      <c r="R160" s="213">
        <f>Q160*H160</f>
        <v>6.9899999999999997E-3</v>
      </c>
      <c r="S160" s="213">
        <v>0</v>
      </c>
      <c r="T160" s="214">
        <f>S160*H160</f>
        <v>0</v>
      </c>
      <c r="AR160" s="215" t="s">
        <v>126</v>
      </c>
      <c r="AT160" s="215" t="s">
        <v>1104</v>
      </c>
      <c r="AU160" s="215" t="s">
        <v>65</v>
      </c>
      <c r="AY160" s="103" t="s">
        <v>1102</v>
      </c>
      <c r="BE160" s="216">
        <f>IF(N160="základní",J160,0)</f>
        <v>0</v>
      </c>
      <c r="BF160" s="216">
        <f>IF(N160="snížená",J160,0)</f>
        <v>0</v>
      </c>
      <c r="BG160" s="216">
        <f>IF(N160="zákl. přenesená",J160,0)</f>
        <v>0</v>
      </c>
      <c r="BH160" s="216">
        <f>IF(N160="sníž. přenesená",J160,0)</f>
        <v>0</v>
      </c>
      <c r="BI160" s="216">
        <f>IF(N160="nulová",J160,0)</f>
        <v>0</v>
      </c>
      <c r="BJ160" s="103" t="s">
        <v>55</v>
      </c>
      <c r="BK160" s="216">
        <f>ROUND(I160*H160,2)</f>
        <v>0</v>
      </c>
      <c r="BL160" s="103" t="s">
        <v>126</v>
      </c>
      <c r="BM160" s="215" t="s">
        <v>2024</v>
      </c>
    </row>
    <row r="161" spans="2:65" s="256" customFormat="1" x14ac:dyDescent="0.25">
      <c r="B161" s="112"/>
      <c r="D161" s="217" t="s">
        <v>1109</v>
      </c>
      <c r="F161" s="218" t="s">
        <v>2025</v>
      </c>
      <c r="I161" s="324"/>
      <c r="L161" s="112"/>
      <c r="M161" s="219"/>
      <c r="T161" s="128"/>
      <c r="AT161" s="103" t="s">
        <v>1109</v>
      </c>
      <c r="AU161" s="103" t="s">
        <v>65</v>
      </c>
    </row>
    <row r="162" spans="2:65" s="256" customFormat="1" ht="24.2" customHeight="1" x14ac:dyDescent="0.25">
      <c r="B162" s="112"/>
      <c r="C162" s="206" t="s">
        <v>161</v>
      </c>
      <c r="D162" s="206" t="s">
        <v>1104</v>
      </c>
      <c r="E162" s="207" t="s">
        <v>2026</v>
      </c>
      <c r="F162" s="208" t="s">
        <v>2027</v>
      </c>
      <c r="G162" s="209" t="s">
        <v>1125</v>
      </c>
      <c r="H162" s="210">
        <v>0.70099999999999996</v>
      </c>
      <c r="I162" s="326"/>
      <c r="J162" s="211">
        <f>ROUND(I162*H162,2)</f>
        <v>0</v>
      </c>
      <c r="K162" s="208" t="s">
        <v>1146</v>
      </c>
      <c r="L162" s="112"/>
      <c r="M162" s="325" t="s">
        <v>1010</v>
      </c>
      <c r="N162" s="212" t="s">
        <v>1025</v>
      </c>
      <c r="P162" s="213">
        <f>O162*H162</f>
        <v>0</v>
      </c>
      <c r="Q162" s="213">
        <v>0</v>
      </c>
      <c r="R162" s="213">
        <f>Q162*H162</f>
        <v>0</v>
      </c>
      <c r="S162" s="213">
        <v>0</v>
      </c>
      <c r="T162" s="214">
        <f>S162*H162</f>
        <v>0</v>
      </c>
      <c r="AR162" s="215" t="s">
        <v>126</v>
      </c>
      <c r="AT162" s="215" t="s">
        <v>1104</v>
      </c>
      <c r="AU162" s="215" t="s">
        <v>65</v>
      </c>
      <c r="AY162" s="103" t="s">
        <v>1102</v>
      </c>
      <c r="BE162" s="216">
        <f>IF(N162="základní",J162,0)</f>
        <v>0</v>
      </c>
      <c r="BF162" s="216">
        <f>IF(N162="snížená",J162,0)</f>
        <v>0</v>
      </c>
      <c r="BG162" s="216">
        <f>IF(N162="zákl. přenesená",J162,0)</f>
        <v>0</v>
      </c>
      <c r="BH162" s="216">
        <f>IF(N162="sníž. přenesená",J162,0)</f>
        <v>0</v>
      </c>
      <c r="BI162" s="216">
        <f>IF(N162="nulová",J162,0)</f>
        <v>0</v>
      </c>
      <c r="BJ162" s="103" t="s">
        <v>55</v>
      </c>
      <c r="BK162" s="216">
        <f>ROUND(I162*H162,2)</f>
        <v>0</v>
      </c>
      <c r="BL162" s="103" t="s">
        <v>126</v>
      </c>
      <c r="BM162" s="215" t="s">
        <v>2028</v>
      </c>
    </row>
    <row r="163" spans="2:65" s="256" customFormat="1" x14ac:dyDescent="0.25">
      <c r="B163" s="112"/>
      <c r="D163" s="217" t="s">
        <v>1109</v>
      </c>
      <c r="F163" s="218" t="s">
        <v>2029</v>
      </c>
      <c r="I163" s="324"/>
      <c r="L163" s="112"/>
      <c r="M163" s="219"/>
      <c r="T163" s="128"/>
      <c r="AT163" s="103" t="s">
        <v>1109</v>
      </c>
      <c r="AU163" s="103" t="s">
        <v>65</v>
      </c>
    </row>
    <row r="164" spans="2:65" s="256" customFormat="1" ht="24.2" customHeight="1" x14ac:dyDescent="0.25">
      <c r="B164" s="112"/>
      <c r="C164" s="206" t="s">
        <v>162</v>
      </c>
      <c r="D164" s="206" t="s">
        <v>1104</v>
      </c>
      <c r="E164" s="207" t="s">
        <v>2030</v>
      </c>
      <c r="F164" s="208" t="s">
        <v>2031</v>
      </c>
      <c r="G164" s="209" t="s">
        <v>1125</v>
      </c>
      <c r="H164" s="210">
        <v>0.70099999999999996</v>
      </c>
      <c r="I164" s="326"/>
      <c r="J164" s="211">
        <f>ROUND(I164*H164,2)</f>
        <v>0</v>
      </c>
      <c r="K164" s="208" t="s">
        <v>1146</v>
      </c>
      <c r="L164" s="112"/>
      <c r="M164" s="325" t="s">
        <v>1010</v>
      </c>
      <c r="N164" s="212" t="s">
        <v>1025</v>
      </c>
      <c r="P164" s="213">
        <f>O164*H164</f>
        <v>0</v>
      </c>
      <c r="Q164" s="213">
        <v>0</v>
      </c>
      <c r="R164" s="213">
        <f>Q164*H164</f>
        <v>0</v>
      </c>
      <c r="S164" s="213">
        <v>0</v>
      </c>
      <c r="T164" s="214">
        <f>S164*H164</f>
        <v>0</v>
      </c>
      <c r="AR164" s="215" t="s">
        <v>126</v>
      </c>
      <c r="AT164" s="215" t="s">
        <v>1104</v>
      </c>
      <c r="AU164" s="215" t="s">
        <v>65</v>
      </c>
      <c r="AY164" s="103" t="s">
        <v>1102</v>
      </c>
      <c r="BE164" s="216">
        <f>IF(N164="základní",J164,0)</f>
        <v>0</v>
      </c>
      <c r="BF164" s="216">
        <f>IF(N164="snížená",J164,0)</f>
        <v>0</v>
      </c>
      <c r="BG164" s="216">
        <f>IF(N164="zákl. přenesená",J164,0)</f>
        <v>0</v>
      </c>
      <c r="BH164" s="216">
        <f>IF(N164="sníž. přenesená",J164,0)</f>
        <v>0</v>
      </c>
      <c r="BI164" s="216">
        <f>IF(N164="nulová",J164,0)</f>
        <v>0</v>
      </c>
      <c r="BJ164" s="103" t="s">
        <v>55</v>
      </c>
      <c r="BK164" s="216">
        <f>ROUND(I164*H164,2)</f>
        <v>0</v>
      </c>
      <c r="BL164" s="103" t="s">
        <v>126</v>
      </c>
      <c r="BM164" s="215" t="s">
        <v>2032</v>
      </c>
    </row>
    <row r="165" spans="2:65" s="256" customFormat="1" x14ac:dyDescent="0.25">
      <c r="B165" s="112"/>
      <c r="D165" s="217" t="s">
        <v>1109</v>
      </c>
      <c r="F165" s="218" t="s">
        <v>2033</v>
      </c>
      <c r="I165" s="324"/>
      <c r="L165" s="112"/>
      <c r="M165" s="219"/>
      <c r="T165" s="128"/>
      <c r="AT165" s="103" t="s">
        <v>1109</v>
      </c>
      <c r="AU165" s="103" t="s">
        <v>65</v>
      </c>
    </row>
    <row r="166" spans="2:65" s="194" customFormat="1" ht="22.9" customHeight="1" x14ac:dyDescent="0.2">
      <c r="B166" s="195"/>
      <c r="D166" s="196" t="s">
        <v>1052</v>
      </c>
      <c r="E166" s="204" t="s">
        <v>2034</v>
      </c>
      <c r="F166" s="204" t="s">
        <v>2035</v>
      </c>
      <c r="I166" s="327"/>
      <c r="J166" s="205">
        <f>BK166</f>
        <v>0</v>
      </c>
      <c r="L166" s="195"/>
      <c r="M166" s="199"/>
      <c r="P166" s="200">
        <f>SUM(P167:P202)</f>
        <v>0</v>
      </c>
      <c r="R166" s="200">
        <f>SUM(R167:R202)</f>
        <v>0.71713000000000005</v>
      </c>
      <c r="T166" s="201">
        <f>SUM(T167:T202)</f>
        <v>1.778</v>
      </c>
      <c r="AR166" s="196" t="s">
        <v>65</v>
      </c>
      <c r="AT166" s="202" t="s">
        <v>1052</v>
      </c>
      <c r="AU166" s="202" t="s">
        <v>55</v>
      </c>
      <c r="AY166" s="196" t="s">
        <v>1102</v>
      </c>
      <c r="BK166" s="203">
        <f>SUM(BK167:BK202)</f>
        <v>0</v>
      </c>
    </row>
    <row r="167" spans="2:65" s="256" customFormat="1" ht="16.5" customHeight="1" x14ac:dyDescent="0.25">
      <c r="B167" s="112"/>
      <c r="C167" s="206" t="s">
        <v>163</v>
      </c>
      <c r="D167" s="206" t="s">
        <v>1104</v>
      </c>
      <c r="E167" s="207" t="s">
        <v>2036</v>
      </c>
      <c r="F167" s="208" t="s">
        <v>2037</v>
      </c>
      <c r="G167" s="209" t="s">
        <v>104</v>
      </c>
      <c r="H167" s="210">
        <v>700</v>
      </c>
      <c r="I167" s="326"/>
      <c r="J167" s="211">
        <f>ROUND(I167*H167,2)</f>
        <v>0</v>
      </c>
      <c r="K167" s="208" t="s">
        <v>1161</v>
      </c>
      <c r="L167" s="112"/>
      <c r="M167" s="325" t="s">
        <v>1010</v>
      </c>
      <c r="N167" s="212" t="s">
        <v>1025</v>
      </c>
      <c r="P167" s="213">
        <f>O167*H167</f>
        <v>0</v>
      </c>
      <c r="Q167" s="213">
        <v>4.0000000000000003E-5</v>
      </c>
      <c r="R167" s="213">
        <f>Q167*H167</f>
        <v>2.8000000000000001E-2</v>
      </c>
      <c r="S167" s="213">
        <v>2.5400000000000002E-3</v>
      </c>
      <c r="T167" s="214">
        <f>S167*H167</f>
        <v>1.778</v>
      </c>
      <c r="AR167" s="215" t="s">
        <v>126</v>
      </c>
      <c r="AT167" s="215" t="s">
        <v>1104</v>
      </c>
      <c r="AU167" s="215" t="s">
        <v>65</v>
      </c>
      <c r="AY167" s="103" t="s">
        <v>1102</v>
      </c>
      <c r="BE167" s="216">
        <f>IF(N167="základní",J167,0)</f>
        <v>0</v>
      </c>
      <c r="BF167" s="216">
        <f>IF(N167="snížená",J167,0)</f>
        <v>0</v>
      </c>
      <c r="BG167" s="216">
        <f>IF(N167="zákl. přenesená",J167,0)</f>
        <v>0</v>
      </c>
      <c r="BH167" s="216">
        <f>IF(N167="sníž. přenesená",J167,0)</f>
        <v>0</v>
      </c>
      <c r="BI167" s="216">
        <f>IF(N167="nulová",J167,0)</f>
        <v>0</v>
      </c>
      <c r="BJ167" s="103" t="s">
        <v>55</v>
      </c>
      <c r="BK167" s="216">
        <f>ROUND(I167*H167,2)</f>
        <v>0</v>
      </c>
      <c r="BL167" s="103" t="s">
        <v>126</v>
      </c>
      <c r="BM167" s="215" t="s">
        <v>2038</v>
      </c>
    </row>
    <row r="168" spans="2:65" s="256" customFormat="1" x14ac:dyDescent="0.25">
      <c r="B168" s="112"/>
      <c r="D168" s="217" t="s">
        <v>1109</v>
      </c>
      <c r="F168" s="218" t="s">
        <v>2039</v>
      </c>
      <c r="I168" s="324"/>
      <c r="L168" s="112"/>
      <c r="M168" s="219"/>
      <c r="T168" s="128"/>
      <c r="AT168" s="103" t="s">
        <v>1109</v>
      </c>
      <c r="AU168" s="103" t="s">
        <v>65</v>
      </c>
    </row>
    <row r="169" spans="2:65" s="256" customFormat="1" ht="16.5" customHeight="1" x14ac:dyDescent="0.25">
      <c r="B169" s="112"/>
      <c r="C169" s="206" t="s">
        <v>164</v>
      </c>
      <c r="D169" s="206" t="s">
        <v>1104</v>
      </c>
      <c r="E169" s="207" t="s">
        <v>2040</v>
      </c>
      <c r="F169" s="208" t="s">
        <v>2041</v>
      </c>
      <c r="G169" s="209" t="s">
        <v>104</v>
      </c>
      <c r="H169" s="210">
        <v>436</v>
      </c>
      <c r="I169" s="326"/>
      <c r="J169" s="211">
        <f>ROUND(I169*H169,2)</f>
        <v>0</v>
      </c>
      <c r="K169" s="208" t="s">
        <v>1010</v>
      </c>
      <c r="L169" s="112"/>
      <c r="M169" s="325" t="s">
        <v>1010</v>
      </c>
      <c r="N169" s="212" t="s">
        <v>1025</v>
      </c>
      <c r="P169" s="213">
        <f>O169*H169</f>
        <v>0</v>
      </c>
      <c r="Q169" s="213">
        <v>2.4000000000000001E-4</v>
      </c>
      <c r="R169" s="213">
        <f>Q169*H169</f>
        <v>0.10464</v>
      </c>
      <c r="S169" s="213">
        <v>0</v>
      </c>
      <c r="T169" s="214">
        <f>S169*H169</f>
        <v>0</v>
      </c>
      <c r="AR169" s="215" t="s">
        <v>126</v>
      </c>
      <c r="AT169" s="215" t="s">
        <v>1104</v>
      </c>
      <c r="AU169" s="215" t="s">
        <v>65</v>
      </c>
      <c r="AY169" s="103" t="s">
        <v>1102</v>
      </c>
      <c r="BE169" s="216">
        <f>IF(N169="základní",J169,0)</f>
        <v>0</v>
      </c>
      <c r="BF169" s="216">
        <f>IF(N169="snížená",J169,0)</f>
        <v>0</v>
      </c>
      <c r="BG169" s="216">
        <f>IF(N169="zákl. přenesená",J169,0)</f>
        <v>0</v>
      </c>
      <c r="BH169" s="216">
        <f>IF(N169="sníž. přenesená",J169,0)</f>
        <v>0</v>
      </c>
      <c r="BI169" s="216">
        <f>IF(N169="nulová",J169,0)</f>
        <v>0</v>
      </c>
      <c r="BJ169" s="103" t="s">
        <v>55</v>
      </c>
      <c r="BK169" s="216">
        <f>ROUND(I169*H169,2)</f>
        <v>0</v>
      </c>
      <c r="BL169" s="103" t="s">
        <v>126</v>
      </c>
      <c r="BM169" s="215" t="s">
        <v>2042</v>
      </c>
    </row>
    <row r="170" spans="2:65" s="256" customFormat="1" ht="16.5" customHeight="1" x14ac:dyDescent="0.25">
      <c r="B170" s="112"/>
      <c r="C170" s="206" t="s">
        <v>168</v>
      </c>
      <c r="D170" s="206" t="s">
        <v>1104</v>
      </c>
      <c r="E170" s="207" t="s">
        <v>2043</v>
      </c>
      <c r="F170" s="208" t="s">
        <v>2044</v>
      </c>
      <c r="G170" s="209" t="s">
        <v>104</v>
      </c>
      <c r="H170" s="210">
        <v>139</v>
      </c>
      <c r="I170" s="326"/>
      <c r="J170" s="211">
        <f>ROUND(I170*H170,2)</f>
        <v>0</v>
      </c>
      <c r="K170" s="208" t="s">
        <v>1161</v>
      </c>
      <c r="L170" s="112"/>
      <c r="M170" s="325" t="s">
        <v>1010</v>
      </c>
      <c r="N170" s="212" t="s">
        <v>1025</v>
      </c>
      <c r="P170" s="213">
        <f>O170*H170</f>
        <v>0</v>
      </c>
      <c r="Q170" s="213">
        <v>5.5000000000000003E-4</v>
      </c>
      <c r="R170" s="213">
        <f>Q170*H170</f>
        <v>7.6450000000000004E-2</v>
      </c>
      <c r="S170" s="213">
        <v>0</v>
      </c>
      <c r="T170" s="214">
        <f>S170*H170</f>
        <v>0</v>
      </c>
      <c r="AR170" s="215" t="s">
        <v>126</v>
      </c>
      <c r="AT170" s="215" t="s">
        <v>1104</v>
      </c>
      <c r="AU170" s="215" t="s">
        <v>65</v>
      </c>
      <c r="AY170" s="103" t="s">
        <v>1102</v>
      </c>
      <c r="BE170" s="216">
        <f>IF(N170="základní",J170,0)</f>
        <v>0</v>
      </c>
      <c r="BF170" s="216">
        <f>IF(N170="snížená",J170,0)</f>
        <v>0</v>
      </c>
      <c r="BG170" s="216">
        <f>IF(N170="zákl. přenesená",J170,0)</f>
        <v>0</v>
      </c>
      <c r="BH170" s="216">
        <f>IF(N170="sníž. přenesená",J170,0)</f>
        <v>0</v>
      </c>
      <c r="BI170" s="216">
        <f>IF(N170="nulová",J170,0)</f>
        <v>0</v>
      </c>
      <c r="BJ170" s="103" t="s">
        <v>55</v>
      </c>
      <c r="BK170" s="216">
        <f>ROUND(I170*H170,2)</f>
        <v>0</v>
      </c>
      <c r="BL170" s="103" t="s">
        <v>126</v>
      </c>
      <c r="BM170" s="215" t="s">
        <v>2045</v>
      </c>
    </row>
    <row r="171" spans="2:65" s="256" customFormat="1" x14ac:dyDescent="0.25">
      <c r="B171" s="112"/>
      <c r="D171" s="217" t="s">
        <v>1109</v>
      </c>
      <c r="F171" s="218" t="s">
        <v>2046</v>
      </c>
      <c r="I171" s="324"/>
      <c r="L171" s="112"/>
      <c r="M171" s="219"/>
      <c r="T171" s="128"/>
      <c r="AT171" s="103" t="s">
        <v>1109</v>
      </c>
      <c r="AU171" s="103" t="s">
        <v>65</v>
      </c>
    </row>
    <row r="172" spans="2:65" s="256" customFormat="1" ht="16.5" customHeight="1" x14ac:dyDescent="0.25">
      <c r="B172" s="112"/>
      <c r="C172" s="206" t="s">
        <v>173</v>
      </c>
      <c r="D172" s="206" t="s">
        <v>1104</v>
      </c>
      <c r="E172" s="207" t="s">
        <v>2047</v>
      </c>
      <c r="F172" s="208" t="s">
        <v>2048</v>
      </c>
      <c r="G172" s="209" t="s">
        <v>104</v>
      </c>
      <c r="H172" s="210">
        <v>76</v>
      </c>
      <c r="I172" s="326"/>
      <c r="J172" s="211">
        <f>ROUND(I172*H172,2)</f>
        <v>0</v>
      </c>
      <c r="K172" s="208" t="s">
        <v>1161</v>
      </c>
      <c r="L172" s="112"/>
      <c r="M172" s="325" t="s">
        <v>1010</v>
      </c>
      <c r="N172" s="212" t="s">
        <v>1025</v>
      </c>
      <c r="P172" s="213">
        <f>O172*H172</f>
        <v>0</v>
      </c>
      <c r="Q172" s="213">
        <v>7.1000000000000002E-4</v>
      </c>
      <c r="R172" s="213">
        <f>Q172*H172</f>
        <v>5.3960000000000001E-2</v>
      </c>
      <c r="S172" s="213">
        <v>0</v>
      </c>
      <c r="T172" s="214">
        <f>S172*H172</f>
        <v>0</v>
      </c>
      <c r="AR172" s="215" t="s">
        <v>126</v>
      </c>
      <c r="AT172" s="215" t="s">
        <v>1104</v>
      </c>
      <c r="AU172" s="215" t="s">
        <v>65</v>
      </c>
      <c r="AY172" s="103" t="s">
        <v>1102</v>
      </c>
      <c r="BE172" s="216">
        <f>IF(N172="základní",J172,0)</f>
        <v>0</v>
      </c>
      <c r="BF172" s="216">
        <f>IF(N172="snížená",J172,0)</f>
        <v>0</v>
      </c>
      <c r="BG172" s="216">
        <f>IF(N172="zákl. přenesená",J172,0)</f>
        <v>0</v>
      </c>
      <c r="BH172" s="216">
        <f>IF(N172="sníž. přenesená",J172,0)</f>
        <v>0</v>
      </c>
      <c r="BI172" s="216">
        <f>IF(N172="nulová",J172,0)</f>
        <v>0</v>
      </c>
      <c r="BJ172" s="103" t="s">
        <v>55</v>
      </c>
      <c r="BK172" s="216">
        <f>ROUND(I172*H172,2)</f>
        <v>0</v>
      </c>
      <c r="BL172" s="103" t="s">
        <v>126</v>
      </c>
      <c r="BM172" s="215" t="s">
        <v>2049</v>
      </c>
    </row>
    <row r="173" spans="2:65" s="256" customFormat="1" x14ac:dyDescent="0.25">
      <c r="B173" s="112"/>
      <c r="D173" s="217" t="s">
        <v>1109</v>
      </c>
      <c r="F173" s="218" t="s">
        <v>2050</v>
      </c>
      <c r="I173" s="324"/>
      <c r="L173" s="112"/>
      <c r="M173" s="219"/>
      <c r="T173" s="128"/>
      <c r="AT173" s="103" t="s">
        <v>1109</v>
      </c>
      <c r="AU173" s="103" t="s">
        <v>65</v>
      </c>
    </row>
    <row r="174" spans="2:65" s="256" customFormat="1" ht="16.5" customHeight="1" x14ac:dyDescent="0.25">
      <c r="B174" s="112"/>
      <c r="C174" s="206" t="s">
        <v>174</v>
      </c>
      <c r="D174" s="206" t="s">
        <v>1104</v>
      </c>
      <c r="E174" s="207" t="s">
        <v>2051</v>
      </c>
      <c r="F174" s="208" t="s">
        <v>2052</v>
      </c>
      <c r="G174" s="209" t="s">
        <v>104</v>
      </c>
      <c r="H174" s="210">
        <v>96</v>
      </c>
      <c r="I174" s="326"/>
      <c r="J174" s="211">
        <f>ROUND(I174*H174,2)</f>
        <v>0</v>
      </c>
      <c r="K174" s="208" t="s">
        <v>1161</v>
      </c>
      <c r="L174" s="112"/>
      <c r="M174" s="325" t="s">
        <v>1010</v>
      </c>
      <c r="N174" s="212" t="s">
        <v>1025</v>
      </c>
      <c r="P174" s="213">
        <f>O174*H174</f>
        <v>0</v>
      </c>
      <c r="Q174" s="213">
        <v>1.25E-3</v>
      </c>
      <c r="R174" s="213">
        <f>Q174*H174</f>
        <v>0.12</v>
      </c>
      <c r="S174" s="213">
        <v>0</v>
      </c>
      <c r="T174" s="214">
        <f>S174*H174</f>
        <v>0</v>
      </c>
      <c r="AR174" s="215" t="s">
        <v>126</v>
      </c>
      <c r="AT174" s="215" t="s">
        <v>1104</v>
      </c>
      <c r="AU174" s="215" t="s">
        <v>65</v>
      </c>
      <c r="AY174" s="103" t="s">
        <v>1102</v>
      </c>
      <c r="BE174" s="216">
        <f>IF(N174="základní",J174,0)</f>
        <v>0</v>
      </c>
      <c r="BF174" s="216">
        <f>IF(N174="snížená",J174,0)</f>
        <v>0</v>
      </c>
      <c r="BG174" s="216">
        <f>IF(N174="zákl. přenesená",J174,0)</f>
        <v>0</v>
      </c>
      <c r="BH174" s="216">
        <f>IF(N174="sníž. přenesená",J174,0)</f>
        <v>0</v>
      </c>
      <c r="BI174" s="216">
        <f>IF(N174="nulová",J174,0)</f>
        <v>0</v>
      </c>
      <c r="BJ174" s="103" t="s">
        <v>55</v>
      </c>
      <c r="BK174" s="216">
        <f>ROUND(I174*H174,2)</f>
        <v>0</v>
      </c>
      <c r="BL174" s="103" t="s">
        <v>126</v>
      </c>
      <c r="BM174" s="215" t="s">
        <v>2053</v>
      </c>
    </row>
    <row r="175" spans="2:65" s="256" customFormat="1" x14ac:dyDescent="0.25">
      <c r="B175" s="112"/>
      <c r="D175" s="217" t="s">
        <v>1109</v>
      </c>
      <c r="F175" s="218" t="s">
        <v>2054</v>
      </c>
      <c r="I175" s="324"/>
      <c r="L175" s="112"/>
      <c r="M175" s="219"/>
      <c r="T175" s="128"/>
      <c r="AT175" s="103" t="s">
        <v>1109</v>
      </c>
      <c r="AU175" s="103" t="s">
        <v>65</v>
      </c>
    </row>
    <row r="176" spans="2:65" s="256" customFormat="1" ht="16.5" customHeight="1" x14ac:dyDescent="0.25">
      <c r="B176" s="112"/>
      <c r="C176" s="228" t="s">
        <v>175</v>
      </c>
      <c r="D176" s="228" t="s">
        <v>1138</v>
      </c>
      <c r="E176" s="229" t="s">
        <v>1488</v>
      </c>
      <c r="F176" s="230" t="s">
        <v>1489</v>
      </c>
      <c r="G176" s="231" t="s">
        <v>113</v>
      </c>
      <c r="H176" s="232">
        <v>84</v>
      </c>
      <c r="I176" s="329"/>
      <c r="J176" s="233">
        <f>ROUND(I176*H176,2)</f>
        <v>0</v>
      </c>
      <c r="K176" s="230" t="s">
        <v>1161</v>
      </c>
      <c r="L176" s="234"/>
      <c r="M176" s="328" t="s">
        <v>1010</v>
      </c>
      <c r="N176" s="235" t="s">
        <v>1025</v>
      </c>
      <c r="P176" s="213">
        <f>O176*H176</f>
        <v>0</v>
      </c>
      <c r="Q176" s="213">
        <v>1.4999999999999999E-4</v>
      </c>
      <c r="R176" s="213">
        <f>Q176*H176</f>
        <v>1.2599999999999998E-2</v>
      </c>
      <c r="S176" s="213">
        <v>0</v>
      </c>
      <c r="T176" s="214">
        <f>S176*H176</f>
        <v>0</v>
      </c>
      <c r="AR176" s="215" t="s">
        <v>160</v>
      </c>
      <c r="AT176" s="215" t="s">
        <v>1138</v>
      </c>
      <c r="AU176" s="215" t="s">
        <v>65</v>
      </c>
      <c r="AY176" s="103" t="s">
        <v>1102</v>
      </c>
      <c r="BE176" s="216">
        <f>IF(N176="základní",J176,0)</f>
        <v>0</v>
      </c>
      <c r="BF176" s="216">
        <f>IF(N176="snížená",J176,0)</f>
        <v>0</v>
      </c>
      <c r="BG176" s="216">
        <f>IF(N176="zákl. přenesená",J176,0)</f>
        <v>0</v>
      </c>
      <c r="BH176" s="216">
        <f>IF(N176="sníž. přenesená",J176,0)</f>
        <v>0</v>
      </c>
      <c r="BI176" s="216">
        <f>IF(N176="nulová",J176,0)</f>
        <v>0</v>
      </c>
      <c r="BJ176" s="103" t="s">
        <v>55</v>
      </c>
      <c r="BK176" s="216">
        <f>ROUND(I176*H176,2)</f>
        <v>0</v>
      </c>
      <c r="BL176" s="103" t="s">
        <v>126</v>
      </c>
      <c r="BM176" s="215" t="s">
        <v>2055</v>
      </c>
    </row>
    <row r="177" spans="2:65" s="256" customFormat="1" ht="16.5" customHeight="1" x14ac:dyDescent="0.25">
      <c r="B177" s="112"/>
      <c r="C177" s="206" t="s">
        <v>176</v>
      </c>
      <c r="D177" s="206" t="s">
        <v>1104</v>
      </c>
      <c r="E177" s="207" t="s">
        <v>2056</v>
      </c>
      <c r="F177" s="208" t="s">
        <v>2057</v>
      </c>
      <c r="G177" s="209" t="s">
        <v>104</v>
      </c>
      <c r="H177" s="210">
        <v>45</v>
      </c>
      <c r="I177" s="326"/>
      <c r="J177" s="211">
        <f>ROUND(I177*H177,2)</f>
        <v>0</v>
      </c>
      <c r="K177" s="208" t="s">
        <v>1161</v>
      </c>
      <c r="L177" s="112"/>
      <c r="M177" s="325" t="s">
        <v>1010</v>
      </c>
      <c r="N177" s="212" t="s">
        <v>1025</v>
      </c>
      <c r="P177" s="213">
        <f>O177*H177</f>
        <v>0</v>
      </c>
      <c r="Q177" s="213">
        <v>1.6199999999999999E-3</v>
      </c>
      <c r="R177" s="213">
        <f>Q177*H177</f>
        <v>7.2899999999999993E-2</v>
      </c>
      <c r="S177" s="213">
        <v>0</v>
      </c>
      <c r="T177" s="214">
        <f>S177*H177</f>
        <v>0</v>
      </c>
      <c r="AR177" s="215" t="s">
        <v>126</v>
      </c>
      <c r="AT177" s="215" t="s">
        <v>1104</v>
      </c>
      <c r="AU177" s="215" t="s">
        <v>65</v>
      </c>
      <c r="AY177" s="103" t="s">
        <v>1102</v>
      </c>
      <c r="BE177" s="216">
        <f>IF(N177="základní",J177,0)</f>
        <v>0</v>
      </c>
      <c r="BF177" s="216">
        <f>IF(N177="snížená",J177,0)</f>
        <v>0</v>
      </c>
      <c r="BG177" s="216">
        <f>IF(N177="zákl. přenesená",J177,0)</f>
        <v>0</v>
      </c>
      <c r="BH177" s="216">
        <f>IF(N177="sníž. přenesená",J177,0)</f>
        <v>0</v>
      </c>
      <c r="BI177" s="216">
        <f>IF(N177="nulová",J177,0)</f>
        <v>0</v>
      </c>
      <c r="BJ177" s="103" t="s">
        <v>55</v>
      </c>
      <c r="BK177" s="216">
        <f>ROUND(I177*H177,2)</f>
        <v>0</v>
      </c>
      <c r="BL177" s="103" t="s">
        <v>126</v>
      </c>
      <c r="BM177" s="215" t="s">
        <v>2058</v>
      </c>
    </row>
    <row r="178" spans="2:65" s="256" customFormat="1" x14ac:dyDescent="0.25">
      <c r="B178" s="112"/>
      <c r="D178" s="217" t="s">
        <v>1109</v>
      </c>
      <c r="F178" s="218" t="s">
        <v>2059</v>
      </c>
      <c r="I178" s="324"/>
      <c r="L178" s="112"/>
      <c r="M178" s="219"/>
      <c r="T178" s="128"/>
      <c r="AT178" s="103" t="s">
        <v>1109</v>
      </c>
      <c r="AU178" s="103" t="s">
        <v>65</v>
      </c>
    </row>
    <row r="179" spans="2:65" s="256" customFormat="1" ht="16.5" customHeight="1" x14ac:dyDescent="0.25">
      <c r="B179" s="112"/>
      <c r="C179" s="228" t="s">
        <v>177</v>
      </c>
      <c r="D179" s="228" t="s">
        <v>1138</v>
      </c>
      <c r="E179" s="229" t="s">
        <v>1471</v>
      </c>
      <c r="F179" s="230" t="s">
        <v>1472</v>
      </c>
      <c r="G179" s="231" t="s">
        <v>113</v>
      </c>
      <c r="H179" s="232">
        <v>90</v>
      </c>
      <c r="I179" s="329"/>
      <c r="J179" s="233">
        <f>ROUND(I179*H179,2)</f>
        <v>0</v>
      </c>
      <c r="K179" s="230" t="s">
        <v>1161</v>
      </c>
      <c r="L179" s="234"/>
      <c r="M179" s="328" t="s">
        <v>1010</v>
      </c>
      <c r="N179" s="235" t="s">
        <v>1025</v>
      </c>
      <c r="P179" s="213">
        <f>O179*H179</f>
        <v>0</v>
      </c>
      <c r="Q179" s="213">
        <v>1.7000000000000001E-4</v>
      </c>
      <c r="R179" s="213">
        <f>Q179*H179</f>
        <v>1.5300000000000001E-2</v>
      </c>
      <c r="S179" s="213">
        <v>0</v>
      </c>
      <c r="T179" s="214">
        <f>S179*H179</f>
        <v>0</v>
      </c>
      <c r="AR179" s="215" t="s">
        <v>160</v>
      </c>
      <c r="AT179" s="215" t="s">
        <v>1138</v>
      </c>
      <c r="AU179" s="215" t="s">
        <v>65</v>
      </c>
      <c r="AY179" s="103" t="s">
        <v>1102</v>
      </c>
      <c r="BE179" s="216">
        <f>IF(N179="základní",J179,0)</f>
        <v>0</v>
      </c>
      <c r="BF179" s="216">
        <f>IF(N179="snížená",J179,0)</f>
        <v>0</v>
      </c>
      <c r="BG179" s="216">
        <f>IF(N179="zákl. přenesená",J179,0)</f>
        <v>0</v>
      </c>
      <c r="BH179" s="216">
        <f>IF(N179="sníž. přenesená",J179,0)</f>
        <v>0</v>
      </c>
      <c r="BI179" s="216">
        <f>IF(N179="nulová",J179,0)</f>
        <v>0</v>
      </c>
      <c r="BJ179" s="103" t="s">
        <v>55</v>
      </c>
      <c r="BK179" s="216">
        <f>ROUND(I179*H179,2)</f>
        <v>0</v>
      </c>
      <c r="BL179" s="103" t="s">
        <v>126</v>
      </c>
      <c r="BM179" s="215" t="s">
        <v>2060</v>
      </c>
    </row>
    <row r="180" spans="2:65" s="256" customFormat="1" ht="16.5" customHeight="1" x14ac:dyDescent="0.25">
      <c r="B180" s="112"/>
      <c r="C180" s="206" t="s">
        <v>179</v>
      </c>
      <c r="D180" s="206" t="s">
        <v>1104</v>
      </c>
      <c r="E180" s="207" t="s">
        <v>2061</v>
      </c>
      <c r="F180" s="208" t="s">
        <v>2062</v>
      </c>
      <c r="G180" s="209" t="s">
        <v>104</v>
      </c>
      <c r="H180" s="210">
        <v>18</v>
      </c>
      <c r="I180" s="326"/>
      <c r="J180" s="211">
        <f>ROUND(I180*H180,2)</f>
        <v>0</v>
      </c>
      <c r="K180" s="208" t="s">
        <v>1161</v>
      </c>
      <c r="L180" s="112"/>
      <c r="M180" s="325" t="s">
        <v>1010</v>
      </c>
      <c r="N180" s="212" t="s">
        <v>1025</v>
      </c>
      <c r="P180" s="213">
        <f>O180*H180</f>
        <v>0</v>
      </c>
      <c r="Q180" s="213">
        <v>1.97E-3</v>
      </c>
      <c r="R180" s="213">
        <f>Q180*H180</f>
        <v>3.5459999999999998E-2</v>
      </c>
      <c r="S180" s="213">
        <v>0</v>
      </c>
      <c r="T180" s="214">
        <f>S180*H180</f>
        <v>0</v>
      </c>
      <c r="AR180" s="215" t="s">
        <v>126</v>
      </c>
      <c r="AT180" s="215" t="s">
        <v>1104</v>
      </c>
      <c r="AU180" s="215" t="s">
        <v>65</v>
      </c>
      <c r="AY180" s="103" t="s">
        <v>1102</v>
      </c>
      <c r="BE180" s="216">
        <f>IF(N180="základní",J180,0)</f>
        <v>0</v>
      </c>
      <c r="BF180" s="216">
        <f>IF(N180="snížená",J180,0)</f>
        <v>0</v>
      </c>
      <c r="BG180" s="216">
        <f>IF(N180="zákl. přenesená",J180,0)</f>
        <v>0</v>
      </c>
      <c r="BH180" s="216">
        <f>IF(N180="sníž. přenesená",J180,0)</f>
        <v>0</v>
      </c>
      <c r="BI180" s="216">
        <f>IF(N180="nulová",J180,0)</f>
        <v>0</v>
      </c>
      <c r="BJ180" s="103" t="s">
        <v>55</v>
      </c>
      <c r="BK180" s="216">
        <f>ROUND(I180*H180,2)</f>
        <v>0</v>
      </c>
      <c r="BL180" s="103" t="s">
        <v>126</v>
      </c>
      <c r="BM180" s="215" t="s">
        <v>2063</v>
      </c>
    </row>
    <row r="181" spans="2:65" s="256" customFormat="1" x14ac:dyDescent="0.25">
      <c r="B181" s="112"/>
      <c r="D181" s="217" t="s">
        <v>1109</v>
      </c>
      <c r="F181" s="218" t="s">
        <v>2064</v>
      </c>
      <c r="I181" s="324"/>
      <c r="L181" s="112"/>
      <c r="M181" s="219"/>
      <c r="T181" s="128"/>
      <c r="AT181" s="103" t="s">
        <v>1109</v>
      </c>
      <c r="AU181" s="103" t="s">
        <v>65</v>
      </c>
    </row>
    <row r="182" spans="2:65" s="256" customFormat="1" ht="16.5" customHeight="1" x14ac:dyDescent="0.25">
      <c r="B182" s="112"/>
      <c r="C182" s="228" t="s">
        <v>181</v>
      </c>
      <c r="D182" s="228" t="s">
        <v>1138</v>
      </c>
      <c r="E182" s="229" t="s">
        <v>1495</v>
      </c>
      <c r="F182" s="230" t="s">
        <v>1496</v>
      </c>
      <c r="G182" s="231" t="s">
        <v>113</v>
      </c>
      <c r="H182" s="232">
        <v>36</v>
      </c>
      <c r="I182" s="329"/>
      <c r="J182" s="233">
        <f>ROUND(I182*H182,2)</f>
        <v>0</v>
      </c>
      <c r="K182" s="230" t="s">
        <v>1161</v>
      </c>
      <c r="L182" s="234"/>
      <c r="M182" s="328" t="s">
        <v>1010</v>
      </c>
      <c r="N182" s="235" t="s">
        <v>1025</v>
      </c>
      <c r="P182" s="213">
        <f>O182*H182</f>
        <v>0</v>
      </c>
      <c r="Q182" s="213">
        <v>1.8000000000000001E-4</v>
      </c>
      <c r="R182" s="213">
        <f>Q182*H182</f>
        <v>6.4800000000000005E-3</v>
      </c>
      <c r="S182" s="213">
        <v>0</v>
      </c>
      <c r="T182" s="214">
        <f>S182*H182</f>
        <v>0</v>
      </c>
      <c r="AR182" s="215" t="s">
        <v>160</v>
      </c>
      <c r="AT182" s="215" t="s">
        <v>1138</v>
      </c>
      <c r="AU182" s="215" t="s">
        <v>65</v>
      </c>
      <c r="AY182" s="103" t="s">
        <v>1102</v>
      </c>
      <c r="BE182" s="216">
        <f>IF(N182="základní",J182,0)</f>
        <v>0</v>
      </c>
      <c r="BF182" s="216">
        <f>IF(N182="snížená",J182,0)</f>
        <v>0</v>
      </c>
      <c r="BG182" s="216">
        <f>IF(N182="zákl. přenesená",J182,0)</f>
        <v>0</v>
      </c>
      <c r="BH182" s="216">
        <f>IF(N182="sníž. přenesená",J182,0)</f>
        <v>0</v>
      </c>
      <c r="BI182" s="216">
        <f>IF(N182="nulová",J182,0)</f>
        <v>0</v>
      </c>
      <c r="BJ182" s="103" t="s">
        <v>55</v>
      </c>
      <c r="BK182" s="216">
        <f>ROUND(I182*H182,2)</f>
        <v>0</v>
      </c>
      <c r="BL182" s="103" t="s">
        <v>126</v>
      </c>
      <c r="BM182" s="215" t="s">
        <v>2065</v>
      </c>
    </row>
    <row r="183" spans="2:65" s="256" customFormat="1" ht="33" customHeight="1" x14ac:dyDescent="0.25">
      <c r="B183" s="112"/>
      <c r="C183" s="206" t="s">
        <v>182</v>
      </c>
      <c r="D183" s="206" t="s">
        <v>1104</v>
      </c>
      <c r="E183" s="207" t="s">
        <v>2066</v>
      </c>
      <c r="F183" s="208" t="s">
        <v>2067</v>
      </c>
      <c r="G183" s="209" t="s">
        <v>104</v>
      </c>
      <c r="H183" s="210">
        <v>592</v>
      </c>
      <c r="I183" s="326"/>
      <c r="J183" s="211">
        <f>ROUND(I183*H183,2)</f>
        <v>0</v>
      </c>
      <c r="K183" s="208" t="s">
        <v>1010</v>
      </c>
      <c r="L183" s="112"/>
      <c r="M183" s="325" t="s">
        <v>1010</v>
      </c>
      <c r="N183" s="212" t="s">
        <v>1025</v>
      </c>
      <c r="P183" s="213">
        <f>O183*H183</f>
        <v>0</v>
      </c>
      <c r="Q183" s="213">
        <v>2.4000000000000001E-4</v>
      </c>
      <c r="R183" s="213">
        <f>Q183*H183</f>
        <v>0.14208000000000001</v>
      </c>
      <c r="S183" s="213">
        <v>0</v>
      </c>
      <c r="T183" s="214">
        <f>S183*H183</f>
        <v>0</v>
      </c>
      <c r="AR183" s="215" t="s">
        <v>126</v>
      </c>
      <c r="AT183" s="215" t="s">
        <v>1104</v>
      </c>
      <c r="AU183" s="215" t="s">
        <v>65</v>
      </c>
      <c r="AY183" s="103" t="s">
        <v>1102</v>
      </c>
      <c r="BE183" s="216">
        <f>IF(N183="základní",J183,0)</f>
        <v>0</v>
      </c>
      <c r="BF183" s="216">
        <f>IF(N183="snížená",J183,0)</f>
        <v>0</v>
      </c>
      <c r="BG183" s="216">
        <f>IF(N183="zákl. přenesená",J183,0)</f>
        <v>0</v>
      </c>
      <c r="BH183" s="216">
        <f>IF(N183="sníž. přenesená",J183,0)</f>
        <v>0</v>
      </c>
      <c r="BI183" s="216">
        <f>IF(N183="nulová",J183,0)</f>
        <v>0</v>
      </c>
      <c r="BJ183" s="103" t="s">
        <v>55</v>
      </c>
      <c r="BK183" s="216">
        <f>ROUND(I183*H183,2)</f>
        <v>0</v>
      </c>
      <c r="BL183" s="103" t="s">
        <v>126</v>
      </c>
      <c r="BM183" s="215" t="s">
        <v>2068</v>
      </c>
    </row>
    <row r="184" spans="2:65" s="256" customFormat="1" ht="33" customHeight="1" x14ac:dyDescent="0.25">
      <c r="B184" s="112"/>
      <c r="C184" s="206" t="s">
        <v>183</v>
      </c>
      <c r="D184" s="206" t="s">
        <v>1104</v>
      </c>
      <c r="E184" s="207" t="s">
        <v>2069</v>
      </c>
      <c r="F184" s="208" t="s">
        <v>1524</v>
      </c>
      <c r="G184" s="209" t="s">
        <v>104</v>
      </c>
      <c r="H184" s="210">
        <v>116</v>
      </c>
      <c r="I184" s="326"/>
      <c r="J184" s="211">
        <f>ROUND(I184*H184,2)</f>
        <v>0</v>
      </c>
      <c r="K184" s="208" t="s">
        <v>1010</v>
      </c>
      <c r="L184" s="112"/>
      <c r="M184" s="325" t="s">
        <v>1010</v>
      </c>
      <c r="N184" s="212" t="s">
        <v>1025</v>
      </c>
      <c r="P184" s="213">
        <f>O184*H184</f>
        <v>0</v>
      </c>
      <c r="Q184" s="213">
        <v>2.4000000000000001E-4</v>
      </c>
      <c r="R184" s="213">
        <f>Q184*H184</f>
        <v>2.784E-2</v>
      </c>
      <c r="S184" s="213">
        <v>0</v>
      </c>
      <c r="T184" s="214">
        <f>S184*H184</f>
        <v>0</v>
      </c>
      <c r="AR184" s="215" t="s">
        <v>126</v>
      </c>
      <c r="AT184" s="215" t="s">
        <v>1104</v>
      </c>
      <c r="AU184" s="215" t="s">
        <v>65</v>
      </c>
      <c r="AY184" s="103" t="s">
        <v>1102</v>
      </c>
      <c r="BE184" s="216">
        <f>IF(N184="základní",J184,0)</f>
        <v>0</v>
      </c>
      <c r="BF184" s="216">
        <f>IF(N184="snížená",J184,0)</f>
        <v>0</v>
      </c>
      <c r="BG184" s="216">
        <f>IF(N184="zákl. přenesená",J184,0)</f>
        <v>0</v>
      </c>
      <c r="BH184" s="216">
        <f>IF(N184="sníž. přenesená",J184,0)</f>
        <v>0</v>
      </c>
      <c r="BI184" s="216">
        <f>IF(N184="nulová",J184,0)</f>
        <v>0</v>
      </c>
      <c r="BJ184" s="103" t="s">
        <v>55</v>
      </c>
      <c r="BK184" s="216">
        <f>ROUND(I184*H184,2)</f>
        <v>0</v>
      </c>
      <c r="BL184" s="103" t="s">
        <v>126</v>
      </c>
      <c r="BM184" s="215" t="s">
        <v>2070</v>
      </c>
    </row>
    <row r="185" spans="2:65" s="256" customFormat="1" ht="16.5" customHeight="1" x14ac:dyDescent="0.25">
      <c r="B185" s="112"/>
      <c r="C185" s="206" t="s">
        <v>184</v>
      </c>
      <c r="D185" s="206" t="s">
        <v>1104</v>
      </c>
      <c r="E185" s="207" t="s">
        <v>2071</v>
      </c>
      <c r="F185" s="208" t="s">
        <v>2072</v>
      </c>
      <c r="G185" s="209" t="s">
        <v>104</v>
      </c>
      <c r="H185" s="210">
        <v>747</v>
      </c>
      <c r="I185" s="326"/>
      <c r="J185" s="211">
        <f>ROUND(I185*H185,2)</f>
        <v>0</v>
      </c>
      <c r="K185" s="208" t="s">
        <v>1146</v>
      </c>
      <c r="L185" s="112"/>
      <c r="M185" s="325" t="s">
        <v>1010</v>
      </c>
      <c r="N185" s="212" t="s">
        <v>1025</v>
      </c>
      <c r="P185" s="213">
        <f>O185*H185</f>
        <v>0</v>
      </c>
      <c r="Q185" s="213">
        <v>0</v>
      </c>
      <c r="R185" s="213">
        <f>Q185*H185</f>
        <v>0</v>
      </c>
      <c r="S185" s="213">
        <v>0</v>
      </c>
      <c r="T185" s="214">
        <f>S185*H185</f>
        <v>0</v>
      </c>
      <c r="AR185" s="215" t="s">
        <v>126</v>
      </c>
      <c r="AT185" s="215" t="s">
        <v>1104</v>
      </c>
      <c r="AU185" s="215" t="s">
        <v>65</v>
      </c>
      <c r="AY185" s="103" t="s">
        <v>1102</v>
      </c>
      <c r="BE185" s="216">
        <f>IF(N185="základní",J185,0)</f>
        <v>0</v>
      </c>
      <c r="BF185" s="216">
        <f>IF(N185="snížená",J185,0)</f>
        <v>0</v>
      </c>
      <c r="BG185" s="216">
        <f>IF(N185="zákl. přenesená",J185,0)</f>
        <v>0</v>
      </c>
      <c r="BH185" s="216">
        <f>IF(N185="sníž. přenesená",J185,0)</f>
        <v>0</v>
      </c>
      <c r="BI185" s="216">
        <f>IF(N185="nulová",J185,0)</f>
        <v>0</v>
      </c>
      <c r="BJ185" s="103" t="s">
        <v>55</v>
      </c>
      <c r="BK185" s="216">
        <f>ROUND(I185*H185,2)</f>
        <v>0</v>
      </c>
      <c r="BL185" s="103" t="s">
        <v>126</v>
      </c>
      <c r="BM185" s="215" t="s">
        <v>2073</v>
      </c>
    </row>
    <row r="186" spans="2:65" s="256" customFormat="1" x14ac:dyDescent="0.25">
      <c r="B186" s="112"/>
      <c r="D186" s="217" t="s">
        <v>1109</v>
      </c>
      <c r="F186" s="218" t="s">
        <v>2074</v>
      </c>
      <c r="I186" s="324"/>
      <c r="L186" s="112"/>
      <c r="M186" s="219"/>
      <c r="T186" s="128"/>
      <c r="AT186" s="103" t="s">
        <v>1109</v>
      </c>
      <c r="AU186" s="103" t="s">
        <v>65</v>
      </c>
    </row>
    <row r="187" spans="2:65" s="256" customFormat="1" ht="16.5" customHeight="1" x14ac:dyDescent="0.25">
      <c r="B187" s="112"/>
      <c r="C187" s="206" t="s">
        <v>187</v>
      </c>
      <c r="D187" s="206" t="s">
        <v>1104</v>
      </c>
      <c r="E187" s="207" t="s">
        <v>2075</v>
      </c>
      <c r="F187" s="208" t="s">
        <v>2076</v>
      </c>
      <c r="G187" s="209" t="s">
        <v>104</v>
      </c>
      <c r="H187" s="210">
        <v>63</v>
      </c>
      <c r="I187" s="326"/>
      <c r="J187" s="211">
        <f>ROUND(I187*H187,2)</f>
        <v>0</v>
      </c>
      <c r="K187" s="208" t="s">
        <v>1146</v>
      </c>
      <c r="L187" s="112"/>
      <c r="M187" s="325" t="s">
        <v>1010</v>
      </c>
      <c r="N187" s="212" t="s">
        <v>1025</v>
      </c>
      <c r="P187" s="213">
        <f>O187*H187</f>
        <v>0</v>
      </c>
      <c r="Q187" s="213">
        <v>0</v>
      </c>
      <c r="R187" s="213">
        <f>Q187*H187</f>
        <v>0</v>
      </c>
      <c r="S187" s="213">
        <v>0</v>
      </c>
      <c r="T187" s="214">
        <f>S187*H187</f>
        <v>0</v>
      </c>
      <c r="AR187" s="215" t="s">
        <v>126</v>
      </c>
      <c r="AT187" s="215" t="s">
        <v>1104</v>
      </c>
      <c r="AU187" s="215" t="s">
        <v>65</v>
      </c>
      <c r="AY187" s="103" t="s">
        <v>1102</v>
      </c>
      <c r="BE187" s="216">
        <f>IF(N187="základní",J187,0)</f>
        <v>0</v>
      </c>
      <c r="BF187" s="216">
        <f>IF(N187="snížená",J187,0)</f>
        <v>0</v>
      </c>
      <c r="BG187" s="216">
        <f>IF(N187="zákl. přenesená",J187,0)</f>
        <v>0</v>
      </c>
      <c r="BH187" s="216">
        <f>IF(N187="sníž. přenesená",J187,0)</f>
        <v>0</v>
      </c>
      <c r="BI187" s="216">
        <f>IF(N187="nulová",J187,0)</f>
        <v>0</v>
      </c>
      <c r="BJ187" s="103" t="s">
        <v>55</v>
      </c>
      <c r="BK187" s="216">
        <f>ROUND(I187*H187,2)</f>
        <v>0</v>
      </c>
      <c r="BL187" s="103" t="s">
        <v>126</v>
      </c>
      <c r="BM187" s="215" t="s">
        <v>2077</v>
      </c>
    </row>
    <row r="188" spans="2:65" s="256" customFormat="1" x14ac:dyDescent="0.25">
      <c r="B188" s="112"/>
      <c r="D188" s="217" t="s">
        <v>1109</v>
      </c>
      <c r="F188" s="218" t="s">
        <v>2078</v>
      </c>
      <c r="I188" s="324"/>
      <c r="L188" s="112"/>
      <c r="M188" s="219"/>
      <c r="T188" s="128"/>
      <c r="AT188" s="103" t="s">
        <v>1109</v>
      </c>
      <c r="AU188" s="103" t="s">
        <v>65</v>
      </c>
    </row>
    <row r="189" spans="2:65" s="256" customFormat="1" ht="16.5" customHeight="1" x14ac:dyDescent="0.25">
      <c r="B189" s="112"/>
      <c r="C189" s="206" t="s">
        <v>188</v>
      </c>
      <c r="D189" s="206" t="s">
        <v>1104</v>
      </c>
      <c r="E189" s="207" t="s">
        <v>2079</v>
      </c>
      <c r="F189" s="208" t="s">
        <v>2080</v>
      </c>
      <c r="G189" s="209" t="s">
        <v>113</v>
      </c>
      <c r="H189" s="210">
        <v>2</v>
      </c>
      <c r="I189" s="326"/>
      <c r="J189" s="211">
        <f>ROUND(I189*H189,2)</f>
        <v>0</v>
      </c>
      <c r="K189" s="208" t="s">
        <v>1146</v>
      </c>
      <c r="L189" s="112"/>
      <c r="M189" s="325" t="s">
        <v>1010</v>
      </c>
      <c r="N189" s="212" t="s">
        <v>1025</v>
      </c>
      <c r="P189" s="213">
        <f>O189*H189</f>
        <v>0</v>
      </c>
      <c r="Q189" s="213">
        <v>2.0000000000000002E-5</v>
      </c>
      <c r="R189" s="213">
        <f>Q189*H189</f>
        <v>4.0000000000000003E-5</v>
      </c>
      <c r="S189" s="213">
        <v>0</v>
      </c>
      <c r="T189" s="214">
        <f>S189*H189</f>
        <v>0</v>
      </c>
      <c r="AR189" s="215" t="s">
        <v>76</v>
      </c>
      <c r="AT189" s="215" t="s">
        <v>1104</v>
      </c>
      <c r="AU189" s="215" t="s">
        <v>65</v>
      </c>
      <c r="AY189" s="103" t="s">
        <v>1102</v>
      </c>
      <c r="BE189" s="216">
        <f>IF(N189="základní",J189,0)</f>
        <v>0</v>
      </c>
      <c r="BF189" s="216">
        <f>IF(N189="snížená",J189,0)</f>
        <v>0</v>
      </c>
      <c r="BG189" s="216">
        <f>IF(N189="zákl. přenesená",J189,0)</f>
        <v>0</v>
      </c>
      <c r="BH189" s="216">
        <f>IF(N189="sníž. přenesená",J189,0)</f>
        <v>0</v>
      </c>
      <c r="BI189" s="216">
        <f>IF(N189="nulová",J189,0)</f>
        <v>0</v>
      </c>
      <c r="BJ189" s="103" t="s">
        <v>55</v>
      </c>
      <c r="BK189" s="216">
        <f>ROUND(I189*H189,2)</f>
        <v>0</v>
      </c>
      <c r="BL189" s="103" t="s">
        <v>76</v>
      </c>
      <c r="BM189" s="215" t="s">
        <v>2081</v>
      </c>
    </row>
    <row r="190" spans="2:65" s="256" customFormat="1" x14ac:dyDescent="0.25">
      <c r="B190" s="112"/>
      <c r="D190" s="217" t="s">
        <v>1109</v>
      </c>
      <c r="F190" s="218" t="s">
        <v>2082</v>
      </c>
      <c r="I190" s="324"/>
      <c r="L190" s="112"/>
      <c r="M190" s="219"/>
      <c r="T190" s="128"/>
      <c r="AT190" s="103" t="s">
        <v>1109</v>
      </c>
      <c r="AU190" s="103" t="s">
        <v>65</v>
      </c>
    </row>
    <row r="191" spans="2:65" s="256" customFormat="1" ht="16.5" customHeight="1" x14ac:dyDescent="0.25">
      <c r="B191" s="112"/>
      <c r="C191" s="206" t="s">
        <v>191</v>
      </c>
      <c r="D191" s="206" t="s">
        <v>1104</v>
      </c>
      <c r="E191" s="207" t="s">
        <v>2083</v>
      </c>
      <c r="F191" s="208" t="s">
        <v>2084</v>
      </c>
      <c r="G191" s="209" t="s">
        <v>113</v>
      </c>
      <c r="H191" s="210">
        <v>8</v>
      </c>
      <c r="I191" s="326"/>
      <c r="J191" s="211">
        <f>ROUND(I191*H191,2)</f>
        <v>0</v>
      </c>
      <c r="K191" s="208" t="s">
        <v>1146</v>
      </c>
      <c r="L191" s="112"/>
      <c r="M191" s="325" t="s">
        <v>1010</v>
      </c>
      <c r="N191" s="212" t="s">
        <v>1025</v>
      </c>
      <c r="P191" s="213">
        <f>O191*H191</f>
        <v>0</v>
      </c>
      <c r="Q191" s="213">
        <v>4.0000000000000003E-5</v>
      </c>
      <c r="R191" s="213">
        <f>Q191*H191</f>
        <v>3.2000000000000003E-4</v>
      </c>
      <c r="S191" s="213">
        <v>0</v>
      </c>
      <c r="T191" s="214">
        <f>S191*H191</f>
        <v>0</v>
      </c>
      <c r="AR191" s="215" t="s">
        <v>126</v>
      </c>
      <c r="AT191" s="215" t="s">
        <v>1104</v>
      </c>
      <c r="AU191" s="215" t="s">
        <v>65</v>
      </c>
      <c r="AY191" s="103" t="s">
        <v>1102</v>
      </c>
      <c r="BE191" s="216">
        <f>IF(N191="základní",J191,0)</f>
        <v>0</v>
      </c>
      <c r="BF191" s="216">
        <f>IF(N191="snížená",J191,0)</f>
        <v>0</v>
      </c>
      <c r="BG191" s="216">
        <f>IF(N191="zákl. přenesená",J191,0)</f>
        <v>0</v>
      </c>
      <c r="BH191" s="216">
        <f>IF(N191="sníž. přenesená",J191,0)</f>
        <v>0</v>
      </c>
      <c r="BI191" s="216">
        <f>IF(N191="nulová",J191,0)</f>
        <v>0</v>
      </c>
      <c r="BJ191" s="103" t="s">
        <v>55</v>
      </c>
      <c r="BK191" s="216">
        <f>ROUND(I191*H191,2)</f>
        <v>0</v>
      </c>
      <c r="BL191" s="103" t="s">
        <v>126</v>
      </c>
      <c r="BM191" s="215" t="s">
        <v>2085</v>
      </c>
    </row>
    <row r="192" spans="2:65" s="256" customFormat="1" x14ac:dyDescent="0.25">
      <c r="B192" s="112"/>
      <c r="D192" s="217" t="s">
        <v>1109</v>
      </c>
      <c r="F192" s="218" t="s">
        <v>2086</v>
      </c>
      <c r="I192" s="324"/>
      <c r="L192" s="112"/>
      <c r="M192" s="219"/>
      <c r="T192" s="128"/>
      <c r="AT192" s="103" t="s">
        <v>1109</v>
      </c>
      <c r="AU192" s="103" t="s">
        <v>65</v>
      </c>
    </row>
    <row r="193" spans="2:65" s="256" customFormat="1" ht="33" customHeight="1" x14ac:dyDescent="0.25">
      <c r="B193" s="112"/>
      <c r="C193" s="206" t="s">
        <v>195</v>
      </c>
      <c r="D193" s="206" t="s">
        <v>1104</v>
      </c>
      <c r="E193" s="207" t="s">
        <v>2087</v>
      </c>
      <c r="F193" s="208" t="s">
        <v>2088</v>
      </c>
      <c r="G193" s="209" t="s">
        <v>104</v>
      </c>
      <c r="H193" s="210">
        <v>103</v>
      </c>
      <c r="I193" s="326"/>
      <c r="J193" s="211">
        <f>ROUND(I193*H193,2)</f>
        <v>0</v>
      </c>
      <c r="K193" s="208" t="s">
        <v>1146</v>
      </c>
      <c r="L193" s="112"/>
      <c r="M193" s="325" t="s">
        <v>1010</v>
      </c>
      <c r="N193" s="212" t="s">
        <v>1025</v>
      </c>
      <c r="P193" s="213">
        <f>O193*H193</f>
        <v>0</v>
      </c>
      <c r="Q193" s="213">
        <v>1.8000000000000001E-4</v>
      </c>
      <c r="R193" s="213">
        <f>Q193*H193</f>
        <v>1.8540000000000001E-2</v>
      </c>
      <c r="S193" s="213">
        <v>0</v>
      </c>
      <c r="T193" s="214">
        <f>S193*H193</f>
        <v>0</v>
      </c>
      <c r="AR193" s="215" t="s">
        <v>126</v>
      </c>
      <c r="AT193" s="215" t="s">
        <v>1104</v>
      </c>
      <c r="AU193" s="215" t="s">
        <v>65</v>
      </c>
      <c r="AY193" s="103" t="s">
        <v>1102</v>
      </c>
      <c r="BE193" s="216">
        <f>IF(N193="základní",J193,0)</f>
        <v>0</v>
      </c>
      <c r="BF193" s="216">
        <f>IF(N193="snížená",J193,0)</f>
        <v>0</v>
      </c>
      <c r="BG193" s="216">
        <f>IF(N193="zákl. přenesená",J193,0)</f>
        <v>0</v>
      </c>
      <c r="BH193" s="216">
        <f>IF(N193="sníž. přenesená",J193,0)</f>
        <v>0</v>
      </c>
      <c r="BI193" s="216">
        <f>IF(N193="nulová",J193,0)</f>
        <v>0</v>
      </c>
      <c r="BJ193" s="103" t="s">
        <v>55</v>
      </c>
      <c r="BK193" s="216">
        <f>ROUND(I193*H193,2)</f>
        <v>0</v>
      </c>
      <c r="BL193" s="103" t="s">
        <v>126</v>
      </c>
      <c r="BM193" s="215" t="s">
        <v>2089</v>
      </c>
    </row>
    <row r="194" spans="2:65" s="256" customFormat="1" x14ac:dyDescent="0.25">
      <c r="B194" s="112"/>
      <c r="D194" s="217" t="s">
        <v>1109</v>
      </c>
      <c r="F194" s="218" t="s">
        <v>2090</v>
      </c>
      <c r="I194" s="324"/>
      <c r="L194" s="112"/>
      <c r="M194" s="219"/>
      <c r="T194" s="128"/>
      <c r="AT194" s="103" t="s">
        <v>1109</v>
      </c>
      <c r="AU194" s="103" t="s">
        <v>65</v>
      </c>
    </row>
    <row r="195" spans="2:65" s="256" customFormat="1" ht="21.75" customHeight="1" x14ac:dyDescent="0.25">
      <c r="B195" s="112"/>
      <c r="C195" s="206" t="s">
        <v>196</v>
      </c>
      <c r="D195" s="206" t="s">
        <v>1104</v>
      </c>
      <c r="E195" s="207" t="s">
        <v>2091</v>
      </c>
      <c r="F195" s="208" t="s">
        <v>2092</v>
      </c>
      <c r="G195" s="209" t="s">
        <v>104</v>
      </c>
      <c r="H195" s="210">
        <v>18</v>
      </c>
      <c r="I195" s="326"/>
      <c r="J195" s="211">
        <f>ROUND(I195*H195,2)</f>
        <v>0</v>
      </c>
      <c r="K195" s="208" t="s">
        <v>1161</v>
      </c>
      <c r="L195" s="112"/>
      <c r="M195" s="325" t="s">
        <v>1010</v>
      </c>
      <c r="N195" s="212" t="s">
        <v>1025</v>
      </c>
      <c r="P195" s="213">
        <f>O195*H195</f>
        <v>0</v>
      </c>
      <c r="Q195" s="213">
        <v>1.3999999999999999E-4</v>
      </c>
      <c r="R195" s="213">
        <f>Q195*H195</f>
        <v>2.5199999999999997E-3</v>
      </c>
      <c r="S195" s="213">
        <v>0</v>
      </c>
      <c r="T195" s="214">
        <f>S195*H195</f>
        <v>0</v>
      </c>
      <c r="AR195" s="215" t="s">
        <v>126</v>
      </c>
      <c r="AT195" s="215" t="s">
        <v>1104</v>
      </c>
      <c r="AU195" s="215" t="s">
        <v>65</v>
      </c>
      <c r="AY195" s="103" t="s">
        <v>1102</v>
      </c>
      <c r="BE195" s="216">
        <f>IF(N195="základní",J195,0)</f>
        <v>0</v>
      </c>
      <c r="BF195" s="216">
        <f>IF(N195="snížená",J195,0)</f>
        <v>0</v>
      </c>
      <c r="BG195" s="216">
        <f>IF(N195="zákl. přenesená",J195,0)</f>
        <v>0</v>
      </c>
      <c r="BH195" s="216">
        <f>IF(N195="sníž. přenesená",J195,0)</f>
        <v>0</v>
      </c>
      <c r="BI195" s="216">
        <f>IF(N195="nulová",J195,0)</f>
        <v>0</v>
      </c>
      <c r="BJ195" s="103" t="s">
        <v>55</v>
      </c>
      <c r="BK195" s="216">
        <f>ROUND(I195*H195,2)</f>
        <v>0</v>
      </c>
      <c r="BL195" s="103" t="s">
        <v>126</v>
      </c>
      <c r="BM195" s="215" t="s">
        <v>2093</v>
      </c>
    </row>
    <row r="196" spans="2:65" s="256" customFormat="1" x14ac:dyDescent="0.25">
      <c r="B196" s="112"/>
      <c r="D196" s="217" t="s">
        <v>1109</v>
      </c>
      <c r="F196" s="218" t="s">
        <v>2094</v>
      </c>
      <c r="I196" s="324"/>
      <c r="L196" s="112"/>
      <c r="M196" s="219"/>
      <c r="T196" s="128"/>
      <c r="AT196" s="103" t="s">
        <v>1109</v>
      </c>
      <c r="AU196" s="103" t="s">
        <v>65</v>
      </c>
    </row>
    <row r="197" spans="2:65" s="256" customFormat="1" ht="24.2" customHeight="1" x14ac:dyDescent="0.25">
      <c r="B197" s="112"/>
      <c r="C197" s="206" t="s">
        <v>197</v>
      </c>
      <c r="D197" s="206" t="s">
        <v>1104</v>
      </c>
      <c r="E197" s="207" t="s">
        <v>2095</v>
      </c>
      <c r="F197" s="208" t="s">
        <v>2096</v>
      </c>
      <c r="G197" s="209" t="s">
        <v>1125</v>
      </c>
      <c r="H197" s="210">
        <v>2.1589999999999998</v>
      </c>
      <c r="I197" s="326"/>
      <c r="J197" s="211">
        <f>ROUND(I197*H197,2)</f>
        <v>0</v>
      </c>
      <c r="K197" s="208" t="s">
        <v>1161</v>
      </c>
      <c r="L197" s="112"/>
      <c r="M197" s="325" t="s">
        <v>1010</v>
      </c>
      <c r="N197" s="212" t="s">
        <v>1025</v>
      </c>
      <c r="P197" s="213">
        <f>O197*H197</f>
        <v>0</v>
      </c>
      <c r="Q197" s="213">
        <v>0</v>
      </c>
      <c r="R197" s="213">
        <f>Q197*H197</f>
        <v>0</v>
      </c>
      <c r="S197" s="213">
        <v>0</v>
      </c>
      <c r="T197" s="214">
        <f>S197*H197</f>
        <v>0</v>
      </c>
      <c r="AR197" s="215" t="s">
        <v>126</v>
      </c>
      <c r="AT197" s="215" t="s">
        <v>1104</v>
      </c>
      <c r="AU197" s="215" t="s">
        <v>65</v>
      </c>
      <c r="AY197" s="103" t="s">
        <v>1102</v>
      </c>
      <c r="BE197" s="216">
        <f>IF(N197="základní",J197,0)</f>
        <v>0</v>
      </c>
      <c r="BF197" s="216">
        <f>IF(N197="snížená",J197,0)</f>
        <v>0</v>
      </c>
      <c r="BG197" s="216">
        <f>IF(N197="zákl. přenesená",J197,0)</f>
        <v>0</v>
      </c>
      <c r="BH197" s="216">
        <f>IF(N197="sníž. přenesená",J197,0)</f>
        <v>0</v>
      </c>
      <c r="BI197" s="216">
        <f>IF(N197="nulová",J197,0)</f>
        <v>0</v>
      </c>
      <c r="BJ197" s="103" t="s">
        <v>55</v>
      </c>
      <c r="BK197" s="216">
        <f>ROUND(I197*H197,2)</f>
        <v>0</v>
      </c>
      <c r="BL197" s="103" t="s">
        <v>126</v>
      </c>
      <c r="BM197" s="215" t="s">
        <v>2097</v>
      </c>
    </row>
    <row r="198" spans="2:65" s="256" customFormat="1" x14ac:dyDescent="0.25">
      <c r="B198" s="112"/>
      <c r="D198" s="217" t="s">
        <v>1109</v>
      </c>
      <c r="F198" s="218" t="s">
        <v>2098</v>
      </c>
      <c r="I198" s="324"/>
      <c r="L198" s="112"/>
      <c r="M198" s="219"/>
      <c r="T198" s="128"/>
      <c r="AT198" s="103" t="s">
        <v>1109</v>
      </c>
      <c r="AU198" s="103" t="s">
        <v>65</v>
      </c>
    </row>
    <row r="199" spans="2:65" s="256" customFormat="1" ht="24.2" customHeight="1" x14ac:dyDescent="0.25">
      <c r="B199" s="112"/>
      <c r="C199" s="206" t="s">
        <v>199</v>
      </c>
      <c r="D199" s="206" t="s">
        <v>1104</v>
      </c>
      <c r="E199" s="207" t="s">
        <v>2099</v>
      </c>
      <c r="F199" s="208" t="s">
        <v>2100</v>
      </c>
      <c r="G199" s="209" t="s">
        <v>1125</v>
      </c>
      <c r="H199" s="210">
        <v>0.71699999999999997</v>
      </c>
      <c r="I199" s="326"/>
      <c r="J199" s="211">
        <f>ROUND(I199*H199,2)</f>
        <v>0</v>
      </c>
      <c r="K199" s="208" t="s">
        <v>1146</v>
      </c>
      <c r="L199" s="112"/>
      <c r="M199" s="325" t="s">
        <v>1010</v>
      </c>
      <c r="N199" s="212" t="s">
        <v>1025</v>
      </c>
      <c r="P199" s="213">
        <f>O199*H199</f>
        <v>0</v>
      </c>
      <c r="Q199" s="213">
        <v>0</v>
      </c>
      <c r="R199" s="213">
        <f>Q199*H199</f>
        <v>0</v>
      </c>
      <c r="S199" s="213">
        <v>0</v>
      </c>
      <c r="T199" s="214">
        <f>S199*H199</f>
        <v>0</v>
      </c>
      <c r="AR199" s="215" t="s">
        <v>126</v>
      </c>
      <c r="AT199" s="215" t="s">
        <v>1104</v>
      </c>
      <c r="AU199" s="215" t="s">
        <v>65</v>
      </c>
      <c r="AY199" s="103" t="s">
        <v>1102</v>
      </c>
      <c r="BE199" s="216">
        <f>IF(N199="základní",J199,0)</f>
        <v>0</v>
      </c>
      <c r="BF199" s="216">
        <f>IF(N199="snížená",J199,0)</f>
        <v>0</v>
      </c>
      <c r="BG199" s="216">
        <f>IF(N199="zákl. přenesená",J199,0)</f>
        <v>0</v>
      </c>
      <c r="BH199" s="216">
        <f>IF(N199="sníž. přenesená",J199,0)</f>
        <v>0</v>
      </c>
      <c r="BI199" s="216">
        <f>IF(N199="nulová",J199,0)</f>
        <v>0</v>
      </c>
      <c r="BJ199" s="103" t="s">
        <v>55</v>
      </c>
      <c r="BK199" s="216">
        <f>ROUND(I199*H199,2)</f>
        <v>0</v>
      </c>
      <c r="BL199" s="103" t="s">
        <v>126</v>
      </c>
      <c r="BM199" s="215" t="s">
        <v>2101</v>
      </c>
    </row>
    <row r="200" spans="2:65" s="256" customFormat="1" x14ac:dyDescent="0.25">
      <c r="B200" s="112"/>
      <c r="D200" s="217" t="s">
        <v>1109</v>
      </c>
      <c r="F200" s="218" t="s">
        <v>2102</v>
      </c>
      <c r="I200" s="324"/>
      <c r="L200" s="112"/>
      <c r="M200" s="219"/>
      <c r="T200" s="128"/>
      <c r="AT200" s="103" t="s">
        <v>1109</v>
      </c>
      <c r="AU200" s="103" t="s">
        <v>65</v>
      </c>
    </row>
    <row r="201" spans="2:65" s="256" customFormat="1" ht="24.2" customHeight="1" x14ac:dyDescent="0.25">
      <c r="B201" s="112"/>
      <c r="C201" s="206" t="s">
        <v>201</v>
      </c>
      <c r="D201" s="206" t="s">
        <v>1104</v>
      </c>
      <c r="E201" s="207" t="s">
        <v>2103</v>
      </c>
      <c r="F201" s="208" t="s">
        <v>2104</v>
      </c>
      <c r="G201" s="209" t="s">
        <v>1125</v>
      </c>
      <c r="H201" s="210">
        <v>0.71699999999999997</v>
      </c>
      <c r="I201" s="326"/>
      <c r="J201" s="211">
        <f>ROUND(I201*H201,2)</f>
        <v>0</v>
      </c>
      <c r="K201" s="208" t="s">
        <v>1146</v>
      </c>
      <c r="L201" s="112"/>
      <c r="M201" s="325" t="s">
        <v>1010</v>
      </c>
      <c r="N201" s="212" t="s">
        <v>1025</v>
      </c>
      <c r="P201" s="213">
        <f>O201*H201</f>
        <v>0</v>
      </c>
      <c r="Q201" s="213">
        <v>0</v>
      </c>
      <c r="R201" s="213">
        <f>Q201*H201</f>
        <v>0</v>
      </c>
      <c r="S201" s="213">
        <v>0</v>
      </c>
      <c r="T201" s="214">
        <f>S201*H201</f>
        <v>0</v>
      </c>
      <c r="AR201" s="215" t="s">
        <v>126</v>
      </c>
      <c r="AT201" s="215" t="s">
        <v>1104</v>
      </c>
      <c r="AU201" s="215" t="s">
        <v>65</v>
      </c>
      <c r="AY201" s="103" t="s">
        <v>1102</v>
      </c>
      <c r="BE201" s="216">
        <f>IF(N201="základní",J201,0)</f>
        <v>0</v>
      </c>
      <c r="BF201" s="216">
        <f>IF(N201="snížená",J201,0)</f>
        <v>0</v>
      </c>
      <c r="BG201" s="216">
        <f>IF(N201="zákl. přenesená",J201,0)</f>
        <v>0</v>
      </c>
      <c r="BH201" s="216">
        <f>IF(N201="sníž. přenesená",J201,0)</f>
        <v>0</v>
      </c>
      <c r="BI201" s="216">
        <f>IF(N201="nulová",J201,0)</f>
        <v>0</v>
      </c>
      <c r="BJ201" s="103" t="s">
        <v>55</v>
      </c>
      <c r="BK201" s="216">
        <f>ROUND(I201*H201,2)</f>
        <v>0</v>
      </c>
      <c r="BL201" s="103" t="s">
        <v>126</v>
      </c>
      <c r="BM201" s="215" t="s">
        <v>2105</v>
      </c>
    </row>
    <row r="202" spans="2:65" s="256" customFormat="1" x14ac:dyDescent="0.25">
      <c r="B202" s="112"/>
      <c r="D202" s="217" t="s">
        <v>1109</v>
      </c>
      <c r="F202" s="218" t="s">
        <v>2106</v>
      </c>
      <c r="I202" s="324"/>
      <c r="L202" s="112"/>
      <c r="M202" s="219"/>
      <c r="T202" s="128"/>
      <c r="AT202" s="103" t="s">
        <v>1109</v>
      </c>
      <c r="AU202" s="103" t="s">
        <v>65</v>
      </c>
    </row>
    <row r="203" spans="2:65" s="194" customFormat="1" ht="22.9" customHeight="1" x14ac:dyDescent="0.2">
      <c r="B203" s="195"/>
      <c r="D203" s="196" t="s">
        <v>1052</v>
      </c>
      <c r="E203" s="204" t="s">
        <v>2107</v>
      </c>
      <c r="F203" s="204" t="s">
        <v>2108</v>
      </c>
      <c r="I203" s="327"/>
      <c r="J203" s="205">
        <f>BK203</f>
        <v>0</v>
      </c>
      <c r="L203" s="195"/>
      <c r="M203" s="199"/>
      <c r="P203" s="200">
        <f>SUM(P204:P237)</f>
        <v>0</v>
      </c>
      <c r="R203" s="200">
        <f>SUM(R204:R237)</f>
        <v>0.19635</v>
      </c>
      <c r="T203" s="201">
        <f>SUM(T204:T237)</f>
        <v>0</v>
      </c>
      <c r="AR203" s="196" t="s">
        <v>65</v>
      </c>
      <c r="AT203" s="202" t="s">
        <v>1052</v>
      </c>
      <c r="AU203" s="202" t="s">
        <v>55</v>
      </c>
      <c r="AY203" s="196" t="s">
        <v>1102</v>
      </c>
      <c r="BK203" s="203">
        <f>SUM(BK204:BK237)</f>
        <v>0</v>
      </c>
    </row>
    <row r="204" spans="2:65" s="256" customFormat="1" ht="16.5" customHeight="1" x14ac:dyDescent="0.25">
      <c r="B204" s="112"/>
      <c r="C204" s="206" t="s">
        <v>202</v>
      </c>
      <c r="D204" s="206" t="s">
        <v>1104</v>
      </c>
      <c r="E204" s="207" t="s">
        <v>2109</v>
      </c>
      <c r="F204" s="208" t="s">
        <v>2110</v>
      </c>
      <c r="G204" s="209" t="s">
        <v>1533</v>
      </c>
      <c r="H204" s="210">
        <v>2</v>
      </c>
      <c r="I204" s="326"/>
      <c r="J204" s="211">
        <f>ROUND(I204*H204,2)</f>
        <v>0</v>
      </c>
      <c r="K204" s="208" t="s">
        <v>1146</v>
      </c>
      <c r="L204" s="112"/>
      <c r="M204" s="325" t="s">
        <v>1010</v>
      </c>
      <c r="N204" s="212" t="s">
        <v>1025</v>
      </c>
      <c r="P204" s="213">
        <f>O204*H204</f>
        <v>0</v>
      </c>
      <c r="Q204" s="213">
        <v>1.155E-2</v>
      </c>
      <c r="R204" s="213">
        <f>Q204*H204</f>
        <v>2.3099999999999999E-2</v>
      </c>
      <c r="S204" s="213">
        <v>0</v>
      </c>
      <c r="T204" s="214">
        <f>S204*H204</f>
        <v>0</v>
      </c>
      <c r="AR204" s="215" t="s">
        <v>126</v>
      </c>
      <c r="AT204" s="215" t="s">
        <v>1104</v>
      </c>
      <c r="AU204" s="215" t="s">
        <v>65</v>
      </c>
      <c r="AY204" s="103" t="s">
        <v>1102</v>
      </c>
      <c r="BE204" s="216">
        <f>IF(N204="základní",J204,0)</f>
        <v>0</v>
      </c>
      <c r="BF204" s="216">
        <f>IF(N204="snížená",J204,0)</f>
        <v>0</v>
      </c>
      <c r="BG204" s="216">
        <f>IF(N204="zákl. přenesená",J204,0)</f>
        <v>0</v>
      </c>
      <c r="BH204" s="216">
        <f>IF(N204="sníž. přenesená",J204,0)</f>
        <v>0</v>
      </c>
      <c r="BI204" s="216">
        <f>IF(N204="nulová",J204,0)</f>
        <v>0</v>
      </c>
      <c r="BJ204" s="103" t="s">
        <v>55</v>
      </c>
      <c r="BK204" s="216">
        <f>ROUND(I204*H204,2)</f>
        <v>0</v>
      </c>
      <c r="BL204" s="103" t="s">
        <v>126</v>
      </c>
      <c r="BM204" s="215" t="s">
        <v>2111</v>
      </c>
    </row>
    <row r="205" spans="2:65" s="256" customFormat="1" x14ac:dyDescent="0.25">
      <c r="B205" s="112"/>
      <c r="D205" s="217" t="s">
        <v>1109</v>
      </c>
      <c r="F205" s="218" t="s">
        <v>2112</v>
      </c>
      <c r="I205" s="324"/>
      <c r="L205" s="112"/>
      <c r="M205" s="219"/>
      <c r="T205" s="128"/>
      <c r="AT205" s="103" t="s">
        <v>1109</v>
      </c>
      <c r="AU205" s="103" t="s">
        <v>65</v>
      </c>
    </row>
    <row r="206" spans="2:65" s="256" customFormat="1" ht="21.75" customHeight="1" x14ac:dyDescent="0.25">
      <c r="B206" s="112"/>
      <c r="C206" s="206" t="s">
        <v>203</v>
      </c>
      <c r="D206" s="206" t="s">
        <v>1104</v>
      </c>
      <c r="E206" s="207" t="s">
        <v>2113</v>
      </c>
      <c r="F206" s="208" t="s">
        <v>2114</v>
      </c>
      <c r="G206" s="209" t="s">
        <v>113</v>
      </c>
      <c r="H206" s="210">
        <v>70</v>
      </c>
      <c r="I206" s="326"/>
      <c r="J206" s="211">
        <f>ROUND(I206*H206,2)</f>
        <v>0</v>
      </c>
      <c r="K206" s="208" t="s">
        <v>1107</v>
      </c>
      <c r="L206" s="112"/>
      <c r="M206" s="325" t="s">
        <v>1010</v>
      </c>
      <c r="N206" s="212" t="s">
        <v>1025</v>
      </c>
      <c r="P206" s="213">
        <f>O206*H206</f>
        <v>0</v>
      </c>
      <c r="Q206" s="213">
        <v>2.5999999999999998E-4</v>
      </c>
      <c r="R206" s="213">
        <f>Q206*H206</f>
        <v>1.8199999999999997E-2</v>
      </c>
      <c r="S206" s="213">
        <v>0</v>
      </c>
      <c r="T206" s="214">
        <f>S206*H206</f>
        <v>0</v>
      </c>
      <c r="AR206" s="215" t="s">
        <v>126</v>
      </c>
      <c r="AT206" s="215" t="s">
        <v>1104</v>
      </c>
      <c r="AU206" s="215" t="s">
        <v>65</v>
      </c>
      <c r="AY206" s="103" t="s">
        <v>1102</v>
      </c>
      <c r="BE206" s="216">
        <f>IF(N206="základní",J206,0)</f>
        <v>0</v>
      </c>
      <c r="BF206" s="216">
        <f>IF(N206="snížená",J206,0)</f>
        <v>0</v>
      </c>
      <c r="BG206" s="216">
        <f>IF(N206="zákl. přenesená",J206,0)</f>
        <v>0</v>
      </c>
      <c r="BH206" s="216">
        <f>IF(N206="sníž. přenesená",J206,0)</f>
        <v>0</v>
      </c>
      <c r="BI206" s="216">
        <f>IF(N206="nulová",J206,0)</f>
        <v>0</v>
      </c>
      <c r="BJ206" s="103" t="s">
        <v>55</v>
      </c>
      <c r="BK206" s="216">
        <f>ROUND(I206*H206,2)</f>
        <v>0</v>
      </c>
      <c r="BL206" s="103" t="s">
        <v>126</v>
      </c>
      <c r="BM206" s="215" t="s">
        <v>2115</v>
      </c>
    </row>
    <row r="207" spans="2:65" s="256" customFormat="1" x14ac:dyDescent="0.25">
      <c r="B207" s="112"/>
      <c r="D207" s="217" t="s">
        <v>1109</v>
      </c>
      <c r="F207" s="218" t="s">
        <v>2116</v>
      </c>
      <c r="I207" s="324"/>
      <c r="L207" s="112"/>
      <c r="M207" s="219"/>
      <c r="T207" s="128"/>
      <c r="AT207" s="103" t="s">
        <v>1109</v>
      </c>
      <c r="AU207" s="103" t="s">
        <v>65</v>
      </c>
    </row>
    <row r="208" spans="2:65" s="256" customFormat="1" ht="24.2" customHeight="1" x14ac:dyDescent="0.25">
      <c r="B208" s="112"/>
      <c r="C208" s="206" t="s">
        <v>204</v>
      </c>
      <c r="D208" s="206" t="s">
        <v>1104</v>
      </c>
      <c r="E208" s="207" t="s">
        <v>2117</v>
      </c>
      <c r="F208" s="208" t="s">
        <v>2118</v>
      </c>
      <c r="G208" s="209" t="s">
        <v>113</v>
      </c>
      <c r="H208" s="210">
        <v>70</v>
      </c>
      <c r="I208" s="326"/>
      <c r="J208" s="211">
        <f>ROUND(I208*H208,2)</f>
        <v>0</v>
      </c>
      <c r="K208" s="208" t="s">
        <v>1107</v>
      </c>
      <c r="L208" s="112"/>
      <c r="M208" s="325" t="s">
        <v>1010</v>
      </c>
      <c r="N208" s="212" t="s">
        <v>1025</v>
      </c>
      <c r="P208" s="213">
        <f>O208*H208</f>
        <v>0</v>
      </c>
      <c r="Q208" s="213">
        <v>1.1E-4</v>
      </c>
      <c r="R208" s="213">
        <f>Q208*H208</f>
        <v>7.7000000000000002E-3</v>
      </c>
      <c r="S208" s="213">
        <v>0</v>
      </c>
      <c r="T208" s="214">
        <f>S208*H208</f>
        <v>0</v>
      </c>
      <c r="AR208" s="215" t="s">
        <v>126</v>
      </c>
      <c r="AT208" s="215" t="s">
        <v>1104</v>
      </c>
      <c r="AU208" s="215" t="s">
        <v>65</v>
      </c>
      <c r="AY208" s="103" t="s">
        <v>1102</v>
      </c>
      <c r="BE208" s="216">
        <f>IF(N208="základní",J208,0)</f>
        <v>0</v>
      </c>
      <c r="BF208" s="216">
        <f>IF(N208="snížená",J208,0)</f>
        <v>0</v>
      </c>
      <c r="BG208" s="216">
        <f>IF(N208="zákl. přenesená",J208,0)</f>
        <v>0</v>
      </c>
      <c r="BH208" s="216">
        <f>IF(N208="sníž. přenesená",J208,0)</f>
        <v>0</v>
      </c>
      <c r="BI208" s="216">
        <f>IF(N208="nulová",J208,0)</f>
        <v>0</v>
      </c>
      <c r="BJ208" s="103" t="s">
        <v>55</v>
      </c>
      <c r="BK208" s="216">
        <f>ROUND(I208*H208,2)</f>
        <v>0</v>
      </c>
      <c r="BL208" s="103" t="s">
        <v>126</v>
      </c>
      <c r="BM208" s="215" t="s">
        <v>2119</v>
      </c>
    </row>
    <row r="209" spans="2:65" s="256" customFormat="1" x14ac:dyDescent="0.25">
      <c r="B209" s="112"/>
      <c r="D209" s="217" t="s">
        <v>1109</v>
      </c>
      <c r="F209" s="218" t="s">
        <v>2120</v>
      </c>
      <c r="I209" s="324"/>
      <c r="L209" s="112"/>
      <c r="M209" s="219"/>
      <c r="T209" s="128"/>
      <c r="AT209" s="103" t="s">
        <v>1109</v>
      </c>
      <c r="AU209" s="103" t="s">
        <v>65</v>
      </c>
    </row>
    <row r="210" spans="2:65" s="256" customFormat="1" ht="16.5" customHeight="1" x14ac:dyDescent="0.25">
      <c r="B210" s="112"/>
      <c r="C210" s="206" t="s">
        <v>205</v>
      </c>
      <c r="D210" s="206" t="s">
        <v>1104</v>
      </c>
      <c r="E210" s="207" t="s">
        <v>2121</v>
      </c>
      <c r="F210" s="208" t="s">
        <v>2122</v>
      </c>
      <c r="G210" s="209" t="s">
        <v>113</v>
      </c>
      <c r="H210" s="210">
        <v>1</v>
      </c>
      <c r="I210" s="326"/>
      <c r="J210" s="211">
        <f>ROUND(I210*H210,2)</f>
        <v>0</v>
      </c>
      <c r="K210" s="208" t="s">
        <v>1146</v>
      </c>
      <c r="L210" s="112"/>
      <c r="M210" s="325" t="s">
        <v>1010</v>
      </c>
      <c r="N210" s="212" t="s">
        <v>1025</v>
      </c>
      <c r="P210" s="213">
        <f>O210*H210</f>
        <v>0</v>
      </c>
      <c r="Q210" s="213">
        <v>5.2999999999999998E-4</v>
      </c>
      <c r="R210" s="213">
        <f>Q210*H210</f>
        <v>5.2999999999999998E-4</v>
      </c>
      <c r="S210" s="213">
        <v>0</v>
      </c>
      <c r="T210" s="214">
        <f>S210*H210</f>
        <v>0</v>
      </c>
      <c r="AR210" s="215" t="s">
        <v>126</v>
      </c>
      <c r="AT210" s="215" t="s">
        <v>1104</v>
      </c>
      <c r="AU210" s="215" t="s">
        <v>65</v>
      </c>
      <c r="AY210" s="103" t="s">
        <v>1102</v>
      </c>
      <c r="BE210" s="216">
        <f>IF(N210="základní",J210,0)</f>
        <v>0</v>
      </c>
      <c r="BF210" s="216">
        <f>IF(N210="snížená",J210,0)</f>
        <v>0</v>
      </c>
      <c r="BG210" s="216">
        <f>IF(N210="zákl. přenesená",J210,0)</f>
        <v>0</v>
      </c>
      <c r="BH210" s="216">
        <f>IF(N210="sníž. přenesená",J210,0)</f>
        <v>0</v>
      </c>
      <c r="BI210" s="216">
        <f>IF(N210="nulová",J210,0)</f>
        <v>0</v>
      </c>
      <c r="BJ210" s="103" t="s">
        <v>55</v>
      </c>
      <c r="BK210" s="216">
        <f>ROUND(I210*H210,2)</f>
        <v>0</v>
      </c>
      <c r="BL210" s="103" t="s">
        <v>126</v>
      </c>
      <c r="BM210" s="215" t="s">
        <v>2123</v>
      </c>
    </row>
    <row r="211" spans="2:65" s="256" customFormat="1" x14ac:dyDescent="0.25">
      <c r="B211" s="112"/>
      <c r="D211" s="217" t="s">
        <v>1109</v>
      </c>
      <c r="F211" s="218" t="s">
        <v>2124</v>
      </c>
      <c r="I211" s="324"/>
      <c r="L211" s="112"/>
      <c r="M211" s="219"/>
      <c r="T211" s="128"/>
      <c r="AT211" s="103" t="s">
        <v>1109</v>
      </c>
      <c r="AU211" s="103" t="s">
        <v>65</v>
      </c>
    </row>
    <row r="212" spans="2:65" s="256" customFormat="1" ht="16.5" customHeight="1" x14ac:dyDescent="0.25">
      <c r="B212" s="112"/>
      <c r="C212" s="206" t="s">
        <v>206</v>
      </c>
      <c r="D212" s="206" t="s">
        <v>1104</v>
      </c>
      <c r="E212" s="207" t="s">
        <v>2125</v>
      </c>
      <c r="F212" s="208" t="s">
        <v>2126</v>
      </c>
      <c r="G212" s="209" t="s">
        <v>113</v>
      </c>
      <c r="H212" s="210">
        <v>3</v>
      </c>
      <c r="I212" s="326"/>
      <c r="J212" s="211">
        <f>ROUND(I212*H212,2)</f>
        <v>0</v>
      </c>
      <c r="K212" s="208" t="s">
        <v>1146</v>
      </c>
      <c r="L212" s="112"/>
      <c r="M212" s="325" t="s">
        <v>1010</v>
      </c>
      <c r="N212" s="212" t="s">
        <v>1025</v>
      </c>
      <c r="P212" s="213">
        <f>O212*H212</f>
        <v>0</v>
      </c>
      <c r="Q212" s="213">
        <v>8.4000000000000003E-4</v>
      </c>
      <c r="R212" s="213">
        <f>Q212*H212</f>
        <v>2.5200000000000001E-3</v>
      </c>
      <c r="S212" s="213">
        <v>0</v>
      </c>
      <c r="T212" s="214">
        <f>S212*H212</f>
        <v>0</v>
      </c>
      <c r="AR212" s="215" t="s">
        <v>126</v>
      </c>
      <c r="AT212" s="215" t="s">
        <v>1104</v>
      </c>
      <c r="AU212" s="215" t="s">
        <v>65</v>
      </c>
      <c r="AY212" s="103" t="s">
        <v>1102</v>
      </c>
      <c r="BE212" s="216">
        <f>IF(N212="základní",J212,0)</f>
        <v>0</v>
      </c>
      <c r="BF212" s="216">
        <f>IF(N212="snížená",J212,0)</f>
        <v>0</v>
      </c>
      <c r="BG212" s="216">
        <f>IF(N212="zákl. přenesená",J212,0)</f>
        <v>0</v>
      </c>
      <c r="BH212" s="216">
        <f>IF(N212="sníž. přenesená",J212,0)</f>
        <v>0</v>
      </c>
      <c r="BI212" s="216">
        <f>IF(N212="nulová",J212,0)</f>
        <v>0</v>
      </c>
      <c r="BJ212" s="103" t="s">
        <v>55</v>
      </c>
      <c r="BK212" s="216">
        <f>ROUND(I212*H212,2)</f>
        <v>0</v>
      </c>
      <c r="BL212" s="103" t="s">
        <v>126</v>
      </c>
      <c r="BM212" s="215" t="s">
        <v>2127</v>
      </c>
    </row>
    <row r="213" spans="2:65" s="256" customFormat="1" x14ac:dyDescent="0.25">
      <c r="B213" s="112"/>
      <c r="D213" s="217" t="s">
        <v>1109</v>
      </c>
      <c r="F213" s="218" t="s">
        <v>2128</v>
      </c>
      <c r="I213" s="324"/>
      <c r="L213" s="112"/>
      <c r="M213" s="219"/>
      <c r="T213" s="128"/>
      <c r="AT213" s="103" t="s">
        <v>1109</v>
      </c>
      <c r="AU213" s="103" t="s">
        <v>65</v>
      </c>
    </row>
    <row r="214" spans="2:65" s="256" customFormat="1" ht="16.5" customHeight="1" x14ac:dyDescent="0.25">
      <c r="B214" s="112"/>
      <c r="C214" s="206" t="s">
        <v>52</v>
      </c>
      <c r="D214" s="206" t="s">
        <v>1104</v>
      </c>
      <c r="E214" s="207" t="s">
        <v>2129</v>
      </c>
      <c r="F214" s="208" t="s">
        <v>2130</v>
      </c>
      <c r="G214" s="209" t="s">
        <v>113</v>
      </c>
      <c r="H214" s="210">
        <v>1</v>
      </c>
      <c r="I214" s="326"/>
      <c r="J214" s="211">
        <f>ROUND(I214*H214,2)</f>
        <v>0</v>
      </c>
      <c r="K214" s="208" t="s">
        <v>1010</v>
      </c>
      <c r="L214" s="112"/>
      <c r="M214" s="325" t="s">
        <v>1010</v>
      </c>
      <c r="N214" s="212" t="s">
        <v>1025</v>
      </c>
      <c r="P214" s="213">
        <f>O214*H214</f>
        <v>0</v>
      </c>
      <c r="Q214" s="213">
        <v>3.6000000000000002E-4</v>
      </c>
      <c r="R214" s="213">
        <f>Q214*H214</f>
        <v>3.6000000000000002E-4</v>
      </c>
      <c r="S214" s="213">
        <v>0</v>
      </c>
      <c r="T214" s="214">
        <f>S214*H214</f>
        <v>0</v>
      </c>
      <c r="AR214" s="215" t="s">
        <v>126</v>
      </c>
      <c r="AT214" s="215" t="s">
        <v>1104</v>
      </c>
      <c r="AU214" s="215" t="s">
        <v>65</v>
      </c>
      <c r="AY214" s="103" t="s">
        <v>1102</v>
      </c>
      <c r="BE214" s="216">
        <f>IF(N214="základní",J214,0)</f>
        <v>0</v>
      </c>
      <c r="BF214" s="216">
        <f>IF(N214="snížená",J214,0)</f>
        <v>0</v>
      </c>
      <c r="BG214" s="216">
        <f>IF(N214="zákl. přenesená",J214,0)</f>
        <v>0</v>
      </c>
      <c r="BH214" s="216">
        <f>IF(N214="sníž. přenesená",J214,0)</f>
        <v>0</v>
      </c>
      <c r="BI214" s="216">
        <f>IF(N214="nulová",J214,0)</f>
        <v>0</v>
      </c>
      <c r="BJ214" s="103" t="s">
        <v>55</v>
      </c>
      <c r="BK214" s="216">
        <f>ROUND(I214*H214,2)</f>
        <v>0</v>
      </c>
      <c r="BL214" s="103" t="s">
        <v>126</v>
      </c>
      <c r="BM214" s="215" t="s">
        <v>2131</v>
      </c>
    </row>
    <row r="215" spans="2:65" s="256" customFormat="1" ht="21.75" customHeight="1" x14ac:dyDescent="0.25">
      <c r="B215" s="112"/>
      <c r="C215" s="206" t="s">
        <v>207</v>
      </c>
      <c r="D215" s="206" t="s">
        <v>1104</v>
      </c>
      <c r="E215" s="207" t="s">
        <v>2132</v>
      </c>
      <c r="F215" s="208" t="s">
        <v>2133</v>
      </c>
      <c r="G215" s="209" t="s">
        <v>113</v>
      </c>
      <c r="H215" s="210">
        <v>140</v>
      </c>
      <c r="I215" s="326"/>
      <c r="J215" s="211">
        <f>ROUND(I215*H215,2)</f>
        <v>0</v>
      </c>
      <c r="K215" s="208" t="s">
        <v>1107</v>
      </c>
      <c r="L215" s="112"/>
      <c r="M215" s="325" t="s">
        <v>1010</v>
      </c>
      <c r="N215" s="212" t="s">
        <v>1025</v>
      </c>
      <c r="P215" s="213">
        <f>O215*H215</f>
        <v>0</v>
      </c>
      <c r="Q215" s="213">
        <v>8.5999999999999998E-4</v>
      </c>
      <c r="R215" s="213">
        <f>Q215*H215</f>
        <v>0.12039999999999999</v>
      </c>
      <c r="S215" s="213">
        <v>0</v>
      </c>
      <c r="T215" s="214">
        <f>S215*H215</f>
        <v>0</v>
      </c>
      <c r="AR215" s="215" t="s">
        <v>126</v>
      </c>
      <c r="AT215" s="215" t="s">
        <v>1104</v>
      </c>
      <c r="AU215" s="215" t="s">
        <v>65</v>
      </c>
      <c r="AY215" s="103" t="s">
        <v>1102</v>
      </c>
      <c r="BE215" s="216">
        <f>IF(N215="základní",J215,0)</f>
        <v>0</v>
      </c>
      <c r="BF215" s="216">
        <f>IF(N215="snížená",J215,0)</f>
        <v>0</v>
      </c>
      <c r="BG215" s="216">
        <f>IF(N215="zákl. přenesená",J215,0)</f>
        <v>0</v>
      </c>
      <c r="BH215" s="216">
        <f>IF(N215="sníž. přenesená",J215,0)</f>
        <v>0</v>
      </c>
      <c r="BI215" s="216">
        <f>IF(N215="nulová",J215,0)</f>
        <v>0</v>
      </c>
      <c r="BJ215" s="103" t="s">
        <v>55</v>
      </c>
      <c r="BK215" s="216">
        <f>ROUND(I215*H215,2)</f>
        <v>0</v>
      </c>
      <c r="BL215" s="103" t="s">
        <v>126</v>
      </c>
      <c r="BM215" s="215" t="s">
        <v>2134</v>
      </c>
    </row>
    <row r="216" spans="2:65" s="256" customFormat="1" x14ac:dyDescent="0.25">
      <c r="B216" s="112"/>
      <c r="D216" s="217" t="s">
        <v>1109</v>
      </c>
      <c r="F216" s="218" t="s">
        <v>2135</v>
      </c>
      <c r="I216" s="324"/>
      <c r="L216" s="112"/>
      <c r="M216" s="219"/>
      <c r="T216" s="128"/>
      <c r="AT216" s="103" t="s">
        <v>1109</v>
      </c>
      <c r="AU216" s="103" t="s">
        <v>65</v>
      </c>
    </row>
    <row r="217" spans="2:65" s="256" customFormat="1" ht="16.5" customHeight="1" x14ac:dyDescent="0.25">
      <c r="B217" s="112"/>
      <c r="C217" s="206" t="s">
        <v>68</v>
      </c>
      <c r="D217" s="206" t="s">
        <v>1104</v>
      </c>
      <c r="E217" s="207" t="s">
        <v>2136</v>
      </c>
      <c r="F217" s="208" t="s">
        <v>2137</v>
      </c>
      <c r="G217" s="209" t="s">
        <v>113</v>
      </c>
      <c r="H217" s="210">
        <v>6</v>
      </c>
      <c r="I217" s="326"/>
      <c r="J217" s="211">
        <f>ROUND(I217*H217,2)</f>
        <v>0</v>
      </c>
      <c r="K217" s="208" t="s">
        <v>1161</v>
      </c>
      <c r="L217" s="112"/>
      <c r="M217" s="325" t="s">
        <v>1010</v>
      </c>
      <c r="N217" s="212" t="s">
        <v>1025</v>
      </c>
      <c r="P217" s="213">
        <f>O217*H217</f>
        <v>0</v>
      </c>
      <c r="Q217" s="213">
        <v>3.4000000000000002E-4</v>
      </c>
      <c r="R217" s="213">
        <f>Q217*H217</f>
        <v>2.0400000000000001E-3</v>
      </c>
      <c r="S217" s="213">
        <v>0</v>
      </c>
      <c r="T217" s="214">
        <f>S217*H217</f>
        <v>0</v>
      </c>
      <c r="AR217" s="215" t="s">
        <v>126</v>
      </c>
      <c r="AT217" s="215" t="s">
        <v>1104</v>
      </c>
      <c r="AU217" s="215" t="s">
        <v>65</v>
      </c>
      <c r="AY217" s="103" t="s">
        <v>1102</v>
      </c>
      <c r="BE217" s="216">
        <f>IF(N217="základní",J217,0)</f>
        <v>0</v>
      </c>
      <c r="BF217" s="216">
        <f>IF(N217="snížená",J217,0)</f>
        <v>0</v>
      </c>
      <c r="BG217" s="216">
        <f>IF(N217="zákl. přenesená",J217,0)</f>
        <v>0</v>
      </c>
      <c r="BH217" s="216">
        <f>IF(N217="sníž. přenesená",J217,0)</f>
        <v>0</v>
      </c>
      <c r="BI217" s="216">
        <f>IF(N217="nulová",J217,0)</f>
        <v>0</v>
      </c>
      <c r="BJ217" s="103" t="s">
        <v>55</v>
      </c>
      <c r="BK217" s="216">
        <f>ROUND(I217*H217,2)</f>
        <v>0</v>
      </c>
      <c r="BL217" s="103" t="s">
        <v>126</v>
      </c>
      <c r="BM217" s="215" t="s">
        <v>2138</v>
      </c>
    </row>
    <row r="218" spans="2:65" s="256" customFormat="1" x14ac:dyDescent="0.25">
      <c r="B218" s="112"/>
      <c r="D218" s="217" t="s">
        <v>1109</v>
      </c>
      <c r="F218" s="218" t="s">
        <v>2139</v>
      </c>
      <c r="I218" s="324"/>
      <c r="L218" s="112"/>
      <c r="M218" s="219"/>
      <c r="T218" s="128"/>
      <c r="AT218" s="103" t="s">
        <v>1109</v>
      </c>
      <c r="AU218" s="103" t="s">
        <v>65</v>
      </c>
    </row>
    <row r="219" spans="2:65" s="256" customFormat="1" ht="16.5" customHeight="1" x14ac:dyDescent="0.25">
      <c r="B219" s="112"/>
      <c r="C219" s="206" t="s">
        <v>130</v>
      </c>
      <c r="D219" s="206" t="s">
        <v>1104</v>
      </c>
      <c r="E219" s="207" t="s">
        <v>2140</v>
      </c>
      <c r="F219" s="208" t="s">
        <v>2141</v>
      </c>
      <c r="G219" s="209" t="s">
        <v>113</v>
      </c>
      <c r="H219" s="210">
        <v>10</v>
      </c>
      <c r="I219" s="326"/>
      <c r="J219" s="211">
        <f>ROUND(I219*H219,2)</f>
        <v>0</v>
      </c>
      <c r="K219" s="208" t="s">
        <v>1161</v>
      </c>
      <c r="L219" s="112"/>
      <c r="M219" s="325" t="s">
        <v>1010</v>
      </c>
      <c r="N219" s="212" t="s">
        <v>1025</v>
      </c>
      <c r="P219" s="213">
        <f>O219*H219</f>
        <v>0</v>
      </c>
      <c r="Q219" s="213">
        <v>6.6E-4</v>
      </c>
      <c r="R219" s="213">
        <f>Q219*H219</f>
        <v>6.6E-3</v>
      </c>
      <c r="S219" s="213">
        <v>0</v>
      </c>
      <c r="T219" s="214">
        <f>S219*H219</f>
        <v>0</v>
      </c>
      <c r="AR219" s="215" t="s">
        <v>126</v>
      </c>
      <c r="AT219" s="215" t="s">
        <v>1104</v>
      </c>
      <c r="AU219" s="215" t="s">
        <v>65</v>
      </c>
      <c r="AY219" s="103" t="s">
        <v>1102</v>
      </c>
      <c r="BE219" s="216">
        <f>IF(N219="základní",J219,0)</f>
        <v>0</v>
      </c>
      <c r="BF219" s="216">
        <f>IF(N219="snížená",J219,0)</f>
        <v>0</v>
      </c>
      <c r="BG219" s="216">
        <f>IF(N219="zákl. přenesená",J219,0)</f>
        <v>0</v>
      </c>
      <c r="BH219" s="216">
        <f>IF(N219="sníž. přenesená",J219,0)</f>
        <v>0</v>
      </c>
      <c r="BI219" s="216">
        <f>IF(N219="nulová",J219,0)</f>
        <v>0</v>
      </c>
      <c r="BJ219" s="103" t="s">
        <v>55</v>
      </c>
      <c r="BK219" s="216">
        <f>ROUND(I219*H219,2)</f>
        <v>0</v>
      </c>
      <c r="BL219" s="103" t="s">
        <v>126</v>
      </c>
      <c r="BM219" s="215" t="s">
        <v>2142</v>
      </c>
    </row>
    <row r="220" spans="2:65" s="256" customFormat="1" x14ac:dyDescent="0.25">
      <c r="B220" s="112"/>
      <c r="D220" s="217" t="s">
        <v>1109</v>
      </c>
      <c r="F220" s="218" t="s">
        <v>2143</v>
      </c>
      <c r="I220" s="324"/>
      <c r="L220" s="112"/>
      <c r="M220" s="219"/>
      <c r="T220" s="128"/>
      <c r="AT220" s="103" t="s">
        <v>1109</v>
      </c>
      <c r="AU220" s="103" t="s">
        <v>65</v>
      </c>
    </row>
    <row r="221" spans="2:65" s="256" customFormat="1" ht="16.5" customHeight="1" x14ac:dyDescent="0.25">
      <c r="B221" s="112"/>
      <c r="C221" s="206" t="s">
        <v>210</v>
      </c>
      <c r="D221" s="206" t="s">
        <v>1104</v>
      </c>
      <c r="E221" s="207" t="s">
        <v>2144</v>
      </c>
      <c r="F221" s="208" t="s">
        <v>2145</v>
      </c>
      <c r="G221" s="209" t="s">
        <v>113</v>
      </c>
      <c r="H221" s="210">
        <v>8</v>
      </c>
      <c r="I221" s="326"/>
      <c r="J221" s="211">
        <f>ROUND(I221*H221,2)</f>
        <v>0</v>
      </c>
      <c r="K221" s="208" t="s">
        <v>1161</v>
      </c>
      <c r="L221" s="112"/>
      <c r="M221" s="325" t="s">
        <v>1010</v>
      </c>
      <c r="N221" s="212" t="s">
        <v>1025</v>
      </c>
      <c r="P221" s="213">
        <f>O221*H221</f>
        <v>0</v>
      </c>
      <c r="Q221" s="213">
        <v>2.2000000000000001E-4</v>
      </c>
      <c r="R221" s="213">
        <f>Q221*H221</f>
        <v>1.7600000000000001E-3</v>
      </c>
      <c r="S221" s="213">
        <v>0</v>
      </c>
      <c r="T221" s="214">
        <f>S221*H221</f>
        <v>0</v>
      </c>
      <c r="AR221" s="215" t="s">
        <v>126</v>
      </c>
      <c r="AT221" s="215" t="s">
        <v>1104</v>
      </c>
      <c r="AU221" s="215" t="s">
        <v>65</v>
      </c>
      <c r="AY221" s="103" t="s">
        <v>1102</v>
      </c>
      <c r="BE221" s="216">
        <f>IF(N221="základní",J221,0)</f>
        <v>0</v>
      </c>
      <c r="BF221" s="216">
        <f>IF(N221="snížená",J221,0)</f>
        <v>0</v>
      </c>
      <c r="BG221" s="216">
        <f>IF(N221="zákl. přenesená",J221,0)</f>
        <v>0</v>
      </c>
      <c r="BH221" s="216">
        <f>IF(N221="sníž. přenesená",J221,0)</f>
        <v>0</v>
      </c>
      <c r="BI221" s="216">
        <f>IF(N221="nulová",J221,0)</f>
        <v>0</v>
      </c>
      <c r="BJ221" s="103" t="s">
        <v>55</v>
      </c>
      <c r="BK221" s="216">
        <f>ROUND(I221*H221,2)</f>
        <v>0</v>
      </c>
      <c r="BL221" s="103" t="s">
        <v>126</v>
      </c>
      <c r="BM221" s="215" t="s">
        <v>2146</v>
      </c>
    </row>
    <row r="222" spans="2:65" s="256" customFormat="1" x14ac:dyDescent="0.25">
      <c r="B222" s="112"/>
      <c r="D222" s="217" t="s">
        <v>1109</v>
      </c>
      <c r="F222" s="218" t="s">
        <v>2147</v>
      </c>
      <c r="I222" s="324"/>
      <c r="L222" s="112"/>
      <c r="M222" s="219"/>
      <c r="T222" s="128"/>
      <c r="AT222" s="103" t="s">
        <v>1109</v>
      </c>
      <c r="AU222" s="103" t="s">
        <v>65</v>
      </c>
    </row>
    <row r="223" spans="2:65" s="256" customFormat="1" ht="21.75" customHeight="1" x14ac:dyDescent="0.25">
      <c r="B223" s="112"/>
      <c r="C223" s="206" t="s">
        <v>211</v>
      </c>
      <c r="D223" s="206" t="s">
        <v>1104</v>
      </c>
      <c r="E223" s="207" t="s">
        <v>2148</v>
      </c>
      <c r="F223" s="208" t="s">
        <v>2149</v>
      </c>
      <c r="G223" s="209" t="s">
        <v>113</v>
      </c>
      <c r="H223" s="210">
        <v>2</v>
      </c>
      <c r="I223" s="326"/>
      <c r="J223" s="211">
        <f>ROUND(I223*H223,2)</f>
        <v>0</v>
      </c>
      <c r="K223" s="208" t="s">
        <v>1146</v>
      </c>
      <c r="L223" s="112"/>
      <c r="M223" s="325" t="s">
        <v>1010</v>
      </c>
      <c r="N223" s="212" t="s">
        <v>1025</v>
      </c>
      <c r="P223" s="213">
        <f>O223*H223</f>
        <v>0</v>
      </c>
      <c r="Q223" s="213">
        <v>1.73E-3</v>
      </c>
      <c r="R223" s="213">
        <f>Q223*H223</f>
        <v>3.46E-3</v>
      </c>
      <c r="S223" s="213">
        <v>0</v>
      </c>
      <c r="T223" s="214">
        <f>S223*H223</f>
        <v>0</v>
      </c>
      <c r="AR223" s="215" t="s">
        <v>126</v>
      </c>
      <c r="AT223" s="215" t="s">
        <v>1104</v>
      </c>
      <c r="AU223" s="215" t="s">
        <v>65</v>
      </c>
      <c r="AY223" s="103" t="s">
        <v>1102</v>
      </c>
      <c r="BE223" s="216">
        <f>IF(N223="základní",J223,0)</f>
        <v>0</v>
      </c>
      <c r="BF223" s="216">
        <f>IF(N223="snížená",J223,0)</f>
        <v>0</v>
      </c>
      <c r="BG223" s="216">
        <f>IF(N223="zákl. přenesená",J223,0)</f>
        <v>0</v>
      </c>
      <c r="BH223" s="216">
        <f>IF(N223="sníž. přenesená",J223,0)</f>
        <v>0</v>
      </c>
      <c r="BI223" s="216">
        <f>IF(N223="nulová",J223,0)</f>
        <v>0</v>
      </c>
      <c r="BJ223" s="103" t="s">
        <v>55</v>
      </c>
      <c r="BK223" s="216">
        <f>ROUND(I223*H223,2)</f>
        <v>0</v>
      </c>
      <c r="BL223" s="103" t="s">
        <v>126</v>
      </c>
      <c r="BM223" s="215" t="s">
        <v>2150</v>
      </c>
    </row>
    <row r="224" spans="2:65" s="256" customFormat="1" x14ac:dyDescent="0.25">
      <c r="B224" s="112"/>
      <c r="D224" s="217" t="s">
        <v>1109</v>
      </c>
      <c r="F224" s="218" t="s">
        <v>2151</v>
      </c>
      <c r="I224" s="324"/>
      <c r="L224" s="112"/>
      <c r="M224" s="219"/>
      <c r="T224" s="128"/>
      <c r="AT224" s="103" t="s">
        <v>1109</v>
      </c>
      <c r="AU224" s="103" t="s">
        <v>65</v>
      </c>
    </row>
    <row r="225" spans="2:65" s="256" customFormat="1" ht="24.2" customHeight="1" x14ac:dyDescent="0.25">
      <c r="B225" s="112"/>
      <c r="C225" s="206" t="s">
        <v>212</v>
      </c>
      <c r="D225" s="206" t="s">
        <v>1104</v>
      </c>
      <c r="E225" s="207" t="s">
        <v>2152</v>
      </c>
      <c r="F225" s="208" t="s">
        <v>2153</v>
      </c>
      <c r="G225" s="209" t="s">
        <v>113</v>
      </c>
      <c r="H225" s="210">
        <v>1</v>
      </c>
      <c r="I225" s="326"/>
      <c r="J225" s="211">
        <f>ROUND(I225*H225,2)</f>
        <v>0</v>
      </c>
      <c r="K225" s="208" t="s">
        <v>1146</v>
      </c>
      <c r="L225" s="112"/>
      <c r="M225" s="325" t="s">
        <v>1010</v>
      </c>
      <c r="N225" s="212" t="s">
        <v>1025</v>
      </c>
      <c r="P225" s="213">
        <f>O225*H225</f>
        <v>0</v>
      </c>
      <c r="Q225" s="213">
        <v>1.4599999999999999E-3</v>
      </c>
      <c r="R225" s="213">
        <f>Q225*H225</f>
        <v>1.4599999999999999E-3</v>
      </c>
      <c r="S225" s="213">
        <v>0</v>
      </c>
      <c r="T225" s="214">
        <f>S225*H225</f>
        <v>0</v>
      </c>
      <c r="AR225" s="215" t="s">
        <v>126</v>
      </c>
      <c r="AT225" s="215" t="s">
        <v>1104</v>
      </c>
      <c r="AU225" s="215" t="s">
        <v>65</v>
      </c>
      <c r="AY225" s="103" t="s">
        <v>1102</v>
      </c>
      <c r="BE225" s="216">
        <f>IF(N225="základní",J225,0)</f>
        <v>0</v>
      </c>
      <c r="BF225" s="216">
        <f>IF(N225="snížená",J225,0)</f>
        <v>0</v>
      </c>
      <c r="BG225" s="216">
        <f>IF(N225="zákl. přenesená",J225,0)</f>
        <v>0</v>
      </c>
      <c r="BH225" s="216">
        <f>IF(N225="sníž. přenesená",J225,0)</f>
        <v>0</v>
      </c>
      <c r="BI225" s="216">
        <f>IF(N225="nulová",J225,0)</f>
        <v>0</v>
      </c>
      <c r="BJ225" s="103" t="s">
        <v>55</v>
      </c>
      <c r="BK225" s="216">
        <f>ROUND(I225*H225,2)</f>
        <v>0</v>
      </c>
      <c r="BL225" s="103" t="s">
        <v>126</v>
      </c>
      <c r="BM225" s="215" t="s">
        <v>2154</v>
      </c>
    </row>
    <row r="226" spans="2:65" s="256" customFormat="1" x14ac:dyDescent="0.25">
      <c r="B226" s="112"/>
      <c r="D226" s="217" t="s">
        <v>1109</v>
      </c>
      <c r="F226" s="218" t="s">
        <v>2155</v>
      </c>
      <c r="I226" s="324"/>
      <c r="L226" s="112"/>
      <c r="M226" s="219"/>
      <c r="T226" s="128"/>
      <c r="AT226" s="103" t="s">
        <v>1109</v>
      </c>
      <c r="AU226" s="103" t="s">
        <v>65</v>
      </c>
    </row>
    <row r="227" spans="2:65" s="256" customFormat="1" ht="24.2" customHeight="1" x14ac:dyDescent="0.25">
      <c r="B227" s="112"/>
      <c r="C227" s="206" t="s">
        <v>213</v>
      </c>
      <c r="D227" s="206" t="s">
        <v>1104</v>
      </c>
      <c r="E227" s="207" t="s">
        <v>2156</v>
      </c>
      <c r="F227" s="208" t="s">
        <v>2157</v>
      </c>
      <c r="G227" s="209" t="s">
        <v>113</v>
      </c>
      <c r="H227" s="210">
        <v>1</v>
      </c>
      <c r="I227" s="326"/>
      <c r="J227" s="211">
        <f>ROUND(I227*H227,2)</f>
        <v>0</v>
      </c>
      <c r="K227" s="208" t="s">
        <v>1146</v>
      </c>
      <c r="L227" s="112"/>
      <c r="M227" s="325" t="s">
        <v>1010</v>
      </c>
      <c r="N227" s="212" t="s">
        <v>1025</v>
      </c>
      <c r="P227" s="213">
        <f>O227*H227</f>
        <v>0</v>
      </c>
      <c r="Q227" s="213">
        <v>1.72E-3</v>
      </c>
      <c r="R227" s="213">
        <f>Q227*H227</f>
        <v>1.72E-3</v>
      </c>
      <c r="S227" s="213">
        <v>0</v>
      </c>
      <c r="T227" s="214">
        <f>S227*H227</f>
        <v>0</v>
      </c>
      <c r="AR227" s="215" t="s">
        <v>126</v>
      </c>
      <c r="AT227" s="215" t="s">
        <v>1104</v>
      </c>
      <c r="AU227" s="215" t="s">
        <v>65</v>
      </c>
      <c r="AY227" s="103" t="s">
        <v>1102</v>
      </c>
      <c r="BE227" s="216">
        <f>IF(N227="základní",J227,0)</f>
        <v>0</v>
      </c>
      <c r="BF227" s="216">
        <f>IF(N227="snížená",J227,0)</f>
        <v>0</v>
      </c>
      <c r="BG227" s="216">
        <f>IF(N227="zákl. přenesená",J227,0)</f>
        <v>0</v>
      </c>
      <c r="BH227" s="216">
        <f>IF(N227="sníž. přenesená",J227,0)</f>
        <v>0</v>
      </c>
      <c r="BI227" s="216">
        <f>IF(N227="nulová",J227,0)</f>
        <v>0</v>
      </c>
      <c r="BJ227" s="103" t="s">
        <v>55</v>
      </c>
      <c r="BK227" s="216">
        <f>ROUND(I227*H227,2)</f>
        <v>0</v>
      </c>
      <c r="BL227" s="103" t="s">
        <v>126</v>
      </c>
      <c r="BM227" s="215" t="s">
        <v>2158</v>
      </c>
    </row>
    <row r="228" spans="2:65" s="256" customFormat="1" x14ac:dyDescent="0.25">
      <c r="B228" s="112"/>
      <c r="D228" s="217" t="s">
        <v>1109</v>
      </c>
      <c r="F228" s="218" t="s">
        <v>2159</v>
      </c>
      <c r="I228" s="324"/>
      <c r="L228" s="112"/>
      <c r="M228" s="219"/>
      <c r="T228" s="128"/>
      <c r="AT228" s="103" t="s">
        <v>1109</v>
      </c>
      <c r="AU228" s="103" t="s">
        <v>65</v>
      </c>
    </row>
    <row r="229" spans="2:65" s="256" customFormat="1" ht="16.5" customHeight="1" x14ac:dyDescent="0.25">
      <c r="B229" s="112"/>
      <c r="C229" s="206" t="s">
        <v>214</v>
      </c>
      <c r="D229" s="206" t="s">
        <v>1104</v>
      </c>
      <c r="E229" s="207" t="s">
        <v>2160</v>
      </c>
      <c r="F229" s="208" t="s">
        <v>2161</v>
      </c>
      <c r="G229" s="209" t="s">
        <v>113</v>
      </c>
      <c r="H229" s="210">
        <v>1</v>
      </c>
      <c r="I229" s="326"/>
      <c r="J229" s="211">
        <f>ROUND(I229*H229,2)</f>
        <v>0</v>
      </c>
      <c r="K229" s="208" t="s">
        <v>1010</v>
      </c>
      <c r="L229" s="112"/>
      <c r="M229" s="325" t="s">
        <v>1010</v>
      </c>
      <c r="N229" s="212" t="s">
        <v>1025</v>
      </c>
      <c r="P229" s="213">
        <f>O229*H229</f>
        <v>0</v>
      </c>
      <c r="Q229" s="213">
        <v>1.4400000000000001E-3</v>
      </c>
      <c r="R229" s="213">
        <f>Q229*H229</f>
        <v>1.4400000000000001E-3</v>
      </c>
      <c r="S229" s="213">
        <v>0</v>
      </c>
      <c r="T229" s="214">
        <f>S229*H229</f>
        <v>0</v>
      </c>
      <c r="AR229" s="215" t="s">
        <v>126</v>
      </c>
      <c r="AT229" s="215" t="s">
        <v>1104</v>
      </c>
      <c r="AU229" s="215" t="s">
        <v>65</v>
      </c>
      <c r="AY229" s="103" t="s">
        <v>1102</v>
      </c>
      <c r="BE229" s="216">
        <f>IF(N229="základní",J229,0)</f>
        <v>0</v>
      </c>
      <c r="BF229" s="216">
        <f>IF(N229="snížená",J229,0)</f>
        <v>0</v>
      </c>
      <c r="BG229" s="216">
        <f>IF(N229="zákl. přenesená",J229,0)</f>
        <v>0</v>
      </c>
      <c r="BH229" s="216">
        <f>IF(N229="sníž. přenesená",J229,0)</f>
        <v>0</v>
      </c>
      <c r="BI229" s="216">
        <f>IF(N229="nulová",J229,0)</f>
        <v>0</v>
      </c>
      <c r="BJ229" s="103" t="s">
        <v>55</v>
      </c>
      <c r="BK229" s="216">
        <f>ROUND(I229*H229,2)</f>
        <v>0</v>
      </c>
      <c r="BL229" s="103" t="s">
        <v>126</v>
      </c>
      <c r="BM229" s="215" t="s">
        <v>2162</v>
      </c>
    </row>
    <row r="230" spans="2:65" s="256" customFormat="1" ht="21.75" customHeight="1" x14ac:dyDescent="0.25">
      <c r="B230" s="112"/>
      <c r="C230" s="206" t="s">
        <v>215</v>
      </c>
      <c r="D230" s="206" t="s">
        <v>1104</v>
      </c>
      <c r="E230" s="207" t="s">
        <v>2163</v>
      </c>
      <c r="F230" s="208" t="s">
        <v>2164</v>
      </c>
      <c r="G230" s="209" t="s">
        <v>113</v>
      </c>
      <c r="H230" s="210">
        <v>4</v>
      </c>
      <c r="I230" s="326"/>
      <c r="J230" s="211">
        <f>ROUND(I230*H230,2)</f>
        <v>0</v>
      </c>
      <c r="K230" s="208" t="s">
        <v>1107</v>
      </c>
      <c r="L230" s="112"/>
      <c r="M230" s="325" t="s">
        <v>1010</v>
      </c>
      <c r="N230" s="212" t="s">
        <v>1025</v>
      </c>
      <c r="P230" s="213">
        <f>O230*H230</f>
        <v>0</v>
      </c>
      <c r="Q230" s="213">
        <v>5.2999999999999998E-4</v>
      </c>
      <c r="R230" s="213">
        <f>Q230*H230</f>
        <v>2.1199999999999999E-3</v>
      </c>
      <c r="S230" s="213">
        <v>0</v>
      </c>
      <c r="T230" s="214">
        <f>S230*H230</f>
        <v>0</v>
      </c>
      <c r="AR230" s="215" t="s">
        <v>126</v>
      </c>
      <c r="AT230" s="215" t="s">
        <v>1104</v>
      </c>
      <c r="AU230" s="215" t="s">
        <v>65</v>
      </c>
      <c r="AY230" s="103" t="s">
        <v>1102</v>
      </c>
      <c r="BE230" s="216">
        <f>IF(N230="základní",J230,0)</f>
        <v>0</v>
      </c>
      <c r="BF230" s="216">
        <f>IF(N230="snížená",J230,0)</f>
        <v>0</v>
      </c>
      <c r="BG230" s="216">
        <f>IF(N230="zákl. přenesená",J230,0)</f>
        <v>0</v>
      </c>
      <c r="BH230" s="216">
        <f>IF(N230="sníž. přenesená",J230,0)</f>
        <v>0</v>
      </c>
      <c r="BI230" s="216">
        <f>IF(N230="nulová",J230,0)</f>
        <v>0</v>
      </c>
      <c r="BJ230" s="103" t="s">
        <v>55</v>
      </c>
      <c r="BK230" s="216">
        <f>ROUND(I230*H230,2)</f>
        <v>0</v>
      </c>
      <c r="BL230" s="103" t="s">
        <v>126</v>
      </c>
      <c r="BM230" s="215" t="s">
        <v>2165</v>
      </c>
    </row>
    <row r="231" spans="2:65" s="256" customFormat="1" x14ac:dyDescent="0.25">
      <c r="B231" s="112"/>
      <c r="D231" s="217" t="s">
        <v>1109</v>
      </c>
      <c r="F231" s="218" t="s">
        <v>2166</v>
      </c>
      <c r="I231" s="324"/>
      <c r="L231" s="112"/>
      <c r="M231" s="219"/>
      <c r="T231" s="128"/>
      <c r="AT231" s="103" t="s">
        <v>1109</v>
      </c>
      <c r="AU231" s="103" t="s">
        <v>65</v>
      </c>
    </row>
    <row r="232" spans="2:65" s="256" customFormat="1" ht="21.75" customHeight="1" x14ac:dyDescent="0.25">
      <c r="B232" s="112"/>
      <c r="C232" s="206" t="s">
        <v>216</v>
      </c>
      <c r="D232" s="206" t="s">
        <v>1104</v>
      </c>
      <c r="E232" s="207" t="s">
        <v>2167</v>
      </c>
      <c r="F232" s="208" t="s">
        <v>2168</v>
      </c>
      <c r="G232" s="209" t="s">
        <v>113</v>
      </c>
      <c r="H232" s="210">
        <v>2</v>
      </c>
      <c r="I232" s="326"/>
      <c r="J232" s="211">
        <f>ROUND(I232*H232,2)</f>
        <v>0</v>
      </c>
      <c r="K232" s="208" t="s">
        <v>1107</v>
      </c>
      <c r="L232" s="112"/>
      <c r="M232" s="325" t="s">
        <v>1010</v>
      </c>
      <c r="N232" s="212" t="s">
        <v>1025</v>
      </c>
      <c r="P232" s="213">
        <f>O232*H232</f>
        <v>0</v>
      </c>
      <c r="Q232" s="213">
        <v>1.47E-3</v>
      </c>
      <c r="R232" s="213">
        <f>Q232*H232</f>
        <v>2.9399999999999999E-3</v>
      </c>
      <c r="S232" s="213">
        <v>0</v>
      </c>
      <c r="T232" s="214">
        <f>S232*H232</f>
        <v>0</v>
      </c>
      <c r="AR232" s="215" t="s">
        <v>126</v>
      </c>
      <c r="AT232" s="215" t="s">
        <v>1104</v>
      </c>
      <c r="AU232" s="215" t="s">
        <v>65</v>
      </c>
      <c r="AY232" s="103" t="s">
        <v>1102</v>
      </c>
      <c r="BE232" s="216">
        <f>IF(N232="základní",J232,0)</f>
        <v>0</v>
      </c>
      <c r="BF232" s="216">
        <f>IF(N232="snížená",J232,0)</f>
        <v>0</v>
      </c>
      <c r="BG232" s="216">
        <f>IF(N232="zákl. přenesená",J232,0)</f>
        <v>0</v>
      </c>
      <c r="BH232" s="216">
        <f>IF(N232="sníž. přenesená",J232,0)</f>
        <v>0</v>
      </c>
      <c r="BI232" s="216">
        <f>IF(N232="nulová",J232,0)</f>
        <v>0</v>
      </c>
      <c r="BJ232" s="103" t="s">
        <v>55</v>
      </c>
      <c r="BK232" s="216">
        <f>ROUND(I232*H232,2)</f>
        <v>0</v>
      </c>
      <c r="BL232" s="103" t="s">
        <v>126</v>
      </c>
      <c r="BM232" s="215" t="s">
        <v>2169</v>
      </c>
    </row>
    <row r="233" spans="2:65" s="256" customFormat="1" x14ac:dyDescent="0.25">
      <c r="B233" s="112"/>
      <c r="D233" s="217" t="s">
        <v>1109</v>
      </c>
      <c r="F233" s="218" t="s">
        <v>2170</v>
      </c>
      <c r="I233" s="324"/>
      <c r="L233" s="112"/>
      <c r="M233" s="219"/>
      <c r="T233" s="128"/>
      <c r="AT233" s="103" t="s">
        <v>1109</v>
      </c>
      <c r="AU233" s="103" t="s">
        <v>65</v>
      </c>
    </row>
    <row r="234" spans="2:65" s="256" customFormat="1" ht="24.2" customHeight="1" x14ac:dyDescent="0.25">
      <c r="B234" s="112"/>
      <c r="C234" s="206" t="s">
        <v>217</v>
      </c>
      <c r="D234" s="206" t="s">
        <v>1104</v>
      </c>
      <c r="E234" s="207" t="s">
        <v>2171</v>
      </c>
      <c r="F234" s="208" t="s">
        <v>2172</v>
      </c>
      <c r="G234" s="209" t="s">
        <v>1125</v>
      </c>
      <c r="H234" s="210">
        <v>0.19600000000000001</v>
      </c>
      <c r="I234" s="326"/>
      <c r="J234" s="211">
        <f>ROUND(I234*H234,2)</f>
        <v>0</v>
      </c>
      <c r="K234" s="208" t="s">
        <v>1146</v>
      </c>
      <c r="L234" s="112"/>
      <c r="M234" s="325" t="s">
        <v>1010</v>
      </c>
      <c r="N234" s="212" t="s">
        <v>1025</v>
      </c>
      <c r="P234" s="213">
        <f>O234*H234</f>
        <v>0</v>
      </c>
      <c r="Q234" s="213">
        <v>0</v>
      </c>
      <c r="R234" s="213">
        <f>Q234*H234</f>
        <v>0</v>
      </c>
      <c r="S234" s="213">
        <v>0</v>
      </c>
      <c r="T234" s="214">
        <f>S234*H234</f>
        <v>0</v>
      </c>
      <c r="AR234" s="215" t="s">
        <v>126</v>
      </c>
      <c r="AT234" s="215" t="s">
        <v>1104</v>
      </c>
      <c r="AU234" s="215" t="s">
        <v>65</v>
      </c>
      <c r="AY234" s="103" t="s">
        <v>1102</v>
      </c>
      <c r="BE234" s="216">
        <f>IF(N234="základní",J234,0)</f>
        <v>0</v>
      </c>
      <c r="BF234" s="216">
        <f>IF(N234="snížená",J234,0)</f>
        <v>0</v>
      </c>
      <c r="BG234" s="216">
        <f>IF(N234="zákl. přenesená",J234,0)</f>
        <v>0</v>
      </c>
      <c r="BH234" s="216">
        <f>IF(N234="sníž. přenesená",J234,0)</f>
        <v>0</v>
      </c>
      <c r="BI234" s="216">
        <f>IF(N234="nulová",J234,0)</f>
        <v>0</v>
      </c>
      <c r="BJ234" s="103" t="s">
        <v>55</v>
      </c>
      <c r="BK234" s="216">
        <f>ROUND(I234*H234,2)</f>
        <v>0</v>
      </c>
      <c r="BL234" s="103" t="s">
        <v>126</v>
      </c>
      <c r="BM234" s="215" t="s">
        <v>2173</v>
      </c>
    </row>
    <row r="235" spans="2:65" s="256" customFormat="1" x14ac:dyDescent="0.25">
      <c r="B235" s="112"/>
      <c r="D235" s="217" t="s">
        <v>1109</v>
      </c>
      <c r="F235" s="218" t="s">
        <v>2174</v>
      </c>
      <c r="I235" s="324"/>
      <c r="L235" s="112"/>
      <c r="M235" s="219"/>
      <c r="T235" s="128"/>
      <c r="AT235" s="103" t="s">
        <v>1109</v>
      </c>
      <c r="AU235" s="103" t="s">
        <v>65</v>
      </c>
    </row>
    <row r="236" spans="2:65" s="256" customFormat="1" ht="24.2" customHeight="1" x14ac:dyDescent="0.25">
      <c r="B236" s="112"/>
      <c r="C236" s="206" t="s">
        <v>218</v>
      </c>
      <c r="D236" s="206" t="s">
        <v>1104</v>
      </c>
      <c r="E236" s="207" t="s">
        <v>2175</v>
      </c>
      <c r="F236" s="208" t="s">
        <v>2176</v>
      </c>
      <c r="G236" s="209" t="s">
        <v>1125</v>
      </c>
      <c r="H236" s="210">
        <v>0.19600000000000001</v>
      </c>
      <c r="I236" s="326"/>
      <c r="J236" s="211">
        <f>ROUND(I236*H236,2)</f>
        <v>0</v>
      </c>
      <c r="K236" s="208" t="s">
        <v>1146</v>
      </c>
      <c r="L236" s="112"/>
      <c r="M236" s="325" t="s">
        <v>1010</v>
      </c>
      <c r="N236" s="212" t="s">
        <v>1025</v>
      </c>
      <c r="P236" s="213">
        <f>O236*H236</f>
        <v>0</v>
      </c>
      <c r="Q236" s="213">
        <v>0</v>
      </c>
      <c r="R236" s="213">
        <f>Q236*H236</f>
        <v>0</v>
      </c>
      <c r="S236" s="213">
        <v>0</v>
      </c>
      <c r="T236" s="214">
        <f>S236*H236</f>
        <v>0</v>
      </c>
      <c r="AR236" s="215" t="s">
        <v>126</v>
      </c>
      <c r="AT236" s="215" t="s">
        <v>1104</v>
      </c>
      <c r="AU236" s="215" t="s">
        <v>65</v>
      </c>
      <c r="AY236" s="103" t="s">
        <v>1102</v>
      </c>
      <c r="BE236" s="216">
        <f>IF(N236="základní",J236,0)</f>
        <v>0</v>
      </c>
      <c r="BF236" s="216">
        <f>IF(N236="snížená",J236,0)</f>
        <v>0</v>
      </c>
      <c r="BG236" s="216">
        <f>IF(N236="zákl. přenesená",J236,0)</f>
        <v>0</v>
      </c>
      <c r="BH236" s="216">
        <f>IF(N236="sníž. přenesená",J236,0)</f>
        <v>0</v>
      </c>
      <c r="BI236" s="216">
        <f>IF(N236="nulová",J236,0)</f>
        <v>0</v>
      </c>
      <c r="BJ236" s="103" t="s">
        <v>55</v>
      </c>
      <c r="BK236" s="216">
        <f>ROUND(I236*H236,2)</f>
        <v>0</v>
      </c>
      <c r="BL236" s="103" t="s">
        <v>126</v>
      </c>
      <c r="BM236" s="215" t="s">
        <v>2177</v>
      </c>
    </row>
    <row r="237" spans="2:65" s="256" customFormat="1" x14ac:dyDescent="0.25">
      <c r="B237" s="112"/>
      <c r="D237" s="217" t="s">
        <v>1109</v>
      </c>
      <c r="F237" s="218" t="s">
        <v>2178</v>
      </c>
      <c r="I237" s="324"/>
      <c r="L237" s="112"/>
      <c r="M237" s="219"/>
      <c r="T237" s="128"/>
      <c r="AT237" s="103" t="s">
        <v>1109</v>
      </c>
      <c r="AU237" s="103" t="s">
        <v>65</v>
      </c>
    </row>
    <row r="238" spans="2:65" s="194" customFormat="1" ht="22.9" customHeight="1" x14ac:dyDescent="0.2">
      <c r="B238" s="195"/>
      <c r="D238" s="196" t="s">
        <v>1052</v>
      </c>
      <c r="E238" s="204" t="s">
        <v>2179</v>
      </c>
      <c r="F238" s="204" t="s">
        <v>2180</v>
      </c>
      <c r="I238" s="327"/>
      <c r="J238" s="205">
        <f>BK238</f>
        <v>0</v>
      </c>
      <c r="L238" s="195"/>
      <c r="M238" s="199"/>
      <c r="P238" s="200">
        <f>SUM(P239:P261)</f>
        <v>0</v>
      </c>
      <c r="R238" s="200">
        <f>SUM(R239:R261)</f>
        <v>1.8922300000000001</v>
      </c>
      <c r="T238" s="201">
        <f>SUM(T239:T261)</f>
        <v>3.6995</v>
      </c>
      <c r="AR238" s="196" t="s">
        <v>65</v>
      </c>
      <c r="AT238" s="202" t="s">
        <v>1052</v>
      </c>
      <c r="AU238" s="202" t="s">
        <v>55</v>
      </c>
      <c r="AY238" s="196" t="s">
        <v>1102</v>
      </c>
      <c r="BK238" s="203">
        <f>SUM(BK239:BK261)</f>
        <v>0</v>
      </c>
    </row>
    <row r="239" spans="2:65" s="256" customFormat="1" ht="24.2" customHeight="1" x14ac:dyDescent="0.25">
      <c r="B239" s="112"/>
      <c r="C239" s="206" t="s">
        <v>220</v>
      </c>
      <c r="D239" s="206" t="s">
        <v>1104</v>
      </c>
      <c r="E239" s="207" t="s">
        <v>2181</v>
      </c>
      <c r="F239" s="208" t="s">
        <v>2182</v>
      </c>
      <c r="G239" s="209" t="s">
        <v>113</v>
      </c>
      <c r="H239" s="210">
        <v>70</v>
      </c>
      <c r="I239" s="326"/>
      <c r="J239" s="211">
        <f>ROUND(I239*H239,2)</f>
        <v>0</v>
      </c>
      <c r="K239" s="208" t="s">
        <v>1107</v>
      </c>
      <c r="L239" s="112"/>
      <c r="M239" s="325" t="s">
        <v>1010</v>
      </c>
      <c r="N239" s="212" t="s">
        <v>1025</v>
      </c>
      <c r="P239" s="213">
        <f>O239*H239</f>
        <v>0</v>
      </c>
      <c r="Q239" s="213">
        <v>0</v>
      </c>
      <c r="R239" s="213">
        <f>Q239*H239</f>
        <v>0</v>
      </c>
      <c r="S239" s="213">
        <v>0</v>
      </c>
      <c r="T239" s="214">
        <f>S239*H239</f>
        <v>0</v>
      </c>
      <c r="AR239" s="215" t="s">
        <v>126</v>
      </c>
      <c r="AT239" s="215" t="s">
        <v>1104</v>
      </c>
      <c r="AU239" s="215" t="s">
        <v>65</v>
      </c>
      <c r="AY239" s="103" t="s">
        <v>1102</v>
      </c>
      <c r="BE239" s="216">
        <f>IF(N239="základní",J239,0)</f>
        <v>0</v>
      </c>
      <c r="BF239" s="216">
        <f>IF(N239="snížená",J239,0)</f>
        <v>0</v>
      </c>
      <c r="BG239" s="216">
        <f>IF(N239="zákl. přenesená",J239,0)</f>
        <v>0</v>
      </c>
      <c r="BH239" s="216">
        <f>IF(N239="sníž. přenesená",J239,0)</f>
        <v>0</v>
      </c>
      <c r="BI239" s="216">
        <f>IF(N239="nulová",J239,0)</f>
        <v>0</v>
      </c>
      <c r="BJ239" s="103" t="s">
        <v>55</v>
      </c>
      <c r="BK239" s="216">
        <f>ROUND(I239*H239,2)</f>
        <v>0</v>
      </c>
      <c r="BL239" s="103" t="s">
        <v>126</v>
      </c>
      <c r="BM239" s="215" t="s">
        <v>2183</v>
      </c>
    </row>
    <row r="240" spans="2:65" s="256" customFormat="1" x14ac:dyDescent="0.25">
      <c r="B240" s="112"/>
      <c r="D240" s="217" t="s">
        <v>1109</v>
      </c>
      <c r="F240" s="218" t="s">
        <v>2184</v>
      </c>
      <c r="I240" s="324"/>
      <c r="L240" s="112"/>
      <c r="M240" s="219"/>
      <c r="T240" s="128"/>
      <c r="AT240" s="103" t="s">
        <v>1109</v>
      </c>
      <c r="AU240" s="103" t="s">
        <v>65</v>
      </c>
    </row>
    <row r="241" spans="2:65" s="256" customFormat="1" ht="16.5" customHeight="1" x14ac:dyDescent="0.25">
      <c r="B241" s="112"/>
      <c r="C241" s="206" t="s">
        <v>222</v>
      </c>
      <c r="D241" s="206" t="s">
        <v>1104</v>
      </c>
      <c r="E241" s="207" t="s">
        <v>2185</v>
      </c>
      <c r="F241" s="208" t="s">
        <v>2186</v>
      </c>
      <c r="G241" s="209" t="s">
        <v>58</v>
      </c>
      <c r="H241" s="210">
        <v>350</v>
      </c>
      <c r="I241" s="326"/>
      <c r="J241" s="211">
        <f>ROUND(I241*H241,2)</f>
        <v>0</v>
      </c>
      <c r="K241" s="208" t="s">
        <v>1146</v>
      </c>
      <c r="L241" s="112"/>
      <c r="M241" s="325" t="s">
        <v>1010</v>
      </c>
      <c r="N241" s="212" t="s">
        <v>1025</v>
      </c>
      <c r="P241" s="213">
        <f>O241*H241</f>
        <v>0</v>
      </c>
      <c r="Q241" s="213">
        <v>0</v>
      </c>
      <c r="R241" s="213">
        <f>Q241*H241</f>
        <v>0</v>
      </c>
      <c r="S241" s="213">
        <v>1.057E-2</v>
      </c>
      <c r="T241" s="214">
        <f>S241*H241</f>
        <v>3.6995</v>
      </c>
      <c r="AR241" s="215" t="s">
        <v>126</v>
      </c>
      <c r="AT241" s="215" t="s">
        <v>1104</v>
      </c>
      <c r="AU241" s="215" t="s">
        <v>65</v>
      </c>
      <c r="AY241" s="103" t="s">
        <v>1102</v>
      </c>
      <c r="BE241" s="216">
        <f>IF(N241="základní",J241,0)</f>
        <v>0</v>
      </c>
      <c r="BF241" s="216">
        <f>IF(N241="snížená",J241,0)</f>
        <v>0</v>
      </c>
      <c r="BG241" s="216">
        <f>IF(N241="zákl. přenesená",J241,0)</f>
        <v>0</v>
      </c>
      <c r="BH241" s="216">
        <f>IF(N241="sníž. přenesená",J241,0)</f>
        <v>0</v>
      </c>
      <c r="BI241" s="216">
        <f>IF(N241="nulová",J241,0)</f>
        <v>0</v>
      </c>
      <c r="BJ241" s="103" t="s">
        <v>55</v>
      </c>
      <c r="BK241" s="216">
        <f>ROUND(I241*H241,2)</f>
        <v>0</v>
      </c>
      <c r="BL241" s="103" t="s">
        <v>126</v>
      </c>
      <c r="BM241" s="215" t="s">
        <v>2187</v>
      </c>
    </row>
    <row r="242" spans="2:65" s="256" customFormat="1" x14ac:dyDescent="0.25">
      <c r="B242" s="112"/>
      <c r="D242" s="217" t="s">
        <v>1109</v>
      </c>
      <c r="F242" s="218" t="s">
        <v>2188</v>
      </c>
      <c r="I242" s="324"/>
      <c r="L242" s="112"/>
      <c r="M242" s="219"/>
      <c r="T242" s="128"/>
      <c r="AT242" s="103" t="s">
        <v>1109</v>
      </c>
      <c r="AU242" s="103" t="s">
        <v>65</v>
      </c>
    </row>
    <row r="243" spans="2:65" s="256" customFormat="1" ht="24.2" customHeight="1" x14ac:dyDescent="0.25">
      <c r="B243" s="112"/>
      <c r="C243" s="206" t="s">
        <v>223</v>
      </c>
      <c r="D243" s="206" t="s">
        <v>1104</v>
      </c>
      <c r="E243" s="207" t="s">
        <v>2189</v>
      </c>
      <c r="F243" s="208" t="s">
        <v>2190</v>
      </c>
      <c r="G243" s="209" t="s">
        <v>113</v>
      </c>
      <c r="H243" s="210">
        <v>1</v>
      </c>
      <c r="I243" s="326"/>
      <c r="J243" s="211">
        <f>ROUND(I243*H243,2)</f>
        <v>0</v>
      </c>
      <c r="K243" s="208" t="s">
        <v>1146</v>
      </c>
      <c r="L243" s="112"/>
      <c r="M243" s="325" t="s">
        <v>1010</v>
      </c>
      <c r="N243" s="212" t="s">
        <v>1025</v>
      </c>
      <c r="P243" s="213">
        <f>O243*H243</f>
        <v>0</v>
      </c>
      <c r="Q243" s="213">
        <v>1.6549999999999999E-2</v>
      </c>
      <c r="R243" s="213">
        <f>Q243*H243</f>
        <v>1.6549999999999999E-2</v>
      </c>
      <c r="S243" s="213">
        <v>0</v>
      </c>
      <c r="T243" s="214">
        <f>S243*H243</f>
        <v>0</v>
      </c>
      <c r="AR243" s="215" t="s">
        <v>126</v>
      </c>
      <c r="AT243" s="215" t="s">
        <v>1104</v>
      </c>
      <c r="AU243" s="215" t="s">
        <v>65</v>
      </c>
      <c r="AY243" s="103" t="s">
        <v>1102</v>
      </c>
      <c r="BE243" s="216">
        <f>IF(N243="základní",J243,0)</f>
        <v>0</v>
      </c>
      <c r="BF243" s="216">
        <f>IF(N243="snížená",J243,0)</f>
        <v>0</v>
      </c>
      <c r="BG243" s="216">
        <f>IF(N243="zákl. přenesená",J243,0)</f>
        <v>0</v>
      </c>
      <c r="BH243" s="216">
        <f>IF(N243="sníž. přenesená",J243,0)</f>
        <v>0</v>
      </c>
      <c r="BI243" s="216">
        <f>IF(N243="nulová",J243,0)</f>
        <v>0</v>
      </c>
      <c r="BJ243" s="103" t="s">
        <v>55</v>
      </c>
      <c r="BK243" s="216">
        <f>ROUND(I243*H243,2)</f>
        <v>0</v>
      </c>
      <c r="BL243" s="103" t="s">
        <v>126</v>
      </c>
      <c r="BM243" s="215" t="s">
        <v>2191</v>
      </c>
    </row>
    <row r="244" spans="2:65" s="256" customFormat="1" x14ac:dyDescent="0.25">
      <c r="B244" s="112"/>
      <c r="D244" s="217" t="s">
        <v>1109</v>
      </c>
      <c r="F244" s="218" t="s">
        <v>2192</v>
      </c>
      <c r="I244" s="324"/>
      <c r="L244" s="112"/>
      <c r="M244" s="219"/>
      <c r="T244" s="128"/>
      <c r="AT244" s="103" t="s">
        <v>1109</v>
      </c>
      <c r="AU244" s="103" t="s">
        <v>65</v>
      </c>
    </row>
    <row r="245" spans="2:65" s="256" customFormat="1" ht="24.2" customHeight="1" x14ac:dyDescent="0.25">
      <c r="B245" s="112"/>
      <c r="C245" s="206" t="s">
        <v>224</v>
      </c>
      <c r="D245" s="206" t="s">
        <v>1104</v>
      </c>
      <c r="E245" s="207" t="s">
        <v>2193</v>
      </c>
      <c r="F245" s="208" t="s">
        <v>2194</v>
      </c>
      <c r="G245" s="209" t="s">
        <v>113</v>
      </c>
      <c r="H245" s="210">
        <v>20</v>
      </c>
      <c r="I245" s="326"/>
      <c r="J245" s="211">
        <f>ROUND(I245*H245,2)</f>
        <v>0</v>
      </c>
      <c r="K245" s="208" t="s">
        <v>1146</v>
      </c>
      <c r="L245" s="112"/>
      <c r="M245" s="325" t="s">
        <v>1010</v>
      </c>
      <c r="N245" s="212" t="s">
        <v>1025</v>
      </c>
      <c r="P245" s="213">
        <f>O245*H245</f>
        <v>0</v>
      </c>
      <c r="Q245" s="213">
        <v>2.2290000000000001E-2</v>
      </c>
      <c r="R245" s="213">
        <f>Q245*H245</f>
        <v>0.44580000000000003</v>
      </c>
      <c r="S245" s="213">
        <v>0</v>
      </c>
      <c r="T245" s="214">
        <f>S245*H245</f>
        <v>0</v>
      </c>
      <c r="AR245" s="215" t="s">
        <v>126</v>
      </c>
      <c r="AT245" s="215" t="s">
        <v>1104</v>
      </c>
      <c r="AU245" s="215" t="s">
        <v>65</v>
      </c>
      <c r="AY245" s="103" t="s">
        <v>1102</v>
      </c>
      <c r="BE245" s="216">
        <f>IF(N245="základní",J245,0)</f>
        <v>0</v>
      </c>
      <c r="BF245" s="216">
        <f>IF(N245="snížená",J245,0)</f>
        <v>0</v>
      </c>
      <c r="BG245" s="216">
        <f>IF(N245="zákl. přenesená",J245,0)</f>
        <v>0</v>
      </c>
      <c r="BH245" s="216">
        <f>IF(N245="sníž. přenesená",J245,0)</f>
        <v>0</v>
      </c>
      <c r="BI245" s="216">
        <f>IF(N245="nulová",J245,0)</f>
        <v>0</v>
      </c>
      <c r="BJ245" s="103" t="s">
        <v>55</v>
      </c>
      <c r="BK245" s="216">
        <f>ROUND(I245*H245,2)</f>
        <v>0</v>
      </c>
      <c r="BL245" s="103" t="s">
        <v>126</v>
      </c>
      <c r="BM245" s="215" t="s">
        <v>2195</v>
      </c>
    </row>
    <row r="246" spans="2:65" s="256" customFormat="1" x14ac:dyDescent="0.25">
      <c r="B246" s="112"/>
      <c r="D246" s="217" t="s">
        <v>1109</v>
      </c>
      <c r="F246" s="218" t="s">
        <v>2196</v>
      </c>
      <c r="I246" s="324"/>
      <c r="L246" s="112"/>
      <c r="M246" s="219"/>
      <c r="T246" s="128"/>
      <c r="AT246" s="103" t="s">
        <v>1109</v>
      </c>
      <c r="AU246" s="103" t="s">
        <v>65</v>
      </c>
    </row>
    <row r="247" spans="2:65" s="256" customFormat="1" ht="24.2" customHeight="1" x14ac:dyDescent="0.25">
      <c r="B247" s="112"/>
      <c r="C247" s="206" t="s">
        <v>225</v>
      </c>
      <c r="D247" s="206" t="s">
        <v>1104</v>
      </c>
      <c r="E247" s="207" t="s">
        <v>2197</v>
      </c>
      <c r="F247" s="208" t="s">
        <v>2198</v>
      </c>
      <c r="G247" s="209" t="s">
        <v>113</v>
      </c>
      <c r="H247" s="210">
        <v>8</v>
      </c>
      <c r="I247" s="326"/>
      <c r="J247" s="211">
        <f>ROUND(I247*H247,2)</f>
        <v>0</v>
      </c>
      <c r="K247" s="208" t="s">
        <v>1146</v>
      </c>
      <c r="L247" s="112"/>
      <c r="M247" s="325" t="s">
        <v>1010</v>
      </c>
      <c r="N247" s="212" t="s">
        <v>1025</v>
      </c>
      <c r="P247" s="213">
        <f>O247*H247</f>
        <v>0</v>
      </c>
      <c r="Q247" s="213">
        <v>2.5159999999999998E-2</v>
      </c>
      <c r="R247" s="213">
        <f>Q247*H247</f>
        <v>0.20127999999999999</v>
      </c>
      <c r="S247" s="213">
        <v>0</v>
      </c>
      <c r="T247" s="214">
        <f>S247*H247</f>
        <v>0</v>
      </c>
      <c r="AR247" s="215" t="s">
        <v>126</v>
      </c>
      <c r="AT247" s="215" t="s">
        <v>1104</v>
      </c>
      <c r="AU247" s="215" t="s">
        <v>65</v>
      </c>
      <c r="AY247" s="103" t="s">
        <v>1102</v>
      </c>
      <c r="BE247" s="216">
        <f>IF(N247="základní",J247,0)</f>
        <v>0</v>
      </c>
      <c r="BF247" s="216">
        <f>IF(N247="snížená",J247,0)</f>
        <v>0</v>
      </c>
      <c r="BG247" s="216">
        <f>IF(N247="zákl. přenesená",J247,0)</f>
        <v>0</v>
      </c>
      <c r="BH247" s="216">
        <f>IF(N247="sníž. přenesená",J247,0)</f>
        <v>0</v>
      </c>
      <c r="BI247" s="216">
        <f>IF(N247="nulová",J247,0)</f>
        <v>0</v>
      </c>
      <c r="BJ247" s="103" t="s">
        <v>55</v>
      </c>
      <c r="BK247" s="216">
        <f>ROUND(I247*H247,2)</f>
        <v>0</v>
      </c>
      <c r="BL247" s="103" t="s">
        <v>126</v>
      </c>
      <c r="BM247" s="215" t="s">
        <v>2199</v>
      </c>
    </row>
    <row r="248" spans="2:65" s="256" customFormat="1" x14ac:dyDescent="0.25">
      <c r="B248" s="112"/>
      <c r="D248" s="217" t="s">
        <v>1109</v>
      </c>
      <c r="F248" s="218" t="s">
        <v>2200</v>
      </c>
      <c r="I248" s="324"/>
      <c r="L248" s="112"/>
      <c r="M248" s="219"/>
      <c r="T248" s="128"/>
      <c r="AT248" s="103" t="s">
        <v>1109</v>
      </c>
      <c r="AU248" s="103" t="s">
        <v>65</v>
      </c>
    </row>
    <row r="249" spans="2:65" s="256" customFormat="1" ht="24.2" customHeight="1" x14ac:dyDescent="0.25">
      <c r="B249" s="112"/>
      <c r="C249" s="206" t="s">
        <v>231</v>
      </c>
      <c r="D249" s="206" t="s">
        <v>1104</v>
      </c>
      <c r="E249" s="207" t="s">
        <v>2201</v>
      </c>
      <c r="F249" s="208" t="s">
        <v>2202</v>
      </c>
      <c r="G249" s="209" t="s">
        <v>113</v>
      </c>
      <c r="H249" s="210">
        <v>10</v>
      </c>
      <c r="I249" s="326"/>
      <c r="J249" s="211">
        <f>ROUND(I249*H249,2)</f>
        <v>0</v>
      </c>
      <c r="K249" s="208" t="s">
        <v>1146</v>
      </c>
      <c r="L249" s="112"/>
      <c r="M249" s="325" t="s">
        <v>1010</v>
      </c>
      <c r="N249" s="212" t="s">
        <v>1025</v>
      </c>
      <c r="P249" s="213">
        <f>O249*H249</f>
        <v>0</v>
      </c>
      <c r="Q249" s="213">
        <v>2.8029999999999999E-2</v>
      </c>
      <c r="R249" s="213">
        <f>Q249*H249</f>
        <v>0.28029999999999999</v>
      </c>
      <c r="S249" s="213">
        <v>0</v>
      </c>
      <c r="T249" s="214">
        <f>S249*H249</f>
        <v>0</v>
      </c>
      <c r="AR249" s="215" t="s">
        <v>126</v>
      </c>
      <c r="AT249" s="215" t="s">
        <v>1104</v>
      </c>
      <c r="AU249" s="215" t="s">
        <v>65</v>
      </c>
      <c r="AY249" s="103" t="s">
        <v>1102</v>
      </c>
      <c r="BE249" s="216">
        <f>IF(N249="základní",J249,0)</f>
        <v>0</v>
      </c>
      <c r="BF249" s="216">
        <f>IF(N249="snížená",J249,0)</f>
        <v>0</v>
      </c>
      <c r="BG249" s="216">
        <f>IF(N249="zákl. přenesená",J249,0)</f>
        <v>0</v>
      </c>
      <c r="BH249" s="216">
        <f>IF(N249="sníž. přenesená",J249,0)</f>
        <v>0</v>
      </c>
      <c r="BI249" s="216">
        <f>IF(N249="nulová",J249,0)</f>
        <v>0</v>
      </c>
      <c r="BJ249" s="103" t="s">
        <v>55</v>
      </c>
      <c r="BK249" s="216">
        <f>ROUND(I249*H249,2)</f>
        <v>0</v>
      </c>
      <c r="BL249" s="103" t="s">
        <v>126</v>
      </c>
      <c r="BM249" s="215" t="s">
        <v>2203</v>
      </c>
    </row>
    <row r="250" spans="2:65" s="256" customFormat="1" x14ac:dyDescent="0.25">
      <c r="B250" s="112"/>
      <c r="D250" s="217" t="s">
        <v>1109</v>
      </c>
      <c r="F250" s="218" t="s">
        <v>2204</v>
      </c>
      <c r="I250" s="324"/>
      <c r="L250" s="112"/>
      <c r="M250" s="219"/>
      <c r="T250" s="128"/>
      <c r="AT250" s="103" t="s">
        <v>1109</v>
      </c>
      <c r="AU250" s="103" t="s">
        <v>65</v>
      </c>
    </row>
    <row r="251" spans="2:65" s="256" customFormat="1" ht="24.2" customHeight="1" x14ac:dyDescent="0.25">
      <c r="B251" s="112"/>
      <c r="C251" s="206" t="s">
        <v>237</v>
      </c>
      <c r="D251" s="206" t="s">
        <v>1104</v>
      </c>
      <c r="E251" s="207" t="s">
        <v>2205</v>
      </c>
      <c r="F251" s="208" t="s">
        <v>2206</v>
      </c>
      <c r="G251" s="209" t="s">
        <v>113</v>
      </c>
      <c r="H251" s="210">
        <v>24</v>
      </c>
      <c r="I251" s="326"/>
      <c r="J251" s="211">
        <f>ROUND(I251*H251,2)</f>
        <v>0</v>
      </c>
      <c r="K251" s="208" t="s">
        <v>1146</v>
      </c>
      <c r="L251" s="112"/>
      <c r="M251" s="325" t="s">
        <v>1010</v>
      </c>
      <c r="N251" s="212" t="s">
        <v>1025</v>
      </c>
      <c r="P251" s="213">
        <f>O251*H251</f>
        <v>0</v>
      </c>
      <c r="Q251" s="213">
        <v>3.09E-2</v>
      </c>
      <c r="R251" s="213">
        <f>Q251*H251</f>
        <v>0.74160000000000004</v>
      </c>
      <c r="S251" s="213">
        <v>0</v>
      </c>
      <c r="T251" s="214">
        <f>S251*H251</f>
        <v>0</v>
      </c>
      <c r="AR251" s="215" t="s">
        <v>126</v>
      </c>
      <c r="AT251" s="215" t="s">
        <v>1104</v>
      </c>
      <c r="AU251" s="215" t="s">
        <v>65</v>
      </c>
      <c r="AY251" s="103" t="s">
        <v>1102</v>
      </c>
      <c r="BE251" s="216">
        <f>IF(N251="základní",J251,0)</f>
        <v>0</v>
      </c>
      <c r="BF251" s="216">
        <f>IF(N251="snížená",J251,0)</f>
        <v>0</v>
      </c>
      <c r="BG251" s="216">
        <f>IF(N251="zákl. přenesená",J251,0)</f>
        <v>0</v>
      </c>
      <c r="BH251" s="216">
        <f>IF(N251="sníž. přenesená",J251,0)</f>
        <v>0</v>
      </c>
      <c r="BI251" s="216">
        <f>IF(N251="nulová",J251,0)</f>
        <v>0</v>
      </c>
      <c r="BJ251" s="103" t="s">
        <v>55</v>
      </c>
      <c r="BK251" s="216">
        <f>ROUND(I251*H251,2)</f>
        <v>0</v>
      </c>
      <c r="BL251" s="103" t="s">
        <v>126</v>
      </c>
      <c r="BM251" s="215" t="s">
        <v>2207</v>
      </c>
    </row>
    <row r="252" spans="2:65" s="256" customFormat="1" x14ac:dyDescent="0.25">
      <c r="B252" s="112"/>
      <c r="D252" s="217" t="s">
        <v>1109</v>
      </c>
      <c r="F252" s="218" t="s">
        <v>2208</v>
      </c>
      <c r="I252" s="324"/>
      <c r="L252" s="112"/>
      <c r="M252" s="219"/>
      <c r="T252" s="128"/>
      <c r="AT252" s="103" t="s">
        <v>1109</v>
      </c>
      <c r="AU252" s="103" t="s">
        <v>65</v>
      </c>
    </row>
    <row r="253" spans="2:65" s="256" customFormat="1" ht="24.2" customHeight="1" x14ac:dyDescent="0.25">
      <c r="B253" s="112"/>
      <c r="C253" s="206" t="s">
        <v>241</v>
      </c>
      <c r="D253" s="206" t="s">
        <v>1104</v>
      </c>
      <c r="E253" s="207" t="s">
        <v>2209</v>
      </c>
      <c r="F253" s="208" t="s">
        <v>2210</v>
      </c>
      <c r="G253" s="209" t="s">
        <v>113</v>
      </c>
      <c r="H253" s="210">
        <v>1</v>
      </c>
      <c r="I253" s="326"/>
      <c r="J253" s="211">
        <f>ROUND(I253*H253,2)</f>
        <v>0</v>
      </c>
      <c r="K253" s="208" t="s">
        <v>1146</v>
      </c>
      <c r="L253" s="112"/>
      <c r="M253" s="325" t="s">
        <v>1010</v>
      </c>
      <c r="N253" s="212" t="s">
        <v>1025</v>
      </c>
      <c r="P253" s="213">
        <f>O253*H253</f>
        <v>0</v>
      </c>
      <c r="Q253" s="213">
        <v>5.6099999999999997E-2</v>
      </c>
      <c r="R253" s="213">
        <f>Q253*H253</f>
        <v>5.6099999999999997E-2</v>
      </c>
      <c r="S253" s="213">
        <v>0</v>
      </c>
      <c r="T253" s="214">
        <f>S253*H253</f>
        <v>0</v>
      </c>
      <c r="AR253" s="215" t="s">
        <v>126</v>
      </c>
      <c r="AT253" s="215" t="s">
        <v>1104</v>
      </c>
      <c r="AU253" s="215" t="s">
        <v>65</v>
      </c>
      <c r="AY253" s="103" t="s">
        <v>1102</v>
      </c>
      <c r="BE253" s="216">
        <f>IF(N253="základní",J253,0)</f>
        <v>0</v>
      </c>
      <c r="BF253" s="216">
        <f>IF(N253="snížená",J253,0)</f>
        <v>0</v>
      </c>
      <c r="BG253" s="216">
        <f>IF(N253="zákl. přenesená",J253,0)</f>
        <v>0</v>
      </c>
      <c r="BH253" s="216">
        <f>IF(N253="sníž. přenesená",J253,0)</f>
        <v>0</v>
      </c>
      <c r="BI253" s="216">
        <f>IF(N253="nulová",J253,0)</f>
        <v>0</v>
      </c>
      <c r="BJ253" s="103" t="s">
        <v>55</v>
      </c>
      <c r="BK253" s="216">
        <f>ROUND(I253*H253,2)</f>
        <v>0</v>
      </c>
      <c r="BL253" s="103" t="s">
        <v>126</v>
      </c>
      <c r="BM253" s="215" t="s">
        <v>2211</v>
      </c>
    </row>
    <row r="254" spans="2:65" s="256" customFormat="1" x14ac:dyDescent="0.25">
      <c r="B254" s="112"/>
      <c r="D254" s="217" t="s">
        <v>1109</v>
      </c>
      <c r="F254" s="218" t="s">
        <v>2212</v>
      </c>
      <c r="I254" s="324"/>
      <c r="L254" s="112"/>
      <c r="M254" s="219"/>
      <c r="T254" s="128"/>
      <c r="AT254" s="103" t="s">
        <v>1109</v>
      </c>
      <c r="AU254" s="103" t="s">
        <v>65</v>
      </c>
    </row>
    <row r="255" spans="2:65" s="256" customFormat="1" ht="24.2" customHeight="1" x14ac:dyDescent="0.25">
      <c r="B255" s="112"/>
      <c r="C255" s="206" t="s">
        <v>244</v>
      </c>
      <c r="D255" s="206" t="s">
        <v>1104</v>
      </c>
      <c r="E255" s="207" t="s">
        <v>2213</v>
      </c>
      <c r="F255" s="208" t="s">
        <v>2214</v>
      </c>
      <c r="G255" s="209" t="s">
        <v>113</v>
      </c>
      <c r="H255" s="210">
        <v>6</v>
      </c>
      <c r="I255" s="326"/>
      <c r="J255" s="211">
        <f>ROUND(I255*H255,2)</f>
        <v>0</v>
      </c>
      <c r="K255" s="208" t="s">
        <v>1010</v>
      </c>
      <c r="L255" s="112"/>
      <c r="M255" s="325" t="s">
        <v>1010</v>
      </c>
      <c r="N255" s="212" t="s">
        <v>1025</v>
      </c>
      <c r="P255" s="213">
        <f>O255*H255</f>
        <v>0</v>
      </c>
      <c r="Q255" s="213">
        <v>2.5100000000000001E-2</v>
      </c>
      <c r="R255" s="213">
        <f>Q255*H255</f>
        <v>0.15060000000000001</v>
      </c>
      <c r="S255" s="213">
        <v>0</v>
      </c>
      <c r="T255" s="214">
        <f>S255*H255</f>
        <v>0</v>
      </c>
      <c r="AR255" s="215" t="s">
        <v>126</v>
      </c>
      <c r="AT255" s="215" t="s">
        <v>1104</v>
      </c>
      <c r="AU255" s="215" t="s">
        <v>65</v>
      </c>
      <c r="AY255" s="103" t="s">
        <v>1102</v>
      </c>
      <c r="BE255" s="216">
        <f>IF(N255="základní",J255,0)</f>
        <v>0</v>
      </c>
      <c r="BF255" s="216">
        <f>IF(N255="snížená",J255,0)</f>
        <v>0</v>
      </c>
      <c r="BG255" s="216">
        <f>IF(N255="zákl. přenesená",J255,0)</f>
        <v>0</v>
      </c>
      <c r="BH255" s="216">
        <f>IF(N255="sníž. přenesená",J255,0)</f>
        <v>0</v>
      </c>
      <c r="BI255" s="216">
        <f>IF(N255="nulová",J255,0)</f>
        <v>0</v>
      </c>
      <c r="BJ255" s="103" t="s">
        <v>55</v>
      </c>
      <c r="BK255" s="216">
        <f>ROUND(I255*H255,2)</f>
        <v>0</v>
      </c>
      <c r="BL255" s="103" t="s">
        <v>126</v>
      </c>
      <c r="BM255" s="215" t="s">
        <v>2215</v>
      </c>
    </row>
    <row r="256" spans="2:65" s="256" customFormat="1" ht="24.2" customHeight="1" x14ac:dyDescent="0.25">
      <c r="B256" s="112"/>
      <c r="C256" s="206" t="s">
        <v>245</v>
      </c>
      <c r="D256" s="206" t="s">
        <v>1104</v>
      </c>
      <c r="E256" s="207" t="s">
        <v>2216</v>
      </c>
      <c r="F256" s="208" t="s">
        <v>2217</v>
      </c>
      <c r="G256" s="209" t="s">
        <v>1125</v>
      </c>
      <c r="H256" s="210">
        <v>3.7</v>
      </c>
      <c r="I256" s="326"/>
      <c r="J256" s="211">
        <f>ROUND(I256*H256,2)</f>
        <v>0</v>
      </c>
      <c r="K256" s="208" t="s">
        <v>1146</v>
      </c>
      <c r="L256" s="112"/>
      <c r="M256" s="325" t="s">
        <v>1010</v>
      </c>
      <c r="N256" s="212" t="s">
        <v>1025</v>
      </c>
      <c r="P256" s="213">
        <f>O256*H256</f>
        <v>0</v>
      </c>
      <c r="Q256" s="213">
        <v>0</v>
      </c>
      <c r="R256" s="213">
        <f>Q256*H256</f>
        <v>0</v>
      </c>
      <c r="S256" s="213">
        <v>0</v>
      </c>
      <c r="T256" s="214">
        <f>S256*H256</f>
        <v>0</v>
      </c>
      <c r="AR256" s="215" t="s">
        <v>126</v>
      </c>
      <c r="AT256" s="215" t="s">
        <v>1104</v>
      </c>
      <c r="AU256" s="215" t="s">
        <v>65</v>
      </c>
      <c r="AY256" s="103" t="s">
        <v>1102</v>
      </c>
      <c r="BE256" s="216">
        <f>IF(N256="základní",J256,0)</f>
        <v>0</v>
      </c>
      <c r="BF256" s="216">
        <f>IF(N256="snížená",J256,0)</f>
        <v>0</v>
      </c>
      <c r="BG256" s="216">
        <f>IF(N256="zákl. přenesená",J256,0)</f>
        <v>0</v>
      </c>
      <c r="BH256" s="216">
        <f>IF(N256="sníž. přenesená",J256,0)</f>
        <v>0</v>
      </c>
      <c r="BI256" s="216">
        <f>IF(N256="nulová",J256,0)</f>
        <v>0</v>
      </c>
      <c r="BJ256" s="103" t="s">
        <v>55</v>
      </c>
      <c r="BK256" s="216">
        <f>ROUND(I256*H256,2)</f>
        <v>0</v>
      </c>
      <c r="BL256" s="103" t="s">
        <v>126</v>
      </c>
      <c r="BM256" s="215" t="s">
        <v>2218</v>
      </c>
    </row>
    <row r="257" spans="2:65" s="256" customFormat="1" x14ac:dyDescent="0.25">
      <c r="B257" s="112"/>
      <c r="D257" s="217" t="s">
        <v>1109</v>
      </c>
      <c r="F257" s="218" t="s">
        <v>2219</v>
      </c>
      <c r="I257" s="324"/>
      <c r="L257" s="112"/>
      <c r="M257" s="219"/>
      <c r="T257" s="128"/>
      <c r="AT257" s="103" t="s">
        <v>1109</v>
      </c>
      <c r="AU257" s="103" t="s">
        <v>65</v>
      </c>
    </row>
    <row r="258" spans="2:65" s="256" customFormat="1" ht="24.2" customHeight="1" x14ac:dyDescent="0.25">
      <c r="B258" s="112"/>
      <c r="C258" s="206" t="s">
        <v>246</v>
      </c>
      <c r="D258" s="206" t="s">
        <v>1104</v>
      </c>
      <c r="E258" s="207" t="s">
        <v>2220</v>
      </c>
      <c r="F258" s="208" t="s">
        <v>2221</v>
      </c>
      <c r="G258" s="209" t="s">
        <v>1125</v>
      </c>
      <c r="H258" s="210">
        <v>1.8919999999999999</v>
      </c>
      <c r="I258" s="326"/>
      <c r="J258" s="211">
        <f>ROUND(I258*H258,2)</f>
        <v>0</v>
      </c>
      <c r="K258" s="208" t="s">
        <v>1146</v>
      </c>
      <c r="L258" s="112"/>
      <c r="M258" s="325" t="s">
        <v>1010</v>
      </c>
      <c r="N258" s="212" t="s">
        <v>1025</v>
      </c>
      <c r="P258" s="213">
        <f>O258*H258</f>
        <v>0</v>
      </c>
      <c r="Q258" s="213">
        <v>0</v>
      </c>
      <c r="R258" s="213">
        <f>Q258*H258</f>
        <v>0</v>
      </c>
      <c r="S258" s="213">
        <v>0</v>
      </c>
      <c r="T258" s="214">
        <f>S258*H258</f>
        <v>0</v>
      </c>
      <c r="AR258" s="215" t="s">
        <v>126</v>
      </c>
      <c r="AT258" s="215" t="s">
        <v>1104</v>
      </c>
      <c r="AU258" s="215" t="s">
        <v>65</v>
      </c>
      <c r="AY258" s="103" t="s">
        <v>1102</v>
      </c>
      <c r="BE258" s="216">
        <f>IF(N258="základní",J258,0)</f>
        <v>0</v>
      </c>
      <c r="BF258" s="216">
        <f>IF(N258="snížená",J258,0)</f>
        <v>0</v>
      </c>
      <c r="BG258" s="216">
        <f>IF(N258="zákl. přenesená",J258,0)</f>
        <v>0</v>
      </c>
      <c r="BH258" s="216">
        <f>IF(N258="sníž. přenesená",J258,0)</f>
        <v>0</v>
      </c>
      <c r="BI258" s="216">
        <f>IF(N258="nulová",J258,0)</f>
        <v>0</v>
      </c>
      <c r="BJ258" s="103" t="s">
        <v>55</v>
      </c>
      <c r="BK258" s="216">
        <f>ROUND(I258*H258,2)</f>
        <v>0</v>
      </c>
      <c r="BL258" s="103" t="s">
        <v>126</v>
      </c>
      <c r="BM258" s="215" t="s">
        <v>2222</v>
      </c>
    </row>
    <row r="259" spans="2:65" s="256" customFormat="1" x14ac:dyDescent="0.25">
      <c r="B259" s="112"/>
      <c r="D259" s="217" t="s">
        <v>1109</v>
      </c>
      <c r="F259" s="218" t="s">
        <v>2223</v>
      </c>
      <c r="I259" s="324"/>
      <c r="L259" s="112"/>
      <c r="M259" s="219"/>
      <c r="T259" s="128"/>
      <c r="AT259" s="103" t="s">
        <v>1109</v>
      </c>
      <c r="AU259" s="103" t="s">
        <v>65</v>
      </c>
    </row>
    <row r="260" spans="2:65" s="256" customFormat="1" ht="24.2" customHeight="1" x14ac:dyDescent="0.25">
      <c r="B260" s="112"/>
      <c r="C260" s="206" t="s">
        <v>247</v>
      </c>
      <c r="D260" s="206" t="s">
        <v>1104</v>
      </c>
      <c r="E260" s="207" t="s">
        <v>2224</v>
      </c>
      <c r="F260" s="208" t="s">
        <v>2225</v>
      </c>
      <c r="G260" s="209" t="s">
        <v>1125</v>
      </c>
      <c r="H260" s="210">
        <v>1.8919999999999999</v>
      </c>
      <c r="I260" s="326"/>
      <c r="J260" s="211">
        <f>ROUND(I260*H260,2)</f>
        <v>0</v>
      </c>
      <c r="K260" s="208" t="s">
        <v>1146</v>
      </c>
      <c r="L260" s="112"/>
      <c r="M260" s="325" t="s">
        <v>1010</v>
      </c>
      <c r="N260" s="212" t="s">
        <v>1025</v>
      </c>
      <c r="P260" s="213">
        <f>O260*H260</f>
        <v>0</v>
      </c>
      <c r="Q260" s="213">
        <v>0</v>
      </c>
      <c r="R260" s="213">
        <f>Q260*H260</f>
        <v>0</v>
      </c>
      <c r="S260" s="213">
        <v>0</v>
      </c>
      <c r="T260" s="214">
        <f>S260*H260</f>
        <v>0</v>
      </c>
      <c r="AR260" s="215" t="s">
        <v>126</v>
      </c>
      <c r="AT260" s="215" t="s">
        <v>1104</v>
      </c>
      <c r="AU260" s="215" t="s">
        <v>65</v>
      </c>
      <c r="AY260" s="103" t="s">
        <v>1102</v>
      </c>
      <c r="BE260" s="216">
        <f>IF(N260="základní",J260,0)</f>
        <v>0</v>
      </c>
      <c r="BF260" s="216">
        <f>IF(N260="snížená",J260,0)</f>
        <v>0</v>
      </c>
      <c r="BG260" s="216">
        <f>IF(N260="zákl. přenesená",J260,0)</f>
        <v>0</v>
      </c>
      <c r="BH260" s="216">
        <f>IF(N260="sníž. přenesená",J260,0)</f>
        <v>0</v>
      </c>
      <c r="BI260" s="216">
        <f>IF(N260="nulová",J260,0)</f>
        <v>0</v>
      </c>
      <c r="BJ260" s="103" t="s">
        <v>55</v>
      </c>
      <c r="BK260" s="216">
        <f>ROUND(I260*H260,2)</f>
        <v>0</v>
      </c>
      <c r="BL260" s="103" t="s">
        <v>126</v>
      </c>
      <c r="BM260" s="215" t="s">
        <v>2226</v>
      </c>
    </row>
    <row r="261" spans="2:65" s="256" customFormat="1" x14ac:dyDescent="0.25">
      <c r="B261" s="112"/>
      <c r="D261" s="217" t="s">
        <v>1109</v>
      </c>
      <c r="F261" s="218" t="s">
        <v>2227</v>
      </c>
      <c r="I261" s="324"/>
      <c r="L261" s="112"/>
      <c r="M261" s="236"/>
      <c r="N261" s="237"/>
      <c r="O261" s="237"/>
      <c r="P261" s="237"/>
      <c r="Q261" s="237"/>
      <c r="R261" s="237"/>
      <c r="S261" s="237"/>
      <c r="T261" s="238"/>
      <c r="AT261" s="103" t="s">
        <v>1109</v>
      </c>
      <c r="AU261" s="103" t="s">
        <v>65</v>
      </c>
    </row>
    <row r="262" spans="2:65" s="256" customFormat="1" ht="6.95" customHeight="1" x14ac:dyDescent="0.25">
      <c r="B262" s="118"/>
      <c r="C262" s="119"/>
      <c r="D262" s="119"/>
      <c r="E262" s="119"/>
      <c r="F262" s="119"/>
      <c r="G262" s="119"/>
      <c r="H262" s="119"/>
      <c r="I262" s="119"/>
      <c r="J262" s="119"/>
      <c r="K262" s="119"/>
      <c r="L262" s="112"/>
    </row>
  </sheetData>
  <sheetProtection algorithmName="SHA-512" hashValue="B3ELdyAuAMCFcFURfynnWaGD8Pfp8XoP1oGzCb3+9oR0Bgg7RRV2w7PPxmKXWz2/fp9v4VlC20vSW7zwFghhJw==" saltValue="WDI4+R1lb5BwUjQ+oDAnk2JNBKEkW3jGj3+M3uPz3qiiTpeWBl7ivBYTIRTe4ZqswVFSy6nKCRhEEmzZEFnPtQ==" spinCount="100000" sheet="1" objects="1" scenarios="1" formatColumns="0" formatRows="0" autoFilter="0"/>
  <autoFilter ref="C90:K261" xr:uid="{00000000-0009-0000-0000-000004000000}"/>
  <mergeCells count="9">
    <mergeCell ref="E50:H50"/>
    <mergeCell ref="E81:H81"/>
    <mergeCell ref="E83:H83"/>
    <mergeCell ref="L2:V2"/>
    <mergeCell ref="E7:H7"/>
    <mergeCell ref="E9:H9"/>
    <mergeCell ref="E18:H18"/>
    <mergeCell ref="E27:H27"/>
    <mergeCell ref="E48:H48"/>
  </mergeCells>
  <hyperlinks>
    <hyperlink ref="F95" r:id="rId1" xr:uid="{FECB4CD2-33F2-4891-8CEB-38F8E0B3A119}"/>
    <hyperlink ref="F98" r:id="rId2" xr:uid="{CF5C7407-C79B-4415-9928-61682E30CEB4}"/>
    <hyperlink ref="F100" r:id="rId3" xr:uid="{3780A298-4284-438C-98FF-CB9BE11C2523}"/>
    <hyperlink ref="F103" r:id="rId4" xr:uid="{3A8E8E05-41EF-434F-AF1B-944B8A8A83D2}"/>
    <hyperlink ref="F105" r:id="rId5" xr:uid="{EBCF6AC5-981F-4DB0-9F7E-27A3680331A8}"/>
    <hyperlink ref="F107" r:id="rId6" xr:uid="{65179793-26E0-436A-BF26-C5AE080199AE}"/>
    <hyperlink ref="F110" r:id="rId7" xr:uid="{4A748757-9005-4301-B1E8-08A277B7B7E0}"/>
    <hyperlink ref="F112" r:id="rId8" xr:uid="{B48B309A-BE5D-47EC-81F6-9D3EA1358145}"/>
    <hyperlink ref="F114" r:id="rId9" xr:uid="{18F969F7-2D52-495D-8D1E-5AB5A844750D}"/>
    <hyperlink ref="F117" r:id="rId10" xr:uid="{14669850-474B-4A26-8AC5-B2487FBCBC8F}"/>
    <hyperlink ref="F119" r:id="rId11" xr:uid="{CB50D7A0-A991-4FBC-BE78-43346B2FC7FF}"/>
    <hyperlink ref="F122" r:id="rId12" xr:uid="{59686EBE-AA21-4B1D-98D0-8BCCDCFA289B}"/>
    <hyperlink ref="F126" r:id="rId13" xr:uid="{A6326ACD-96C9-456F-9AC2-5CE6DD7F638C}"/>
    <hyperlink ref="F128" r:id="rId14" xr:uid="{E63143DC-DDC8-4217-A15D-95238D6F639D}"/>
    <hyperlink ref="F131" r:id="rId15" xr:uid="{87EB3274-9D08-4DF6-A951-16103FA608A2}"/>
    <hyperlink ref="F133" r:id="rId16" xr:uid="{C22CC3C5-029A-49C1-82A8-067D2173D51C}"/>
    <hyperlink ref="F135" r:id="rId17" xr:uid="{2861DC55-BD61-4C47-AE2E-D102848DE01B}"/>
    <hyperlink ref="F137" r:id="rId18" xr:uid="{6F53123D-82AB-415F-8B9E-AA46F6A6A4D9}"/>
    <hyperlink ref="F139" r:id="rId19" xr:uid="{565B548A-D010-4F2D-884A-DBAC905F76A7}"/>
    <hyperlink ref="F141" r:id="rId20" xr:uid="{3AA4BD7E-32DD-43B1-A11A-F4697AC41CFB}"/>
    <hyperlink ref="F144" r:id="rId21" xr:uid="{C05EEC73-D348-48DA-8704-1082F03500E0}"/>
    <hyperlink ref="F146" r:id="rId22" xr:uid="{6EA4C00D-5B91-4B3B-9FDC-E9D8DABC8857}"/>
    <hyperlink ref="F148" r:id="rId23" xr:uid="{61CF0C28-FFAF-4325-BC25-EEFF2810B5BD}"/>
    <hyperlink ref="F152" r:id="rId24" xr:uid="{D35A9012-7E93-4EF4-9CD3-6F8A4EC2CA36}"/>
    <hyperlink ref="F154" r:id="rId25" xr:uid="{D65677DB-119B-4F2F-9C62-17B7871A95A8}"/>
    <hyperlink ref="F159" r:id="rId26" xr:uid="{CF529C57-24B1-4BF0-AF82-D6221AA50751}"/>
    <hyperlink ref="F161" r:id="rId27" xr:uid="{F66A4E9E-10AD-4560-AF84-30FC7C214C15}"/>
    <hyperlink ref="F163" r:id="rId28" xr:uid="{524E1832-155C-41C2-B57E-7EABDC101D29}"/>
    <hyperlink ref="F165" r:id="rId29" xr:uid="{D66446DD-BFDE-4AA8-8F57-7487421084F7}"/>
    <hyperlink ref="F168" r:id="rId30" xr:uid="{A532878F-AECA-43AC-9C81-AC7904F456A1}"/>
    <hyperlink ref="F171" r:id="rId31" xr:uid="{5E3B786E-0739-4CFF-8B4A-7F39BB66351E}"/>
    <hyperlink ref="F173" r:id="rId32" xr:uid="{89FF9FD8-1487-4B1B-BDC5-8143F83E1F73}"/>
    <hyperlink ref="F175" r:id="rId33" xr:uid="{D3AF41BA-36C1-4F1A-94EF-3D7E0ABD9A16}"/>
    <hyperlink ref="F178" r:id="rId34" xr:uid="{0A01C92F-0374-4A2F-9C32-D33C0622F9EF}"/>
    <hyperlink ref="F181" r:id="rId35" xr:uid="{82E53E55-B7EA-49C6-A495-7B14D39A40C8}"/>
    <hyperlink ref="F186" r:id="rId36" xr:uid="{3AD534B2-52B8-4181-94F2-2B6EFD876724}"/>
    <hyperlink ref="F188" r:id="rId37" xr:uid="{C535EDF9-C7B8-40FE-BEF9-4957213112F9}"/>
    <hyperlink ref="F190" r:id="rId38" xr:uid="{CFA76BFB-6DF0-4372-9A53-314D44F29002}"/>
    <hyperlink ref="F192" r:id="rId39" xr:uid="{C86174AF-0A82-408D-8801-2421955BBC84}"/>
    <hyperlink ref="F194" r:id="rId40" xr:uid="{09E99FE4-4DE3-4701-93F4-123DB6A3CFF3}"/>
    <hyperlink ref="F196" r:id="rId41" xr:uid="{5CD27EB1-A2A3-4B91-A5A7-A96338C76CB2}"/>
    <hyperlink ref="F198" r:id="rId42" xr:uid="{6BE5EFE0-4925-435A-B14D-7CD3BF190A3A}"/>
    <hyperlink ref="F200" r:id="rId43" xr:uid="{AE8C222B-6443-4A60-B0A2-082E0E22D42F}"/>
    <hyperlink ref="F202" r:id="rId44" xr:uid="{2EE9F359-DDBD-4EE1-B6C0-6F2A85391DC9}"/>
    <hyperlink ref="F205" r:id="rId45" xr:uid="{185E4597-D000-4823-86CA-C372B6F2FD10}"/>
    <hyperlink ref="F207" r:id="rId46" xr:uid="{03176FEF-5BAF-4C05-B279-C93D3626BCDC}"/>
    <hyperlink ref="F209" r:id="rId47" xr:uid="{92F0AF60-096F-4DBF-82C5-122DF38B62AB}"/>
    <hyperlink ref="F211" r:id="rId48" xr:uid="{B75E7400-0A73-40B6-856B-67789C5A9A06}"/>
    <hyperlink ref="F213" r:id="rId49" xr:uid="{88436282-3550-401B-BABF-F3C25A364303}"/>
    <hyperlink ref="F216" r:id="rId50" xr:uid="{1704D736-35BB-43E0-ABF8-D3A64448C7FC}"/>
    <hyperlink ref="F218" r:id="rId51" xr:uid="{E37E7CA3-EE79-443C-BD1A-EC1C34ECAAD2}"/>
    <hyperlink ref="F220" r:id="rId52" xr:uid="{3F52CE7E-420E-4687-8A15-0FE69F03189B}"/>
    <hyperlink ref="F222" r:id="rId53" xr:uid="{E5BB3B69-AF47-4F25-A3BD-D9CDDF861D1D}"/>
    <hyperlink ref="F224" r:id="rId54" xr:uid="{03979031-4F1E-4745-AF44-DE911E7010F0}"/>
    <hyperlink ref="F226" r:id="rId55" xr:uid="{E1B067D3-859F-43A4-B2AE-0F00102E4C3D}"/>
    <hyperlink ref="F228" r:id="rId56" xr:uid="{12D3092C-FDDB-429B-9773-CA5F5D4BA7DF}"/>
    <hyperlink ref="F231" r:id="rId57" xr:uid="{7407D9DB-D1A9-491C-97AA-96D049263024}"/>
    <hyperlink ref="F233" r:id="rId58" xr:uid="{5700975E-10C1-4E4A-B91D-7B1E721EB513}"/>
    <hyperlink ref="F235" r:id="rId59" xr:uid="{445B0AC6-72BB-434D-9B2A-717A5631FD68}"/>
    <hyperlink ref="F237" r:id="rId60" xr:uid="{2914EC86-5752-4555-A83A-60FEF3041293}"/>
    <hyperlink ref="F240" r:id="rId61" xr:uid="{4B5B60F5-65C3-4BCF-AC7D-01622C91FB77}"/>
    <hyperlink ref="F242" r:id="rId62" xr:uid="{25551B57-E793-47DB-9AE1-8CA5158206DB}"/>
    <hyperlink ref="F244" r:id="rId63" xr:uid="{C301C6A1-4B57-4E6E-8FD4-8D27AF60197D}"/>
    <hyperlink ref="F246" r:id="rId64" xr:uid="{8CB92933-7D91-4278-B6C3-D683528E5E86}"/>
    <hyperlink ref="F248" r:id="rId65" xr:uid="{F7F84248-2BDF-4C57-B418-E717C943D6ED}"/>
    <hyperlink ref="F250" r:id="rId66" xr:uid="{9B4B99C1-8751-4E1A-AA11-C3FCAF14010A}"/>
    <hyperlink ref="F252" r:id="rId67" xr:uid="{755DABD1-7715-48D1-8541-256B8EF9725F}"/>
    <hyperlink ref="F254" r:id="rId68" xr:uid="{D993E709-335E-4995-A916-1ECEEF389130}"/>
    <hyperlink ref="F257" r:id="rId69" xr:uid="{89EACCA1-407D-4634-938A-370A32B3FB3F}"/>
    <hyperlink ref="F259" r:id="rId70" xr:uid="{7B65814C-1953-4900-A4D9-E81F2FCB217C}"/>
    <hyperlink ref="F261" r:id="rId71" xr:uid="{962FD52E-A128-459D-9425-BBB15184F1F4}"/>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7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E632A-7DEF-4B7B-84CD-BDAFC4A2B36A}">
  <sheetPr>
    <pageSetUpPr fitToPage="1"/>
  </sheetPr>
  <dimension ref="B2:BM150"/>
  <sheetViews>
    <sheetView showGridLines="0" topLeftCell="A71" workbookViewId="0">
      <selection activeCell="X102" sqref="X102"/>
    </sheetView>
  </sheetViews>
  <sheetFormatPr defaultRowHeight="11.25" x14ac:dyDescent="0.2"/>
  <cols>
    <col min="1" max="1" width="7.140625" style="251" customWidth="1"/>
    <col min="2" max="2" width="1" style="251" customWidth="1"/>
    <col min="3" max="3" width="3.5703125" style="251" customWidth="1"/>
    <col min="4" max="4" width="3.7109375" style="251" customWidth="1"/>
    <col min="5" max="5" width="14.7109375" style="251" customWidth="1"/>
    <col min="6" max="6" width="86.42578125" style="251" customWidth="1"/>
    <col min="7" max="7" width="6.42578125" style="251" customWidth="1"/>
    <col min="8" max="8" width="12" style="251" customWidth="1"/>
    <col min="9" max="9" width="13.5703125" style="251" customWidth="1"/>
    <col min="10" max="11" width="19.140625" style="251" customWidth="1"/>
    <col min="12" max="12" width="8" style="251" customWidth="1"/>
    <col min="13" max="13" width="9.28515625" style="251" hidden="1" customWidth="1"/>
    <col min="14" max="14" width="9.140625" style="251"/>
    <col min="15" max="20" width="12.140625" style="251" hidden="1" customWidth="1"/>
    <col min="21" max="21" width="14" style="251" hidden="1" customWidth="1"/>
    <col min="22" max="22" width="10.5703125" style="251" customWidth="1"/>
    <col min="23" max="23" width="14" style="251" customWidth="1"/>
    <col min="24" max="24" width="10.5703125" style="251" customWidth="1"/>
    <col min="25" max="25" width="12.85546875" style="251" customWidth="1"/>
    <col min="26" max="26" width="9.42578125" style="251" customWidth="1"/>
    <col min="27" max="27" width="12.85546875" style="251" customWidth="1"/>
    <col min="28" max="28" width="14" style="251" customWidth="1"/>
    <col min="29" max="29" width="9.42578125" style="251" customWidth="1"/>
    <col min="30" max="30" width="12.85546875" style="251" customWidth="1"/>
    <col min="31" max="31" width="14" style="251" customWidth="1"/>
    <col min="32" max="16384" width="9.140625" style="251"/>
  </cols>
  <sheetData>
    <row r="2" spans="2:46" ht="36.950000000000003" customHeight="1" x14ac:dyDescent="0.2">
      <c r="L2" s="415"/>
      <c r="M2" s="415"/>
      <c r="N2" s="415"/>
      <c r="O2" s="415"/>
      <c r="P2" s="415"/>
      <c r="Q2" s="415"/>
      <c r="R2" s="415"/>
      <c r="S2" s="415"/>
      <c r="T2" s="415"/>
      <c r="U2" s="415"/>
      <c r="V2" s="415"/>
      <c r="AT2" s="103" t="s">
        <v>1063</v>
      </c>
    </row>
    <row r="3" spans="2:46" ht="6.95" customHeight="1" x14ac:dyDescent="0.2">
      <c r="B3" s="104"/>
      <c r="C3" s="105"/>
      <c r="D3" s="105"/>
      <c r="E3" s="105"/>
      <c r="F3" s="105"/>
      <c r="G3" s="105"/>
      <c r="H3" s="105"/>
      <c r="I3" s="105"/>
      <c r="J3" s="105"/>
      <c r="K3" s="105"/>
      <c r="L3" s="106"/>
      <c r="AT3" s="103" t="s">
        <v>65</v>
      </c>
    </row>
    <row r="4" spans="2:46" ht="24.95" customHeight="1" x14ac:dyDescent="0.2">
      <c r="B4" s="106"/>
      <c r="D4" s="107" t="s">
        <v>1069</v>
      </c>
      <c r="L4" s="106"/>
      <c r="M4" s="160" t="s">
        <v>1003</v>
      </c>
      <c r="AT4" s="103" t="s">
        <v>999</v>
      </c>
    </row>
    <row r="5" spans="2:46" ht="6.95" customHeight="1" x14ac:dyDescent="0.2">
      <c r="B5" s="106"/>
      <c r="L5" s="106"/>
    </row>
    <row r="6" spans="2:46" ht="12" customHeight="1" x14ac:dyDescent="0.2">
      <c r="B6" s="106"/>
      <c r="D6" s="257" t="s">
        <v>1007</v>
      </c>
      <c r="L6" s="106"/>
    </row>
    <row r="7" spans="2:46" ht="16.5" customHeight="1" x14ac:dyDescent="0.2">
      <c r="B7" s="106"/>
      <c r="E7" s="413" t="s">
        <v>1008</v>
      </c>
      <c r="F7" s="414"/>
      <c r="G7" s="414"/>
      <c r="H7" s="414"/>
      <c r="L7" s="106"/>
    </row>
    <row r="8" spans="2:46" s="256" customFormat="1" ht="12" customHeight="1" x14ac:dyDescent="0.25">
      <c r="B8" s="112"/>
      <c r="D8" s="257" t="s">
        <v>1070</v>
      </c>
      <c r="L8" s="112"/>
    </row>
    <row r="9" spans="2:46" s="256" customFormat="1" ht="16.5" customHeight="1" x14ac:dyDescent="0.25">
      <c r="B9" s="112"/>
      <c r="E9" s="411" t="s">
        <v>1713</v>
      </c>
      <c r="F9" s="412"/>
      <c r="G9" s="412"/>
      <c r="H9" s="412"/>
      <c r="L9" s="112"/>
    </row>
    <row r="10" spans="2:46" s="256" customFormat="1" x14ac:dyDescent="0.25">
      <c r="B10" s="112"/>
      <c r="L10" s="112"/>
    </row>
    <row r="11" spans="2:46" s="256" customFormat="1" ht="12" customHeight="1" x14ac:dyDescent="0.25">
      <c r="B11" s="112"/>
      <c r="D11" s="257" t="s">
        <v>1009</v>
      </c>
      <c r="F11" s="252" t="s">
        <v>1010</v>
      </c>
      <c r="I11" s="257" t="s">
        <v>1011</v>
      </c>
      <c r="J11" s="252" t="s">
        <v>1010</v>
      </c>
      <c r="L11" s="112"/>
    </row>
    <row r="12" spans="2:46" s="256" customFormat="1" ht="12" customHeight="1" x14ac:dyDescent="0.25">
      <c r="B12" s="112"/>
      <c r="D12" s="257" t="s">
        <v>1012</v>
      </c>
      <c r="F12" s="252" t="s">
        <v>35</v>
      </c>
      <c r="I12" s="257" t="s">
        <v>673</v>
      </c>
      <c r="J12" s="245" t="s">
        <v>1013</v>
      </c>
      <c r="L12" s="112"/>
    </row>
    <row r="13" spans="2:46" s="256" customFormat="1" ht="10.9" customHeight="1" x14ac:dyDescent="0.25">
      <c r="B13" s="112"/>
      <c r="L13" s="112"/>
    </row>
    <row r="14" spans="2:46" s="256" customFormat="1" ht="12" customHeight="1" x14ac:dyDescent="0.25">
      <c r="B14" s="112"/>
      <c r="D14" s="257" t="s">
        <v>1014</v>
      </c>
      <c r="I14" s="257" t="s">
        <v>1015</v>
      </c>
      <c r="J14" s="252" t="s">
        <v>1010</v>
      </c>
      <c r="L14" s="112"/>
    </row>
    <row r="15" spans="2:46" s="256" customFormat="1" ht="18" customHeight="1" x14ac:dyDescent="0.25">
      <c r="B15" s="112"/>
      <c r="E15" s="252" t="s">
        <v>35</v>
      </c>
      <c r="I15" s="257" t="s">
        <v>1016</v>
      </c>
      <c r="J15" s="252" t="s">
        <v>1010</v>
      </c>
      <c r="L15" s="112"/>
    </row>
    <row r="16" spans="2:46" s="256" customFormat="1" ht="6.95" customHeight="1" x14ac:dyDescent="0.25">
      <c r="B16" s="112"/>
      <c r="L16" s="112"/>
    </row>
    <row r="17" spans="2:12" s="256" customFormat="1" ht="12" customHeight="1" x14ac:dyDescent="0.25">
      <c r="B17" s="112"/>
      <c r="D17" s="257" t="s">
        <v>2317</v>
      </c>
      <c r="I17" s="257" t="s">
        <v>1015</v>
      </c>
      <c r="J17" s="331" t="s">
        <v>2320</v>
      </c>
      <c r="L17" s="112"/>
    </row>
    <row r="18" spans="2:12" s="256" customFormat="1" ht="18" customHeight="1" x14ac:dyDescent="0.25">
      <c r="B18" s="112"/>
      <c r="E18" s="416" t="s">
        <v>2320</v>
      </c>
      <c r="F18" s="417"/>
      <c r="G18" s="417"/>
      <c r="H18" s="417"/>
      <c r="I18" s="257" t="s">
        <v>1016</v>
      </c>
      <c r="J18" s="331" t="s">
        <v>2320</v>
      </c>
      <c r="L18" s="112"/>
    </row>
    <row r="19" spans="2:12" s="256" customFormat="1" ht="6.95" customHeight="1" x14ac:dyDescent="0.25">
      <c r="B19" s="112"/>
      <c r="L19" s="112"/>
    </row>
    <row r="20" spans="2:12" s="256" customFormat="1" ht="12" customHeight="1" x14ac:dyDescent="0.25">
      <c r="B20" s="112"/>
      <c r="D20" s="257" t="s">
        <v>14</v>
      </c>
      <c r="I20" s="257" t="s">
        <v>1015</v>
      </c>
      <c r="J20" s="252" t="s">
        <v>1010</v>
      </c>
      <c r="L20" s="112"/>
    </row>
    <row r="21" spans="2:12" s="256" customFormat="1" ht="18" customHeight="1" x14ac:dyDescent="0.25">
      <c r="B21" s="112"/>
      <c r="E21" s="252" t="s">
        <v>35</v>
      </c>
      <c r="I21" s="257" t="s">
        <v>1016</v>
      </c>
      <c r="J21" s="252" t="s">
        <v>1010</v>
      </c>
      <c r="L21" s="112"/>
    </row>
    <row r="22" spans="2:12" s="256" customFormat="1" ht="6.95" customHeight="1" x14ac:dyDescent="0.25">
      <c r="B22" s="112"/>
      <c r="L22" s="112"/>
    </row>
    <row r="23" spans="2:12" s="256" customFormat="1" ht="12" customHeight="1" x14ac:dyDescent="0.25">
      <c r="B23" s="112"/>
      <c r="D23" s="257" t="s">
        <v>1018</v>
      </c>
      <c r="I23" s="257" t="s">
        <v>1015</v>
      </c>
      <c r="J23" s="252" t="s">
        <v>1010</v>
      </c>
      <c r="L23" s="112"/>
    </row>
    <row r="24" spans="2:12" s="256" customFormat="1" ht="18" customHeight="1" x14ac:dyDescent="0.25">
      <c r="B24" s="112"/>
      <c r="E24" s="252" t="s">
        <v>35</v>
      </c>
      <c r="I24" s="257" t="s">
        <v>1016</v>
      </c>
      <c r="J24" s="252" t="s">
        <v>1010</v>
      </c>
      <c r="L24" s="112"/>
    </row>
    <row r="25" spans="2:12" s="256" customFormat="1" ht="6.95" customHeight="1" x14ac:dyDescent="0.25">
      <c r="B25" s="112"/>
      <c r="L25" s="112"/>
    </row>
    <row r="26" spans="2:12" s="256" customFormat="1" ht="12" customHeight="1" x14ac:dyDescent="0.25">
      <c r="B26" s="112"/>
      <c r="D26" s="257" t="s">
        <v>669</v>
      </c>
      <c r="L26" s="112"/>
    </row>
    <row r="27" spans="2:12" s="161" customFormat="1" ht="16.5" customHeight="1" x14ac:dyDescent="0.25">
      <c r="B27" s="162"/>
      <c r="E27" s="418" t="s">
        <v>1010</v>
      </c>
      <c r="F27" s="418"/>
      <c r="G27" s="418"/>
      <c r="H27" s="418"/>
      <c r="L27" s="162"/>
    </row>
    <row r="28" spans="2:12" s="256" customFormat="1" ht="6.95" customHeight="1" x14ac:dyDescent="0.25">
      <c r="B28" s="112"/>
      <c r="L28" s="112"/>
    </row>
    <row r="29" spans="2:12" s="256" customFormat="1" ht="6.95" customHeight="1" x14ac:dyDescent="0.25">
      <c r="B29" s="112"/>
      <c r="D29" s="126"/>
      <c r="E29" s="126"/>
      <c r="F29" s="126"/>
      <c r="G29" s="126"/>
      <c r="H29" s="126"/>
      <c r="I29" s="126"/>
      <c r="J29" s="126"/>
      <c r="K29" s="126"/>
      <c r="L29" s="112"/>
    </row>
    <row r="30" spans="2:12" s="256" customFormat="1" ht="25.35" customHeight="1" x14ac:dyDescent="0.25">
      <c r="B30" s="112"/>
      <c r="D30" s="163" t="s">
        <v>1020</v>
      </c>
      <c r="J30" s="244">
        <f>ROUND(J89, 2)</f>
        <v>0</v>
      </c>
      <c r="L30" s="112"/>
    </row>
    <row r="31" spans="2:12" s="256" customFormat="1" ht="6.95" customHeight="1" x14ac:dyDescent="0.25">
      <c r="B31" s="112"/>
      <c r="D31" s="126"/>
      <c r="E31" s="126"/>
      <c r="F31" s="126"/>
      <c r="G31" s="126"/>
      <c r="H31" s="126"/>
      <c r="I31" s="126"/>
      <c r="J31" s="126"/>
      <c r="K31" s="126"/>
      <c r="L31" s="112"/>
    </row>
    <row r="32" spans="2:12" s="256" customFormat="1" ht="14.45" customHeight="1" x14ac:dyDescent="0.25">
      <c r="B32" s="112"/>
      <c r="F32" s="255" t="s">
        <v>1022</v>
      </c>
      <c r="I32" s="255" t="s">
        <v>1021</v>
      </c>
      <c r="J32" s="255" t="s">
        <v>1023</v>
      </c>
      <c r="L32" s="112"/>
    </row>
    <row r="33" spans="2:12" s="256" customFormat="1" ht="14.45" customHeight="1" x14ac:dyDescent="0.25">
      <c r="B33" s="112"/>
      <c r="D33" s="247" t="s">
        <v>1024</v>
      </c>
      <c r="E33" s="257" t="s">
        <v>1025</v>
      </c>
      <c r="F33" s="164">
        <f>ROUND((SUM(BE89:BE149)),  2)</f>
        <v>0</v>
      </c>
      <c r="I33" s="165">
        <v>0.21</v>
      </c>
      <c r="J33" s="164">
        <f>ROUND(((SUM(BE89:BE149))*I33),  2)</f>
        <v>0</v>
      </c>
      <c r="L33" s="112"/>
    </row>
    <row r="34" spans="2:12" s="256" customFormat="1" ht="14.45" customHeight="1" x14ac:dyDescent="0.25">
      <c r="B34" s="112"/>
      <c r="E34" s="257" t="s">
        <v>1026</v>
      </c>
      <c r="F34" s="164">
        <f>ROUND((SUM(BF89:BF149)),  2)</f>
        <v>0</v>
      </c>
      <c r="I34" s="165">
        <v>0.15</v>
      </c>
      <c r="J34" s="164">
        <f>ROUND(((SUM(BF89:BF149))*I34),  2)</f>
        <v>0</v>
      </c>
      <c r="L34" s="112"/>
    </row>
    <row r="35" spans="2:12" s="256" customFormat="1" ht="14.45" hidden="1" customHeight="1" x14ac:dyDescent="0.25">
      <c r="B35" s="112"/>
      <c r="E35" s="257" t="s">
        <v>1027</v>
      </c>
      <c r="F35" s="164">
        <f>ROUND((SUM(BG89:BG149)),  2)</f>
        <v>0</v>
      </c>
      <c r="I35" s="165">
        <v>0.21</v>
      </c>
      <c r="J35" s="164">
        <f>0</f>
        <v>0</v>
      </c>
      <c r="L35" s="112"/>
    </row>
    <row r="36" spans="2:12" s="256" customFormat="1" ht="14.45" hidden="1" customHeight="1" x14ac:dyDescent="0.25">
      <c r="B36" s="112"/>
      <c r="E36" s="257" t="s">
        <v>1028</v>
      </c>
      <c r="F36" s="164">
        <f>ROUND((SUM(BH89:BH149)),  2)</f>
        <v>0</v>
      </c>
      <c r="I36" s="165">
        <v>0.15</v>
      </c>
      <c r="J36" s="164">
        <f>0</f>
        <v>0</v>
      </c>
      <c r="L36" s="112"/>
    </row>
    <row r="37" spans="2:12" s="256" customFormat="1" ht="14.45" hidden="1" customHeight="1" x14ac:dyDescent="0.25">
      <c r="B37" s="112"/>
      <c r="E37" s="257" t="s">
        <v>1029</v>
      </c>
      <c r="F37" s="164">
        <f>ROUND((SUM(BI89:BI149)),  2)</f>
        <v>0</v>
      </c>
      <c r="I37" s="165">
        <v>0</v>
      </c>
      <c r="J37" s="164">
        <f>0</f>
        <v>0</v>
      </c>
      <c r="L37" s="112"/>
    </row>
    <row r="38" spans="2:12" s="256" customFormat="1" ht="6.95" customHeight="1" x14ac:dyDescent="0.25">
      <c r="B38" s="112"/>
      <c r="L38" s="112"/>
    </row>
    <row r="39" spans="2:12" s="256" customFormat="1" ht="25.35" customHeight="1" x14ac:dyDescent="0.25">
      <c r="B39" s="112"/>
      <c r="C39" s="166"/>
      <c r="D39" s="167" t="s">
        <v>1030</v>
      </c>
      <c r="E39" s="129"/>
      <c r="F39" s="129"/>
      <c r="G39" s="168" t="s">
        <v>1031</v>
      </c>
      <c r="H39" s="169" t="s">
        <v>1032</v>
      </c>
      <c r="I39" s="129"/>
      <c r="J39" s="170">
        <f>SUM(J30:J37)</f>
        <v>0</v>
      </c>
      <c r="K39" s="171"/>
      <c r="L39" s="112"/>
    </row>
    <row r="40" spans="2:12" s="256" customFormat="1" ht="14.45" customHeight="1" x14ac:dyDescent="0.25">
      <c r="B40" s="118"/>
      <c r="C40" s="119"/>
      <c r="D40" s="119"/>
      <c r="E40" s="119"/>
      <c r="F40" s="119"/>
      <c r="G40" s="119"/>
      <c r="H40" s="119"/>
      <c r="I40" s="119"/>
      <c r="J40" s="119"/>
      <c r="K40" s="119"/>
      <c r="L40" s="112"/>
    </row>
    <row r="44" spans="2:12" s="256" customFormat="1" ht="6.95" customHeight="1" x14ac:dyDescent="0.25">
      <c r="B44" s="120"/>
      <c r="C44" s="121"/>
      <c r="D44" s="121"/>
      <c r="E44" s="121"/>
      <c r="F44" s="121"/>
      <c r="G44" s="121"/>
      <c r="H44" s="121"/>
      <c r="I44" s="121"/>
      <c r="J44" s="121"/>
      <c r="K44" s="121"/>
      <c r="L44" s="112"/>
    </row>
    <row r="45" spans="2:12" s="256" customFormat="1" ht="24.95" customHeight="1" x14ac:dyDescent="0.25">
      <c r="B45" s="112"/>
      <c r="C45" s="107" t="s">
        <v>1072</v>
      </c>
      <c r="L45" s="112"/>
    </row>
    <row r="46" spans="2:12" s="256" customFormat="1" ht="6.95" customHeight="1" x14ac:dyDescent="0.25">
      <c r="B46" s="112"/>
      <c r="L46" s="112"/>
    </row>
    <row r="47" spans="2:12" s="256" customFormat="1" ht="12" customHeight="1" x14ac:dyDescent="0.25">
      <c r="B47" s="112"/>
      <c r="C47" s="257" t="s">
        <v>1007</v>
      </c>
      <c r="L47" s="112"/>
    </row>
    <row r="48" spans="2:12" s="256" customFormat="1" ht="16.5" customHeight="1" x14ac:dyDescent="0.25">
      <c r="B48" s="112"/>
      <c r="E48" s="413" t="str">
        <f>E7</f>
        <v>Rekonstrukce administrativní budovy</v>
      </c>
      <c r="F48" s="414"/>
      <c r="G48" s="414"/>
      <c r="H48" s="414"/>
      <c r="L48" s="112"/>
    </row>
    <row r="49" spans="2:47" s="256" customFormat="1" ht="12" customHeight="1" x14ac:dyDescent="0.25">
      <c r="B49" s="112"/>
      <c r="C49" s="257" t="s">
        <v>1070</v>
      </c>
      <c r="L49" s="112"/>
    </row>
    <row r="50" spans="2:47" s="256" customFormat="1" ht="16.5" customHeight="1" x14ac:dyDescent="0.25">
      <c r="B50" s="112"/>
      <c r="E50" s="411" t="str">
        <f>E9</f>
        <v>D14b - Odběrné plynové zařízení</v>
      </c>
      <c r="F50" s="412"/>
      <c r="G50" s="412"/>
      <c r="H50" s="412"/>
      <c r="L50" s="112"/>
    </row>
    <row r="51" spans="2:47" s="256" customFormat="1" ht="6.95" customHeight="1" x14ac:dyDescent="0.25">
      <c r="B51" s="112"/>
      <c r="L51" s="112"/>
    </row>
    <row r="52" spans="2:47" s="256" customFormat="1" ht="12" customHeight="1" x14ac:dyDescent="0.25">
      <c r="B52" s="112"/>
      <c r="C52" s="257" t="s">
        <v>1012</v>
      </c>
      <c r="F52" s="252" t="str">
        <f>F12</f>
        <v xml:space="preserve"> </v>
      </c>
      <c r="I52" s="257" t="s">
        <v>673</v>
      </c>
      <c r="J52" s="245" t="str">
        <f>IF(J12="","",J12)</f>
        <v>31. 1. 2022</v>
      </c>
      <c r="L52" s="112"/>
    </row>
    <row r="53" spans="2:47" s="256" customFormat="1" ht="6.95" customHeight="1" x14ac:dyDescent="0.25">
      <c r="B53" s="112"/>
      <c r="L53" s="112"/>
    </row>
    <row r="54" spans="2:47" s="256" customFormat="1" ht="15.2" customHeight="1" x14ac:dyDescent="0.25">
      <c r="B54" s="112"/>
      <c r="C54" s="257" t="s">
        <v>1014</v>
      </c>
      <c r="F54" s="252" t="str">
        <f>E15</f>
        <v xml:space="preserve"> </v>
      </c>
      <c r="I54" s="257" t="s">
        <v>14</v>
      </c>
      <c r="J54" s="253" t="str">
        <f>E21</f>
        <v xml:space="preserve"> </v>
      </c>
      <c r="L54" s="112"/>
    </row>
    <row r="55" spans="2:47" s="256" customFormat="1" ht="15.2" customHeight="1" x14ac:dyDescent="0.25">
      <c r="B55" s="112"/>
      <c r="C55" s="257" t="s">
        <v>2317</v>
      </c>
      <c r="F55" s="252" t="str">
        <f>IF(E18="","",E18)</f>
        <v>Vyplň údaj</v>
      </c>
      <c r="I55" s="257" t="s">
        <v>1018</v>
      </c>
      <c r="J55" s="253" t="str">
        <f>E24</f>
        <v xml:space="preserve"> </v>
      </c>
      <c r="L55" s="112"/>
    </row>
    <row r="56" spans="2:47" s="256" customFormat="1" ht="10.35" customHeight="1" x14ac:dyDescent="0.25">
      <c r="B56" s="112"/>
      <c r="L56" s="112"/>
    </row>
    <row r="57" spans="2:47" s="256" customFormat="1" ht="29.25" customHeight="1" x14ac:dyDescent="0.25">
      <c r="B57" s="112"/>
      <c r="C57" s="172" t="s">
        <v>1073</v>
      </c>
      <c r="D57" s="166"/>
      <c r="E57" s="166"/>
      <c r="F57" s="166"/>
      <c r="G57" s="166"/>
      <c r="H57" s="166"/>
      <c r="I57" s="166"/>
      <c r="J57" s="173" t="s">
        <v>1074</v>
      </c>
      <c r="K57" s="166"/>
      <c r="L57" s="112"/>
    </row>
    <row r="58" spans="2:47" s="256" customFormat="1" ht="10.35" customHeight="1" x14ac:dyDescent="0.25">
      <c r="B58" s="112"/>
      <c r="L58" s="112"/>
    </row>
    <row r="59" spans="2:47" s="256" customFormat="1" ht="22.9" customHeight="1" x14ac:dyDescent="0.25">
      <c r="B59" s="112"/>
      <c r="C59" s="174" t="s">
        <v>1051</v>
      </c>
      <c r="J59" s="244">
        <f>J89</f>
        <v>0</v>
      </c>
      <c r="L59" s="112"/>
      <c r="AU59" s="103" t="s">
        <v>1075</v>
      </c>
    </row>
    <row r="60" spans="2:47" s="175" customFormat="1" ht="24.95" customHeight="1" x14ac:dyDescent="0.25">
      <c r="B60" s="176"/>
      <c r="D60" s="177" t="s">
        <v>1076</v>
      </c>
      <c r="E60" s="178"/>
      <c r="F60" s="178"/>
      <c r="G60" s="178"/>
      <c r="H60" s="178"/>
      <c r="I60" s="178"/>
      <c r="J60" s="179">
        <f>J90</f>
        <v>0</v>
      </c>
      <c r="L60" s="176"/>
    </row>
    <row r="61" spans="2:47" s="180" customFormat="1" ht="19.899999999999999" customHeight="1" x14ac:dyDescent="0.25">
      <c r="B61" s="181"/>
      <c r="D61" s="182" t="s">
        <v>1078</v>
      </c>
      <c r="E61" s="183"/>
      <c r="F61" s="183"/>
      <c r="G61" s="183"/>
      <c r="H61" s="183"/>
      <c r="I61" s="183"/>
      <c r="J61" s="184">
        <f>J91</f>
        <v>0</v>
      </c>
      <c r="L61" s="181"/>
    </row>
    <row r="62" spans="2:47" s="180" customFormat="1" ht="19.899999999999999" customHeight="1" x14ac:dyDescent="0.25">
      <c r="B62" s="181"/>
      <c r="D62" s="182" t="s">
        <v>1080</v>
      </c>
      <c r="E62" s="183"/>
      <c r="F62" s="183"/>
      <c r="G62" s="183"/>
      <c r="H62" s="183"/>
      <c r="I62" s="183"/>
      <c r="J62" s="184">
        <f>J94</f>
        <v>0</v>
      </c>
      <c r="L62" s="181"/>
    </row>
    <row r="63" spans="2:47" s="180" customFormat="1" ht="19.899999999999999" customHeight="1" x14ac:dyDescent="0.25">
      <c r="B63" s="181"/>
      <c r="D63" s="182" t="s">
        <v>1082</v>
      </c>
      <c r="E63" s="183"/>
      <c r="F63" s="183"/>
      <c r="G63" s="183"/>
      <c r="H63" s="183"/>
      <c r="I63" s="183"/>
      <c r="J63" s="184">
        <f>J97</f>
        <v>0</v>
      </c>
      <c r="L63" s="181"/>
    </row>
    <row r="64" spans="2:47" s="180" customFormat="1" ht="19.899999999999999" customHeight="1" x14ac:dyDescent="0.25">
      <c r="B64" s="181"/>
      <c r="D64" s="182" t="s">
        <v>1083</v>
      </c>
      <c r="E64" s="183"/>
      <c r="F64" s="183"/>
      <c r="G64" s="183"/>
      <c r="H64" s="183"/>
      <c r="I64" s="183"/>
      <c r="J64" s="184">
        <f>J102</f>
        <v>0</v>
      </c>
      <c r="L64" s="181"/>
    </row>
    <row r="65" spans="2:12" s="180" customFormat="1" ht="19.899999999999999" customHeight="1" x14ac:dyDescent="0.25">
      <c r="B65" s="181"/>
      <c r="D65" s="182" t="s">
        <v>1084</v>
      </c>
      <c r="E65" s="183"/>
      <c r="F65" s="183"/>
      <c r="G65" s="183"/>
      <c r="H65" s="183"/>
      <c r="I65" s="183"/>
      <c r="J65" s="184">
        <f>J114</f>
        <v>0</v>
      </c>
      <c r="L65" s="181"/>
    </row>
    <row r="66" spans="2:12" s="175" customFormat="1" ht="24.95" customHeight="1" x14ac:dyDescent="0.25">
      <c r="B66" s="176"/>
      <c r="D66" s="177" t="s">
        <v>1085</v>
      </c>
      <c r="E66" s="178"/>
      <c r="F66" s="178"/>
      <c r="G66" s="178"/>
      <c r="H66" s="178"/>
      <c r="I66" s="178"/>
      <c r="J66" s="179">
        <f>J117</f>
        <v>0</v>
      </c>
      <c r="L66" s="176"/>
    </row>
    <row r="67" spans="2:12" s="180" customFormat="1" ht="19.899999999999999" customHeight="1" x14ac:dyDescent="0.25">
      <c r="B67" s="181"/>
      <c r="D67" s="182" t="s">
        <v>1714</v>
      </c>
      <c r="E67" s="183"/>
      <c r="F67" s="183"/>
      <c r="G67" s="183"/>
      <c r="H67" s="183"/>
      <c r="I67" s="183"/>
      <c r="J67" s="184">
        <f>J118</f>
        <v>0</v>
      </c>
      <c r="L67" s="181"/>
    </row>
    <row r="68" spans="2:12" s="175" customFormat="1" ht="24.95" customHeight="1" x14ac:dyDescent="0.25">
      <c r="B68" s="176"/>
      <c r="D68" s="177" t="s">
        <v>1715</v>
      </c>
      <c r="E68" s="178"/>
      <c r="F68" s="178"/>
      <c r="G68" s="178"/>
      <c r="H68" s="178"/>
      <c r="I68" s="178"/>
      <c r="J68" s="179">
        <f>J144</f>
        <v>0</v>
      </c>
      <c r="L68" s="176"/>
    </row>
    <row r="69" spans="2:12" s="180" customFormat="1" ht="19.899999999999999" customHeight="1" x14ac:dyDescent="0.25">
      <c r="B69" s="181"/>
      <c r="D69" s="182" t="s">
        <v>1716</v>
      </c>
      <c r="E69" s="183"/>
      <c r="F69" s="183"/>
      <c r="G69" s="183"/>
      <c r="H69" s="183"/>
      <c r="I69" s="183"/>
      <c r="J69" s="184">
        <f>J145</f>
        <v>0</v>
      </c>
      <c r="L69" s="181"/>
    </row>
    <row r="70" spans="2:12" s="256" customFormat="1" ht="21.75" customHeight="1" x14ac:dyDescent="0.25">
      <c r="B70" s="112"/>
      <c r="L70" s="112"/>
    </row>
    <row r="71" spans="2:12" s="256" customFormat="1" ht="6.95" customHeight="1" x14ac:dyDescent="0.25">
      <c r="B71" s="118"/>
      <c r="C71" s="119"/>
      <c r="D71" s="119"/>
      <c r="E71" s="119"/>
      <c r="F71" s="119"/>
      <c r="G71" s="119"/>
      <c r="H71" s="119"/>
      <c r="I71" s="119"/>
      <c r="J71" s="119"/>
      <c r="K71" s="119"/>
      <c r="L71" s="112"/>
    </row>
    <row r="75" spans="2:12" s="256" customFormat="1" ht="6.95" customHeight="1" x14ac:dyDescent="0.25">
      <c r="B75" s="120"/>
      <c r="C75" s="121"/>
      <c r="D75" s="121"/>
      <c r="E75" s="121"/>
      <c r="F75" s="121"/>
      <c r="G75" s="121"/>
      <c r="H75" s="121"/>
      <c r="I75" s="121"/>
      <c r="J75" s="121"/>
      <c r="K75" s="121"/>
      <c r="L75" s="112"/>
    </row>
    <row r="76" spans="2:12" s="256" customFormat="1" ht="24.95" customHeight="1" x14ac:dyDescent="0.25">
      <c r="B76" s="112"/>
      <c r="C76" s="107" t="s">
        <v>1089</v>
      </c>
      <c r="L76" s="112"/>
    </row>
    <row r="77" spans="2:12" s="256" customFormat="1" ht="6.95" customHeight="1" x14ac:dyDescent="0.25">
      <c r="B77" s="112"/>
      <c r="L77" s="112"/>
    </row>
    <row r="78" spans="2:12" s="256" customFormat="1" ht="12" customHeight="1" x14ac:dyDescent="0.25">
      <c r="B78" s="112"/>
      <c r="C78" s="257" t="s">
        <v>1007</v>
      </c>
      <c r="L78" s="112"/>
    </row>
    <row r="79" spans="2:12" s="256" customFormat="1" ht="16.5" customHeight="1" x14ac:dyDescent="0.25">
      <c r="B79" s="112"/>
      <c r="E79" s="413" t="str">
        <f>E7</f>
        <v>Rekonstrukce administrativní budovy</v>
      </c>
      <c r="F79" s="414"/>
      <c r="G79" s="414"/>
      <c r="H79" s="414"/>
      <c r="L79" s="112"/>
    </row>
    <row r="80" spans="2:12" s="256" customFormat="1" ht="12" customHeight="1" x14ac:dyDescent="0.25">
      <c r="B80" s="112"/>
      <c r="C80" s="257" t="s">
        <v>1070</v>
      </c>
      <c r="L80" s="112"/>
    </row>
    <row r="81" spans="2:65" s="256" customFormat="1" ht="16.5" customHeight="1" x14ac:dyDescent="0.25">
      <c r="B81" s="112"/>
      <c r="E81" s="411" t="str">
        <f>E9</f>
        <v>D14b - Odběrné plynové zařízení</v>
      </c>
      <c r="F81" s="412"/>
      <c r="G81" s="412"/>
      <c r="H81" s="412"/>
      <c r="L81" s="112"/>
    </row>
    <row r="82" spans="2:65" s="256" customFormat="1" ht="6.95" customHeight="1" x14ac:dyDescent="0.25">
      <c r="B82" s="112"/>
      <c r="L82" s="112"/>
    </row>
    <row r="83" spans="2:65" s="256" customFormat="1" ht="12" customHeight="1" x14ac:dyDescent="0.25">
      <c r="B83" s="112"/>
      <c r="C83" s="257" t="s">
        <v>1012</v>
      </c>
      <c r="F83" s="252" t="str">
        <f>F12</f>
        <v xml:space="preserve"> </v>
      </c>
      <c r="I83" s="257" t="s">
        <v>673</v>
      </c>
      <c r="J83" s="245" t="str">
        <f>IF(J12="","",J12)</f>
        <v>31. 1. 2022</v>
      </c>
      <c r="L83" s="112"/>
    </row>
    <row r="84" spans="2:65" s="256" customFormat="1" ht="6.95" customHeight="1" x14ac:dyDescent="0.25">
      <c r="B84" s="112"/>
      <c r="L84" s="112"/>
    </row>
    <row r="85" spans="2:65" s="256" customFormat="1" ht="15.2" customHeight="1" x14ac:dyDescent="0.25">
      <c r="B85" s="112"/>
      <c r="C85" s="257" t="s">
        <v>1014</v>
      </c>
      <c r="F85" s="252" t="str">
        <f>E15</f>
        <v xml:space="preserve"> </v>
      </c>
      <c r="I85" s="257" t="s">
        <v>14</v>
      </c>
      <c r="J85" s="253" t="str">
        <f>E21</f>
        <v xml:space="preserve"> </v>
      </c>
      <c r="L85" s="112"/>
    </row>
    <row r="86" spans="2:65" s="256" customFormat="1" ht="15.2" customHeight="1" x14ac:dyDescent="0.25">
      <c r="B86" s="112"/>
      <c r="C86" s="257" t="s">
        <v>2317</v>
      </c>
      <c r="F86" s="252" t="str">
        <f>IF(E18="","",E18)</f>
        <v>Vyplň údaj</v>
      </c>
      <c r="I86" s="257" t="s">
        <v>1018</v>
      </c>
      <c r="J86" s="253" t="str">
        <f>E24</f>
        <v xml:space="preserve"> </v>
      </c>
      <c r="L86" s="112"/>
    </row>
    <row r="87" spans="2:65" s="256" customFormat="1" ht="10.35" customHeight="1" x14ac:dyDescent="0.25">
      <c r="B87" s="112"/>
      <c r="L87" s="112"/>
    </row>
    <row r="88" spans="2:65" s="185" customFormat="1" ht="29.25" customHeight="1" x14ac:dyDescent="0.25">
      <c r="B88" s="186"/>
      <c r="C88" s="187" t="s">
        <v>1090</v>
      </c>
      <c r="D88" s="188" t="s">
        <v>1038</v>
      </c>
      <c r="E88" s="188" t="s">
        <v>27</v>
      </c>
      <c r="F88" s="188" t="s">
        <v>1035</v>
      </c>
      <c r="G88" s="188" t="s">
        <v>1091</v>
      </c>
      <c r="H88" s="188" t="s">
        <v>30</v>
      </c>
      <c r="I88" s="188" t="s">
        <v>1092</v>
      </c>
      <c r="J88" s="188" t="s">
        <v>1074</v>
      </c>
      <c r="K88" s="189" t="s">
        <v>1093</v>
      </c>
      <c r="L88" s="186"/>
      <c r="M88" s="131" t="s">
        <v>1010</v>
      </c>
      <c r="N88" s="132" t="s">
        <v>1024</v>
      </c>
      <c r="O88" s="132" t="s">
        <v>1094</v>
      </c>
      <c r="P88" s="132" t="s">
        <v>1095</v>
      </c>
      <c r="Q88" s="132" t="s">
        <v>1096</v>
      </c>
      <c r="R88" s="132" t="s">
        <v>1097</v>
      </c>
      <c r="S88" s="132" t="s">
        <v>1098</v>
      </c>
      <c r="T88" s="133" t="s">
        <v>1099</v>
      </c>
    </row>
    <row r="89" spans="2:65" s="256" customFormat="1" ht="22.9" customHeight="1" x14ac:dyDescent="0.25">
      <c r="B89" s="112"/>
      <c r="C89" s="137" t="s">
        <v>1100</v>
      </c>
      <c r="J89" s="190">
        <f>BK89</f>
        <v>0</v>
      </c>
      <c r="L89" s="112"/>
      <c r="M89" s="134"/>
      <c r="N89" s="126"/>
      <c r="O89" s="126"/>
      <c r="P89" s="191">
        <f>P90+P117+P144</f>
        <v>0</v>
      </c>
      <c r="Q89" s="126"/>
      <c r="R89" s="191">
        <f>R90+R117+R144</f>
        <v>0.39539400000000002</v>
      </c>
      <c r="S89" s="126"/>
      <c r="T89" s="192">
        <f>T90+T117+T144</f>
        <v>0.34908</v>
      </c>
      <c r="AT89" s="103" t="s">
        <v>1052</v>
      </c>
      <c r="AU89" s="103" t="s">
        <v>1075</v>
      </c>
      <c r="BK89" s="193">
        <f>BK90+BK117+BK144</f>
        <v>0</v>
      </c>
    </row>
    <row r="90" spans="2:65" s="194" customFormat="1" ht="25.9" customHeight="1" x14ac:dyDescent="0.2">
      <c r="B90" s="195"/>
      <c r="D90" s="196" t="s">
        <v>1052</v>
      </c>
      <c r="E90" s="197" t="s">
        <v>681</v>
      </c>
      <c r="F90" s="197" t="s">
        <v>1101</v>
      </c>
      <c r="I90" s="327"/>
      <c r="J90" s="198">
        <f>BK90</f>
        <v>0</v>
      </c>
      <c r="L90" s="195"/>
      <c r="M90" s="199"/>
      <c r="P90" s="200">
        <f>P91+P94+P97+P102+P114</f>
        <v>0</v>
      </c>
      <c r="R90" s="200">
        <f>R91+R94+R97+R102+R114</f>
        <v>0.20306199999999999</v>
      </c>
      <c r="T90" s="201">
        <f>T91+T94+T97+T102+T114</f>
        <v>9.2579999999999996E-2</v>
      </c>
      <c r="AR90" s="196" t="s">
        <v>55</v>
      </c>
      <c r="AT90" s="202" t="s">
        <v>1052</v>
      </c>
      <c r="AU90" s="202" t="s">
        <v>166</v>
      </c>
      <c r="AY90" s="196" t="s">
        <v>1102</v>
      </c>
      <c r="BK90" s="203">
        <f>BK91+BK94+BK97+BK102+BK114</f>
        <v>0</v>
      </c>
    </row>
    <row r="91" spans="2:65" s="194" customFormat="1" ht="22.9" customHeight="1" x14ac:dyDescent="0.2">
      <c r="B91" s="195"/>
      <c r="D91" s="196" t="s">
        <v>1052</v>
      </c>
      <c r="E91" s="204" t="s">
        <v>59</v>
      </c>
      <c r="F91" s="204" t="s">
        <v>1143</v>
      </c>
      <c r="I91" s="327"/>
      <c r="J91" s="205">
        <f>BK91</f>
        <v>0</v>
      </c>
      <c r="L91" s="195"/>
      <c r="M91" s="199"/>
      <c r="P91" s="200">
        <f>SUM(P92:P93)</f>
        <v>0</v>
      </c>
      <c r="R91" s="200">
        <f>SUM(R92:R93)</f>
        <v>5.0479999999999997E-2</v>
      </c>
      <c r="T91" s="201">
        <f>SUM(T92:T93)</f>
        <v>0</v>
      </c>
      <c r="AR91" s="196" t="s">
        <v>55</v>
      </c>
      <c r="AT91" s="202" t="s">
        <v>1052</v>
      </c>
      <c r="AU91" s="202" t="s">
        <v>55</v>
      </c>
      <c r="AY91" s="196" t="s">
        <v>1102</v>
      </c>
      <c r="BK91" s="203">
        <f>SUM(BK92:BK93)</f>
        <v>0</v>
      </c>
    </row>
    <row r="92" spans="2:65" s="256" customFormat="1" ht="21.75" customHeight="1" x14ac:dyDescent="0.25">
      <c r="B92" s="112"/>
      <c r="C92" s="206" t="s">
        <v>55</v>
      </c>
      <c r="D92" s="206" t="s">
        <v>1104</v>
      </c>
      <c r="E92" s="207" t="s">
        <v>1144</v>
      </c>
      <c r="F92" s="208" t="s">
        <v>1145</v>
      </c>
      <c r="G92" s="209" t="s">
        <v>113</v>
      </c>
      <c r="H92" s="210">
        <v>4</v>
      </c>
      <c r="I92" s="326"/>
      <c r="J92" s="211">
        <f>ROUND(I92*H92,2)</f>
        <v>0</v>
      </c>
      <c r="K92" s="208" t="s">
        <v>1161</v>
      </c>
      <c r="L92" s="112"/>
      <c r="M92" s="325" t="s">
        <v>1010</v>
      </c>
      <c r="N92" s="212" t="s">
        <v>1025</v>
      </c>
      <c r="P92" s="213">
        <f>O92*H92</f>
        <v>0</v>
      </c>
      <c r="Q92" s="213">
        <v>1.2619999999999999E-2</v>
      </c>
      <c r="R92" s="213">
        <f>Q92*H92</f>
        <v>5.0479999999999997E-2</v>
      </c>
      <c r="S92" s="213">
        <v>0</v>
      </c>
      <c r="T92" s="214">
        <f>S92*H92</f>
        <v>0</v>
      </c>
      <c r="AR92" s="215" t="s">
        <v>76</v>
      </c>
      <c r="AT92" s="215" t="s">
        <v>1104</v>
      </c>
      <c r="AU92" s="215" t="s">
        <v>65</v>
      </c>
      <c r="AY92" s="103" t="s">
        <v>1102</v>
      </c>
      <c r="BE92" s="216">
        <f>IF(N92="základní",J92,0)</f>
        <v>0</v>
      </c>
      <c r="BF92" s="216">
        <f>IF(N92="snížená",J92,0)</f>
        <v>0</v>
      </c>
      <c r="BG92" s="216">
        <f>IF(N92="zákl. přenesená",J92,0)</f>
        <v>0</v>
      </c>
      <c r="BH92" s="216">
        <f>IF(N92="sníž. přenesená",J92,0)</f>
        <v>0</v>
      </c>
      <c r="BI92" s="216">
        <f>IF(N92="nulová",J92,0)</f>
        <v>0</v>
      </c>
      <c r="BJ92" s="103" t="s">
        <v>55</v>
      </c>
      <c r="BK92" s="216">
        <f>ROUND(I92*H92,2)</f>
        <v>0</v>
      </c>
      <c r="BL92" s="103" t="s">
        <v>76</v>
      </c>
      <c r="BM92" s="215" t="s">
        <v>1717</v>
      </c>
    </row>
    <row r="93" spans="2:65" s="256" customFormat="1" x14ac:dyDescent="0.25">
      <c r="B93" s="112"/>
      <c r="D93" s="217" t="s">
        <v>1109</v>
      </c>
      <c r="F93" s="218" t="s">
        <v>1718</v>
      </c>
      <c r="I93" s="324"/>
      <c r="L93" s="112"/>
      <c r="M93" s="219"/>
      <c r="T93" s="128"/>
      <c r="AT93" s="103" t="s">
        <v>1109</v>
      </c>
      <c r="AU93" s="103" t="s">
        <v>65</v>
      </c>
    </row>
    <row r="94" spans="2:65" s="194" customFormat="1" ht="22.9" customHeight="1" x14ac:dyDescent="0.2">
      <c r="B94" s="195"/>
      <c r="D94" s="196" t="s">
        <v>1052</v>
      </c>
      <c r="E94" s="204" t="s">
        <v>88</v>
      </c>
      <c r="F94" s="204" t="s">
        <v>1158</v>
      </c>
      <c r="I94" s="327"/>
      <c r="J94" s="205">
        <f>BK94</f>
        <v>0</v>
      </c>
      <c r="L94" s="195"/>
      <c r="M94" s="199"/>
      <c r="P94" s="200">
        <f>SUM(P95:P96)</f>
        <v>0</v>
      </c>
      <c r="R94" s="200">
        <f>SUM(R95:R96)</f>
        <v>0.152</v>
      </c>
      <c r="T94" s="201">
        <f>SUM(T95:T96)</f>
        <v>0</v>
      </c>
      <c r="AR94" s="196" t="s">
        <v>55</v>
      </c>
      <c r="AT94" s="202" t="s">
        <v>1052</v>
      </c>
      <c r="AU94" s="202" t="s">
        <v>55</v>
      </c>
      <c r="AY94" s="196" t="s">
        <v>1102</v>
      </c>
      <c r="BK94" s="203">
        <f>SUM(BK95:BK96)</f>
        <v>0</v>
      </c>
    </row>
    <row r="95" spans="2:65" s="256" customFormat="1" ht="16.5" customHeight="1" x14ac:dyDescent="0.25">
      <c r="B95" s="112"/>
      <c r="C95" s="206" t="s">
        <v>65</v>
      </c>
      <c r="D95" s="206" t="s">
        <v>1104</v>
      </c>
      <c r="E95" s="207" t="s">
        <v>1159</v>
      </c>
      <c r="F95" s="208" t="s">
        <v>1160</v>
      </c>
      <c r="G95" s="209" t="s">
        <v>58</v>
      </c>
      <c r="H95" s="210">
        <v>3.8</v>
      </c>
      <c r="I95" s="326"/>
      <c r="J95" s="211">
        <f>ROUND(I95*H95,2)</f>
        <v>0</v>
      </c>
      <c r="K95" s="208" t="s">
        <v>1161</v>
      </c>
      <c r="L95" s="112"/>
      <c r="M95" s="325" t="s">
        <v>1010</v>
      </c>
      <c r="N95" s="212" t="s">
        <v>1025</v>
      </c>
      <c r="P95" s="213">
        <f>O95*H95</f>
        <v>0</v>
      </c>
      <c r="Q95" s="213">
        <v>0.04</v>
      </c>
      <c r="R95" s="213">
        <f>Q95*H95</f>
        <v>0.152</v>
      </c>
      <c r="S95" s="213">
        <v>0</v>
      </c>
      <c r="T95" s="214">
        <f>S95*H95</f>
        <v>0</v>
      </c>
      <c r="AR95" s="215" t="s">
        <v>76</v>
      </c>
      <c r="AT95" s="215" t="s">
        <v>1104</v>
      </c>
      <c r="AU95" s="215" t="s">
        <v>65</v>
      </c>
      <c r="AY95" s="103" t="s">
        <v>1102</v>
      </c>
      <c r="BE95" s="216">
        <f>IF(N95="základní",J95,0)</f>
        <v>0</v>
      </c>
      <c r="BF95" s="216">
        <f>IF(N95="snížená",J95,0)</f>
        <v>0</v>
      </c>
      <c r="BG95" s="216">
        <f>IF(N95="zákl. přenesená",J95,0)</f>
        <v>0</v>
      </c>
      <c r="BH95" s="216">
        <f>IF(N95="sníž. přenesená",J95,0)</f>
        <v>0</v>
      </c>
      <c r="BI95" s="216">
        <f>IF(N95="nulová",J95,0)</f>
        <v>0</v>
      </c>
      <c r="BJ95" s="103" t="s">
        <v>55</v>
      </c>
      <c r="BK95" s="216">
        <f>ROUND(I95*H95,2)</f>
        <v>0</v>
      </c>
      <c r="BL95" s="103" t="s">
        <v>76</v>
      </c>
      <c r="BM95" s="215" t="s">
        <v>1719</v>
      </c>
    </row>
    <row r="96" spans="2:65" s="256" customFormat="1" x14ac:dyDescent="0.25">
      <c r="B96" s="112"/>
      <c r="D96" s="217" t="s">
        <v>1109</v>
      </c>
      <c r="F96" s="218" t="s">
        <v>1163</v>
      </c>
      <c r="I96" s="324"/>
      <c r="L96" s="112"/>
      <c r="M96" s="219"/>
      <c r="T96" s="128"/>
      <c r="AT96" s="103" t="s">
        <v>1109</v>
      </c>
      <c r="AU96" s="103" t="s">
        <v>65</v>
      </c>
    </row>
    <row r="97" spans="2:65" s="194" customFormat="1" ht="22.9" customHeight="1" x14ac:dyDescent="0.2">
      <c r="B97" s="195"/>
      <c r="D97" s="196" t="s">
        <v>1052</v>
      </c>
      <c r="E97" s="204" t="s">
        <v>110</v>
      </c>
      <c r="F97" s="204" t="s">
        <v>1227</v>
      </c>
      <c r="I97" s="327"/>
      <c r="J97" s="205">
        <f>BK97</f>
        <v>0</v>
      </c>
      <c r="L97" s="195"/>
      <c r="M97" s="199"/>
      <c r="P97" s="200">
        <f>SUM(P98:P101)</f>
        <v>0</v>
      </c>
      <c r="R97" s="200">
        <f>SUM(R98:R101)</f>
        <v>5.8200000000000005E-4</v>
      </c>
      <c r="T97" s="201">
        <f>SUM(T98:T101)</f>
        <v>9.2579999999999996E-2</v>
      </c>
      <c r="AR97" s="196" t="s">
        <v>55</v>
      </c>
      <c r="AT97" s="202" t="s">
        <v>1052</v>
      </c>
      <c r="AU97" s="202" t="s">
        <v>55</v>
      </c>
      <c r="AY97" s="196" t="s">
        <v>1102</v>
      </c>
      <c r="BK97" s="203">
        <f>SUM(BK98:BK101)</f>
        <v>0</v>
      </c>
    </row>
    <row r="98" spans="2:65" s="256" customFormat="1" ht="21.75" customHeight="1" x14ac:dyDescent="0.25">
      <c r="B98" s="112"/>
      <c r="C98" s="206" t="s">
        <v>59</v>
      </c>
      <c r="D98" s="206" t="s">
        <v>1104</v>
      </c>
      <c r="E98" s="207" t="s">
        <v>1228</v>
      </c>
      <c r="F98" s="208" t="s">
        <v>1229</v>
      </c>
      <c r="G98" s="209" t="s">
        <v>104</v>
      </c>
      <c r="H98" s="210">
        <v>15</v>
      </c>
      <c r="I98" s="326"/>
      <c r="J98" s="211">
        <f>ROUND(I98*H98,2)</f>
        <v>0</v>
      </c>
      <c r="K98" s="208" t="s">
        <v>1161</v>
      </c>
      <c r="L98" s="112"/>
      <c r="M98" s="325" t="s">
        <v>1010</v>
      </c>
      <c r="N98" s="212" t="s">
        <v>1025</v>
      </c>
      <c r="P98" s="213">
        <f>O98*H98</f>
        <v>0</v>
      </c>
      <c r="Q98" s="213">
        <v>0</v>
      </c>
      <c r="R98" s="213">
        <f>Q98*H98</f>
        <v>0</v>
      </c>
      <c r="S98" s="213">
        <v>6.0000000000000001E-3</v>
      </c>
      <c r="T98" s="214">
        <f>S98*H98</f>
        <v>0.09</v>
      </c>
      <c r="AR98" s="215" t="s">
        <v>76</v>
      </c>
      <c r="AT98" s="215" t="s">
        <v>1104</v>
      </c>
      <c r="AU98" s="215" t="s">
        <v>65</v>
      </c>
      <c r="AY98" s="103" t="s">
        <v>1102</v>
      </c>
      <c r="BE98" s="216">
        <f>IF(N98="základní",J98,0)</f>
        <v>0</v>
      </c>
      <c r="BF98" s="216">
        <f>IF(N98="snížená",J98,0)</f>
        <v>0</v>
      </c>
      <c r="BG98" s="216">
        <f>IF(N98="zákl. přenesená",J98,0)</f>
        <v>0</v>
      </c>
      <c r="BH98" s="216">
        <f>IF(N98="sníž. přenesená",J98,0)</f>
        <v>0</v>
      </c>
      <c r="BI98" s="216">
        <f>IF(N98="nulová",J98,0)</f>
        <v>0</v>
      </c>
      <c r="BJ98" s="103" t="s">
        <v>55</v>
      </c>
      <c r="BK98" s="216">
        <f>ROUND(I98*H98,2)</f>
        <v>0</v>
      </c>
      <c r="BL98" s="103" t="s">
        <v>76</v>
      </c>
      <c r="BM98" s="215" t="s">
        <v>1720</v>
      </c>
    </row>
    <row r="99" spans="2:65" s="256" customFormat="1" x14ac:dyDescent="0.25">
      <c r="B99" s="112"/>
      <c r="D99" s="217" t="s">
        <v>1109</v>
      </c>
      <c r="F99" s="218" t="s">
        <v>1721</v>
      </c>
      <c r="I99" s="324"/>
      <c r="L99" s="112"/>
      <c r="M99" s="219"/>
      <c r="T99" s="128"/>
      <c r="AT99" s="103" t="s">
        <v>1109</v>
      </c>
      <c r="AU99" s="103" t="s">
        <v>65</v>
      </c>
    </row>
    <row r="100" spans="2:65" s="256" customFormat="1" ht="24.2" customHeight="1" x14ac:dyDescent="0.25">
      <c r="B100" s="112"/>
      <c r="C100" s="206" t="s">
        <v>76</v>
      </c>
      <c r="D100" s="206" t="s">
        <v>1104</v>
      </c>
      <c r="E100" s="207" t="s">
        <v>1248</v>
      </c>
      <c r="F100" s="208" t="s">
        <v>1249</v>
      </c>
      <c r="G100" s="209" t="s">
        <v>104</v>
      </c>
      <c r="H100" s="210">
        <v>0.6</v>
      </c>
      <c r="I100" s="326"/>
      <c r="J100" s="211">
        <f>ROUND(I100*H100,2)</f>
        <v>0</v>
      </c>
      <c r="K100" s="208" t="s">
        <v>1161</v>
      </c>
      <c r="L100" s="112"/>
      <c r="M100" s="325" t="s">
        <v>1010</v>
      </c>
      <c r="N100" s="212" t="s">
        <v>1025</v>
      </c>
      <c r="P100" s="213">
        <f>O100*H100</f>
        <v>0</v>
      </c>
      <c r="Q100" s="213">
        <v>9.7000000000000005E-4</v>
      </c>
      <c r="R100" s="213">
        <f>Q100*H100</f>
        <v>5.8200000000000005E-4</v>
      </c>
      <c r="S100" s="213">
        <v>4.3E-3</v>
      </c>
      <c r="T100" s="214">
        <f>S100*H100</f>
        <v>2.5799999999999998E-3</v>
      </c>
      <c r="AR100" s="215" t="s">
        <v>76</v>
      </c>
      <c r="AT100" s="215" t="s">
        <v>1104</v>
      </c>
      <c r="AU100" s="215" t="s">
        <v>65</v>
      </c>
      <c r="AY100" s="103" t="s">
        <v>1102</v>
      </c>
      <c r="BE100" s="216">
        <f>IF(N100="základní",J100,0)</f>
        <v>0</v>
      </c>
      <c r="BF100" s="216">
        <f>IF(N100="snížená",J100,0)</f>
        <v>0</v>
      </c>
      <c r="BG100" s="216">
        <f>IF(N100="zákl. přenesená",J100,0)</f>
        <v>0</v>
      </c>
      <c r="BH100" s="216">
        <f>IF(N100="sníž. přenesená",J100,0)</f>
        <v>0</v>
      </c>
      <c r="BI100" s="216">
        <f>IF(N100="nulová",J100,0)</f>
        <v>0</v>
      </c>
      <c r="BJ100" s="103" t="s">
        <v>55</v>
      </c>
      <c r="BK100" s="216">
        <f>ROUND(I100*H100,2)</f>
        <v>0</v>
      </c>
      <c r="BL100" s="103" t="s">
        <v>76</v>
      </c>
      <c r="BM100" s="215" t="s">
        <v>1722</v>
      </c>
    </row>
    <row r="101" spans="2:65" s="256" customFormat="1" x14ac:dyDescent="0.25">
      <c r="B101" s="112"/>
      <c r="D101" s="217" t="s">
        <v>1109</v>
      </c>
      <c r="F101" s="218" t="s">
        <v>1723</v>
      </c>
      <c r="I101" s="324"/>
      <c r="L101" s="112"/>
      <c r="M101" s="219"/>
      <c r="T101" s="128"/>
      <c r="AT101" s="103" t="s">
        <v>1109</v>
      </c>
      <c r="AU101" s="103" t="s">
        <v>65</v>
      </c>
    </row>
    <row r="102" spans="2:65" s="194" customFormat="1" ht="22.9" customHeight="1" x14ac:dyDescent="0.2">
      <c r="B102" s="195"/>
      <c r="D102" s="196" t="s">
        <v>1052</v>
      </c>
      <c r="E102" s="204" t="s">
        <v>1272</v>
      </c>
      <c r="F102" s="204" t="s">
        <v>1273</v>
      </c>
      <c r="I102" s="327"/>
      <c r="J102" s="205">
        <f>BK102</f>
        <v>0</v>
      </c>
      <c r="L102" s="195"/>
      <c r="M102" s="199"/>
      <c r="P102" s="200">
        <f>SUM(P103:P113)</f>
        <v>0</v>
      </c>
      <c r="R102" s="200">
        <f>SUM(R103:R113)</f>
        <v>0</v>
      </c>
      <c r="T102" s="201">
        <f>SUM(T103:T113)</f>
        <v>0</v>
      </c>
      <c r="AR102" s="196" t="s">
        <v>55</v>
      </c>
      <c r="AT102" s="202" t="s">
        <v>1052</v>
      </c>
      <c r="AU102" s="202" t="s">
        <v>55</v>
      </c>
      <c r="AY102" s="196" t="s">
        <v>1102</v>
      </c>
      <c r="BK102" s="203">
        <f>SUM(BK103:BK113)</f>
        <v>0</v>
      </c>
    </row>
    <row r="103" spans="2:65" s="256" customFormat="1" ht="24.2" customHeight="1" x14ac:dyDescent="0.25">
      <c r="B103" s="112"/>
      <c r="C103" s="206" t="s">
        <v>82</v>
      </c>
      <c r="D103" s="206" t="s">
        <v>1104</v>
      </c>
      <c r="E103" s="207" t="s">
        <v>1724</v>
      </c>
      <c r="F103" s="208" t="s">
        <v>1725</v>
      </c>
      <c r="G103" s="209" t="s">
        <v>1125</v>
      </c>
      <c r="H103" s="210">
        <v>0.34899999999999998</v>
      </c>
      <c r="I103" s="326"/>
      <c r="J103" s="211">
        <f>ROUND(I103*H103,2)</f>
        <v>0</v>
      </c>
      <c r="K103" s="208" t="s">
        <v>1161</v>
      </c>
      <c r="L103" s="112"/>
      <c r="M103" s="325" t="s">
        <v>1010</v>
      </c>
      <c r="N103" s="212" t="s">
        <v>1025</v>
      </c>
      <c r="P103" s="213">
        <f>O103*H103</f>
        <v>0</v>
      </c>
      <c r="Q103" s="213">
        <v>0</v>
      </c>
      <c r="R103" s="213">
        <f>Q103*H103</f>
        <v>0</v>
      </c>
      <c r="S103" s="213">
        <v>0</v>
      </c>
      <c r="T103" s="214">
        <f>S103*H103</f>
        <v>0</v>
      </c>
      <c r="AR103" s="215" t="s">
        <v>76</v>
      </c>
      <c r="AT103" s="215" t="s">
        <v>1104</v>
      </c>
      <c r="AU103" s="215" t="s">
        <v>65</v>
      </c>
      <c r="AY103" s="103" t="s">
        <v>1102</v>
      </c>
      <c r="BE103" s="216">
        <f>IF(N103="základní",J103,0)</f>
        <v>0</v>
      </c>
      <c r="BF103" s="216">
        <f>IF(N103="snížená",J103,0)</f>
        <v>0</v>
      </c>
      <c r="BG103" s="216">
        <f>IF(N103="zákl. přenesená",J103,0)</f>
        <v>0</v>
      </c>
      <c r="BH103" s="216">
        <f>IF(N103="sníž. přenesená",J103,0)</f>
        <v>0</v>
      </c>
      <c r="BI103" s="216">
        <f>IF(N103="nulová",J103,0)</f>
        <v>0</v>
      </c>
      <c r="BJ103" s="103" t="s">
        <v>55</v>
      </c>
      <c r="BK103" s="216">
        <f>ROUND(I103*H103,2)</f>
        <v>0</v>
      </c>
      <c r="BL103" s="103" t="s">
        <v>76</v>
      </c>
      <c r="BM103" s="215" t="s">
        <v>1726</v>
      </c>
    </row>
    <row r="104" spans="2:65" s="256" customFormat="1" x14ac:dyDescent="0.25">
      <c r="B104" s="112"/>
      <c r="D104" s="217" t="s">
        <v>1109</v>
      </c>
      <c r="F104" s="218" t="s">
        <v>1727</v>
      </c>
      <c r="I104" s="324"/>
      <c r="L104" s="112"/>
      <c r="M104" s="219"/>
      <c r="T104" s="128"/>
      <c r="AT104" s="103" t="s">
        <v>1109</v>
      </c>
      <c r="AU104" s="103" t="s">
        <v>65</v>
      </c>
    </row>
    <row r="105" spans="2:65" s="256" customFormat="1" ht="21.75" customHeight="1" x14ac:dyDescent="0.25">
      <c r="B105" s="112"/>
      <c r="C105" s="206" t="s">
        <v>88</v>
      </c>
      <c r="D105" s="206" t="s">
        <v>1104</v>
      </c>
      <c r="E105" s="207" t="s">
        <v>1278</v>
      </c>
      <c r="F105" s="208" t="s">
        <v>1279</v>
      </c>
      <c r="G105" s="209" t="s">
        <v>1125</v>
      </c>
      <c r="H105" s="210">
        <v>0.34899999999999998</v>
      </c>
      <c r="I105" s="326"/>
      <c r="J105" s="211">
        <f>ROUND(I105*H105,2)</f>
        <v>0</v>
      </c>
      <c r="K105" s="208" t="s">
        <v>1107</v>
      </c>
      <c r="L105" s="112"/>
      <c r="M105" s="325" t="s">
        <v>1010</v>
      </c>
      <c r="N105" s="212" t="s">
        <v>1025</v>
      </c>
      <c r="P105" s="213">
        <f>O105*H105</f>
        <v>0</v>
      </c>
      <c r="Q105" s="213">
        <v>0</v>
      </c>
      <c r="R105" s="213">
        <f>Q105*H105</f>
        <v>0</v>
      </c>
      <c r="S105" s="213">
        <v>0</v>
      </c>
      <c r="T105" s="214">
        <f>S105*H105</f>
        <v>0</v>
      </c>
      <c r="AR105" s="215" t="s">
        <v>126</v>
      </c>
      <c r="AT105" s="215" t="s">
        <v>1104</v>
      </c>
      <c r="AU105" s="215" t="s">
        <v>65</v>
      </c>
      <c r="AY105" s="103" t="s">
        <v>1102</v>
      </c>
      <c r="BE105" s="216">
        <f>IF(N105="základní",J105,0)</f>
        <v>0</v>
      </c>
      <c r="BF105" s="216">
        <f>IF(N105="snížená",J105,0)</f>
        <v>0</v>
      </c>
      <c r="BG105" s="216">
        <f>IF(N105="zákl. přenesená",J105,0)</f>
        <v>0</v>
      </c>
      <c r="BH105" s="216">
        <f>IF(N105="sníž. přenesená",J105,0)</f>
        <v>0</v>
      </c>
      <c r="BI105" s="216">
        <f>IF(N105="nulová",J105,0)</f>
        <v>0</v>
      </c>
      <c r="BJ105" s="103" t="s">
        <v>55</v>
      </c>
      <c r="BK105" s="216">
        <f>ROUND(I105*H105,2)</f>
        <v>0</v>
      </c>
      <c r="BL105" s="103" t="s">
        <v>126</v>
      </c>
      <c r="BM105" s="215" t="s">
        <v>1728</v>
      </c>
    </row>
    <row r="106" spans="2:65" s="256" customFormat="1" x14ac:dyDescent="0.25">
      <c r="B106" s="112"/>
      <c r="D106" s="217" t="s">
        <v>1109</v>
      </c>
      <c r="F106" s="218" t="s">
        <v>1281</v>
      </c>
      <c r="I106" s="324"/>
      <c r="L106" s="112"/>
      <c r="M106" s="219"/>
      <c r="T106" s="128"/>
      <c r="AT106" s="103" t="s">
        <v>1109</v>
      </c>
      <c r="AU106" s="103" t="s">
        <v>65</v>
      </c>
    </row>
    <row r="107" spans="2:65" s="256" customFormat="1" ht="24.2" customHeight="1" x14ac:dyDescent="0.25">
      <c r="B107" s="112"/>
      <c r="C107" s="206" t="s">
        <v>95</v>
      </c>
      <c r="D107" s="206" t="s">
        <v>1104</v>
      </c>
      <c r="E107" s="207" t="s">
        <v>1282</v>
      </c>
      <c r="F107" s="208" t="s">
        <v>1283</v>
      </c>
      <c r="G107" s="209" t="s">
        <v>1125</v>
      </c>
      <c r="H107" s="210">
        <v>3.49</v>
      </c>
      <c r="I107" s="326"/>
      <c r="J107" s="211">
        <f>ROUND(I107*H107,2)</f>
        <v>0</v>
      </c>
      <c r="K107" s="208" t="s">
        <v>1107</v>
      </c>
      <c r="L107" s="112"/>
      <c r="M107" s="325" t="s">
        <v>1010</v>
      </c>
      <c r="N107" s="212" t="s">
        <v>1025</v>
      </c>
      <c r="P107" s="213">
        <f>O107*H107</f>
        <v>0</v>
      </c>
      <c r="Q107" s="213">
        <v>0</v>
      </c>
      <c r="R107" s="213">
        <f>Q107*H107</f>
        <v>0</v>
      </c>
      <c r="S107" s="213">
        <v>0</v>
      </c>
      <c r="T107" s="214">
        <f>S107*H107</f>
        <v>0</v>
      </c>
      <c r="AR107" s="215" t="s">
        <v>76</v>
      </c>
      <c r="AT107" s="215" t="s">
        <v>1104</v>
      </c>
      <c r="AU107" s="215" t="s">
        <v>65</v>
      </c>
      <c r="AY107" s="103" t="s">
        <v>1102</v>
      </c>
      <c r="BE107" s="216">
        <f>IF(N107="základní",J107,0)</f>
        <v>0</v>
      </c>
      <c r="BF107" s="216">
        <f>IF(N107="snížená",J107,0)</f>
        <v>0</v>
      </c>
      <c r="BG107" s="216">
        <f>IF(N107="zákl. přenesená",J107,0)</f>
        <v>0</v>
      </c>
      <c r="BH107" s="216">
        <f>IF(N107="sníž. přenesená",J107,0)</f>
        <v>0</v>
      </c>
      <c r="BI107" s="216">
        <f>IF(N107="nulová",J107,0)</f>
        <v>0</v>
      </c>
      <c r="BJ107" s="103" t="s">
        <v>55</v>
      </c>
      <c r="BK107" s="216">
        <f>ROUND(I107*H107,2)</f>
        <v>0</v>
      </c>
      <c r="BL107" s="103" t="s">
        <v>76</v>
      </c>
      <c r="BM107" s="215" t="s">
        <v>1729</v>
      </c>
    </row>
    <row r="108" spans="2:65" s="256" customFormat="1" x14ac:dyDescent="0.25">
      <c r="B108" s="112"/>
      <c r="D108" s="217" t="s">
        <v>1109</v>
      </c>
      <c r="F108" s="218" t="s">
        <v>1285</v>
      </c>
      <c r="I108" s="324"/>
      <c r="L108" s="112"/>
      <c r="M108" s="219"/>
      <c r="T108" s="128"/>
      <c r="AT108" s="103" t="s">
        <v>1109</v>
      </c>
      <c r="AU108" s="103" t="s">
        <v>65</v>
      </c>
    </row>
    <row r="109" spans="2:65" s="220" customFormat="1" x14ac:dyDescent="0.25">
      <c r="B109" s="221"/>
      <c r="D109" s="222" t="s">
        <v>1128</v>
      </c>
      <c r="F109" s="223" t="s">
        <v>1730</v>
      </c>
      <c r="H109" s="224">
        <v>3.49</v>
      </c>
      <c r="I109" s="330"/>
      <c r="L109" s="221"/>
      <c r="M109" s="225"/>
      <c r="T109" s="226"/>
      <c r="AT109" s="227" t="s">
        <v>1128</v>
      </c>
      <c r="AU109" s="227" t="s">
        <v>65</v>
      </c>
      <c r="AV109" s="220" t="s">
        <v>65</v>
      </c>
      <c r="AW109" s="220" t="s">
        <v>999</v>
      </c>
      <c r="AX109" s="220" t="s">
        <v>55</v>
      </c>
      <c r="AY109" s="227" t="s">
        <v>1102</v>
      </c>
    </row>
    <row r="110" spans="2:65" s="256" customFormat="1" ht="24.2" customHeight="1" x14ac:dyDescent="0.25">
      <c r="B110" s="112"/>
      <c r="C110" s="206" t="s">
        <v>101</v>
      </c>
      <c r="D110" s="206" t="s">
        <v>1104</v>
      </c>
      <c r="E110" s="207" t="s">
        <v>1287</v>
      </c>
      <c r="F110" s="208" t="s">
        <v>1288</v>
      </c>
      <c r="G110" s="209" t="s">
        <v>1125</v>
      </c>
      <c r="H110" s="210">
        <v>0.34899999999999998</v>
      </c>
      <c r="I110" s="326"/>
      <c r="J110" s="211">
        <f>ROUND(I110*H110,2)</f>
        <v>0</v>
      </c>
      <c r="K110" s="208" t="s">
        <v>1161</v>
      </c>
      <c r="L110" s="112"/>
      <c r="M110" s="325" t="s">
        <v>1010</v>
      </c>
      <c r="N110" s="212" t="s">
        <v>1025</v>
      </c>
      <c r="P110" s="213">
        <f>O110*H110</f>
        <v>0</v>
      </c>
      <c r="Q110" s="213">
        <v>0</v>
      </c>
      <c r="R110" s="213">
        <f>Q110*H110</f>
        <v>0</v>
      </c>
      <c r="S110" s="213">
        <v>0</v>
      </c>
      <c r="T110" s="214">
        <f>S110*H110</f>
        <v>0</v>
      </c>
      <c r="AR110" s="215" t="s">
        <v>76</v>
      </c>
      <c r="AT110" s="215" t="s">
        <v>1104</v>
      </c>
      <c r="AU110" s="215" t="s">
        <v>65</v>
      </c>
      <c r="AY110" s="103" t="s">
        <v>1102</v>
      </c>
      <c r="BE110" s="216">
        <f>IF(N110="základní",J110,0)</f>
        <v>0</v>
      </c>
      <c r="BF110" s="216">
        <f>IF(N110="snížená",J110,0)</f>
        <v>0</v>
      </c>
      <c r="BG110" s="216">
        <f>IF(N110="zákl. přenesená",J110,0)</f>
        <v>0</v>
      </c>
      <c r="BH110" s="216">
        <f>IF(N110="sníž. přenesená",J110,0)</f>
        <v>0</v>
      </c>
      <c r="BI110" s="216">
        <f>IF(N110="nulová",J110,0)</f>
        <v>0</v>
      </c>
      <c r="BJ110" s="103" t="s">
        <v>55</v>
      </c>
      <c r="BK110" s="216">
        <f>ROUND(I110*H110,2)</f>
        <v>0</v>
      </c>
      <c r="BL110" s="103" t="s">
        <v>76</v>
      </c>
      <c r="BM110" s="215" t="s">
        <v>1731</v>
      </c>
    </row>
    <row r="111" spans="2:65" s="256" customFormat="1" x14ac:dyDescent="0.25">
      <c r="B111" s="112"/>
      <c r="D111" s="217" t="s">
        <v>1109</v>
      </c>
      <c r="F111" s="218" t="s">
        <v>1290</v>
      </c>
      <c r="I111" s="324"/>
      <c r="L111" s="112"/>
      <c r="M111" s="219"/>
      <c r="T111" s="128"/>
      <c r="AT111" s="103" t="s">
        <v>1109</v>
      </c>
      <c r="AU111" s="103" t="s">
        <v>65</v>
      </c>
    </row>
    <row r="112" spans="2:65" s="256" customFormat="1" ht="16.5" customHeight="1" x14ac:dyDescent="0.25">
      <c r="B112" s="112"/>
      <c r="C112" s="206" t="s">
        <v>110</v>
      </c>
      <c r="D112" s="206" t="s">
        <v>1104</v>
      </c>
      <c r="E112" s="207" t="s">
        <v>1291</v>
      </c>
      <c r="F112" s="208" t="s">
        <v>1292</v>
      </c>
      <c r="G112" s="209" t="s">
        <v>1125</v>
      </c>
      <c r="H112" s="210">
        <v>0.34899999999999998</v>
      </c>
      <c r="I112" s="326"/>
      <c r="J112" s="211">
        <f>ROUND(I112*H112,2)</f>
        <v>0</v>
      </c>
      <c r="K112" s="208" t="s">
        <v>1107</v>
      </c>
      <c r="L112" s="112"/>
      <c r="M112" s="325" t="s">
        <v>1010</v>
      </c>
      <c r="N112" s="212" t="s">
        <v>1025</v>
      </c>
      <c r="P112" s="213">
        <f>O112*H112</f>
        <v>0</v>
      </c>
      <c r="Q112" s="213">
        <v>0</v>
      </c>
      <c r="R112" s="213">
        <f>Q112*H112</f>
        <v>0</v>
      </c>
      <c r="S112" s="213">
        <v>0</v>
      </c>
      <c r="T112" s="214">
        <f>S112*H112</f>
        <v>0</v>
      </c>
      <c r="AR112" s="215" t="s">
        <v>76</v>
      </c>
      <c r="AT112" s="215" t="s">
        <v>1104</v>
      </c>
      <c r="AU112" s="215" t="s">
        <v>65</v>
      </c>
      <c r="AY112" s="103" t="s">
        <v>1102</v>
      </c>
      <c r="BE112" s="216">
        <f>IF(N112="základní",J112,0)</f>
        <v>0</v>
      </c>
      <c r="BF112" s="216">
        <f>IF(N112="snížená",J112,0)</f>
        <v>0</v>
      </c>
      <c r="BG112" s="216">
        <f>IF(N112="zákl. přenesená",J112,0)</f>
        <v>0</v>
      </c>
      <c r="BH112" s="216">
        <f>IF(N112="sníž. přenesená",J112,0)</f>
        <v>0</v>
      </c>
      <c r="BI112" s="216">
        <f>IF(N112="nulová",J112,0)</f>
        <v>0</v>
      </c>
      <c r="BJ112" s="103" t="s">
        <v>55</v>
      </c>
      <c r="BK112" s="216">
        <f>ROUND(I112*H112,2)</f>
        <v>0</v>
      </c>
      <c r="BL112" s="103" t="s">
        <v>76</v>
      </c>
      <c r="BM112" s="215" t="s">
        <v>1732</v>
      </c>
    </row>
    <row r="113" spans="2:65" s="256" customFormat="1" x14ac:dyDescent="0.25">
      <c r="B113" s="112"/>
      <c r="D113" s="217" t="s">
        <v>1109</v>
      </c>
      <c r="F113" s="218" t="s">
        <v>1294</v>
      </c>
      <c r="I113" s="324"/>
      <c r="L113" s="112"/>
      <c r="M113" s="219"/>
      <c r="T113" s="128"/>
      <c r="AT113" s="103" t="s">
        <v>1109</v>
      </c>
      <c r="AU113" s="103" t="s">
        <v>65</v>
      </c>
    </row>
    <row r="114" spans="2:65" s="194" customFormat="1" ht="22.9" customHeight="1" x14ac:dyDescent="0.2">
      <c r="B114" s="195"/>
      <c r="D114" s="196" t="s">
        <v>1052</v>
      </c>
      <c r="E114" s="204" t="s">
        <v>1295</v>
      </c>
      <c r="F114" s="204" t="s">
        <v>1296</v>
      </c>
      <c r="I114" s="327"/>
      <c r="J114" s="205">
        <f>BK114</f>
        <v>0</v>
      </c>
      <c r="L114" s="195"/>
      <c r="M114" s="199"/>
      <c r="P114" s="200">
        <f>SUM(P115:P116)</f>
        <v>0</v>
      </c>
      <c r="R114" s="200">
        <f>SUM(R115:R116)</f>
        <v>0</v>
      </c>
      <c r="T114" s="201">
        <f>SUM(T115:T116)</f>
        <v>0</v>
      </c>
      <c r="AR114" s="196" t="s">
        <v>55</v>
      </c>
      <c r="AT114" s="202" t="s">
        <v>1052</v>
      </c>
      <c r="AU114" s="202" t="s">
        <v>55</v>
      </c>
      <c r="AY114" s="196" t="s">
        <v>1102</v>
      </c>
      <c r="BK114" s="203">
        <f>SUM(BK115:BK116)</f>
        <v>0</v>
      </c>
    </row>
    <row r="115" spans="2:65" s="256" customFormat="1" ht="33" customHeight="1" x14ac:dyDescent="0.25">
      <c r="B115" s="112"/>
      <c r="C115" s="206" t="s">
        <v>116</v>
      </c>
      <c r="D115" s="206" t="s">
        <v>1104</v>
      </c>
      <c r="E115" s="207" t="s">
        <v>1297</v>
      </c>
      <c r="F115" s="208" t="s">
        <v>1298</v>
      </c>
      <c r="G115" s="209" t="s">
        <v>1125</v>
      </c>
      <c r="H115" s="210">
        <v>0.20300000000000001</v>
      </c>
      <c r="I115" s="326"/>
      <c r="J115" s="211">
        <f>ROUND(I115*H115,2)</f>
        <v>0</v>
      </c>
      <c r="K115" s="208" t="s">
        <v>1161</v>
      </c>
      <c r="L115" s="112"/>
      <c r="M115" s="325" t="s">
        <v>1010</v>
      </c>
      <c r="N115" s="212" t="s">
        <v>1025</v>
      </c>
      <c r="P115" s="213">
        <f>O115*H115</f>
        <v>0</v>
      </c>
      <c r="Q115" s="213">
        <v>0</v>
      </c>
      <c r="R115" s="213">
        <f>Q115*H115</f>
        <v>0</v>
      </c>
      <c r="S115" s="213">
        <v>0</v>
      </c>
      <c r="T115" s="214">
        <f>S115*H115</f>
        <v>0</v>
      </c>
      <c r="AR115" s="215" t="s">
        <v>76</v>
      </c>
      <c r="AT115" s="215" t="s">
        <v>1104</v>
      </c>
      <c r="AU115" s="215" t="s">
        <v>65</v>
      </c>
      <c r="AY115" s="103" t="s">
        <v>1102</v>
      </c>
      <c r="BE115" s="216">
        <f>IF(N115="základní",J115,0)</f>
        <v>0</v>
      </c>
      <c r="BF115" s="216">
        <f>IF(N115="snížená",J115,0)</f>
        <v>0</v>
      </c>
      <c r="BG115" s="216">
        <f>IF(N115="zákl. přenesená",J115,0)</f>
        <v>0</v>
      </c>
      <c r="BH115" s="216">
        <f>IF(N115="sníž. přenesená",J115,0)</f>
        <v>0</v>
      </c>
      <c r="BI115" s="216">
        <f>IF(N115="nulová",J115,0)</f>
        <v>0</v>
      </c>
      <c r="BJ115" s="103" t="s">
        <v>55</v>
      </c>
      <c r="BK115" s="216">
        <f>ROUND(I115*H115,2)</f>
        <v>0</v>
      </c>
      <c r="BL115" s="103" t="s">
        <v>76</v>
      </c>
      <c r="BM115" s="215" t="s">
        <v>1733</v>
      </c>
    </row>
    <row r="116" spans="2:65" s="256" customFormat="1" x14ac:dyDescent="0.25">
      <c r="B116" s="112"/>
      <c r="D116" s="217" t="s">
        <v>1109</v>
      </c>
      <c r="F116" s="218" t="s">
        <v>1734</v>
      </c>
      <c r="I116" s="324"/>
      <c r="L116" s="112"/>
      <c r="M116" s="219"/>
      <c r="T116" s="128"/>
      <c r="AT116" s="103" t="s">
        <v>1109</v>
      </c>
      <c r="AU116" s="103" t="s">
        <v>65</v>
      </c>
    </row>
    <row r="117" spans="2:65" s="194" customFormat="1" ht="25.9" customHeight="1" x14ac:dyDescent="0.2">
      <c r="B117" s="195"/>
      <c r="D117" s="196" t="s">
        <v>1052</v>
      </c>
      <c r="E117" s="197" t="s">
        <v>687</v>
      </c>
      <c r="F117" s="197" t="s">
        <v>1305</v>
      </c>
      <c r="I117" s="327"/>
      <c r="J117" s="198">
        <f>BK117</f>
        <v>0</v>
      </c>
      <c r="L117" s="195"/>
      <c r="M117" s="199"/>
      <c r="P117" s="200">
        <f>P118</f>
        <v>0</v>
      </c>
      <c r="R117" s="200">
        <f>R118</f>
        <v>0.192332</v>
      </c>
      <c r="T117" s="201">
        <f>T118</f>
        <v>0.25650000000000001</v>
      </c>
      <c r="AR117" s="196" t="s">
        <v>65</v>
      </c>
      <c r="AT117" s="202" t="s">
        <v>1052</v>
      </c>
      <c r="AU117" s="202" t="s">
        <v>166</v>
      </c>
      <c r="AY117" s="196" t="s">
        <v>1102</v>
      </c>
      <c r="BK117" s="203">
        <f>BK118</f>
        <v>0</v>
      </c>
    </row>
    <row r="118" spans="2:65" s="194" customFormat="1" ht="22.9" customHeight="1" x14ac:dyDescent="0.2">
      <c r="B118" s="195"/>
      <c r="D118" s="196" t="s">
        <v>1052</v>
      </c>
      <c r="E118" s="204" t="s">
        <v>1735</v>
      </c>
      <c r="F118" s="204" t="s">
        <v>1736</v>
      </c>
      <c r="I118" s="327"/>
      <c r="J118" s="205">
        <f>BK118</f>
        <v>0</v>
      </c>
      <c r="L118" s="195"/>
      <c r="M118" s="199"/>
      <c r="P118" s="200">
        <f>SUM(P119:P143)</f>
        <v>0</v>
      </c>
      <c r="R118" s="200">
        <f>SUM(R119:R143)</f>
        <v>0.192332</v>
      </c>
      <c r="T118" s="201">
        <f>SUM(T119:T143)</f>
        <v>0.25650000000000001</v>
      </c>
      <c r="AR118" s="196" t="s">
        <v>65</v>
      </c>
      <c r="AT118" s="202" t="s">
        <v>1052</v>
      </c>
      <c r="AU118" s="202" t="s">
        <v>55</v>
      </c>
      <c r="AY118" s="196" t="s">
        <v>1102</v>
      </c>
      <c r="BK118" s="203">
        <f>SUM(BK119:BK143)</f>
        <v>0</v>
      </c>
    </row>
    <row r="119" spans="2:65" s="256" customFormat="1" ht="16.5" customHeight="1" x14ac:dyDescent="0.25">
      <c r="B119" s="112"/>
      <c r="C119" s="206" t="s">
        <v>118</v>
      </c>
      <c r="D119" s="206" t="s">
        <v>1104</v>
      </c>
      <c r="E119" s="207" t="s">
        <v>1737</v>
      </c>
      <c r="F119" s="208" t="s">
        <v>1738</v>
      </c>
      <c r="G119" s="209" t="s">
        <v>104</v>
      </c>
      <c r="H119" s="210">
        <v>11.5</v>
      </c>
      <c r="I119" s="326"/>
      <c r="J119" s="211">
        <f>ROUND(I119*H119,2)</f>
        <v>0</v>
      </c>
      <c r="K119" s="208" t="s">
        <v>1161</v>
      </c>
      <c r="L119" s="112"/>
      <c r="M119" s="325" t="s">
        <v>1010</v>
      </c>
      <c r="N119" s="212" t="s">
        <v>1025</v>
      </c>
      <c r="P119" s="213">
        <f>O119*H119</f>
        <v>0</v>
      </c>
      <c r="Q119" s="213">
        <v>2.7799999999999999E-3</v>
      </c>
      <c r="R119" s="213">
        <f>Q119*H119</f>
        <v>3.1969999999999998E-2</v>
      </c>
      <c r="S119" s="213">
        <v>0</v>
      </c>
      <c r="T119" s="214">
        <f>S119*H119</f>
        <v>0</v>
      </c>
      <c r="AR119" s="215" t="s">
        <v>126</v>
      </c>
      <c r="AT119" s="215" t="s">
        <v>1104</v>
      </c>
      <c r="AU119" s="215" t="s">
        <v>65</v>
      </c>
      <c r="AY119" s="103" t="s">
        <v>1102</v>
      </c>
      <c r="BE119" s="216">
        <f>IF(N119="základní",J119,0)</f>
        <v>0</v>
      </c>
      <c r="BF119" s="216">
        <f>IF(N119="snížená",J119,0)</f>
        <v>0</v>
      </c>
      <c r="BG119" s="216">
        <f>IF(N119="zákl. přenesená",J119,0)</f>
        <v>0</v>
      </c>
      <c r="BH119" s="216">
        <f>IF(N119="sníž. přenesená",J119,0)</f>
        <v>0</v>
      </c>
      <c r="BI119" s="216">
        <f>IF(N119="nulová",J119,0)</f>
        <v>0</v>
      </c>
      <c r="BJ119" s="103" t="s">
        <v>55</v>
      </c>
      <c r="BK119" s="216">
        <f>ROUND(I119*H119,2)</f>
        <v>0</v>
      </c>
      <c r="BL119" s="103" t="s">
        <v>126</v>
      </c>
      <c r="BM119" s="215" t="s">
        <v>1739</v>
      </c>
    </row>
    <row r="120" spans="2:65" s="256" customFormat="1" x14ac:dyDescent="0.25">
      <c r="B120" s="112"/>
      <c r="D120" s="217" t="s">
        <v>1109</v>
      </c>
      <c r="F120" s="218" t="s">
        <v>1740</v>
      </c>
      <c r="I120" s="324"/>
      <c r="L120" s="112"/>
      <c r="M120" s="219"/>
      <c r="T120" s="128"/>
      <c r="AT120" s="103" t="s">
        <v>1109</v>
      </c>
      <c r="AU120" s="103" t="s">
        <v>65</v>
      </c>
    </row>
    <row r="121" spans="2:65" s="256" customFormat="1" ht="16.5" customHeight="1" x14ac:dyDescent="0.25">
      <c r="B121" s="112"/>
      <c r="C121" s="228" t="s">
        <v>119</v>
      </c>
      <c r="D121" s="228" t="s">
        <v>1138</v>
      </c>
      <c r="E121" s="229" t="s">
        <v>1741</v>
      </c>
      <c r="F121" s="230" t="s">
        <v>1742</v>
      </c>
      <c r="G121" s="231" t="s">
        <v>113</v>
      </c>
      <c r="H121" s="232">
        <v>24</v>
      </c>
      <c r="I121" s="329"/>
      <c r="J121" s="233">
        <f>ROUND(I121*H121,2)</f>
        <v>0</v>
      </c>
      <c r="K121" s="230" t="s">
        <v>1161</v>
      </c>
      <c r="L121" s="234"/>
      <c r="M121" s="328" t="s">
        <v>1010</v>
      </c>
      <c r="N121" s="235" t="s">
        <v>1025</v>
      </c>
      <c r="P121" s="213">
        <f>O121*H121</f>
        <v>0</v>
      </c>
      <c r="Q121" s="213">
        <v>6.0000000000000002E-5</v>
      </c>
      <c r="R121" s="213">
        <f>Q121*H121</f>
        <v>1.4400000000000001E-3</v>
      </c>
      <c r="S121" s="213">
        <v>0</v>
      </c>
      <c r="T121" s="214">
        <f>S121*H121</f>
        <v>0</v>
      </c>
      <c r="AR121" s="215" t="s">
        <v>160</v>
      </c>
      <c r="AT121" s="215" t="s">
        <v>1138</v>
      </c>
      <c r="AU121" s="215" t="s">
        <v>65</v>
      </c>
      <c r="AY121" s="103" t="s">
        <v>1102</v>
      </c>
      <c r="BE121" s="216">
        <f>IF(N121="základní",J121,0)</f>
        <v>0</v>
      </c>
      <c r="BF121" s="216">
        <f>IF(N121="snížená",J121,0)</f>
        <v>0</v>
      </c>
      <c r="BG121" s="216">
        <f>IF(N121="zákl. přenesená",J121,0)</f>
        <v>0</v>
      </c>
      <c r="BH121" s="216">
        <f>IF(N121="sníž. přenesená",J121,0)</f>
        <v>0</v>
      </c>
      <c r="BI121" s="216">
        <f>IF(N121="nulová",J121,0)</f>
        <v>0</v>
      </c>
      <c r="BJ121" s="103" t="s">
        <v>55</v>
      </c>
      <c r="BK121" s="216">
        <f>ROUND(I121*H121,2)</f>
        <v>0</v>
      </c>
      <c r="BL121" s="103" t="s">
        <v>126</v>
      </c>
      <c r="BM121" s="215" t="s">
        <v>1743</v>
      </c>
    </row>
    <row r="122" spans="2:65" s="256" customFormat="1" ht="16.5" customHeight="1" x14ac:dyDescent="0.25">
      <c r="B122" s="112"/>
      <c r="C122" s="206" t="s">
        <v>120</v>
      </c>
      <c r="D122" s="206" t="s">
        <v>1104</v>
      </c>
      <c r="E122" s="207" t="s">
        <v>1744</v>
      </c>
      <c r="F122" s="208" t="s">
        <v>1745</v>
      </c>
      <c r="G122" s="209" t="s">
        <v>104</v>
      </c>
      <c r="H122" s="210">
        <v>16.5</v>
      </c>
      <c r="I122" s="326"/>
      <c r="J122" s="211">
        <f>ROUND(I122*H122,2)</f>
        <v>0</v>
      </c>
      <c r="K122" s="208" t="s">
        <v>1161</v>
      </c>
      <c r="L122" s="112"/>
      <c r="M122" s="325" t="s">
        <v>1010</v>
      </c>
      <c r="N122" s="212" t="s">
        <v>1025</v>
      </c>
      <c r="P122" s="213">
        <f>O122*H122</f>
        <v>0</v>
      </c>
      <c r="Q122" s="213">
        <v>3.6600000000000001E-3</v>
      </c>
      <c r="R122" s="213">
        <f>Q122*H122</f>
        <v>6.0389999999999999E-2</v>
      </c>
      <c r="S122" s="213">
        <v>0</v>
      </c>
      <c r="T122" s="214">
        <f>S122*H122</f>
        <v>0</v>
      </c>
      <c r="AR122" s="215" t="s">
        <v>126</v>
      </c>
      <c r="AT122" s="215" t="s">
        <v>1104</v>
      </c>
      <c r="AU122" s="215" t="s">
        <v>65</v>
      </c>
      <c r="AY122" s="103" t="s">
        <v>1102</v>
      </c>
      <c r="BE122" s="216">
        <f>IF(N122="základní",J122,0)</f>
        <v>0</v>
      </c>
      <c r="BF122" s="216">
        <f>IF(N122="snížená",J122,0)</f>
        <v>0</v>
      </c>
      <c r="BG122" s="216">
        <f>IF(N122="zákl. přenesená",J122,0)</f>
        <v>0</v>
      </c>
      <c r="BH122" s="216">
        <f>IF(N122="sníž. přenesená",J122,0)</f>
        <v>0</v>
      </c>
      <c r="BI122" s="216">
        <f>IF(N122="nulová",J122,0)</f>
        <v>0</v>
      </c>
      <c r="BJ122" s="103" t="s">
        <v>55</v>
      </c>
      <c r="BK122" s="216">
        <f>ROUND(I122*H122,2)</f>
        <v>0</v>
      </c>
      <c r="BL122" s="103" t="s">
        <v>126</v>
      </c>
      <c r="BM122" s="215" t="s">
        <v>1746</v>
      </c>
    </row>
    <row r="123" spans="2:65" s="256" customFormat="1" x14ac:dyDescent="0.25">
      <c r="B123" s="112"/>
      <c r="D123" s="217" t="s">
        <v>1109</v>
      </c>
      <c r="F123" s="218" t="s">
        <v>1747</v>
      </c>
      <c r="I123" s="324"/>
      <c r="L123" s="112"/>
      <c r="M123" s="219"/>
      <c r="T123" s="128"/>
      <c r="AT123" s="103" t="s">
        <v>1109</v>
      </c>
      <c r="AU123" s="103" t="s">
        <v>65</v>
      </c>
    </row>
    <row r="124" spans="2:65" s="256" customFormat="1" ht="16.5" customHeight="1" x14ac:dyDescent="0.25">
      <c r="B124" s="112"/>
      <c r="C124" s="228" t="s">
        <v>121</v>
      </c>
      <c r="D124" s="228" t="s">
        <v>1138</v>
      </c>
      <c r="E124" s="229" t="s">
        <v>1748</v>
      </c>
      <c r="F124" s="230" t="s">
        <v>1749</v>
      </c>
      <c r="G124" s="231" t="s">
        <v>113</v>
      </c>
      <c r="H124" s="232">
        <v>34</v>
      </c>
      <c r="I124" s="329"/>
      <c r="J124" s="233">
        <f>ROUND(I124*H124,2)</f>
        <v>0</v>
      </c>
      <c r="K124" s="230" t="s">
        <v>1161</v>
      </c>
      <c r="L124" s="234"/>
      <c r="M124" s="328" t="s">
        <v>1010</v>
      </c>
      <c r="N124" s="235" t="s">
        <v>1025</v>
      </c>
      <c r="P124" s="213">
        <f>O124*H124</f>
        <v>0</v>
      </c>
      <c r="Q124" s="213">
        <v>6.4999999999999997E-4</v>
      </c>
      <c r="R124" s="213">
        <f>Q124*H124</f>
        <v>2.2099999999999998E-2</v>
      </c>
      <c r="S124" s="213">
        <v>0</v>
      </c>
      <c r="T124" s="214">
        <f>S124*H124</f>
        <v>0</v>
      </c>
      <c r="AR124" s="215" t="s">
        <v>160</v>
      </c>
      <c r="AT124" s="215" t="s">
        <v>1138</v>
      </c>
      <c r="AU124" s="215" t="s">
        <v>65</v>
      </c>
      <c r="AY124" s="103" t="s">
        <v>1102</v>
      </c>
      <c r="BE124" s="216">
        <f>IF(N124="základní",J124,0)</f>
        <v>0</v>
      </c>
      <c r="BF124" s="216">
        <f>IF(N124="snížená",J124,0)</f>
        <v>0</v>
      </c>
      <c r="BG124" s="216">
        <f>IF(N124="zákl. přenesená",J124,0)</f>
        <v>0</v>
      </c>
      <c r="BH124" s="216">
        <f>IF(N124="sníž. přenesená",J124,0)</f>
        <v>0</v>
      </c>
      <c r="BI124" s="216">
        <f>IF(N124="nulová",J124,0)</f>
        <v>0</v>
      </c>
      <c r="BJ124" s="103" t="s">
        <v>55</v>
      </c>
      <c r="BK124" s="216">
        <f>ROUND(I124*H124,2)</f>
        <v>0</v>
      </c>
      <c r="BL124" s="103" t="s">
        <v>126</v>
      </c>
      <c r="BM124" s="215" t="s">
        <v>1750</v>
      </c>
    </row>
    <row r="125" spans="2:65" s="256" customFormat="1" ht="16.5" customHeight="1" x14ac:dyDescent="0.25">
      <c r="B125" s="112"/>
      <c r="C125" s="206" t="s">
        <v>124</v>
      </c>
      <c r="D125" s="206" t="s">
        <v>1104</v>
      </c>
      <c r="E125" s="207" t="s">
        <v>1751</v>
      </c>
      <c r="F125" s="208" t="s">
        <v>1752</v>
      </c>
      <c r="G125" s="209" t="s">
        <v>104</v>
      </c>
      <c r="H125" s="210">
        <v>7.8</v>
      </c>
      <c r="I125" s="326"/>
      <c r="J125" s="211">
        <f>ROUND(I125*H125,2)</f>
        <v>0</v>
      </c>
      <c r="K125" s="208" t="s">
        <v>1161</v>
      </c>
      <c r="L125" s="112"/>
      <c r="M125" s="325" t="s">
        <v>1010</v>
      </c>
      <c r="N125" s="212" t="s">
        <v>1025</v>
      </c>
      <c r="P125" s="213">
        <f>O125*H125</f>
        <v>0</v>
      </c>
      <c r="Q125" s="213">
        <v>4.2900000000000004E-3</v>
      </c>
      <c r="R125" s="213">
        <f>Q125*H125</f>
        <v>3.3462000000000006E-2</v>
      </c>
      <c r="S125" s="213">
        <v>0</v>
      </c>
      <c r="T125" s="214">
        <f>S125*H125</f>
        <v>0</v>
      </c>
      <c r="AR125" s="215" t="s">
        <v>126</v>
      </c>
      <c r="AT125" s="215" t="s">
        <v>1104</v>
      </c>
      <c r="AU125" s="215" t="s">
        <v>65</v>
      </c>
      <c r="AY125" s="103" t="s">
        <v>1102</v>
      </c>
      <c r="BE125" s="216">
        <f>IF(N125="základní",J125,0)</f>
        <v>0</v>
      </c>
      <c r="BF125" s="216">
        <f>IF(N125="snížená",J125,0)</f>
        <v>0</v>
      </c>
      <c r="BG125" s="216">
        <f>IF(N125="zákl. přenesená",J125,0)</f>
        <v>0</v>
      </c>
      <c r="BH125" s="216">
        <f>IF(N125="sníž. přenesená",J125,0)</f>
        <v>0</v>
      </c>
      <c r="BI125" s="216">
        <f>IF(N125="nulová",J125,0)</f>
        <v>0</v>
      </c>
      <c r="BJ125" s="103" t="s">
        <v>55</v>
      </c>
      <c r="BK125" s="216">
        <f>ROUND(I125*H125,2)</f>
        <v>0</v>
      </c>
      <c r="BL125" s="103" t="s">
        <v>126</v>
      </c>
      <c r="BM125" s="215" t="s">
        <v>1753</v>
      </c>
    </row>
    <row r="126" spans="2:65" s="256" customFormat="1" x14ac:dyDescent="0.25">
      <c r="B126" s="112"/>
      <c r="D126" s="217" t="s">
        <v>1109</v>
      </c>
      <c r="F126" s="218" t="s">
        <v>1754</v>
      </c>
      <c r="I126" s="324"/>
      <c r="L126" s="112"/>
      <c r="M126" s="219"/>
      <c r="T126" s="128"/>
      <c r="AT126" s="103" t="s">
        <v>1109</v>
      </c>
      <c r="AU126" s="103" t="s">
        <v>65</v>
      </c>
    </row>
    <row r="127" spans="2:65" s="256" customFormat="1" ht="16.5" customHeight="1" x14ac:dyDescent="0.25">
      <c r="B127" s="112"/>
      <c r="C127" s="228" t="s">
        <v>126</v>
      </c>
      <c r="D127" s="228" t="s">
        <v>1138</v>
      </c>
      <c r="E127" s="229" t="s">
        <v>1451</v>
      </c>
      <c r="F127" s="230" t="s">
        <v>1452</v>
      </c>
      <c r="G127" s="231" t="s">
        <v>113</v>
      </c>
      <c r="H127" s="232">
        <v>16</v>
      </c>
      <c r="I127" s="329"/>
      <c r="J127" s="233">
        <f>ROUND(I127*H127,2)</f>
        <v>0</v>
      </c>
      <c r="K127" s="230" t="s">
        <v>1161</v>
      </c>
      <c r="L127" s="234"/>
      <c r="M127" s="328" t="s">
        <v>1010</v>
      </c>
      <c r="N127" s="235" t="s">
        <v>1025</v>
      </c>
      <c r="P127" s="213">
        <f>O127*H127</f>
        <v>0</v>
      </c>
      <c r="Q127" s="213">
        <v>6.8000000000000005E-4</v>
      </c>
      <c r="R127" s="213">
        <f>Q127*H127</f>
        <v>1.0880000000000001E-2</v>
      </c>
      <c r="S127" s="213">
        <v>0</v>
      </c>
      <c r="T127" s="214">
        <f>S127*H127</f>
        <v>0</v>
      </c>
      <c r="AR127" s="215" t="s">
        <v>160</v>
      </c>
      <c r="AT127" s="215" t="s">
        <v>1138</v>
      </c>
      <c r="AU127" s="215" t="s">
        <v>65</v>
      </c>
      <c r="AY127" s="103" t="s">
        <v>1102</v>
      </c>
      <c r="BE127" s="216">
        <f>IF(N127="základní",J127,0)</f>
        <v>0</v>
      </c>
      <c r="BF127" s="216">
        <f>IF(N127="snížená",J127,0)</f>
        <v>0</v>
      </c>
      <c r="BG127" s="216">
        <f>IF(N127="zákl. přenesená",J127,0)</f>
        <v>0</v>
      </c>
      <c r="BH127" s="216">
        <f>IF(N127="sníž. přenesená",J127,0)</f>
        <v>0</v>
      </c>
      <c r="BI127" s="216">
        <f>IF(N127="nulová",J127,0)</f>
        <v>0</v>
      </c>
      <c r="BJ127" s="103" t="s">
        <v>55</v>
      </c>
      <c r="BK127" s="216">
        <f>ROUND(I127*H127,2)</f>
        <v>0</v>
      </c>
      <c r="BL127" s="103" t="s">
        <v>126</v>
      </c>
      <c r="BM127" s="215" t="s">
        <v>1755</v>
      </c>
    </row>
    <row r="128" spans="2:65" s="256" customFormat="1" ht="16.5" customHeight="1" x14ac:dyDescent="0.25">
      <c r="B128" s="112"/>
      <c r="C128" s="206" t="s">
        <v>128</v>
      </c>
      <c r="D128" s="206" t="s">
        <v>1104</v>
      </c>
      <c r="E128" s="207" t="s">
        <v>1756</v>
      </c>
      <c r="F128" s="208" t="s">
        <v>1757</v>
      </c>
      <c r="G128" s="209" t="s">
        <v>104</v>
      </c>
      <c r="H128" s="210">
        <v>75</v>
      </c>
      <c r="I128" s="326"/>
      <c r="J128" s="211">
        <f>ROUND(I128*H128,2)</f>
        <v>0</v>
      </c>
      <c r="K128" s="208" t="s">
        <v>1161</v>
      </c>
      <c r="L128" s="112"/>
      <c r="M128" s="325" t="s">
        <v>1010</v>
      </c>
      <c r="N128" s="212" t="s">
        <v>1025</v>
      </c>
      <c r="P128" s="213">
        <f>O128*H128</f>
        <v>0</v>
      </c>
      <c r="Q128" s="213">
        <v>3.8999999999999999E-4</v>
      </c>
      <c r="R128" s="213">
        <f>Q128*H128</f>
        <v>2.9249999999999998E-2</v>
      </c>
      <c r="S128" s="213">
        <v>3.4199999999999999E-3</v>
      </c>
      <c r="T128" s="214">
        <f>S128*H128</f>
        <v>0.25650000000000001</v>
      </c>
      <c r="AR128" s="215" t="s">
        <v>126</v>
      </c>
      <c r="AT128" s="215" t="s">
        <v>1104</v>
      </c>
      <c r="AU128" s="215" t="s">
        <v>65</v>
      </c>
      <c r="AY128" s="103" t="s">
        <v>1102</v>
      </c>
      <c r="BE128" s="216">
        <f>IF(N128="základní",J128,0)</f>
        <v>0</v>
      </c>
      <c r="BF128" s="216">
        <f>IF(N128="snížená",J128,0)</f>
        <v>0</v>
      </c>
      <c r="BG128" s="216">
        <f>IF(N128="zákl. přenesená",J128,0)</f>
        <v>0</v>
      </c>
      <c r="BH128" s="216">
        <f>IF(N128="sníž. přenesená",J128,0)</f>
        <v>0</v>
      </c>
      <c r="BI128" s="216">
        <f>IF(N128="nulová",J128,0)</f>
        <v>0</v>
      </c>
      <c r="BJ128" s="103" t="s">
        <v>55</v>
      </c>
      <c r="BK128" s="216">
        <f>ROUND(I128*H128,2)</f>
        <v>0</v>
      </c>
      <c r="BL128" s="103" t="s">
        <v>126</v>
      </c>
      <c r="BM128" s="215" t="s">
        <v>1758</v>
      </c>
    </row>
    <row r="129" spans="2:65" s="256" customFormat="1" x14ac:dyDescent="0.25">
      <c r="B129" s="112"/>
      <c r="D129" s="217" t="s">
        <v>1109</v>
      </c>
      <c r="F129" s="218" t="s">
        <v>1759</v>
      </c>
      <c r="I129" s="324"/>
      <c r="L129" s="112"/>
      <c r="M129" s="219"/>
      <c r="T129" s="128"/>
      <c r="AT129" s="103" t="s">
        <v>1109</v>
      </c>
      <c r="AU129" s="103" t="s">
        <v>65</v>
      </c>
    </row>
    <row r="130" spans="2:65" s="256" customFormat="1" ht="16.5" customHeight="1" x14ac:dyDescent="0.25">
      <c r="B130" s="112"/>
      <c r="C130" s="206" t="s">
        <v>129</v>
      </c>
      <c r="D130" s="206" t="s">
        <v>1104</v>
      </c>
      <c r="E130" s="207" t="s">
        <v>1760</v>
      </c>
      <c r="F130" s="208" t="s">
        <v>1761</v>
      </c>
      <c r="G130" s="209" t="s">
        <v>113</v>
      </c>
      <c r="H130" s="210">
        <v>1</v>
      </c>
      <c r="I130" s="326"/>
      <c r="J130" s="211">
        <f>ROUND(I130*H130,2)</f>
        <v>0</v>
      </c>
      <c r="K130" s="208" t="s">
        <v>1161</v>
      </c>
      <c r="L130" s="112"/>
      <c r="M130" s="325" t="s">
        <v>1010</v>
      </c>
      <c r="N130" s="212" t="s">
        <v>1025</v>
      </c>
      <c r="P130" s="213">
        <f>O130*H130</f>
        <v>0</v>
      </c>
      <c r="Q130" s="213">
        <v>0</v>
      </c>
      <c r="R130" s="213">
        <f>Q130*H130</f>
        <v>0</v>
      </c>
      <c r="S130" s="213">
        <v>0</v>
      </c>
      <c r="T130" s="214">
        <f>S130*H130</f>
        <v>0</v>
      </c>
      <c r="AR130" s="215" t="s">
        <v>126</v>
      </c>
      <c r="AT130" s="215" t="s">
        <v>1104</v>
      </c>
      <c r="AU130" s="215" t="s">
        <v>65</v>
      </c>
      <c r="AY130" s="103" t="s">
        <v>1102</v>
      </c>
      <c r="BE130" s="216">
        <f>IF(N130="základní",J130,0)</f>
        <v>0</v>
      </c>
      <c r="BF130" s="216">
        <f>IF(N130="snížená",J130,0)</f>
        <v>0</v>
      </c>
      <c r="BG130" s="216">
        <f>IF(N130="zákl. přenesená",J130,0)</f>
        <v>0</v>
      </c>
      <c r="BH130" s="216">
        <f>IF(N130="sníž. přenesená",J130,0)</f>
        <v>0</v>
      </c>
      <c r="BI130" s="216">
        <f>IF(N130="nulová",J130,0)</f>
        <v>0</v>
      </c>
      <c r="BJ130" s="103" t="s">
        <v>55</v>
      </c>
      <c r="BK130" s="216">
        <f>ROUND(I130*H130,2)</f>
        <v>0</v>
      </c>
      <c r="BL130" s="103" t="s">
        <v>126</v>
      </c>
      <c r="BM130" s="215" t="s">
        <v>1762</v>
      </c>
    </row>
    <row r="131" spans="2:65" s="256" customFormat="1" x14ac:dyDescent="0.25">
      <c r="B131" s="112"/>
      <c r="D131" s="217" t="s">
        <v>1109</v>
      </c>
      <c r="F131" s="218" t="s">
        <v>1763</v>
      </c>
      <c r="I131" s="324"/>
      <c r="L131" s="112"/>
      <c r="M131" s="219"/>
      <c r="T131" s="128"/>
      <c r="AT131" s="103" t="s">
        <v>1109</v>
      </c>
      <c r="AU131" s="103" t="s">
        <v>65</v>
      </c>
    </row>
    <row r="132" spans="2:65" s="256" customFormat="1" ht="16.5" customHeight="1" x14ac:dyDescent="0.25">
      <c r="B132" s="112"/>
      <c r="C132" s="206" t="s">
        <v>132</v>
      </c>
      <c r="D132" s="206" t="s">
        <v>1104</v>
      </c>
      <c r="E132" s="207" t="s">
        <v>1764</v>
      </c>
      <c r="F132" s="208" t="s">
        <v>1765</v>
      </c>
      <c r="G132" s="209" t="s">
        <v>104</v>
      </c>
      <c r="H132" s="210">
        <v>12.5</v>
      </c>
      <c r="I132" s="326"/>
      <c r="J132" s="211">
        <f>ROUND(I132*H132,2)</f>
        <v>0</v>
      </c>
      <c r="K132" s="208" t="s">
        <v>1161</v>
      </c>
      <c r="L132" s="112"/>
      <c r="M132" s="325" t="s">
        <v>1010</v>
      </c>
      <c r="N132" s="212" t="s">
        <v>1025</v>
      </c>
      <c r="P132" s="213">
        <f>O132*H132</f>
        <v>0</v>
      </c>
      <c r="Q132" s="213">
        <v>0</v>
      </c>
      <c r="R132" s="213">
        <f>Q132*H132</f>
        <v>0</v>
      </c>
      <c r="S132" s="213">
        <v>0</v>
      </c>
      <c r="T132" s="214">
        <f>S132*H132</f>
        <v>0</v>
      </c>
      <c r="AR132" s="215" t="s">
        <v>126</v>
      </c>
      <c r="AT132" s="215" t="s">
        <v>1104</v>
      </c>
      <c r="AU132" s="215" t="s">
        <v>65</v>
      </c>
      <c r="AY132" s="103" t="s">
        <v>1102</v>
      </c>
      <c r="BE132" s="216">
        <f>IF(N132="základní",J132,0)</f>
        <v>0</v>
      </c>
      <c r="BF132" s="216">
        <f>IF(N132="snížená",J132,0)</f>
        <v>0</v>
      </c>
      <c r="BG132" s="216">
        <f>IF(N132="zákl. přenesená",J132,0)</f>
        <v>0</v>
      </c>
      <c r="BH132" s="216">
        <f>IF(N132="sníž. přenesená",J132,0)</f>
        <v>0</v>
      </c>
      <c r="BI132" s="216">
        <f>IF(N132="nulová",J132,0)</f>
        <v>0</v>
      </c>
      <c r="BJ132" s="103" t="s">
        <v>55</v>
      </c>
      <c r="BK132" s="216">
        <f>ROUND(I132*H132,2)</f>
        <v>0</v>
      </c>
      <c r="BL132" s="103" t="s">
        <v>126</v>
      </c>
      <c r="BM132" s="215" t="s">
        <v>1766</v>
      </c>
    </row>
    <row r="133" spans="2:65" s="256" customFormat="1" x14ac:dyDescent="0.25">
      <c r="B133" s="112"/>
      <c r="D133" s="217" t="s">
        <v>1109</v>
      </c>
      <c r="F133" s="218" t="s">
        <v>1767</v>
      </c>
      <c r="I133" s="324"/>
      <c r="L133" s="112"/>
      <c r="M133" s="219"/>
      <c r="T133" s="128"/>
      <c r="AT133" s="103" t="s">
        <v>1109</v>
      </c>
      <c r="AU133" s="103" t="s">
        <v>65</v>
      </c>
    </row>
    <row r="134" spans="2:65" s="256" customFormat="1" ht="16.5" customHeight="1" x14ac:dyDescent="0.25">
      <c r="B134" s="112"/>
      <c r="C134" s="206" t="s">
        <v>137</v>
      </c>
      <c r="D134" s="206" t="s">
        <v>1104</v>
      </c>
      <c r="E134" s="207" t="s">
        <v>1768</v>
      </c>
      <c r="F134" s="208" t="s">
        <v>1769</v>
      </c>
      <c r="G134" s="209" t="s">
        <v>113</v>
      </c>
      <c r="H134" s="210">
        <v>1</v>
      </c>
      <c r="I134" s="326"/>
      <c r="J134" s="211">
        <f>ROUND(I134*H134,2)</f>
        <v>0</v>
      </c>
      <c r="K134" s="208" t="s">
        <v>1161</v>
      </c>
      <c r="L134" s="112"/>
      <c r="M134" s="325" t="s">
        <v>1010</v>
      </c>
      <c r="N134" s="212" t="s">
        <v>1025</v>
      </c>
      <c r="P134" s="213">
        <f>O134*H134</f>
        <v>0</v>
      </c>
      <c r="Q134" s="213">
        <v>0</v>
      </c>
      <c r="R134" s="213">
        <f>Q134*H134</f>
        <v>0</v>
      </c>
      <c r="S134" s="213">
        <v>0</v>
      </c>
      <c r="T134" s="214">
        <f>S134*H134</f>
        <v>0</v>
      </c>
      <c r="AR134" s="215" t="s">
        <v>126</v>
      </c>
      <c r="AT134" s="215" t="s">
        <v>1104</v>
      </c>
      <c r="AU134" s="215" t="s">
        <v>65</v>
      </c>
      <c r="AY134" s="103" t="s">
        <v>1102</v>
      </c>
      <c r="BE134" s="216">
        <f>IF(N134="základní",J134,0)</f>
        <v>0</v>
      </c>
      <c r="BF134" s="216">
        <f>IF(N134="snížená",J134,0)</f>
        <v>0</v>
      </c>
      <c r="BG134" s="216">
        <f>IF(N134="zákl. přenesená",J134,0)</f>
        <v>0</v>
      </c>
      <c r="BH134" s="216">
        <f>IF(N134="sníž. přenesená",J134,0)</f>
        <v>0</v>
      </c>
      <c r="BI134" s="216">
        <f>IF(N134="nulová",J134,0)</f>
        <v>0</v>
      </c>
      <c r="BJ134" s="103" t="s">
        <v>55</v>
      </c>
      <c r="BK134" s="216">
        <f>ROUND(I134*H134,2)</f>
        <v>0</v>
      </c>
      <c r="BL134" s="103" t="s">
        <v>126</v>
      </c>
      <c r="BM134" s="215" t="s">
        <v>1770</v>
      </c>
    </row>
    <row r="135" spans="2:65" s="256" customFormat="1" x14ac:dyDescent="0.25">
      <c r="B135" s="112"/>
      <c r="D135" s="217" t="s">
        <v>1109</v>
      </c>
      <c r="F135" s="218" t="s">
        <v>1771</v>
      </c>
      <c r="I135" s="324"/>
      <c r="L135" s="112"/>
      <c r="M135" s="219"/>
      <c r="T135" s="128"/>
      <c r="AT135" s="103" t="s">
        <v>1109</v>
      </c>
      <c r="AU135" s="103" t="s">
        <v>65</v>
      </c>
    </row>
    <row r="136" spans="2:65" s="256" customFormat="1" ht="21.75" customHeight="1" x14ac:dyDescent="0.25">
      <c r="B136" s="112"/>
      <c r="C136" s="206" t="s">
        <v>140</v>
      </c>
      <c r="D136" s="206" t="s">
        <v>1104</v>
      </c>
      <c r="E136" s="207" t="s">
        <v>1772</v>
      </c>
      <c r="F136" s="208" t="s">
        <v>1773</v>
      </c>
      <c r="G136" s="209" t="s">
        <v>113</v>
      </c>
      <c r="H136" s="210">
        <v>4</v>
      </c>
      <c r="I136" s="326"/>
      <c r="J136" s="211">
        <f>ROUND(I136*H136,2)</f>
        <v>0</v>
      </c>
      <c r="K136" s="208" t="s">
        <v>1161</v>
      </c>
      <c r="L136" s="112"/>
      <c r="M136" s="325" t="s">
        <v>1010</v>
      </c>
      <c r="N136" s="212" t="s">
        <v>1025</v>
      </c>
      <c r="P136" s="213">
        <f>O136*H136</f>
        <v>0</v>
      </c>
      <c r="Q136" s="213">
        <v>6.0999999999999997E-4</v>
      </c>
      <c r="R136" s="213">
        <f>Q136*H136</f>
        <v>2.4399999999999999E-3</v>
      </c>
      <c r="S136" s="213">
        <v>0</v>
      </c>
      <c r="T136" s="214">
        <f>S136*H136</f>
        <v>0</v>
      </c>
      <c r="AR136" s="215" t="s">
        <v>126</v>
      </c>
      <c r="AT136" s="215" t="s">
        <v>1104</v>
      </c>
      <c r="AU136" s="215" t="s">
        <v>65</v>
      </c>
      <c r="AY136" s="103" t="s">
        <v>1102</v>
      </c>
      <c r="BE136" s="216">
        <f>IF(N136="základní",J136,0)</f>
        <v>0</v>
      </c>
      <c r="BF136" s="216">
        <f>IF(N136="snížená",J136,0)</f>
        <v>0</v>
      </c>
      <c r="BG136" s="216">
        <f>IF(N136="zákl. přenesená",J136,0)</f>
        <v>0</v>
      </c>
      <c r="BH136" s="216">
        <f>IF(N136="sníž. přenesená",J136,0)</f>
        <v>0</v>
      </c>
      <c r="BI136" s="216">
        <f>IF(N136="nulová",J136,0)</f>
        <v>0</v>
      </c>
      <c r="BJ136" s="103" t="s">
        <v>55</v>
      </c>
      <c r="BK136" s="216">
        <f>ROUND(I136*H136,2)</f>
        <v>0</v>
      </c>
      <c r="BL136" s="103" t="s">
        <v>126</v>
      </c>
      <c r="BM136" s="215" t="s">
        <v>1774</v>
      </c>
    </row>
    <row r="137" spans="2:65" s="256" customFormat="1" x14ac:dyDescent="0.25">
      <c r="B137" s="112"/>
      <c r="D137" s="217" t="s">
        <v>1109</v>
      </c>
      <c r="F137" s="218" t="s">
        <v>1775</v>
      </c>
      <c r="I137" s="324"/>
      <c r="L137" s="112"/>
      <c r="M137" s="219"/>
      <c r="T137" s="128"/>
      <c r="AT137" s="103" t="s">
        <v>1109</v>
      </c>
      <c r="AU137" s="103" t="s">
        <v>65</v>
      </c>
    </row>
    <row r="138" spans="2:65" s="256" customFormat="1" ht="16.5" customHeight="1" x14ac:dyDescent="0.25">
      <c r="B138" s="112"/>
      <c r="C138" s="228" t="s">
        <v>141</v>
      </c>
      <c r="D138" s="228" t="s">
        <v>1138</v>
      </c>
      <c r="E138" s="229" t="s">
        <v>1776</v>
      </c>
      <c r="F138" s="230" t="s">
        <v>1777</v>
      </c>
      <c r="G138" s="231" t="s">
        <v>113</v>
      </c>
      <c r="H138" s="232">
        <v>2</v>
      </c>
      <c r="I138" s="329"/>
      <c r="J138" s="233">
        <f>ROUND(I138*H138,2)</f>
        <v>0</v>
      </c>
      <c r="K138" s="230" t="s">
        <v>1161</v>
      </c>
      <c r="L138" s="234"/>
      <c r="M138" s="328" t="s">
        <v>1010</v>
      </c>
      <c r="N138" s="235" t="s">
        <v>1025</v>
      </c>
      <c r="P138" s="213">
        <f>O138*H138</f>
        <v>0</v>
      </c>
      <c r="Q138" s="213">
        <v>1E-4</v>
      </c>
      <c r="R138" s="213">
        <f>Q138*H138</f>
        <v>2.0000000000000001E-4</v>
      </c>
      <c r="S138" s="213">
        <v>0</v>
      </c>
      <c r="T138" s="214">
        <f>S138*H138</f>
        <v>0</v>
      </c>
      <c r="AR138" s="215" t="s">
        <v>1778</v>
      </c>
      <c r="AT138" s="215" t="s">
        <v>1138</v>
      </c>
      <c r="AU138" s="215" t="s">
        <v>65</v>
      </c>
      <c r="AY138" s="103" t="s">
        <v>1102</v>
      </c>
      <c r="BE138" s="216">
        <f>IF(N138="základní",J138,0)</f>
        <v>0</v>
      </c>
      <c r="BF138" s="216">
        <f>IF(N138="snížená",J138,0)</f>
        <v>0</v>
      </c>
      <c r="BG138" s="216">
        <f>IF(N138="zákl. přenesená",J138,0)</f>
        <v>0</v>
      </c>
      <c r="BH138" s="216">
        <f>IF(N138="sníž. přenesená",J138,0)</f>
        <v>0</v>
      </c>
      <c r="BI138" s="216">
        <f>IF(N138="nulová",J138,0)</f>
        <v>0</v>
      </c>
      <c r="BJ138" s="103" t="s">
        <v>55</v>
      </c>
      <c r="BK138" s="216">
        <f>ROUND(I138*H138,2)</f>
        <v>0</v>
      </c>
      <c r="BL138" s="103" t="s">
        <v>1778</v>
      </c>
      <c r="BM138" s="215" t="s">
        <v>1779</v>
      </c>
    </row>
    <row r="139" spans="2:65" s="256" customFormat="1" ht="16.5" customHeight="1" x14ac:dyDescent="0.25">
      <c r="B139" s="112"/>
      <c r="C139" s="228" t="s">
        <v>142</v>
      </c>
      <c r="D139" s="228" t="s">
        <v>1138</v>
      </c>
      <c r="E139" s="229" t="s">
        <v>1780</v>
      </c>
      <c r="F139" s="230" t="s">
        <v>1781</v>
      </c>
      <c r="G139" s="231" t="s">
        <v>113</v>
      </c>
      <c r="H139" s="232">
        <v>2</v>
      </c>
      <c r="I139" s="329"/>
      <c r="J139" s="233">
        <f>ROUND(I139*H139,2)</f>
        <v>0</v>
      </c>
      <c r="K139" s="230" t="s">
        <v>1161</v>
      </c>
      <c r="L139" s="234"/>
      <c r="M139" s="328" t="s">
        <v>1010</v>
      </c>
      <c r="N139" s="235" t="s">
        <v>1025</v>
      </c>
      <c r="P139" s="213">
        <f>O139*H139</f>
        <v>0</v>
      </c>
      <c r="Q139" s="213">
        <v>1E-4</v>
      </c>
      <c r="R139" s="213">
        <f>Q139*H139</f>
        <v>2.0000000000000001E-4</v>
      </c>
      <c r="S139" s="213">
        <v>0</v>
      </c>
      <c r="T139" s="214">
        <f>S139*H139</f>
        <v>0</v>
      </c>
      <c r="AR139" s="215" t="s">
        <v>1778</v>
      </c>
      <c r="AT139" s="215" t="s">
        <v>1138</v>
      </c>
      <c r="AU139" s="215" t="s">
        <v>65</v>
      </c>
      <c r="AY139" s="103" t="s">
        <v>1102</v>
      </c>
      <c r="BE139" s="216">
        <f>IF(N139="základní",J139,0)</f>
        <v>0</v>
      </c>
      <c r="BF139" s="216">
        <f>IF(N139="snížená",J139,0)</f>
        <v>0</v>
      </c>
      <c r="BG139" s="216">
        <f>IF(N139="zákl. přenesená",J139,0)</f>
        <v>0</v>
      </c>
      <c r="BH139" s="216">
        <f>IF(N139="sníž. přenesená",J139,0)</f>
        <v>0</v>
      </c>
      <c r="BI139" s="216">
        <f>IF(N139="nulová",J139,0)</f>
        <v>0</v>
      </c>
      <c r="BJ139" s="103" t="s">
        <v>55</v>
      </c>
      <c r="BK139" s="216">
        <f>ROUND(I139*H139,2)</f>
        <v>0</v>
      </c>
      <c r="BL139" s="103" t="s">
        <v>1778</v>
      </c>
      <c r="BM139" s="215" t="s">
        <v>1782</v>
      </c>
    </row>
    <row r="140" spans="2:65" s="256" customFormat="1" ht="24.2" customHeight="1" x14ac:dyDescent="0.25">
      <c r="B140" s="112"/>
      <c r="C140" s="206" t="s">
        <v>146</v>
      </c>
      <c r="D140" s="206" t="s">
        <v>1104</v>
      </c>
      <c r="E140" s="207" t="s">
        <v>1783</v>
      </c>
      <c r="F140" s="208" t="s">
        <v>1784</v>
      </c>
      <c r="G140" s="209" t="s">
        <v>1125</v>
      </c>
      <c r="H140" s="210">
        <v>0.192</v>
      </c>
      <c r="I140" s="326"/>
      <c r="J140" s="211">
        <f>ROUND(I140*H140,2)</f>
        <v>0</v>
      </c>
      <c r="K140" s="208" t="s">
        <v>1161</v>
      </c>
      <c r="L140" s="112"/>
      <c r="M140" s="325" t="s">
        <v>1010</v>
      </c>
      <c r="N140" s="212" t="s">
        <v>1025</v>
      </c>
      <c r="P140" s="213">
        <f>O140*H140</f>
        <v>0</v>
      </c>
      <c r="Q140" s="213">
        <v>0</v>
      </c>
      <c r="R140" s="213">
        <f>Q140*H140</f>
        <v>0</v>
      </c>
      <c r="S140" s="213">
        <v>0</v>
      </c>
      <c r="T140" s="214">
        <f>S140*H140</f>
        <v>0</v>
      </c>
      <c r="AR140" s="215" t="s">
        <v>126</v>
      </c>
      <c r="AT140" s="215" t="s">
        <v>1104</v>
      </c>
      <c r="AU140" s="215" t="s">
        <v>65</v>
      </c>
      <c r="AY140" s="103" t="s">
        <v>1102</v>
      </c>
      <c r="BE140" s="216">
        <f>IF(N140="základní",J140,0)</f>
        <v>0</v>
      </c>
      <c r="BF140" s="216">
        <f>IF(N140="snížená",J140,0)</f>
        <v>0</v>
      </c>
      <c r="BG140" s="216">
        <f>IF(N140="zákl. přenesená",J140,0)</f>
        <v>0</v>
      </c>
      <c r="BH140" s="216">
        <f>IF(N140="sníž. přenesená",J140,0)</f>
        <v>0</v>
      </c>
      <c r="BI140" s="216">
        <f>IF(N140="nulová",J140,0)</f>
        <v>0</v>
      </c>
      <c r="BJ140" s="103" t="s">
        <v>55</v>
      </c>
      <c r="BK140" s="216">
        <f>ROUND(I140*H140,2)</f>
        <v>0</v>
      </c>
      <c r="BL140" s="103" t="s">
        <v>126</v>
      </c>
      <c r="BM140" s="215" t="s">
        <v>1785</v>
      </c>
    </row>
    <row r="141" spans="2:65" s="256" customFormat="1" x14ac:dyDescent="0.25">
      <c r="B141" s="112"/>
      <c r="D141" s="217" t="s">
        <v>1109</v>
      </c>
      <c r="F141" s="218" t="s">
        <v>1786</v>
      </c>
      <c r="I141" s="324"/>
      <c r="L141" s="112"/>
      <c r="M141" s="219"/>
      <c r="T141" s="128"/>
      <c r="AT141" s="103" t="s">
        <v>1109</v>
      </c>
      <c r="AU141" s="103" t="s">
        <v>65</v>
      </c>
    </row>
    <row r="142" spans="2:65" s="256" customFormat="1" ht="24.2" customHeight="1" x14ac:dyDescent="0.25">
      <c r="B142" s="112"/>
      <c r="C142" s="206" t="s">
        <v>149</v>
      </c>
      <c r="D142" s="206" t="s">
        <v>1104</v>
      </c>
      <c r="E142" s="207" t="s">
        <v>1787</v>
      </c>
      <c r="F142" s="208" t="s">
        <v>1788</v>
      </c>
      <c r="G142" s="209" t="s">
        <v>1125</v>
      </c>
      <c r="H142" s="210">
        <v>0.192</v>
      </c>
      <c r="I142" s="326"/>
      <c r="J142" s="211">
        <f>ROUND(I142*H142,2)</f>
        <v>0</v>
      </c>
      <c r="K142" s="208" t="s">
        <v>1161</v>
      </c>
      <c r="L142" s="112"/>
      <c r="M142" s="325" t="s">
        <v>1010</v>
      </c>
      <c r="N142" s="212" t="s">
        <v>1025</v>
      </c>
      <c r="P142" s="213">
        <f>O142*H142</f>
        <v>0</v>
      </c>
      <c r="Q142" s="213">
        <v>0</v>
      </c>
      <c r="R142" s="213">
        <f>Q142*H142</f>
        <v>0</v>
      </c>
      <c r="S142" s="213">
        <v>0</v>
      </c>
      <c r="T142" s="214">
        <f>S142*H142</f>
        <v>0</v>
      </c>
      <c r="AR142" s="215" t="s">
        <v>126</v>
      </c>
      <c r="AT142" s="215" t="s">
        <v>1104</v>
      </c>
      <c r="AU142" s="215" t="s">
        <v>65</v>
      </c>
      <c r="AY142" s="103" t="s">
        <v>1102</v>
      </c>
      <c r="BE142" s="216">
        <f>IF(N142="základní",J142,0)</f>
        <v>0</v>
      </c>
      <c r="BF142" s="216">
        <f>IF(N142="snížená",J142,0)</f>
        <v>0</v>
      </c>
      <c r="BG142" s="216">
        <f>IF(N142="zákl. přenesená",J142,0)</f>
        <v>0</v>
      </c>
      <c r="BH142" s="216">
        <f>IF(N142="sníž. přenesená",J142,0)</f>
        <v>0</v>
      </c>
      <c r="BI142" s="216">
        <f>IF(N142="nulová",J142,0)</f>
        <v>0</v>
      </c>
      <c r="BJ142" s="103" t="s">
        <v>55</v>
      </c>
      <c r="BK142" s="216">
        <f>ROUND(I142*H142,2)</f>
        <v>0</v>
      </c>
      <c r="BL142" s="103" t="s">
        <v>126</v>
      </c>
      <c r="BM142" s="215" t="s">
        <v>1789</v>
      </c>
    </row>
    <row r="143" spans="2:65" s="256" customFormat="1" x14ac:dyDescent="0.25">
      <c r="B143" s="112"/>
      <c r="D143" s="217" t="s">
        <v>1109</v>
      </c>
      <c r="F143" s="218" t="s">
        <v>1790</v>
      </c>
      <c r="I143" s="324"/>
      <c r="L143" s="112"/>
      <c r="M143" s="219"/>
      <c r="T143" s="128"/>
      <c r="AT143" s="103" t="s">
        <v>1109</v>
      </c>
      <c r="AU143" s="103" t="s">
        <v>65</v>
      </c>
    </row>
    <row r="144" spans="2:65" s="194" customFormat="1" ht="25.9" customHeight="1" x14ac:dyDescent="0.2">
      <c r="B144" s="195"/>
      <c r="D144" s="196" t="s">
        <v>1052</v>
      </c>
      <c r="E144" s="197" t="s">
        <v>1791</v>
      </c>
      <c r="F144" s="197" t="s">
        <v>1792</v>
      </c>
      <c r="I144" s="327"/>
      <c r="J144" s="198">
        <f>BK144</f>
        <v>0</v>
      </c>
      <c r="L144" s="195"/>
      <c r="M144" s="199"/>
      <c r="P144" s="200">
        <f>P145</f>
        <v>0</v>
      </c>
      <c r="R144" s="200">
        <f>R145</f>
        <v>0</v>
      </c>
      <c r="T144" s="201">
        <f>T145</f>
        <v>0</v>
      </c>
      <c r="AR144" s="196" t="s">
        <v>82</v>
      </c>
      <c r="AT144" s="202" t="s">
        <v>1052</v>
      </c>
      <c r="AU144" s="202" t="s">
        <v>166</v>
      </c>
      <c r="AY144" s="196" t="s">
        <v>1102</v>
      </c>
      <c r="BK144" s="203">
        <f>BK145</f>
        <v>0</v>
      </c>
    </row>
    <row r="145" spans="2:65" s="194" customFormat="1" ht="22.9" customHeight="1" x14ac:dyDescent="0.2">
      <c r="B145" s="195"/>
      <c r="D145" s="196" t="s">
        <v>1052</v>
      </c>
      <c r="E145" s="204" t="s">
        <v>1793</v>
      </c>
      <c r="F145" s="204" t="s">
        <v>1794</v>
      </c>
      <c r="I145" s="327"/>
      <c r="J145" s="205">
        <f>BK145</f>
        <v>0</v>
      </c>
      <c r="L145" s="195"/>
      <c r="M145" s="199"/>
      <c r="P145" s="200">
        <f>SUM(P146:P149)</f>
        <v>0</v>
      </c>
      <c r="R145" s="200">
        <f>SUM(R146:R149)</f>
        <v>0</v>
      </c>
      <c r="T145" s="201">
        <f>SUM(T146:T149)</f>
        <v>0</v>
      </c>
      <c r="AR145" s="196" t="s">
        <v>82</v>
      </c>
      <c r="AT145" s="202" t="s">
        <v>1052</v>
      </c>
      <c r="AU145" s="202" t="s">
        <v>55</v>
      </c>
      <c r="AY145" s="196" t="s">
        <v>1102</v>
      </c>
      <c r="BK145" s="203">
        <f>SUM(BK146:BK149)</f>
        <v>0</v>
      </c>
    </row>
    <row r="146" spans="2:65" s="256" customFormat="1" ht="16.5" customHeight="1" x14ac:dyDescent="0.25">
      <c r="B146" s="112"/>
      <c r="C146" s="206" t="s">
        <v>150</v>
      </c>
      <c r="D146" s="206" t="s">
        <v>1104</v>
      </c>
      <c r="E146" s="207" t="s">
        <v>1795</v>
      </c>
      <c r="F146" s="208" t="s">
        <v>1796</v>
      </c>
      <c r="G146" s="209" t="s">
        <v>1533</v>
      </c>
      <c r="H146" s="210">
        <v>1</v>
      </c>
      <c r="I146" s="326"/>
      <c r="J146" s="211">
        <f>ROUND(I146*H146,2)</f>
        <v>0</v>
      </c>
      <c r="K146" s="208" t="s">
        <v>1107</v>
      </c>
      <c r="L146" s="112"/>
      <c r="M146" s="325" t="s">
        <v>1010</v>
      </c>
      <c r="N146" s="212" t="s">
        <v>1025</v>
      </c>
      <c r="P146" s="213">
        <f>O146*H146</f>
        <v>0</v>
      </c>
      <c r="Q146" s="213">
        <v>0</v>
      </c>
      <c r="R146" s="213">
        <f>Q146*H146</f>
        <v>0</v>
      </c>
      <c r="S146" s="213">
        <v>0</v>
      </c>
      <c r="T146" s="214">
        <f>S146*H146</f>
        <v>0</v>
      </c>
      <c r="AR146" s="215" t="s">
        <v>1778</v>
      </c>
      <c r="AT146" s="215" t="s">
        <v>1104</v>
      </c>
      <c r="AU146" s="215" t="s">
        <v>65</v>
      </c>
      <c r="AY146" s="103" t="s">
        <v>1102</v>
      </c>
      <c r="BE146" s="216">
        <f>IF(N146="základní",J146,0)</f>
        <v>0</v>
      </c>
      <c r="BF146" s="216">
        <f>IF(N146="snížená",J146,0)</f>
        <v>0</v>
      </c>
      <c r="BG146" s="216">
        <f>IF(N146="zákl. přenesená",J146,0)</f>
        <v>0</v>
      </c>
      <c r="BH146" s="216">
        <f>IF(N146="sníž. přenesená",J146,0)</f>
        <v>0</v>
      </c>
      <c r="BI146" s="216">
        <f>IF(N146="nulová",J146,0)</f>
        <v>0</v>
      </c>
      <c r="BJ146" s="103" t="s">
        <v>55</v>
      </c>
      <c r="BK146" s="216">
        <f>ROUND(I146*H146,2)</f>
        <v>0</v>
      </c>
      <c r="BL146" s="103" t="s">
        <v>1778</v>
      </c>
      <c r="BM146" s="215" t="s">
        <v>1797</v>
      </c>
    </row>
    <row r="147" spans="2:65" s="256" customFormat="1" x14ac:dyDescent="0.25">
      <c r="B147" s="112"/>
      <c r="D147" s="217" t="s">
        <v>1109</v>
      </c>
      <c r="F147" s="218" t="s">
        <v>1798</v>
      </c>
      <c r="I147" s="324"/>
      <c r="L147" s="112"/>
      <c r="M147" s="219"/>
      <c r="T147" s="128"/>
      <c r="AT147" s="103" t="s">
        <v>1109</v>
      </c>
      <c r="AU147" s="103" t="s">
        <v>65</v>
      </c>
    </row>
    <row r="148" spans="2:65" s="256" customFormat="1" ht="16.5" customHeight="1" x14ac:dyDescent="0.25">
      <c r="B148" s="112"/>
      <c r="C148" s="206" t="s">
        <v>152</v>
      </c>
      <c r="D148" s="206" t="s">
        <v>1104</v>
      </c>
      <c r="E148" s="207" t="s">
        <v>1799</v>
      </c>
      <c r="F148" s="208" t="s">
        <v>1800</v>
      </c>
      <c r="G148" s="209" t="s">
        <v>1533</v>
      </c>
      <c r="H148" s="210">
        <v>1</v>
      </c>
      <c r="I148" s="326"/>
      <c r="J148" s="211">
        <f>ROUND(I148*H148,2)</f>
        <v>0</v>
      </c>
      <c r="K148" s="208" t="s">
        <v>1107</v>
      </c>
      <c r="L148" s="112"/>
      <c r="M148" s="325" t="s">
        <v>1010</v>
      </c>
      <c r="N148" s="212" t="s">
        <v>1025</v>
      </c>
      <c r="P148" s="213">
        <f>O148*H148</f>
        <v>0</v>
      </c>
      <c r="Q148" s="213">
        <v>0</v>
      </c>
      <c r="R148" s="213">
        <f>Q148*H148</f>
        <v>0</v>
      </c>
      <c r="S148" s="213">
        <v>0</v>
      </c>
      <c r="T148" s="214">
        <f>S148*H148</f>
        <v>0</v>
      </c>
      <c r="AR148" s="215" t="s">
        <v>1778</v>
      </c>
      <c r="AT148" s="215" t="s">
        <v>1104</v>
      </c>
      <c r="AU148" s="215" t="s">
        <v>65</v>
      </c>
      <c r="AY148" s="103" t="s">
        <v>1102</v>
      </c>
      <c r="BE148" s="216">
        <f>IF(N148="základní",J148,0)</f>
        <v>0</v>
      </c>
      <c r="BF148" s="216">
        <f>IF(N148="snížená",J148,0)</f>
        <v>0</v>
      </c>
      <c r="BG148" s="216">
        <f>IF(N148="zákl. přenesená",J148,0)</f>
        <v>0</v>
      </c>
      <c r="BH148" s="216">
        <f>IF(N148="sníž. přenesená",J148,0)</f>
        <v>0</v>
      </c>
      <c r="BI148" s="216">
        <f>IF(N148="nulová",J148,0)</f>
        <v>0</v>
      </c>
      <c r="BJ148" s="103" t="s">
        <v>55</v>
      </c>
      <c r="BK148" s="216">
        <f>ROUND(I148*H148,2)</f>
        <v>0</v>
      </c>
      <c r="BL148" s="103" t="s">
        <v>1778</v>
      </c>
      <c r="BM148" s="215" t="s">
        <v>1801</v>
      </c>
    </row>
    <row r="149" spans="2:65" s="256" customFormat="1" x14ac:dyDescent="0.25">
      <c r="B149" s="112"/>
      <c r="D149" s="217" t="s">
        <v>1109</v>
      </c>
      <c r="F149" s="218" t="s">
        <v>1802</v>
      </c>
      <c r="I149" s="324"/>
      <c r="L149" s="112"/>
      <c r="M149" s="236"/>
      <c r="N149" s="237"/>
      <c r="O149" s="237"/>
      <c r="P149" s="237"/>
      <c r="Q149" s="237"/>
      <c r="R149" s="237"/>
      <c r="S149" s="237"/>
      <c r="T149" s="238"/>
      <c r="AT149" s="103" t="s">
        <v>1109</v>
      </c>
      <c r="AU149" s="103" t="s">
        <v>65</v>
      </c>
    </row>
    <row r="150" spans="2:65" s="256" customFormat="1" ht="6.95" customHeight="1" x14ac:dyDescent="0.25">
      <c r="B150" s="118"/>
      <c r="C150" s="119"/>
      <c r="D150" s="119"/>
      <c r="E150" s="119"/>
      <c r="F150" s="119"/>
      <c r="G150" s="119"/>
      <c r="H150" s="119"/>
      <c r="I150" s="119"/>
      <c r="J150" s="119"/>
      <c r="K150" s="119"/>
      <c r="L150" s="112"/>
    </row>
  </sheetData>
  <sheetProtection algorithmName="SHA-512" hashValue="ci3/k+60DHq3BEzN/7bC/QuafTcSZXo9TwbrEpg9uwaa+9Vx6dB6f6BVt/xVVe1V+bk5X2ykXLp6bSBUXniw9w==" saltValue="jNvWi5CaHbJaa0gPDGDW57C65iwLgRcD5yTielWaJQNCESF0B6SPb7yo9rQaYj5R+eWQSiPqw+r4pC/Te/Fz8w==" spinCount="100000" sheet="1" objects="1" scenarios="1" formatColumns="0" formatRows="0" autoFilter="0"/>
  <autoFilter ref="C88:K149" xr:uid="{00000000-0009-0000-0000-000002000000}"/>
  <mergeCells count="9">
    <mergeCell ref="E50:H50"/>
    <mergeCell ref="E79:H79"/>
    <mergeCell ref="E81:H81"/>
    <mergeCell ref="L2:V2"/>
    <mergeCell ref="E7:H7"/>
    <mergeCell ref="E9:H9"/>
    <mergeCell ref="E18:H18"/>
    <mergeCell ref="E27:H27"/>
    <mergeCell ref="E48:H48"/>
  </mergeCells>
  <hyperlinks>
    <hyperlink ref="F93" r:id="rId1" xr:uid="{333F10C5-09DD-4ED8-8FB2-F9436383BAA9}"/>
    <hyperlink ref="F96" r:id="rId2" xr:uid="{3D886067-8734-41B7-94C5-402F5BF97EEF}"/>
    <hyperlink ref="F99" r:id="rId3" xr:uid="{24AFFBC4-10A1-44AB-897F-58A801546298}"/>
    <hyperlink ref="F101" r:id="rId4" xr:uid="{F12FB213-1169-4D46-8608-AAD247A4122A}"/>
    <hyperlink ref="F104" r:id="rId5" xr:uid="{39891DBD-54F8-4308-B733-996A3669A06E}"/>
    <hyperlink ref="F106" r:id="rId6" xr:uid="{70EED826-5559-427F-B676-F49C44B79C95}"/>
    <hyperlink ref="F108" r:id="rId7" xr:uid="{0836E4FE-9792-4493-A76E-3B63B9FE681F}"/>
    <hyperlink ref="F111" r:id="rId8" xr:uid="{D322A0A4-1795-46EF-BF16-31991D2DAAC8}"/>
    <hyperlink ref="F113" r:id="rId9" xr:uid="{2A1D77DB-FD34-495D-BBA7-D5553D0D0AA0}"/>
    <hyperlink ref="F116" r:id="rId10" xr:uid="{982176F6-216B-4B96-929C-66CF327E3F76}"/>
    <hyperlink ref="F120" r:id="rId11" xr:uid="{409B511A-9A22-4C83-B516-D40CE170F273}"/>
    <hyperlink ref="F123" r:id="rId12" xr:uid="{54220BFB-912C-4734-855C-FD9836EB7D36}"/>
    <hyperlink ref="F126" r:id="rId13" xr:uid="{371EB7A7-0D45-44E5-8489-A89ADA5657F0}"/>
    <hyperlink ref="F129" r:id="rId14" xr:uid="{ABFEDD5A-8985-4B8C-9E2B-97E855DB2905}"/>
    <hyperlink ref="F131" r:id="rId15" xr:uid="{0B709CE7-CCAF-49F2-8F6F-C29B4CC11E03}"/>
    <hyperlink ref="F133" r:id="rId16" xr:uid="{0A3D14CD-CEFC-4884-AE36-1FD99D4B10CC}"/>
    <hyperlink ref="F135" r:id="rId17" xr:uid="{60A12132-7C0A-42F0-97BD-3A7114E29980}"/>
    <hyperlink ref="F137" r:id="rId18" xr:uid="{4EAE3962-BD84-4D9D-AB21-C01FB04FEFB1}"/>
    <hyperlink ref="F141" r:id="rId19" xr:uid="{E2841C16-4BEF-4C55-8F49-69BD1C2A7A2E}"/>
    <hyperlink ref="F143" r:id="rId20" xr:uid="{9744F147-3B50-406A-8A43-99E792829F51}"/>
    <hyperlink ref="F147" r:id="rId21" xr:uid="{6C821B0C-16A6-47DB-91CA-581F0CF108ED}"/>
    <hyperlink ref="F149" r:id="rId22" xr:uid="{510D57F7-6906-4149-B9DD-2F28F1CEC661}"/>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2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788AE-8884-441E-BA21-AF8623EAEA62}">
  <sheetPr>
    <pageSetUpPr fitToPage="1"/>
  </sheetPr>
  <dimension ref="A1:CM60"/>
  <sheetViews>
    <sheetView showGridLines="0" topLeftCell="A34" workbookViewId="0">
      <selection activeCell="W33" sqref="W33:AE33"/>
    </sheetView>
  </sheetViews>
  <sheetFormatPr defaultRowHeight="11.25" x14ac:dyDescent="0.2"/>
  <cols>
    <col min="1" max="1" width="7.140625" style="251" customWidth="1"/>
    <col min="2" max="2" width="1.42578125" style="251" customWidth="1"/>
    <col min="3" max="3" width="3.5703125" style="251" customWidth="1"/>
    <col min="4" max="33" width="2.28515625" style="251" customWidth="1"/>
    <col min="34" max="34" width="2.85546875" style="251" customWidth="1"/>
    <col min="35" max="35" width="27.140625" style="251" customWidth="1"/>
    <col min="36" max="37" width="2.140625" style="251" customWidth="1"/>
    <col min="38" max="38" width="7.140625" style="251" customWidth="1"/>
    <col min="39" max="39" width="2.85546875" style="251" customWidth="1"/>
    <col min="40" max="40" width="11.42578125" style="251" customWidth="1"/>
    <col min="41" max="41" width="6.42578125" style="251" customWidth="1"/>
    <col min="42" max="42" width="3.5703125" style="251" customWidth="1"/>
    <col min="43" max="43" width="13.42578125" style="251" customWidth="1"/>
    <col min="44" max="44" width="11.7109375" style="251" customWidth="1"/>
    <col min="45" max="47" width="22.140625" style="251" hidden="1" customWidth="1"/>
    <col min="48" max="49" width="18.5703125" style="251" hidden="1" customWidth="1"/>
    <col min="50" max="51" width="21.42578125" style="251" hidden="1" customWidth="1"/>
    <col min="52" max="52" width="18.5703125" style="251" hidden="1" customWidth="1"/>
    <col min="53" max="53" width="16.42578125" style="251" hidden="1" customWidth="1"/>
    <col min="54" max="54" width="21.42578125" style="251" hidden="1" customWidth="1"/>
    <col min="55" max="55" width="18.5703125" style="251" hidden="1" customWidth="1"/>
    <col min="56" max="56" width="16.42578125" style="251" hidden="1" customWidth="1"/>
    <col min="57" max="57" width="57" style="251" customWidth="1"/>
    <col min="58" max="16384" width="9.140625" style="251"/>
  </cols>
  <sheetData>
    <row r="1" spans="1:74" x14ac:dyDescent="0.2">
      <c r="A1" s="102" t="s">
        <v>995</v>
      </c>
      <c r="AZ1" s="102" t="s">
        <v>996</v>
      </c>
      <c r="BA1" s="102" t="s">
        <v>997</v>
      </c>
      <c r="BB1" s="102" t="s">
        <v>998</v>
      </c>
      <c r="BT1" s="102" t="s">
        <v>999</v>
      </c>
      <c r="BU1" s="102" t="s">
        <v>999</v>
      </c>
      <c r="BV1" s="102" t="s">
        <v>1000</v>
      </c>
    </row>
    <row r="2" spans="1:74" ht="36.950000000000003" customHeight="1" x14ac:dyDescent="0.2">
      <c r="AR2" s="415"/>
      <c r="AS2" s="415"/>
      <c r="AT2" s="415"/>
      <c r="AU2" s="415"/>
      <c r="AV2" s="415"/>
      <c r="AW2" s="415"/>
      <c r="AX2" s="415"/>
      <c r="AY2" s="415"/>
      <c r="AZ2" s="415"/>
      <c r="BA2" s="415"/>
      <c r="BB2" s="415"/>
      <c r="BC2" s="415"/>
      <c r="BD2" s="415"/>
      <c r="BE2" s="415"/>
      <c r="BS2" s="103" t="s">
        <v>1001</v>
      </c>
      <c r="BT2" s="103" t="s">
        <v>140</v>
      </c>
    </row>
    <row r="3" spans="1:74" ht="6.95" customHeight="1" x14ac:dyDescent="0.2">
      <c r="B3" s="104"/>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6"/>
      <c r="BS3" s="103" t="s">
        <v>1001</v>
      </c>
      <c r="BT3" s="103" t="s">
        <v>124</v>
      </c>
    </row>
    <row r="4" spans="1:74" ht="24.95" customHeight="1" x14ac:dyDescent="0.2">
      <c r="B4" s="106"/>
      <c r="D4" s="107" t="s">
        <v>1002</v>
      </c>
      <c r="AR4" s="106"/>
      <c r="AS4" s="108" t="s">
        <v>1003</v>
      </c>
      <c r="BE4" s="332" t="s">
        <v>2318</v>
      </c>
      <c r="BS4" s="103" t="s">
        <v>1004</v>
      </c>
    </row>
    <row r="5" spans="1:74" ht="12" customHeight="1" x14ac:dyDescent="0.2">
      <c r="B5" s="106"/>
      <c r="D5" s="109" t="s">
        <v>1005</v>
      </c>
      <c r="K5" s="417" t="s">
        <v>1006</v>
      </c>
      <c r="L5" s="415"/>
      <c r="M5" s="415"/>
      <c r="N5" s="415"/>
      <c r="O5" s="415"/>
      <c r="P5" s="415"/>
      <c r="Q5" s="415"/>
      <c r="R5" s="415"/>
      <c r="S5" s="415"/>
      <c r="T5" s="415"/>
      <c r="U5" s="415"/>
      <c r="V5" s="415"/>
      <c r="W5" s="415"/>
      <c r="X5" s="415"/>
      <c r="Y5" s="415"/>
      <c r="Z5" s="415"/>
      <c r="AA5" s="415"/>
      <c r="AB5" s="415"/>
      <c r="AC5" s="415"/>
      <c r="AD5" s="415"/>
      <c r="AE5" s="415"/>
      <c r="AF5" s="415"/>
      <c r="AG5" s="415"/>
      <c r="AH5" s="415"/>
      <c r="AI5" s="415"/>
      <c r="AJ5" s="415"/>
      <c r="AK5" s="415"/>
      <c r="AL5" s="415"/>
      <c r="AM5" s="415"/>
      <c r="AN5" s="415"/>
      <c r="AO5" s="415"/>
      <c r="AR5" s="106"/>
      <c r="BE5" s="443" t="s">
        <v>2319</v>
      </c>
      <c r="BS5" s="103" t="s">
        <v>1001</v>
      </c>
    </row>
    <row r="6" spans="1:74" ht="36.950000000000003" customHeight="1" x14ac:dyDescent="0.2">
      <c r="B6" s="106"/>
      <c r="D6" s="110" t="s">
        <v>1007</v>
      </c>
      <c r="K6" s="446" t="s">
        <v>1008</v>
      </c>
      <c r="L6" s="415"/>
      <c r="M6" s="415"/>
      <c r="N6" s="415"/>
      <c r="O6" s="415"/>
      <c r="P6" s="415"/>
      <c r="Q6" s="415"/>
      <c r="R6" s="415"/>
      <c r="S6" s="415"/>
      <c r="T6" s="415"/>
      <c r="U6" s="415"/>
      <c r="V6" s="415"/>
      <c r="W6" s="415"/>
      <c r="X6" s="415"/>
      <c r="Y6" s="415"/>
      <c r="Z6" s="415"/>
      <c r="AA6" s="415"/>
      <c r="AB6" s="415"/>
      <c r="AC6" s="415"/>
      <c r="AD6" s="415"/>
      <c r="AE6" s="415"/>
      <c r="AF6" s="415"/>
      <c r="AG6" s="415"/>
      <c r="AH6" s="415"/>
      <c r="AI6" s="415"/>
      <c r="AJ6" s="415"/>
      <c r="AK6" s="415"/>
      <c r="AL6" s="415"/>
      <c r="AM6" s="415"/>
      <c r="AN6" s="415"/>
      <c r="AO6" s="415"/>
      <c r="AR6" s="106"/>
      <c r="BE6" s="444"/>
      <c r="BS6" s="103" t="s">
        <v>1001</v>
      </c>
    </row>
    <row r="7" spans="1:74" ht="12" customHeight="1" x14ac:dyDescent="0.2">
      <c r="B7" s="106"/>
      <c r="D7" s="257" t="s">
        <v>1009</v>
      </c>
      <c r="K7" s="252" t="s">
        <v>1010</v>
      </c>
      <c r="AK7" s="257" t="s">
        <v>1011</v>
      </c>
      <c r="AN7" s="252" t="s">
        <v>1010</v>
      </c>
      <c r="AR7" s="106"/>
      <c r="BE7" s="444"/>
      <c r="BS7" s="103" t="s">
        <v>1001</v>
      </c>
    </row>
    <row r="8" spans="1:74" ht="12" customHeight="1" x14ac:dyDescent="0.2">
      <c r="B8" s="106"/>
      <c r="D8" s="257" t="s">
        <v>1012</v>
      </c>
      <c r="K8" s="252" t="s">
        <v>35</v>
      </c>
      <c r="AK8" s="257" t="s">
        <v>673</v>
      </c>
      <c r="AN8" s="331" t="s">
        <v>1013</v>
      </c>
      <c r="AR8" s="106"/>
      <c r="BE8" s="444"/>
      <c r="BS8" s="103" t="s">
        <v>1001</v>
      </c>
    </row>
    <row r="9" spans="1:74" ht="14.45" customHeight="1" x14ac:dyDescent="0.2">
      <c r="B9" s="106"/>
      <c r="AR9" s="106"/>
      <c r="BE9" s="444"/>
      <c r="BS9" s="103" t="s">
        <v>1001</v>
      </c>
    </row>
    <row r="10" spans="1:74" ht="12" customHeight="1" x14ac:dyDescent="0.2">
      <c r="B10" s="106"/>
      <c r="D10" s="257" t="s">
        <v>1014</v>
      </c>
      <c r="AK10" s="257" t="s">
        <v>1015</v>
      </c>
      <c r="AN10" s="252" t="s">
        <v>1010</v>
      </c>
      <c r="AR10" s="106"/>
      <c r="BE10" s="444"/>
      <c r="BS10" s="103" t="s">
        <v>1001</v>
      </c>
    </row>
    <row r="11" spans="1:74" ht="18.399999999999999" customHeight="1" x14ac:dyDescent="0.2">
      <c r="B11" s="106"/>
      <c r="E11" s="252" t="s">
        <v>35</v>
      </c>
      <c r="AK11" s="257" t="s">
        <v>1016</v>
      </c>
      <c r="AN11" s="252" t="s">
        <v>1010</v>
      </c>
      <c r="AR11" s="106"/>
      <c r="BE11" s="444"/>
      <c r="BS11" s="103" t="s">
        <v>1001</v>
      </c>
    </row>
    <row r="12" spans="1:74" ht="6.95" customHeight="1" x14ac:dyDescent="0.2">
      <c r="B12" s="106"/>
      <c r="AR12" s="106"/>
      <c r="BE12" s="444"/>
      <c r="BS12" s="103" t="s">
        <v>1001</v>
      </c>
    </row>
    <row r="13" spans="1:74" ht="12" customHeight="1" x14ac:dyDescent="0.2">
      <c r="B13" s="106"/>
      <c r="D13" s="257" t="s">
        <v>2317</v>
      </c>
      <c r="AK13" s="257" t="s">
        <v>1015</v>
      </c>
      <c r="AN13" s="333" t="s">
        <v>2320</v>
      </c>
      <c r="AR13" s="106"/>
      <c r="BE13" s="444"/>
      <c r="BS13" s="103" t="s">
        <v>1001</v>
      </c>
    </row>
    <row r="14" spans="1:74" ht="12.75" x14ac:dyDescent="0.2">
      <c r="B14" s="106"/>
      <c r="E14" s="447" t="s">
        <v>2320</v>
      </c>
      <c r="F14" s="448"/>
      <c r="G14" s="448"/>
      <c r="H14" s="448"/>
      <c r="I14" s="448"/>
      <c r="J14" s="448"/>
      <c r="K14" s="448"/>
      <c r="L14" s="448"/>
      <c r="M14" s="448"/>
      <c r="N14" s="448"/>
      <c r="O14" s="448"/>
      <c r="P14" s="448"/>
      <c r="Q14" s="448"/>
      <c r="R14" s="448"/>
      <c r="S14" s="448"/>
      <c r="T14" s="448"/>
      <c r="U14" s="448"/>
      <c r="V14" s="448"/>
      <c r="W14" s="448"/>
      <c r="X14" s="448"/>
      <c r="Y14" s="448"/>
      <c r="Z14" s="448"/>
      <c r="AA14" s="448"/>
      <c r="AB14" s="448"/>
      <c r="AC14" s="448"/>
      <c r="AD14" s="448"/>
      <c r="AE14" s="448"/>
      <c r="AF14" s="448"/>
      <c r="AG14" s="448"/>
      <c r="AH14" s="448"/>
      <c r="AI14" s="448"/>
      <c r="AJ14" s="448"/>
      <c r="AK14" s="257" t="s">
        <v>1016</v>
      </c>
      <c r="AN14" s="333" t="s">
        <v>2320</v>
      </c>
      <c r="AR14" s="106"/>
      <c r="BE14" s="444"/>
      <c r="BS14" s="103" t="s">
        <v>1001</v>
      </c>
    </row>
    <row r="15" spans="1:74" ht="6.95" customHeight="1" x14ac:dyDescent="0.2">
      <c r="B15" s="106"/>
      <c r="AR15" s="106"/>
      <c r="BE15" s="444"/>
      <c r="BS15" s="103" t="s">
        <v>999</v>
      </c>
    </row>
    <row r="16" spans="1:74" ht="12" customHeight="1" x14ac:dyDescent="0.2">
      <c r="B16" s="106"/>
      <c r="D16" s="257" t="s">
        <v>14</v>
      </c>
      <c r="AK16" s="257" t="s">
        <v>1015</v>
      </c>
      <c r="AN16" s="252" t="s">
        <v>1010</v>
      </c>
      <c r="AR16" s="106"/>
      <c r="BE16" s="444"/>
      <c r="BS16" s="103" t="s">
        <v>999</v>
      </c>
    </row>
    <row r="17" spans="2:71" ht="18.399999999999999" customHeight="1" x14ac:dyDescent="0.2">
      <c r="B17" s="106"/>
      <c r="E17" s="252" t="s">
        <v>35</v>
      </c>
      <c r="AK17" s="257" t="s">
        <v>1016</v>
      </c>
      <c r="AN17" s="252" t="s">
        <v>1010</v>
      </c>
      <c r="AR17" s="106"/>
      <c r="BE17" s="444"/>
      <c r="BS17" s="103" t="s">
        <v>1017</v>
      </c>
    </row>
    <row r="18" spans="2:71" ht="6.95" customHeight="1" x14ac:dyDescent="0.2">
      <c r="B18" s="106"/>
      <c r="AR18" s="106"/>
      <c r="BE18" s="444"/>
      <c r="BS18" s="103" t="s">
        <v>1001</v>
      </c>
    </row>
    <row r="19" spans="2:71" ht="12" customHeight="1" x14ac:dyDescent="0.2">
      <c r="B19" s="106"/>
      <c r="D19" s="257" t="s">
        <v>1018</v>
      </c>
      <c r="AK19" s="257" t="s">
        <v>1015</v>
      </c>
      <c r="AN19" s="252" t="s">
        <v>1010</v>
      </c>
      <c r="AR19" s="106"/>
      <c r="BE19" s="444"/>
      <c r="BS19" s="103" t="s">
        <v>1001</v>
      </c>
    </row>
    <row r="20" spans="2:71" ht="18.399999999999999" customHeight="1" x14ac:dyDescent="0.2">
      <c r="B20" s="106"/>
      <c r="E20" s="252" t="s">
        <v>35</v>
      </c>
      <c r="AK20" s="257" t="s">
        <v>1016</v>
      </c>
      <c r="AN20" s="252" t="s">
        <v>1010</v>
      </c>
      <c r="AR20" s="106"/>
      <c r="BE20" s="444"/>
      <c r="BS20" s="103" t="s">
        <v>999</v>
      </c>
    </row>
    <row r="21" spans="2:71" ht="6.95" customHeight="1" x14ac:dyDescent="0.2">
      <c r="B21" s="106"/>
      <c r="AR21" s="106"/>
      <c r="BE21" s="444"/>
    </row>
    <row r="22" spans="2:71" ht="12" customHeight="1" x14ac:dyDescent="0.2">
      <c r="B22" s="106"/>
      <c r="D22" s="257" t="s">
        <v>669</v>
      </c>
      <c r="AR22" s="106"/>
      <c r="BE22" s="444"/>
    </row>
    <row r="23" spans="2:71" ht="47.25" customHeight="1" x14ac:dyDescent="0.2">
      <c r="B23" s="106"/>
      <c r="E23" s="418" t="s">
        <v>1019</v>
      </c>
      <c r="F23" s="418"/>
      <c r="G23" s="418"/>
      <c r="H23" s="418"/>
      <c r="I23" s="418"/>
      <c r="J23" s="418"/>
      <c r="K23" s="418"/>
      <c r="L23" s="418"/>
      <c r="M23" s="418"/>
      <c r="N23" s="418"/>
      <c r="O23" s="418"/>
      <c r="P23" s="418"/>
      <c r="Q23" s="418"/>
      <c r="R23" s="418"/>
      <c r="S23" s="418"/>
      <c r="T23" s="418"/>
      <c r="U23" s="418"/>
      <c r="V23" s="418"/>
      <c r="W23" s="418"/>
      <c r="X23" s="418"/>
      <c r="Y23" s="418"/>
      <c r="Z23" s="418"/>
      <c r="AA23" s="418"/>
      <c r="AB23" s="418"/>
      <c r="AC23" s="418"/>
      <c r="AD23" s="418"/>
      <c r="AE23" s="418"/>
      <c r="AF23" s="418"/>
      <c r="AG23" s="418"/>
      <c r="AH23" s="418"/>
      <c r="AI23" s="418"/>
      <c r="AJ23" s="418"/>
      <c r="AK23" s="418"/>
      <c r="AL23" s="418"/>
      <c r="AM23" s="418"/>
      <c r="AN23" s="418"/>
      <c r="AR23" s="106"/>
      <c r="BE23" s="444"/>
    </row>
    <row r="24" spans="2:71" ht="6.95" customHeight="1" x14ac:dyDescent="0.2">
      <c r="B24" s="106"/>
      <c r="AR24" s="106"/>
      <c r="BE24" s="444"/>
    </row>
    <row r="25" spans="2:71" ht="6.95" customHeight="1" x14ac:dyDescent="0.2">
      <c r="B25" s="106"/>
      <c r="D25" s="111"/>
      <c r="E25" s="111"/>
      <c r="F25" s="111"/>
      <c r="G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R25" s="106"/>
      <c r="BE25" s="444"/>
    </row>
    <row r="26" spans="2:71" s="256" customFormat="1" ht="25.9" customHeight="1" x14ac:dyDescent="0.25">
      <c r="B26" s="112"/>
      <c r="D26" s="113" t="s">
        <v>1020</v>
      </c>
      <c r="E26" s="254"/>
      <c r="F26" s="254"/>
      <c r="G26" s="254"/>
      <c r="H26" s="254"/>
      <c r="I26" s="254"/>
      <c r="J26" s="254"/>
      <c r="K26" s="254"/>
      <c r="L26" s="254"/>
      <c r="M26" s="254"/>
      <c r="N26" s="254"/>
      <c r="O26" s="254"/>
      <c r="P26" s="254"/>
      <c r="Q26" s="254"/>
      <c r="R26" s="254"/>
      <c r="S26" s="254"/>
      <c r="T26" s="254"/>
      <c r="U26" s="254"/>
      <c r="V26" s="254"/>
      <c r="W26" s="254"/>
      <c r="X26" s="254"/>
      <c r="Y26" s="254"/>
      <c r="Z26" s="254"/>
      <c r="AA26" s="254"/>
      <c r="AB26" s="254"/>
      <c r="AC26" s="254"/>
      <c r="AD26" s="254"/>
      <c r="AE26" s="254"/>
      <c r="AF26" s="254"/>
      <c r="AG26" s="254"/>
      <c r="AH26" s="254"/>
      <c r="AI26" s="254"/>
      <c r="AJ26" s="254"/>
      <c r="AK26" s="449">
        <f>ROUND(AG54,2)</f>
        <v>0</v>
      </c>
      <c r="AL26" s="450"/>
      <c r="AM26" s="450"/>
      <c r="AN26" s="450"/>
      <c r="AO26" s="450"/>
      <c r="AR26" s="112"/>
      <c r="BE26" s="444"/>
    </row>
    <row r="27" spans="2:71" s="256" customFormat="1" ht="6.95" customHeight="1" x14ac:dyDescent="0.25">
      <c r="B27" s="112"/>
      <c r="AR27" s="112"/>
      <c r="BE27" s="444"/>
    </row>
    <row r="28" spans="2:71" s="256" customFormat="1" ht="12.75" x14ac:dyDescent="0.25">
      <c r="B28" s="112"/>
      <c r="L28" s="451" t="s">
        <v>1021</v>
      </c>
      <c r="M28" s="451"/>
      <c r="N28" s="451"/>
      <c r="O28" s="451"/>
      <c r="P28" s="451"/>
      <c r="W28" s="451" t="s">
        <v>1022</v>
      </c>
      <c r="X28" s="451"/>
      <c r="Y28" s="451"/>
      <c r="Z28" s="451"/>
      <c r="AA28" s="451"/>
      <c r="AB28" s="451"/>
      <c r="AC28" s="451"/>
      <c r="AD28" s="451"/>
      <c r="AE28" s="451"/>
      <c r="AK28" s="451" t="s">
        <v>1023</v>
      </c>
      <c r="AL28" s="451"/>
      <c r="AM28" s="451"/>
      <c r="AN28" s="451"/>
      <c r="AO28" s="451"/>
      <c r="AR28" s="112"/>
      <c r="BE28" s="444"/>
    </row>
    <row r="29" spans="2:71" s="248" customFormat="1" ht="14.45" customHeight="1" x14ac:dyDescent="0.25">
      <c r="B29" s="114"/>
      <c r="D29" s="257" t="s">
        <v>1024</v>
      </c>
      <c r="F29" s="257" t="s">
        <v>1025</v>
      </c>
      <c r="L29" s="435">
        <v>0.21</v>
      </c>
      <c r="M29" s="436"/>
      <c r="N29" s="436"/>
      <c r="O29" s="436"/>
      <c r="P29" s="436"/>
      <c r="W29" s="437">
        <f>ROUND(AZ54, 2)</f>
        <v>0</v>
      </c>
      <c r="X29" s="436"/>
      <c r="Y29" s="436"/>
      <c r="Z29" s="436"/>
      <c r="AA29" s="436"/>
      <c r="AB29" s="436"/>
      <c r="AC29" s="436"/>
      <c r="AD29" s="436"/>
      <c r="AE29" s="436"/>
      <c r="AK29" s="437">
        <f>ROUND(AV54, 2)</f>
        <v>0</v>
      </c>
      <c r="AL29" s="436"/>
      <c r="AM29" s="436"/>
      <c r="AN29" s="436"/>
      <c r="AO29" s="436"/>
      <c r="AR29" s="114"/>
      <c r="BE29" s="445"/>
    </row>
    <row r="30" spans="2:71" s="248" customFormat="1" ht="14.45" customHeight="1" x14ac:dyDescent="0.25">
      <c r="B30" s="114"/>
      <c r="F30" s="257" t="s">
        <v>1026</v>
      </c>
      <c r="L30" s="435">
        <v>0.15</v>
      </c>
      <c r="M30" s="436"/>
      <c r="N30" s="436"/>
      <c r="O30" s="436"/>
      <c r="P30" s="436"/>
      <c r="W30" s="437">
        <f>ROUND(BA54, 2)</f>
        <v>0</v>
      </c>
      <c r="X30" s="436"/>
      <c r="Y30" s="436"/>
      <c r="Z30" s="436"/>
      <c r="AA30" s="436"/>
      <c r="AB30" s="436"/>
      <c r="AC30" s="436"/>
      <c r="AD30" s="436"/>
      <c r="AE30" s="436"/>
      <c r="AK30" s="437">
        <f>ROUND(AW54, 2)</f>
        <v>0</v>
      </c>
      <c r="AL30" s="436"/>
      <c r="AM30" s="436"/>
      <c r="AN30" s="436"/>
      <c r="AO30" s="436"/>
      <c r="AR30" s="114"/>
      <c r="BE30" s="445"/>
    </row>
    <row r="31" spans="2:71" s="248" customFormat="1" ht="14.45" hidden="1" customHeight="1" x14ac:dyDescent="0.25">
      <c r="B31" s="114"/>
      <c r="F31" s="257" t="s">
        <v>1027</v>
      </c>
      <c r="L31" s="435">
        <v>0.21</v>
      </c>
      <c r="M31" s="436"/>
      <c r="N31" s="436"/>
      <c r="O31" s="436"/>
      <c r="P31" s="436"/>
      <c r="W31" s="437">
        <f>ROUND(BB54, 2)</f>
        <v>0</v>
      </c>
      <c r="X31" s="436"/>
      <c r="Y31" s="436"/>
      <c r="Z31" s="436"/>
      <c r="AA31" s="436"/>
      <c r="AB31" s="436"/>
      <c r="AC31" s="436"/>
      <c r="AD31" s="436"/>
      <c r="AE31" s="436"/>
      <c r="AK31" s="437">
        <v>0</v>
      </c>
      <c r="AL31" s="436"/>
      <c r="AM31" s="436"/>
      <c r="AN31" s="436"/>
      <c r="AO31" s="436"/>
      <c r="AR31" s="114"/>
      <c r="BE31" s="445"/>
    </row>
    <row r="32" spans="2:71" s="248" customFormat="1" ht="14.45" hidden="1" customHeight="1" x14ac:dyDescent="0.25">
      <c r="B32" s="114"/>
      <c r="F32" s="257" t="s">
        <v>1028</v>
      </c>
      <c r="L32" s="435">
        <v>0.15</v>
      </c>
      <c r="M32" s="436"/>
      <c r="N32" s="436"/>
      <c r="O32" s="436"/>
      <c r="P32" s="436"/>
      <c r="W32" s="437">
        <f>ROUND(BC54, 2)</f>
        <v>0</v>
      </c>
      <c r="X32" s="436"/>
      <c r="Y32" s="436"/>
      <c r="Z32" s="436"/>
      <c r="AA32" s="436"/>
      <c r="AB32" s="436"/>
      <c r="AC32" s="436"/>
      <c r="AD32" s="436"/>
      <c r="AE32" s="436"/>
      <c r="AK32" s="437">
        <v>0</v>
      </c>
      <c r="AL32" s="436"/>
      <c r="AM32" s="436"/>
      <c r="AN32" s="436"/>
      <c r="AO32" s="436"/>
      <c r="AR32" s="114"/>
      <c r="BE32" s="445"/>
    </row>
    <row r="33" spans="2:44" s="248" customFormat="1" ht="14.45" hidden="1" customHeight="1" x14ac:dyDescent="0.25">
      <c r="B33" s="114"/>
      <c r="F33" s="257" t="s">
        <v>1029</v>
      </c>
      <c r="L33" s="435">
        <v>0</v>
      </c>
      <c r="M33" s="436"/>
      <c r="N33" s="436"/>
      <c r="O33" s="436"/>
      <c r="P33" s="436"/>
      <c r="W33" s="437">
        <f>ROUND(BD54, 2)</f>
        <v>0</v>
      </c>
      <c r="X33" s="436"/>
      <c r="Y33" s="436"/>
      <c r="Z33" s="436"/>
      <c r="AA33" s="436"/>
      <c r="AB33" s="436"/>
      <c r="AC33" s="436"/>
      <c r="AD33" s="436"/>
      <c r="AE33" s="436"/>
      <c r="AK33" s="437">
        <v>0</v>
      </c>
      <c r="AL33" s="436"/>
      <c r="AM33" s="436"/>
      <c r="AN33" s="436"/>
      <c r="AO33" s="436"/>
      <c r="AR33" s="114"/>
    </row>
    <row r="34" spans="2:44" s="256" customFormat="1" ht="6.95" customHeight="1" x14ac:dyDescent="0.25">
      <c r="B34" s="112"/>
      <c r="AR34" s="112"/>
    </row>
    <row r="35" spans="2:44" s="256" customFormat="1" ht="25.9" customHeight="1" x14ac:dyDescent="0.25">
      <c r="B35" s="112"/>
      <c r="C35" s="115"/>
      <c r="D35" s="116" t="s">
        <v>1030</v>
      </c>
      <c r="E35" s="249"/>
      <c r="F35" s="249"/>
      <c r="G35" s="249"/>
      <c r="H35" s="249"/>
      <c r="I35" s="249"/>
      <c r="J35" s="249"/>
      <c r="K35" s="249"/>
      <c r="L35" s="249"/>
      <c r="M35" s="249"/>
      <c r="N35" s="249"/>
      <c r="O35" s="249"/>
      <c r="P35" s="249"/>
      <c r="Q35" s="249"/>
      <c r="R35" s="249"/>
      <c r="S35" s="249"/>
      <c r="T35" s="117" t="s">
        <v>1031</v>
      </c>
      <c r="U35" s="249"/>
      <c r="V35" s="249"/>
      <c r="W35" s="249"/>
      <c r="X35" s="438" t="s">
        <v>1032</v>
      </c>
      <c r="Y35" s="439"/>
      <c r="Z35" s="439"/>
      <c r="AA35" s="439"/>
      <c r="AB35" s="439"/>
      <c r="AC35" s="249"/>
      <c r="AD35" s="249"/>
      <c r="AE35" s="249"/>
      <c r="AF35" s="249"/>
      <c r="AG35" s="249"/>
      <c r="AH35" s="249"/>
      <c r="AI35" s="249"/>
      <c r="AJ35" s="249"/>
      <c r="AK35" s="440">
        <f>SUM(AK26:AK33)</f>
        <v>0</v>
      </c>
      <c r="AL35" s="439"/>
      <c r="AM35" s="439"/>
      <c r="AN35" s="439"/>
      <c r="AO35" s="441"/>
      <c r="AP35" s="115"/>
      <c r="AQ35" s="115"/>
      <c r="AR35" s="112"/>
    </row>
    <row r="36" spans="2:44" s="256" customFormat="1" ht="6.95" customHeight="1" x14ac:dyDescent="0.25">
      <c r="B36" s="112"/>
      <c r="AR36" s="112"/>
    </row>
    <row r="37" spans="2:44" s="256" customFormat="1" ht="6.95" customHeight="1" x14ac:dyDescent="0.25">
      <c r="B37" s="118"/>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c r="AP37" s="119"/>
      <c r="AQ37" s="119"/>
      <c r="AR37" s="112"/>
    </row>
    <row r="41" spans="2:44" s="256" customFormat="1" ht="6.95" customHeight="1" x14ac:dyDescent="0.25">
      <c r="B41" s="120"/>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12"/>
    </row>
    <row r="42" spans="2:44" s="256" customFormat="1" ht="24.95" customHeight="1" x14ac:dyDescent="0.25">
      <c r="B42" s="112"/>
      <c r="C42" s="107" t="s">
        <v>1033</v>
      </c>
      <c r="AR42" s="112"/>
    </row>
    <row r="43" spans="2:44" s="256" customFormat="1" ht="6.95" customHeight="1" x14ac:dyDescent="0.25">
      <c r="B43" s="112"/>
      <c r="AR43" s="112"/>
    </row>
    <row r="44" spans="2:44" s="246" customFormat="1" ht="12" customHeight="1" x14ac:dyDescent="0.25">
      <c r="B44" s="122"/>
      <c r="C44" s="257" t="s">
        <v>1005</v>
      </c>
      <c r="L44" s="246" t="str">
        <f>K5</f>
        <v>21-564</v>
      </c>
      <c r="AR44" s="122"/>
    </row>
    <row r="45" spans="2:44" s="250" customFormat="1" ht="36.950000000000003" customHeight="1" x14ac:dyDescent="0.25">
      <c r="B45" s="123"/>
      <c r="C45" s="124" t="s">
        <v>1007</v>
      </c>
      <c r="L45" s="411" t="str">
        <f>K6</f>
        <v>Rekonstrukce administrativní budovy</v>
      </c>
      <c r="M45" s="442"/>
      <c r="N45" s="442"/>
      <c r="O45" s="442"/>
      <c r="P45" s="442"/>
      <c r="Q45" s="442"/>
      <c r="R45" s="442"/>
      <c r="S45" s="442"/>
      <c r="T45" s="442"/>
      <c r="U45" s="442"/>
      <c r="V45" s="442"/>
      <c r="W45" s="442"/>
      <c r="X45" s="442"/>
      <c r="Y45" s="442"/>
      <c r="Z45" s="442"/>
      <c r="AA45" s="442"/>
      <c r="AB45" s="442"/>
      <c r="AC45" s="442"/>
      <c r="AD45" s="442"/>
      <c r="AE45" s="442"/>
      <c r="AF45" s="442"/>
      <c r="AG45" s="442"/>
      <c r="AH45" s="442"/>
      <c r="AI45" s="442"/>
      <c r="AJ45" s="442"/>
      <c r="AK45" s="442"/>
      <c r="AL45" s="442"/>
      <c r="AM45" s="442"/>
      <c r="AN45" s="442"/>
      <c r="AO45" s="442"/>
      <c r="AR45" s="123"/>
    </row>
    <row r="46" spans="2:44" s="256" customFormat="1" ht="6.95" customHeight="1" x14ac:dyDescent="0.25">
      <c r="B46" s="112"/>
      <c r="AR46" s="112"/>
    </row>
    <row r="47" spans="2:44" s="256" customFormat="1" ht="12" customHeight="1" x14ac:dyDescent="0.25">
      <c r="B47" s="112"/>
      <c r="C47" s="257" t="s">
        <v>1012</v>
      </c>
      <c r="L47" s="125" t="str">
        <f>IF(K8="","",K8)</f>
        <v xml:space="preserve"> </v>
      </c>
      <c r="AI47" s="257" t="s">
        <v>673</v>
      </c>
      <c r="AM47" s="424" t="str">
        <f>IF(AN8= "","",AN8)</f>
        <v>31. 1. 2022</v>
      </c>
      <c r="AN47" s="424"/>
      <c r="AR47" s="112"/>
    </row>
    <row r="48" spans="2:44" s="256" customFormat="1" ht="6.95" customHeight="1" x14ac:dyDescent="0.25">
      <c r="B48" s="112"/>
      <c r="AR48" s="112"/>
    </row>
    <row r="49" spans="1:91" s="256" customFormat="1" ht="15.2" customHeight="1" x14ac:dyDescent="0.25">
      <c r="B49" s="112"/>
      <c r="C49" s="257" t="s">
        <v>1014</v>
      </c>
      <c r="L49" s="246" t="str">
        <f>IF(E11= "","",E11)</f>
        <v xml:space="preserve"> </v>
      </c>
      <c r="AI49" s="257" t="s">
        <v>14</v>
      </c>
      <c r="AM49" s="425" t="str">
        <f>IF(E17="","",E17)</f>
        <v xml:space="preserve"> </v>
      </c>
      <c r="AN49" s="426"/>
      <c r="AO49" s="426"/>
      <c r="AP49" s="426"/>
      <c r="AR49" s="112"/>
      <c r="AS49" s="427" t="s">
        <v>1034</v>
      </c>
      <c r="AT49" s="428"/>
      <c r="AU49" s="126"/>
      <c r="AV49" s="126"/>
      <c r="AW49" s="126"/>
      <c r="AX49" s="126"/>
      <c r="AY49" s="126"/>
      <c r="AZ49" s="126"/>
      <c r="BA49" s="126"/>
      <c r="BB49" s="126"/>
      <c r="BC49" s="126"/>
      <c r="BD49" s="127"/>
    </row>
    <row r="50" spans="1:91" s="256" customFormat="1" ht="15.2" customHeight="1" x14ac:dyDescent="0.25">
      <c r="B50" s="112"/>
      <c r="C50" s="257" t="s">
        <v>2317</v>
      </c>
      <c r="L50" s="246" t="str">
        <f>IF(E14= "Vyplň údaj","",E14)</f>
        <v/>
      </c>
      <c r="AI50" s="257" t="s">
        <v>1018</v>
      </c>
      <c r="AM50" s="425" t="str">
        <f>IF(E20="","",E20)</f>
        <v xml:space="preserve"> </v>
      </c>
      <c r="AN50" s="426"/>
      <c r="AO50" s="426"/>
      <c r="AP50" s="426"/>
      <c r="AR50" s="112"/>
      <c r="AS50" s="429"/>
      <c r="AT50" s="430"/>
      <c r="BD50" s="128"/>
    </row>
    <row r="51" spans="1:91" s="256" customFormat="1" ht="10.9" customHeight="1" x14ac:dyDescent="0.25">
      <c r="B51" s="112"/>
      <c r="AR51" s="112"/>
      <c r="AS51" s="429"/>
      <c r="AT51" s="430"/>
      <c r="BD51" s="128"/>
    </row>
    <row r="52" spans="1:91" s="256" customFormat="1" ht="29.25" customHeight="1" x14ac:dyDescent="0.25">
      <c r="B52" s="112"/>
      <c r="C52" s="431" t="s">
        <v>27</v>
      </c>
      <c r="D52" s="432"/>
      <c r="E52" s="432"/>
      <c r="F52" s="432"/>
      <c r="G52" s="432"/>
      <c r="H52" s="129"/>
      <c r="I52" s="433" t="s">
        <v>1035</v>
      </c>
      <c r="J52" s="432"/>
      <c r="K52" s="432"/>
      <c r="L52" s="432"/>
      <c r="M52" s="432"/>
      <c r="N52" s="432"/>
      <c r="O52" s="432"/>
      <c r="P52" s="432"/>
      <c r="Q52" s="432"/>
      <c r="R52" s="432"/>
      <c r="S52" s="432"/>
      <c r="T52" s="432"/>
      <c r="U52" s="432"/>
      <c r="V52" s="432"/>
      <c r="W52" s="432"/>
      <c r="X52" s="432"/>
      <c r="Y52" s="432"/>
      <c r="Z52" s="432"/>
      <c r="AA52" s="432"/>
      <c r="AB52" s="432"/>
      <c r="AC52" s="432"/>
      <c r="AD52" s="432"/>
      <c r="AE52" s="432"/>
      <c r="AF52" s="432"/>
      <c r="AG52" s="434" t="s">
        <v>1036</v>
      </c>
      <c r="AH52" s="432"/>
      <c r="AI52" s="432"/>
      <c r="AJ52" s="432"/>
      <c r="AK52" s="432"/>
      <c r="AL52" s="432"/>
      <c r="AM52" s="432"/>
      <c r="AN52" s="433" t="s">
        <v>1037</v>
      </c>
      <c r="AO52" s="432"/>
      <c r="AP52" s="432"/>
      <c r="AQ52" s="130" t="s">
        <v>1038</v>
      </c>
      <c r="AR52" s="112"/>
      <c r="AS52" s="131" t="s">
        <v>1039</v>
      </c>
      <c r="AT52" s="132" t="s">
        <v>1040</v>
      </c>
      <c r="AU52" s="132" t="s">
        <v>1041</v>
      </c>
      <c r="AV52" s="132" t="s">
        <v>1042</v>
      </c>
      <c r="AW52" s="132" t="s">
        <v>1043</v>
      </c>
      <c r="AX52" s="132" t="s">
        <v>1044</v>
      </c>
      <c r="AY52" s="132" t="s">
        <v>1045</v>
      </c>
      <c r="AZ52" s="132" t="s">
        <v>1046</v>
      </c>
      <c r="BA52" s="132" t="s">
        <v>1047</v>
      </c>
      <c r="BB52" s="132" t="s">
        <v>1048</v>
      </c>
      <c r="BC52" s="132" t="s">
        <v>1049</v>
      </c>
      <c r="BD52" s="133" t="s">
        <v>1050</v>
      </c>
    </row>
    <row r="53" spans="1:91" s="256" customFormat="1" ht="10.9" customHeight="1" x14ac:dyDescent="0.25">
      <c r="B53" s="112"/>
      <c r="AR53" s="112"/>
      <c r="AS53" s="134"/>
      <c r="AT53" s="126"/>
      <c r="AU53" s="126"/>
      <c r="AV53" s="126"/>
      <c r="AW53" s="126"/>
      <c r="AX53" s="126"/>
      <c r="AY53" s="126"/>
      <c r="AZ53" s="126"/>
      <c r="BA53" s="126"/>
      <c r="BB53" s="126"/>
      <c r="BC53" s="126"/>
      <c r="BD53" s="127"/>
    </row>
    <row r="54" spans="1:91" s="135" customFormat="1" ht="32.450000000000003" customHeight="1" x14ac:dyDescent="0.25">
      <c r="B54" s="136"/>
      <c r="C54" s="137" t="s">
        <v>1051</v>
      </c>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422">
        <f>ROUND(SUM(AG55:AG58),2)</f>
        <v>0</v>
      </c>
      <c r="AH54" s="422"/>
      <c r="AI54" s="422"/>
      <c r="AJ54" s="422"/>
      <c r="AK54" s="422"/>
      <c r="AL54" s="422"/>
      <c r="AM54" s="422"/>
      <c r="AN54" s="423">
        <f>SUM(AG54,AT54)</f>
        <v>0</v>
      </c>
      <c r="AO54" s="423"/>
      <c r="AP54" s="423"/>
      <c r="AQ54" s="139" t="s">
        <v>1010</v>
      </c>
      <c r="AR54" s="136"/>
      <c r="AS54" s="140">
        <f>ROUND(SUM(AS55:AS58),2)</f>
        <v>0</v>
      </c>
      <c r="AT54" s="141">
        <f>ROUND(SUM(AV54:AW54),2)</f>
        <v>0</v>
      </c>
      <c r="AU54" s="142">
        <f>ROUND(SUM(AU55:AU58),5)</f>
        <v>0</v>
      </c>
      <c r="AV54" s="141">
        <f>ROUND(AZ54*L29,2)</f>
        <v>0</v>
      </c>
      <c r="AW54" s="141">
        <f>ROUND(BA54*L30,2)</f>
        <v>0</v>
      </c>
      <c r="AX54" s="141">
        <f>ROUND(BB54*L29,2)</f>
        <v>0</v>
      </c>
      <c r="AY54" s="141">
        <f>ROUND(BC54*L30,2)</f>
        <v>0</v>
      </c>
      <c r="AZ54" s="141">
        <f>ROUND(SUM(AZ55:AZ58),2)</f>
        <v>0</v>
      </c>
      <c r="BA54" s="141">
        <f>ROUND(SUM(BA55:BA58),2)</f>
        <v>0</v>
      </c>
      <c r="BB54" s="141">
        <f>ROUND(SUM(BB55:BB58),2)</f>
        <v>0</v>
      </c>
      <c r="BC54" s="141">
        <f>ROUND(SUM(BC55:BC58),2)</f>
        <v>0</v>
      </c>
      <c r="BD54" s="143">
        <f>ROUND(SUM(BD55:BD58),2)</f>
        <v>0</v>
      </c>
      <c r="BS54" s="144" t="s">
        <v>1052</v>
      </c>
      <c r="BT54" s="144" t="s">
        <v>166</v>
      </c>
      <c r="BU54" s="145" t="s">
        <v>1053</v>
      </c>
      <c r="BV54" s="144" t="s">
        <v>1054</v>
      </c>
      <c r="BW54" s="144" t="s">
        <v>1000</v>
      </c>
      <c r="BX54" s="144" t="s">
        <v>1055</v>
      </c>
      <c r="CL54" s="144" t="s">
        <v>1010</v>
      </c>
    </row>
    <row r="55" spans="1:91" s="154" customFormat="1" ht="16.5" customHeight="1" x14ac:dyDescent="0.25">
      <c r="A55" s="146" t="s">
        <v>1056</v>
      </c>
      <c r="B55" s="147"/>
      <c r="C55" s="148"/>
      <c r="D55" s="419" t="s">
        <v>1057</v>
      </c>
      <c r="E55" s="419"/>
      <c r="F55" s="419"/>
      <c r="G55" s="419"/>
      <c r="H55" s="419"/>
      <c r="I55" s="243"/>
      <c r="J55" s="419" t="s">
        <v>1058</v>
      </c>
      <c r="K55" s="419"/>
      <c r="L55" s="419"/>
      <c r="M55" s="419"/>
      <c r="N55" s="419"/>
      <c r="O55" s="419"/>
      <c r="P55" s="419"/>
      <c r="Q55" s="419"/>
      <c r="R55" s="419"/>
      <c r="S55" s="419"/>
      <c r="T55" s="419"/>
      <c r="U55" s="419"/>
      <c r="V55" s="419"/>
      <c r="W55" s="419"/>
      <c r="X55" s="419"/>
      <c r="Y55" s="419"/>
      <c r="Z55" s="419"/>
      <c r="AA55" s="419"/>
      <c r="AB55" s="419"/>
      <c r="AC55" s="419"/>
      <c r="AD55" s="419"/>
      <c r="AE55" s="419"/>
      <c r="AF55" s="419"/>
      <c r="AG55" s="420">
        <f>'03 TZB D14a - ZTI'!J30</f>
        <v>0</v>
      </c>
      <c r="AH55" s="421"/>
      <c r="AI55" s="421"/>
      <c r="AJ55" s="421"/>
      <c r="AK55" s="421"/>
      <c r="AL55" s="421"/>
      <c r="AM55" s="421"/>
      <c r="AN55" s="420">
        <f>SUM(AG55,AT55)</f>
        <v>0</v>
      </c>
      <c r="AO55" s="421"/>
      <c r="AP55" s="421"/>
      <c r="AQ55" s="149" t="s">
        <v>1059</v>
      </c>
      <c r="AR55" s="147"/>
      <c r="AS55" s="150">
        <v>0</v>
      </c>
      <c r="AT55" s="151">
        <f>ROUND(SUM(AV55:AW55),2)</f>
        <v>0</v>
      </c>
      <c r="AU55" s="152">
        <f>'03 TZB D14a - ZTI'!P92</f>
        <v>0</v>
      </c>
      <c r="AV55" s="151">
        <f>'03 TZB D14a - ZTI'!J33</f>
        <v>0</v>
      </c>
      <c r="AW55" s="151">
        <f>'03 TZB D14a - ZTI'!J34</f>
        <v>0</v>
      </c>
      <c r="AX55" s="151">
        <f>'03 TZB D14a - ZTI'!J35</f>
        <v>0</v>
      </c>
      <c r="AY55" s="151">
        <f>'03 TZB D14a - ZTI'!J36</f>
        <v>0</v>
      </c>
      <c r="AZ55" s="151">
        <f>'03 TZB D14a - ZTI'!F33</f>
        <v>0</v>
      </c>
      <c r="BA55" s="151">
        <f>'03 TZB D14a - ZTI'!F34</f>
        <v>0</v>
      </c>
      <c r="BB55" s="151">
        <f>'03 TZB D14a - ZTI'!F35</f>
        <v>0</v>
      </c>
      <c r="BC55" s="151">
        <f>'03 TZB D14a - ZTI'!F36</f>
        <v>0</v>
      </c>
      <c r="BD55" s="153">
        <f>'03 TZB D14a - ZTI'!F37</f>
        <v>0</v>
      </c>
      <c r="BT55" s="155" t="s">
        <v>55</v>
      </c>
      <c r="BV55" s="155" t="s">
        <v>1054</v>
      </c>
      <c r="BW55" s="155" t="s">
        <v>1060</v>
      </c>
      <c r="BX55" s="155" t="s">
        <v>1000</v>
      </c>
      <c r="CL55" s="155" t="s">
        <v>1010</v>
      </c>
      <c r="CM55" s="155" t="s">
        <v>65</v>
      </c>
    </row>
    <row r="56" spans="1:91" s="154" customFormat="1" ht="16.5" customHeight="1" x14ac:dyDescent="0.25">
      <c r="A56" s="146" t="s">
        <v>1056</v>
      </c>
      <c r="B56" s="147"/>
      <c r="C56" s="148"/>
      <c r="D56" s="419" t="s">
        <v>1061</v>
      </c>
      <c r="E56" s="419"/>
      <c r="F56" s="419"/>
      <c r="G56" s="419"/>
      <c r="H56" s="419"/>
      <c r="I56" s="243"/>
      <c r="J56" s="419" t="s">
        <v>1062</v>
      </c>
      <c r="K56" s="419"/>
      <c r="L56" s="419"/>
      <c r="M56" s="419"/>
      <c r="N56" s="419"/>
      <c r="O56" s="419"/>
      <c r="P56" s="419"/>
      <c r="Q56" s="419"/>
      <c r="R56" s="419"/>
      <c r="S56" s="419"/>
      <c r="T56" s="419"/>
      <c r="U56" s="419"/>
      <c r="V56" s="419"/>
      <c r="W56" s="419"/>
      <c r="X56" s="419"/>
      <c r="Y56" s="419"/>
      <c r="Z56" s="419"/>
      <c r="AA56" s="419"/>
      <c r="AB56" s="419"/>
      <c r="AC56" s="419"/>
      <c r="AD56" s="419"/>
      <c r="AE56" s="419"/>
      <c r="AF56" s="419"/>
      <c r="AG56" s="420">
        <f>'03 TZB D14b - Plyn'!J30</f>
        <v>0</v>
      </c>
      <c r="AH56" s="421"/>
      <c r="AI56" s="421"/>
      <c r="AJ56" s="421"/>
      <c r="AK56" s="421"/>
      <c r="AL56" s="421"/>
      <c r="AM56" s="421"/>
      <c r="AN56" s="420">
        <f>SUM(AG56,AT56)</f>
        <v>0</v>
      </c>
      <c r="AO56" s="421"/>
      <c r="AP56" s="421"/>
      <c r="AQ56" s="149" t="s">
        <v>1059</v>
      </c>
      <c r="AR56" s="147"/>
      <c r="AS56" s="150">
        <v>0</v>
      </c>
      <c r="AT56" s="151">
        <f>ROUND(SUM(AV56:AW56),2)</f>
        <v>0</v>
      </c>
      <c r="AU56" s="152">
        <f>'03 TZB D14b - Plyn'!P89</f>
        <v>0</v>
      </c>
      <c r="AV56" s="151">
        <f>'03 TZB D14b - Plyn'!J33</f>
        <v>0</v>
      </c>
      <c r="AW56" s="151">
        <f>'03 TZB D14b - Plyn'!J34</f>
        <v>0</v>
      </c>
      <c r="AX56" s="151">
        <f>'03 TZB D14b - Plyn'!J35</f>
        <v>0</v>
      </c>
      <c r="AY56" s="151">
        <f>'03 TZB D14b - Plyn'!J36</f>
        <v>0</v>
      </c>
      <c r="AZ56" s="151">
        <f>'03 TZB D14b - Plyn'!F33</f>
        <v>0</v>
      </c>
      <c r="BA56" s="151">
        <f>'03 TZB D14b - Plyn'!F34</f>
        <v>0</v>
      </c>
      <c r="BB56" s="151">
        <f>'03 TZB D14b - Plyn'!F35</f>
        <v>0</v>
      </c>
      <c r="BC56" s="151">
        <f>'03 TZB D14b - Plyn'!F36</f>
        <v>0</v>
      </c>
      <c r="BD56" s="153">
        <f>'03 TZB D14b - Plyn'!F37</f>
        <v>0</v>
      </c>
      <c r="BT56" s="155" t="s">
        <v>55</v>
      </c>
      <c r="BV56" s="155" t="s">
        <v>1054</v>
      </c>
      <c r="BW56" s="155" t="s">
        <v>1063</v>
      </c>
      <c r="BX56" s="155" t="s">
        <v>1000</v>
      </c>
      <c r="CL56" s="155" t="s">
        <v>1010</v>
      </c>
      <c r="CM56" s="155" t="s">
        <v>65</v>
      </c>
    </row>
    <row r="57" spans="1:91" s="154" customFormat="1" ht="16.5" customHeight="1" x14ac:dyDescent="0.25">
      <c r="A57" s="146" t="s">
        <v>1056</v>
      </c>
      <c r="B57" s="147"/>
      <c r="C57" s="148"/>
      <c r="D57" s="419" t="s">
        <v>1064</v>
      </c>
      <c r="E57" s="419"/>
      <c r="F57" s="419"/>
      <c r="G57" s="419"/>
      <c r="H57" s="419"/>
      <c r="I57" s="243"/>
      <c r="J57" s="419" t="s">
        <v>788</v>
      </c>
      <c r="K57" s="419"/>
      <c r="L57" s="419"/>
      <c r="M57" s="419"/>
      <c r="N57" s="419"/>
      <c r="O57" s="419"/>
      <c r="P57" s="419"/>
      <c r="Q57" s="419"/>
      <c r="R57" s="419"/>
      <c r="S57" s="419"/>
      <c r="T57" s="419"/>
      <c r="U57" s="419"/>
      <c r="V57" s="419"/>
      <c r="W57" s="419"/>
      <c r="X57" s="419"/>
      <c r="Y57" s="419"/>
      <c r="Z57" s="419"/>
      <c r="AA57" s="419"/>
      <c r="AB57" s="419"/>
      <c r="AC57" s="419"/>
      <c r="AD57" s="419"/>
      <c r="AE57" s="419"/>
      <c r="AF57" s="419"/>
      <c r="AG57" s="420">
        <f>'03 TZB D14c - Vzduchotechnika'!J30</f>
        <v>0</v>
      </c>
      <c r="AH57" s="421"/>
      <c r="AI57" s="421"/>
      <c r="AJ57" s="421"/>
      <c r="AK57" s="421"/>
      <c r="AL57" s="421"/>
      <c r="AM57" s="421"/>
      <c r="AN57" s="420">
        <f>SUM(AG57,AT57)</f>
        <v>0</v>
      </c>
      <c r="AO57" s="421"/>
      <c r="AP57" s="421"/>
      <c r="AQ57" s="149" t="s">
        <v>1059</v>
      </c>
      <c r="AR57" s="147"/>
      <c r="AS57" s="150">
        <v>0</v>
      </c>
      <c r="AT57" s="151">
        <f>ROUND(SUM(AV57:AW57),2)</f>
        <v>0</v>
      </c>
      <c r="AU57" s="152">
        <f>'03 TZB D14c - Vzduchotechnika'!P86</f>
        <v>0</v>
      </c>
      <c r="AV57" s="151">
        <f>'03 TZB D14c - Vzduchotechnika'!J33</f>
        <v>0</v>
      </c>
      <c r="AW57" s="151">
        <f>'03 TZB D14c - Vzduchotechnika'!J34</f>
        <v>0</v>
      </c>
      <c r="AX57" s="151">
        <f>'03 TZB D14c - Vzduchotechnika'!J35</f>
        <v>0</v>
      </c>
      <c r="AY57" s="151">
        <f>'03 TZB D14c - Vzduchotechnika'!J36</f>
        <v>0</v>
      </c>
      <c r="AZ57" s="151">
        <f>'03 TZB D14c - Vzduchotechnika'!F33</f>
        <v>0</v>
      </c>
      <c r="BA57" s="151">
        <f>'03 TZB D14c - Vzduchotechnika'!F34</f>
        <v>0</v>
      </c>
      <c r="BB57" s="151">
        <f>'03 TZB D14c - Vzduchotechnika'!F35</f>
        <v>0</v>
      </c>
      <c r="BC57" s="151">
        <f>'03 TZB D14c - Vzduchotechnika'!F36</f>
        <v>0</v>
      </c>
      <c r="BD57" s="153">
        <f>'03 TZB D14c - Vzduchotechnika'!F37</f>
        <v>0</v>
      </c>
      <c r="BT57" s="155" t="s">
        <v>55</v>
      </c>
      <c r="BV57" s="155" t="s">
        <v>1054</v>
      </c>
      <c r="BW57" s="155" t="s">
        <v>1065</v>
      </c>
      <c r="BX57" s="155" t="s">
        <v>1000</v>
      </c>
      <c r="CL57" s="155" t="s">
        <v>1010</v>
      </c>
      <c r="CM57" s="155" t="s">
        <v>65</v>
      </c>
    </row>
    <row r="58" spans="1:91" s="154" customFormat="1" ht="16.5" customHeight="1" x14ac:dyDescent="0.25">
      <c r="A58" s="146" t="s">
        <v>1056</v>
      </c>
      <c r="B58" s="147"/>
      <c r="C58" s="148"/>
      <c r="D58" s="419" t="s">
        <v>1066</v>
      </c>
      <c r="E58" s="419"/>
      <c r="F58" s="419"/>
      <c r="G58" s="419"/>
      <c r="H58" s="419"/>
      <c r="I58" s="243"/>
      <c r="J58" s="419" t="s">
        <v>1067</v>
      </c>
      <c r="K58" s="419"/>
      <c r="L58" s="419"/>
      <c r="M58" s="419"/>
      <c r="N58" s="419"/>
      <c r="O58" s="419"/>
      <c r="P58" s="419"/>
      <c r="Q58" s="419"/>
      <c r="R58" s="419"/>
      <c r="S58" s="419"/>
      <c r="T58" s="419"/>
      <c r="U58" s="419"/>
      <c r="V58" s="419"/>
      <c r="W58" s="419"/>
      <c r="X58" s="419"/>
      <c r="Y58" s="419"/>
      <c r="Z58" s="419"/>
      <c r="AA58" s="419"/>
      <c r="AB58" s="419"/>
      <c r="AC58" s="419"/>
      <c r="AD58" s="419"/>
      <c r="AE58" s="419"/>
      <c r="AF58" s="419"/>
      <c r="AG58" s="420">
        <f>'03 TZB D14d - Vyt. a chlazení'!J30</f>
        <v>0</v>
      </c>
      <c r="AH58" s="421"/>
      <c r="AI58" s="421"/>
      <c r="AJ58" s="421"/>
      <c r="AK58" s="421"/>
      <c r="AL58" s="421"/>
      <c r="AM58" s="421"/>
      <c r="AN58" s="420">
        <f>SUM(AG58,AT58)</f>
        <v>0</v>
      </c>
      <c r="AO58" s="421"/>
      <c r="AP58" s="421"/>
      <c r="AQ58" s="149" t="s">
        <v>1059</v>
      </c>
      <c r="AR58" s="147"/>
      <c r="AS58" s="156">
        <v>0</v>
      </c>
      <c r="AT58" s="157">
        <f>ROUND(SUM(AV58:AW58),2)</f>
        <v>0</v>
      </c>
      <c r="AU58" s="158">
        <f>'03 TZB D14d - Vyt. a chlazení'!P91</f>
        <v>0</v>
      </c>
      <c r="AV58" s="157">
        <f>'03 TZB D14d - Vyt. a chlazení'!J33</f>
        <v>0</v>
      </c>
      <c r="AW58" s="157">
        <f>'03 TZB D14d - Vyt. a chlazení'!J34</f>
        <v>0</v>
      </c>
      <c r="AX58" s="157">
        <f>'03 TZB D14d - Vyt. a chlazení'!J35</f>
        <v>0</v>
      </c>
      <c r="AY58" s="157">
        <f>'03 TZB D14d - Vyt. a chlazení'!J36</f>
        <v>0</v>
      </c>
      <c r="AZ58" s="157">
        <f>'03 TZB D14d - Vyt. a chlazení'!F33</f>
        <v>0</v>
      </c>
      <c r="BA58" s="157">
        <f>'03 TZB D14d - Vyt. a chlazení'!F34</f>
        <v>0</v>
      </c>
      <c r="BB58" s="157">
        <f>'03 TZB D14d - Vyt. a chlazení'!F35</f>
        <v>0</v>
      </c>
      <c r="BC58" s="157">
        <f>'03 TZB D14d - Vyt. a chlazení'!F36</f>
        <v>0</v>
      </c>
      <c r="BD58" s="159">
        <f>'03 TZB D14d - Vyt. a chlazení'!F37</f>
        <v>0</v>
      </c>
      <c r="BT58" s="155" t="s">
        <v>55</v>
      </c>
      <c r="BV58" s="155" t="s">
        <v>1054</v>
      </c>
      <c r="BW58" s="155" t="s">
        <v>1068</v>
      </c>
      <c r="BX58" s="155" t="s">
        <v>1000</v>
      </c>
      <c r="CL58" s="155" t="s">
        <v>1010</v>
      </c>
      <c r="CM58" s="155" t="s">
        <v>65</v>
      </c>
    </row>
    <row r="59" spans="1:91" s="256" customFormat="1" ht="30" customHeight="1" x14ac:dyDescent="0.25">
      <c r="B59" s="112"/>
      <c r="AR59" s="112"/>
    </row>
    <row r="60" spans="1:91" s="256" customFormat="1" ht="6.95" customHeight="1" x14ac:dyDescent="0.25">
      <c r="B60" s="118"/>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119"/>
      <c r="AA60" s="119"/>
      <c r="AB60" s="119"/>
      <c r="AC60" s="119"/>
      <c r="AD60" s="119"/>
      <c r="AE60" s="119"/>
      <c r="AF60" s="119"/>
      <c r="AG60" s="119"/>
      <c r="AH60" s="119"/>
      <c r="AI60" s="119"/>
      <c r="AJ60" s="119"/>
      <c r="AK60" s="119"/>
      <c r="AL60" s="119"/>
      <c r="AM60" s="119"/>
      <c r="AN60" s="119"/>
      <c r="AO60" s="119"/>
      <c r="AP60" s="119"/>
      <c r="AQ60" s="119"/>
      <c r="AR60" s="112"/>
    </row>
  </sheetData>
  <sheetProtection algorithmName="SHA-512" hashValue="I4VfsK5EL9VhJJcuWr5JVMGiUj/t8T10zwE07qK8FR4uaG9aiS4W3w7kb9EUS6hzFlpRVI+WZxVZnSEctmJT/A==" saltValue="l+IVCreLFmQlD6zgdpEv0wPeDqLpFmb2kK9VRH+AAUaywwMeddoHaDTuSA1gPUMi6cxd/rCNZT826XABnlCXxQ==" spinCount="100000" sheet="1" objects="1" scenarios="1" formatColumns="0" formatRows="0"/>
  <mergeCells count="54">
    <mergeCell ref="AR2:BE2"/>
    <mergeCell ref="K5:AO5"/>
    <mergeCell ref="BE5:BE32"/>
    <mergeCell ref="K6:AO6"/>
    <mergeCell ref="E14:AJ14"/>
    <mergeCell ref="E23:AN23"/>
    <mergeCell ref="AK26:AO26"/>
    <mergeCell ref="L28:P28"/>
    <mergeCell ref="W28:AE28"/>
    <mergeCell ref="AK28:AO28"/>
    <mergeCell ref="L29:P29"/>
    <mergeCell ref="W29:AE29"/>
    <mergeCell ref="AK29:AO29"/>
    <mergeCell ref="L30:P30"/>
    <mergeCell ref="W30:AE30"/>
    <mergeCell ref="AK30:AO30"/>
    <mergeCell ref="L45:AO45"/>
    <mergeCell ref="L31:P31"/>
    <mergeCell ref="W31:AE31"/>
    <mergeCell ref="AK31:AO31"/>
    <mergeCell ref="L32:P32"/>
    <mergeCell ref="W32:AE32"/>
    <mergeCell ref="AK32:AO32"/>
    <mergeCell ref="L33:P33"/>
    <mergeCell ref="W33:AE33"/>
    <mergeCell ref="AK33:AO33"/>
    <mergeCell ref="X35:AB35"/>
    <mergeCell ref="AK35:AO35"/>
    <mergeCell ref="AM47:AN47"/>
    <mergeCell ref="AM49:AP49"/>
    <mergeCell ref="AS49:AT51"/>
    <mergeCell ref="AM50:AP50"/>
    <mergeCell ref="C52:G52"/>
    <mergeCell ref="I52:AF52"/>
    <mergeCell ref="AG52:AM52"/>
    <mergeCell ref="AN52:AP52"/>
    <mergeCell ref="AG54:AM54"/>
    <mergeCell ref="AN54:AP54"/>
    <mergeCell ref="D55:H55"/>
    <mergeCell ref="J55:AF55"/>
    <mergeCell ref="AG55:AM55"/>
    <mergeCell ref="AN55:AP55"/>
    <mergeCell ref="D58:H58"/>
    <mergeCell ref="J58:AF58"/>
    <mergeCell ref="AG58:AM58"/>
    <mergeCell ref="AN58:AP58"/>
    <mergeCell ref="D56:H56"/>
    <mergeCell ref="J56:AF56"/>
    <mergeCell ref="AG56:AM56"/>
    <mergeCell ref="AN56:AP56"/>
    <mergeCell ref="D57:H57"/>
    <mergeCell ref="J57:AF57"/>
    <mergeCell ref="AG57:AM57"/>
    <mergeCell ref="AN57:AP57"/>
  </mergeCells>
  <hyperlinks>
    <hyperlink ref="A55" location="'D14a - Zdravotně technick...'!C2" display="/" xr:uid="{1258FE05-8DD1-436A-B03F-844A05544B6B}"/>
    <hyperlink ref="A56" location="'D14b - Odběrné plynové za...'!C2" display="/" xr:uid="{1DD8B8FC-A098-4300-B820-5DA9A1E40118}"/>
    <hyperlink ref="A57" location="'D14c - Vzduchotechnika'!C2" display="/" xr:uid="{07876975-D8B7-4E53-AFCB-69927B1D3D37}"/>
    <hyperlink ref="A58" location="'D14d - Vytápění a chlazení'!C2" display="/" xr:uid="{01D06B12-A103-4C3A-9FD7-54060A1937CA}"/>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13</vt:i4>
      </vt:variant>
      <vt:variant>
        <vt:lpstr>Pojmenované oblasti</vt:lpstr>
      </vt:variant>
      <vt:variant>
        <vt:i4>12</vt:i4>
      </vt:variant>
    </vt:vector>
  </HeadingPairs>
  <TitlesOfParts>
    <vt:vector size="25" baseType="lpstr">
      <vt:lpstr>01 STAVBA Stavební rozpočet</vt:lpstr>
      <vt:lpstr>01 STAVBA Krycí list rozpočtu</vt:lpstr>
      <vt:lpstr>01 STAVBA VORN</vt:lpstr>
      <vt:lpstr>02 ELEKTRO</vt:lpstr>
      <vt:lpstr>03 TZB D14a - ZTI</vt:lpstr>
      <vt:lpstr>03 TZB D14c - Vzduchotechnika</vt:lpstr>
      <vt:lpstr>03 TZB D14d - Vyt. a chlazení</vt:lpstr>
      <vt:lpstr>03 TZB D14b - Plyn</vt:lpstr>
      <vt:lpstr>03 TZBRekapitulace stavby</vt:lpstr>
      <vt:lpstr>04 INTERIER Stavební rozpočet</vt:lpstr>
      <vt:lpstr>04 INTERIER Krycí list rozpočtu</vt:lpstr>
      <vt:lpstr>04 INTERIER VORN</vt:lpstr>
      <vt:lpstr>Přehled</vt:lpstr>
      <vt:lpstr>'03 TZB D14a - ZTI'!Názvy_tisku</vt:lpstr>
      <vt:lpstr>'03 TZB D14b - Plyn'!Názvy_tisku</vt:lpstr>
      <vt:lpstr>'03 TZB D14c - Vzduchotechnika'!Názvy_tisku</vt:lpstr>
      <vt:lpstr>'03 TZB D14d - Vyt. a chlazení'!Názvy_tisku</vt:lpstr>
      <vt:lpstr>'03 TZBRekapitulace stavby'!Názvy_tisku</vt:lpstr>
      <vt:lpstr>'02 ELEKTRO'!Oblast_tisku</vt:lpstr>
      <vt:lpstr>'03 TZB D14a - ZTI'!Oblast_tisku</vt:lpstr>
      <vt:lpstr>'03 TZB D14b - Plyn'!Oblast_tisku</vt:lpstr>
      <vt:lpstr>'03 TZB D14c - Vzduchotechnika'!Oblast_tisku</vt:lpstr>
      <vt:lpstr>'03 TZB D14d - Vyt. a chlazení'!Oblast_tisku</vt:lpstr>
      <vt:lpstr>'03 TZBRekapitulace stavby'!Oblast_tisku</vt:lpstr>
      <vt:lpstr>vorn_sum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Jirka</dc:creator>
  <cp:lastModifiedBy>Jirka</cp:lastModifiedBy>
  <dcterms:created xsi:type="dcterms:W3CDTF">2022-02-28T14:16:52Z</dcterms:created>
  <dcterms:modified xsi:type="dcterms:W3CDTF">2022-07-27T12:24:00Z</dcterms:modified>
</cp:coreProperties>
</file>