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9\16_Rekonstrukce kuželny Zábřeh_hospoda WC\2019_04_12_výzva\P4_výkazy výměr\wc\"/>
    </mc:Choice>
  </mc:AlternateContent>
  <bookViews>
    <workbookView xWindow="0" yWindow="0" windowWidth="9660" windowHeight="5496"/>
  </bookViews>
  <sheets>
    <sheet name="Krycí list rozpočtu" sheetId="3" r:id="rId1"/>
    <sheet name="Stavební rozpočet" sheetId="1" r:id="rId2"/>
    <sheet name="VORN" sheetId="4" r:id="rId3"/>
    <sheet name="Výkaz výměr" sheetId="2" r:id="rId4"/>
  </sheets>
  <definedNames>
    <definedName name="vorn_sum">VORN!$I$37:$I$37</definedName>
  </definedNames>
  <calcPr calcId="152511"/>
</workbook>
</file>

<file path=xl/calcChain.xml><?xml version="1.0" encoding="utf-8"?>
<calcChain xmlns="http://schemas.openxmlformats.org/spreadsheetml/2006/main">
  <c r="C2" i="3" l="1"/>
  <c r="F2" i="3"/>
  <c r="C4" i="3"/>
  <c r="F4" i="3"/>
  <c r="C6" i="3"/>
  <c r="F6" i="3"/>
  <c r="C8" i="3"/>
  <c r="F8" i="3"/>
  <c r="C10" i="3"/>
  <c r="F10" i="3"/>
  <c r="I10" i="3"/>
  <c r="J14" i="1"/>
  <c r="L14" i="1"/>
  <c r="P14" i="1"/>
  <c r="T14" i="1"/>
  <c r="U14" i="1"/>
  <c r="V14" i="1"/>
  <c r="W14" i="1"/>
  <c r="X14" i="1"/>
  <c r="Z14" i="1"/>
  <c r="AA14" i="1"/>
  <c r="AB14" i="1"/>
  <c r="AE14" i="1"/>
  <c r="H14" i="1" s="1"/>
  <c r="AF14" i="1"/>
  <c r="AN14" i="1" s="1"/>
  <c r="AM14" i="1"/>
  <c r="AT14" i="1"/>
  <c r="AV14" i="1"/>
  <c r="J16" i="1"/>
  <c r="I16" i="1" s="1"/>
  <c r="S16" i="1" s="1"/>
  <c r="L16" i="1"/>
  <c r="L13" i="1" s="1"/>
  <c r="P16" i="1"/>
  <c r="T16" i="1"/>
  <c r="U16" i="1"/>
  <c r="V16" i="1"/>
  <c r="W16" i="1"/>
  <c r="X16" i="1"/>
  <c r="Z16" i="1"/>
  <c r="AA16" i="1"/>
  <c r="AB16" i="1"/>
  <c r="AE16" i="1"/>
  <c r="H16" i="1" s="1"/>
  <c r="R16" i="1" s="1"/>
  <c r="AF16" i="1"/>
  <c r="AN16" i="1" s="1"/>
  <c r="AT16" i="1"/>
  <c r="J19" i="1"/>
  <c r="L19" i="1"/>
  <c r="P19" i="1"/>
  <c r="T19" i="1"/>
  <c r="U19" i="1"/>
  <c r="V19" i="1"/>
  <c r="W19" i="1"/>
  <c r="X19" i="1"/>
  <c r="Z19" i="1"/>
  <c r="AI18" i="1" s="1"/>
  <c r="AA19" i="1"/>
  <c r="AB19" i="1"/>
  <c r="AK18" i="1" s="1"/>
  <c r="AE19" i="1"/>
  <c r="H19" i="1" s="1"/>
  <c r="AF19" i="1"/>
  <c r="AM19" i="1"/>
  <c r="AN19" i="1"/>
  <c r="AT19" i="1"/>
  <c r="AV19" i="1"/>
  <c r="J20" i="1"/>
  <c r="L20" i="1"/>
  <c r="AV20" i="1" s="1"/>
  <c r="P20" i="1"/>
  <c r="T20" i="1"/>
  <c r="U20" i="1"/>
  <c r="V20" i="1"/>
  <c r="W20" i="1"/>
  <c r="X20" i="1"/>
  <c r="Z20" i="1"/>
  <c r="AA20" i="1"/>
  <c r="AB20" i="1"/>
  <c r="AE20" i="1"/>
  <c r="AM20" i="1" s="1"/>
  <c r="AS20" i="1" s="1"/>
  <c r="AF20" i="1"/>
  <c r="AN20" i="1" s="1"/>
  <c r="AT20" i="1"/>
  <c r="J21" i="1"/>
  <c r="L21" i="1"/>
  <c r="AV21" i="1" s="1"/>
  <c r="P21" i="1"/>
  <c r="T21" i="1"/>
  <c r="U21" i="1"/>
  <c r="V21" i="1"/>
  <c r="W21" i="1"/>
  <c r="X21" i="1"/>
  <c r="Z21" i="1"/>
  <c r="AA21" i="1"/>
  <c r="AB21" i="1"/>
  <c r="AE21" i="1"/>
  <c r="H21" i="1" s="1"/>
  <c r="AF21" i="1"/>
  <c r="AM21" i="1"/>
  <c r="AS21" i="1" s="1"/>
  <c r="AN21" i="1"/>
  <c r="AT21" i="1"/>
  <c r="L22" i="1"/>
  <c r="J23" i="1"/>
  <c r="L23" i="1"/>
  <c r="P23" i="1"/>
  <c r="T23" i="1"/>
  <c r="U23" i="1"/>
  <c r="V23" i="1"/>
  <c r="W23" i="1"/>
  <c r="X23" i="1"/>
  <c r="Z23" i="1"/>
  <c r="AI22" i="1" s="1"/>
  <c r="AA23" i="1"/>
  <c r="AJ22" i="1" s="1"/>
  <c r="AB23" i="1"/>
  <c r="AK22" i="1" s="1"/>
  <c r="AE23" i="1"/>
  <c r="H23" i="1" s="1"/>
  <c r="H22" i="1" s="1"/>
  <c r="AF23" i="1"/>
  <c r="AN23" i="1" s="1"/>
  <c r="AM23" i="1"/>
  <c r="AT23" i="1"/>
  <c r="AV23" i="1"/>
  <c r="AK24" i="1"/>
  <c r="J25" i="1"/>
  <c r="L25" i="1"/>
  <c r="AV25" i="1" s="1"/>
  <c r="P25" i="1"/>
  <c r="T25" i="1"/>
  <c r="U25" i="1"/>
  <c r="V25" i="1"/>
  <c r="W25" i="1"/>
  <c r="X25" i="1"/>
  <c r="Z25" i="1"/>
  <c r="AA25" i="1"/>
  <c r="AB25" i="1"/>
  <c r="AE25" i="1"/>
  <c r="AM25" i="1" s="1"/>
  <c r="AF25" i="1"/>
  <c r="AN25" i="1" s="1"/>
  <c r="AT25" i="1"/>
  <c r="J27" i="1"/>
  <c r="L27" i="1"/>
  <c r="AV27" i="1" s="1"/>
  <c r="P27" i="1"/>
  <c r="T27" i="1"/>
  <c r="U27" i="1"/>
  <c r="V27" i="1"/>
  <c r="W27" i="1"/>
  <c r="X27" i="1"/>
  <c r="Z27" i="1"/>
  <c r="AA27" i="1"/>
  <c r="AB27" i="1"/>
  <c r="AE27" i="1"/>
  <c r="H27" i="1" s="1"/>
  <c r="AF27" i="1"/>
  <c r="AM27" i="1"/>
  <c r="AS27" i="1" s="1"/>
  <c r="AN27" i="1"/>
  <c r="AT27" i="1"/>
  <c r="J28" i="1"/>
  <c r="L28" i="1"/>
  <c r="AV28" i="1" s="1"/>
  <c r="P28" i="1"/>
  <c r="T28" i="1"/>
  <c r="U28" i="1"/>
  <c r="V28" i="1"/>
  <c r="W28" i="1"/>
  <c r="X28" i="1"/>
  <c r="Z28" i="1"/>
  <c r="AA28" i="1"/>
  <c r="AB28" i="1"/>
  <c r="AE28" i="1"/>
  <c r="AM28" i="1" s="1"/>
  <c r="AF28" i="1"/>
  <c r="AN28" i="1" s="1"/>
  <c r="AT28" i="1"/>
  <c r="J29" i="1"/>
  <c r="L29" i="1"/>
  <c r="P29" i="1"/>
  <c r="T29" i="1"/>
  <c r="U29" i="1"/>
  <c r="V29" i="1"/>
  <c r="W29" i="1"/>
  <c r="X29" i="1"/>
  <c r="Z29" i="1"/>
  <c r="AA29" i="1"/>
  <c r="AB29" i="1"/>
  <c r="AE29" i="1"/>
  <c r="H29" i="1" s="1"/>
  <c r="AF29" i="1"/>
  <c r="AM29" i="1"/>
  <c r="AN29" i="1"/>
  <c r="AT29" i="1"/>
  <c r="AV29" i="1"/>
  <c r="J32" i="1"/>
  <c r="L32" i="1"/>
  <c r="P32" i="1"/>
  <c r="T32" i="1"/>
  <c r="U32" i="1"/>
  <c r="V32" i="1"/>
  <c r="W32" i="1"/>
  <c r="X32" i="1"/>
  <c r="Z32" i="1"/>
  <c r="AA32" i="1"/>
  <c r="AB32" i="1"/>
  <c r="AE32" i="1"/>
  <c r="H32" i="1" s="1"/>
  <c r="AF32" i="1"/>
  <c r="AN32" i="1" s="1"/>
  <c r="AM32" i="1"/>
  <c r="AS32" i="1" s="1"/>
  <c r="AT32" i="1"/>
  <c r="AV32" i="1"/>
  <c r="J34" i="1"/>
  <c r="L34" i="1"/>
  <c r="AV34" i="1" s="1"/>
  <c r="P34" i="1"/>
  <c r="T34" i="1"/>
  <c r="U34" i="1"/>
  <c r="V34" i="1"/>
  <c r="W34" i="1"/>
  <c r="X34" i="1"/>
  <c r="Z34" i="1"/>
  <c r="AA34" i="1"/>
  <c r="AB34" i="1"/>
  <c r="AE34" i="1"/>
  <c r="H34" i="1" s="1"/>
  <c r="R34" i="1" s="1"/>
  <c r="AF34" i="1"/>
  <c r="AN34" i="1"/>
  <c r="AT34" i="1"/>
  <c r="AI35" i="1"/>
  <c r="J36" i="1"/>
  <c r="L36" i="1"/>
  <c r="P36" i="1"/>
  <c r="T36" i="1"/>
  <c r="U36" i="1"/>
  <c r="V36" i="1"/>
  <c r="W36" i="1"/>
  <c r="X36" i="1"/>
  <c r="Z36" i="1"/>
  <c r="AA36" i="1"/>
  <c r="AB36" i="1"/>
  <c r="AK35" i="1" s="1"/>
  <c r="AE36" i="1"/>
  <c r="H36" i="1" s="1"/>
  <c r="AF36" i="1"/>
  <c r="AM36" i="1"/>
  <c r="AN36" i="1"/>
  <c r="AT36" i="1"/>
  <c r="AV36" i="1"/>
  <c r="J38" i="1"/>
  <c r="L38" i="1"/>
  <c r="AV38" i="1" s="1"/>
  <c r="P38" i="1"/>
  <c r="T38" i="1"/>
  <c r="U38" i="1"/>
  <c r="V38" i="1"/>
  <c r="W38" i="1"/>
  <c r="X38" i="1"/>
  <c r="Z38" i="1"/>
  <c r="AA38" i="1"/>
  <c r="AB38" i="1"/>
  <c r="AE38" i="1"/>
  <c r="AM38" i="1" s="1"/>
  <c r="AS38" i="1" s="1"/>
  <c r="AF38" i="1"/>
  <c r="AN38" i="1" s="1"/>
  <c r="AT38" i="1"/>
  <c r="J41" i="1"/>
  <c r="L41" i="1"/>
  <c r="AV41" i="1" s="1"/>
  <c r="P41" i="1"/>
  <c r="R41" i="1"/>
  <c r="S41" i="1"/>
  <c r="V41" i="1"/>
  <c r="W41" i="1"/>
  <c r="X41" i="1"/>
  <c r="Z41" i="1"/>
  <c r="AA41" i="1"/>
  <c r="AB41" i="1"/>
  <c r="AE41" i="1"/>
  <c r="AM41" i="1" s="1"/>
  <c r="AF41" i="1"/>
  <c r="AN41" i="1"/>
  <c r="AT41" i="1"/>
  <c r="J43" i="1"/>
  <c r="L43" i="1"/>
  <c r="P43" i="1"/>
  <c r="R43" i="1"/>
  <c r="S43" i="1"/>
  <c r="V43" i="1"/>
  <c r="W43" i="1"/>
  <c r="X43" i="1"/>
  <c r="Z43" i="1"/>
  <c r="AA43" i="1"/>
  <c r="AB43" i="1"/>
  <c r="AE43" i="1"/>
  <c r="H43" i="1" s="1"/>
  <c r="T43" i="1" s="1"/>
  <c r="AF43" i="1"/>
  <c r="AN43" i="1" s="1"/>
  <c r="AM43" i="1"/>
  <c r="AS43" i="1" s="1"/>
  <c r="AT43" i="1"/>
  <c r="AV43" i="1"/>
  <c r="J45" i="1"/>
  <c r="L45" i="1"/>
  <c r="R45" i="1"/>
  <c r="S45" i="1"/>
  <c r="T45" i="1"/>
  <c r="U45" i="1"/>
  <c r="V45" i="1"/>
  <c r="W45" i="1"/>
  <c r="X45" i="1"/>
  <c r="Z45" i="1"/>
  <c r="AA45" i="1"/>
  <c r="AE45" i="1"/>
  <c r="AF45" i="1"/>
  <c r="AN45" i="1"/>
  <c r="AT45" i="1"/>
  <c r="J47" i="1"/>
  <c r="L47" i="1"/>
  <c r="P47" i="1"/>
  <c r="R47" i="1"/>
  <c r="S47" i="1"/>
  <c r="V47" i="1"/>
  <c r="W47" i="1"/>
  <c r="X47" i="1"/>
  <c r="Z47" i="1"/>
  <c r="AA47" i="1"/>
  <c r="AB47" i="1"/>
  <c r="AE47" i="1"/>
  <c r="H47" i="1" s="1"/>
  <c r="AF47" i="1"/>
  <c r="AM47" i="1"/>
  <c r="AS47" i="1" s="1"/>
  <c r="AN47" i="1"/>
  <c r="AT47" i="1"/>
  <c r="J48" i="1"/>
  <c r="L48" i="1"/>
  <c r="AV48" i="1" s="1"/>
  <c r="P48" i="1"/>
  <c r="R48" i="1"/>
  <c r="S48" i="1"/>
  <c r="V48" i="1"/>
  <c r="W48" i="1"/>
  <c r="X48" i="1"/>
  <c r="Z48" i="1"/>
  <c r="AA48" i="1"/>
  <c r="AB48" i="1"/>
  <c r="AE48" i="1"/>
  <c r="AM48" i="1" s="1"/>
  <c r="AF48" i="1"/>
  <c r="AN48" i="1" s="1"/>
  <c r="AT48" i="1"/>
  <c r="J49" i="1"/>
  <c r="L49" i="1"/>
  <c r="P49" i="1"/>
  <c r="R49" i="1"/>
  <c r="S49" i="1"/>
  <c r="V49" i="1"/>
  <c r="W49" i="1"/>
  <c r="X49" i="1"/>
  <c r="Z49" i="1"/>
  <c r="AA49" i="1"/>
  <c r="AB49" i="1"/>
  <c r="AE49" i="1"/>
  <c r="H49" i="1" s="1"/>
  <c r="AF49" i="1"/>
  <c r="AM49" i="1"/>
  <c r="AN49" i="1"/>
  <c r="AT49" i="1"/>
  <c r="AV49" i="1"/>
  <c r="J50" i="1"/>
  <c r="L50" i="1"/>
  <c r="AV50" i="1" s="1"/>
  <c r="P50" i="1"/>
  <c r="R50" i="1"/>
  <c r="S50" i="1"/>
  <c r="V50" i="1"/>
  <c r="W50" i="1"/>
  <c r="X50" i="1"/>
  <c r="Z50" i="1"/>
  <c r="AA50" i="1"/>
  <c r="AB50" i="1"/>
  <c r="AE50" i="1"/>
  <c r="AM50" i="1" s="1"/>
  <c r="AS50" i="1" s="1"/>
  <c r="AF50" i="1"/>
  <c r="AN50" i="1" s="1"/>
  <c r="AT50" i="1"/>
  <c r="J51" i="1"/>
  <c r="L51" i="1"/>
  <c r="AV51" i="1" s="1"/>
  <c r="P51" i="1"/>
  <c r="R51" i="1"/>
  <c r="S51" i="1"/>
  <c r="V51" i="1"/>
  <c r="W51" i="1"/>
  <c r="X51" i="1"/>
  <c r="Z51" i="1"/>
  <c r="AA51" i="1"/>
  <c r="AB51" i="1"/>
  <c r="AE51" i="1"/>
  <c r="H51" i="1" s="1"/>
  <c r="AF51" i="1"/>
  <c r="AM51" i="1"/>
  <c r="AS51" i="1" s="1"/>
  <c r="AN51" i="1"/>
  <c r="AT51" i="1"/>
  <c r="J52" i="1"/>
  <c r="L52" i="1"/>
  <c r="AV52" i="1" s="1"/>
  <c r="P52" i="1"/>
  <c r="R52" i="1"/>
  <c r="S52" i="1"/>
  <c r="V52" i="1"/>
  <c r="W52" i="1"/>
  <c r="X52" i="1"/>
  <c r="Z52" i="1"/>
  <c r="AI46" i="1" s="1"/>
  <c r="AA52" i="1"/>
  <c r="AB52" i="1"/>
  <c r="AE52" i="1"/>
  <c r="AM52" i="1" s="1"/>
  <c r="AF52" i="1"/>
  <c r="AN52" i="1" s="1"/>
  <c r="AT52" i="1"/>
  <c r="J53" i="1"/>
  <c r="L53" i="1"/>
  <c r="P53" i="1"/>
  <c r="R53" i="1"/>
  <c r="S53" i="1"/>
  <c r="V53" i="1"/>
  <c r="W53" i="1"/>
  <c r="X53" i="1"/>
  <c r="Z53" i="1"/>
  <c r="AA53" i="1"/>
  <c r="AB53" i="1"/>
  <c r="AE53" i="1"/>
  <c r="H53" i="1" s="1"/>
  <c r="AF53" i="1"/>
  <c r="AM53" i="1"/>
  <c r="AN53" i="1"/>
  <c r="AT53" i="1"/>
  <c r="AV53" i="1"/>
  <c r="J55" i="1"/>
  <c r="L55" i="1"/>
  <c r="AV55" i="1" s="1"/>
  <c r="P55" i="1"/>
  <c r="R55" i="1"/>
  <c r="S55" i="1"/>
  <c r="T55" i="1"/>
  <c r="U55" i="1"/>
  <c r="X55" i="1"/>
  <c r="Z55" i="1"/>
  <c r="AA55" i="1"/>
  <c r="AB55" i="1"/>
  <c r="AE55" i="1"/>
  <c r="AM55" i="1" s="1"/>
  <c r="AS55" i="1" s="1"/>
  <c r="AF55" i="1"/>
  <c r="AN55" i="1" s="1"/>
  <c r="AT55" i="1"/>
  <c r="J56" i="1"/>
  <c r="L56" i="1"/>
  <c r="AV56" i="1" s="1"/>
  <c r="P56" i="1"/>
  <c r="R56" i="1"/>
  <c r="S56" i="1"/>
  <c r="V56" i="1"/>
  <c r="W56" i="1"/>
  <c r="X56" i="1"/>
  <c r="Z56" i="1"/>
  <c r="AA56" i="1"/>
  <c r="AB56" i="1"/>
  <c r="AE56" i="1"/>
  <c r="H56" i="1" s="1"/>
  <c r="AF56" i="1"/>
  <c r="AM56" i="1"/>
  <c r="AS56" i="1" s="1"/>
  <c r="AN56" i="1"/>
  <c r="AT56" i="1"/>
  <c r="J57" i="1"/>
  <c r="L57" i="1"/>
  <c r="AV57" i="1" s="1"/>
  <c r="P57" i="1"/>
  <c r="R57" i="1"/>
  <c r="S57" i="1"/>
  <c r="V57" i="1"/>
  <c r="W57" i="1"/>
  <c r="X57" i="1"/>
  <c r="Z57" i="1"/>
  <c r="AA57" i="1"/>
  <c r="AB57" i="1"/>
  <c r="AE57" i="1"/>
  <c r="AM57" i="1" s="1"/>
  <c r="AF57" i="1"/>
  <c r="AN57" i="1" s="1"/>
  <c r="AT57" i="1"/>
  <c r="J58" i="1"/>
  <c r="L58" i="1"/>
  <c r="P58" i="1"/>
  <c r="R58" i="1"/>
  <c r="S58" i="1"/>
  <c r="V58" i="1"/>
  <c r="W58" i="1"/>
  <c r="X58" i="1"/>
  <c r="Z58" i="1"/>
  <c r="AA58" i="1"/>
  <c r="AB58" i="1"/>
  <c r="AE58" i="1"/>
  <c r="H58" i="1" s="1"/>
  <c r="AF58" i="1"/>
  <c r="AM58" i="1"/>
  <c r="AN58" i="1"/>
  <c r="AT58" i="1"/>
  <c r="AV58" i="1"/>
  <c r="J59" i="1"/>
  <c r="L59" i="1"/>
  <c r="AV59" i="1" s="1"/>
  <c r="P59" i="1"/>
  <c r="R59" i="1"/>
  <c r="S59" i="1"/>
  <c r="V59" i="1"/>
  <c r="W59" i="1"/>
  <c r="X59" i="1"/>
  <c r="Z59" i="1"/>
  <c r="AA59" i="1"/>
  <c r="AB59" i="1"/>
  <c r="AE59" i="1"/>
  <c r="AM59" i="1" s="1"/>
  <c r="AS59" i="1" s="1"/>
  <c r="AF59" i="1"/>
  <c r="AN59" i="1" s="1"/>
  <c r="AT59" i="1"/>
  <c r="J60" i="1"/>
  <c r="L60" i="1"/>
  <c r="AV60" i="1" s="1"/>
  <c r="P60" i="1"/>
  <c r="R60" i="1"/>
  <c r="S60" i="1"/>
  <c r="V60" i="1"/>
  <c r="W60" i="1"/>
  <c r="X60" i="1"/>
  <c r="Z60" i="1"/>
  <c r="AA60" i="1"/>
  <c r="AB60" i="1"/>
  <c r="AE60" i="1"/>
  <c r="H60" i="1" s="1"/>
  <c r="AF60" i="1"/>
  <c r="AM60" i="1"/>
  <c r="AS60" i="1" s="1"/>
  <c r="AN60" i="1"/>
  <c r="AT60" i="1"/>
  <c r="J61" i="1"/>
  <c r="L61" i="1"/>
  <c r="AV61" i="1" s="1"/>
  <c r="P61" i="1"/>
  <c r="R61" i="1"/>
  <c r="S61" i="1"/>
  <c r="V61" i="1"/>
  <c r="W61" i="1"/>
  <c r="X61" i="1"/>
  <c r="Z61" i="1"/>
  <c r="AA61" i="1"/>
  <c r="AB61" i="1"/>
  <c r="AE61" i="1"/>
  <c r="AM61" i="1" s="1"/>
  <c r="AF61" i="1"/>
  <c r="AN61" i="1" s="1"/>
  <c r="AT61" i="1"/>
  <c r="J62" i="1"/>
  <c r="L62" i="1"/>
  <c r="P62" i="1"/>
  <c r="R62" i="1"/>
  <c r="S62" i="1"/>
  <c r="V62" i="1"/>
  <c r="W62" i="1"/>
  <c r="X62" i="1"/>
  <c r="Z62" i="1"/>
  <c r="AA62" i="1"/>
  <c r="AB62" i="1"/>
  <c r="AE62" i="1"/>
  <c r="H62" i="1" s="1"/>
  <c r="AF62" i="1"/>
  <c r="AM62" i="1"/>
  <c r="AN62" i="1"/>
  <c r="AT62" i="1"/>
  <c r="AV62" i="1"/>
  <c r="J63" i="1"/>
  <c r="L63" i="1"/>
  <c r="AV63" i="1" s="1"/>
  <c r="P63" i="1"/>
  <c r="R63" i="1"/>
  <c r="S63" i="1"/>
  <c r="V63" i="1"/>
  <c r="W63" i="1"/>
  <c r="X63" i="1"/>
  <c r="Z63" i="1"/>
  <c r="AA63" i="1"/>
  <c r="AB63" i="1"/>
  <c r="AE63" i="1"/>
  <c r="AM63" i="1" s="1"/>
  <c r="AS63" i="1" s="1"/>
  <c r="AF63" i="1"/>
  <c r="AN63" i="1" s="1"/>
  <c r="AT63" i="1"/>
  <c r="J64" i="1"/>
  <c r="L64" i="1"/>
  <c r="AV64" i="1" s="1"/>
  <c r="P64" i="1"/>
  <c r="R64" i="1"/>
  <c r="S64" i="1"/>
  <c r="V64" i="1"/>
  <c r="W64" i="1"/>
  <c r="X64" i="1"/>
  <c r="Z64" i="1"/>
  <c r="AA64" i="1"/>
  <c r="AB64" i="1"/>
  <c r="AE64" i="1"/>
  <c r="H64" i="1" s="1"/>
  <c r="AF64" i="1"/>
  <c r="AM64" i="1"/>
  <c r="AS64" i="1" s="1"/>
  <c r="AN64" i="1"/>
  <c r="AT64" i="1"/>
  <c r="J65" i="1"/>
  <c r="L65" i="1"/>
  <c r="AV65" i="1" s="1"/>
  <c r="P65" i="1"/>
  <c r="R65" i="1"/>
  <c r="S65" i="1"/>
  <c r="V65" i="1"/>
  <c r="W65" i="1"/>
  <c r="X65" i="1"/>
  <c r="Z65" i="1"/>
  <c r="AA65" i="1"/>
  <c r="AB65" i="1"/>
  <c r="AE65" i="1"/>
  <c r="AM65" i="1" s="1"/>
  <c r="AF65" i="1"/>
  <c r="AN65" i="1" s="1"/>
  <c r="AT65" i="1"/>
  <c r="J66" i="1"/>
  <c r="L66" i="1"/>
  <c r="R66" i="1"/>
  <c r="S66" i="1"/>
  <c r="T66" i="1"/>
  <c r="U66" i="1"/>
  <c r="V66" i="1"/>
  <c r="W66" i="1"/>
  <c r="X66" i="1"/>
  <c r="Z66" i="1"/>
  <c r="AA66" i="1"/>
  <c r="AE66" i="1"/>
  <c r="H66" i="1" s="1"/>
  <c r="I66" i="1" s="1"/>
  <c r="AF66" i="1"/>
  <c r="AM66" i="1"/>
  <c r="AS66" i="1" s="1"/>
  <c r="AN66" i="1"/>
  <c r="AT66" i="1"/>
  <c r="AV66" i="1"/>
  <c r="L67" i="1"/>
  <c r="J68" i="1"/>
  <c r="L68" i="1"/>
  <c r="P68" i="1"/>
  <c r="R68" i="1"/>
  <c r="S68" i="1"/>
  <c r="V68" i="1"/>
  <c r="W68" i="1"/>
  <c r="X68" i="1"/>
  <c r="Z68" i="1"/>
  <c r="AA68" i="1"/>
  <c r="AB68" i="1"/>
  <c r="AE68" i="1"/>
  <c r="H68" i="1" s="1"/>
  <c r="AF68" i="1"/>
  <c r="AN68" i="1" s="1"/>
  <c r="AM68" i="1"/>
  <c r="AT68" i="1"/>
  <c r="AV68" i="1"/>
  <c r="J69" i="1"/>
  <c r="I69" i="1" s="1"/>
  <c r="U69" i="1" s="1"/>
  <c r="L69" i="1"/>
  <c r="AV69" i="1" s="1"/>
  <c r="P69" i="1"/>
  <c r="R69" i="1"/>
  <c r="S69" i="1"/>
  <c r="V69" i="1"/>
  <c r="W69" i="1"/>
  <c r="X69" i="1"/>
  <c r="Z69" i="1"/>
  <c r="AA69" i="1"/>
  <c r="AB69" i="1"/>
  <c r="AE69" i="1"/>
  <c r="H69" i="1" s="1"/>
  <c r="T69" i="1" s="1"/>
  <c r="AF69" i="1"/>
  <c r="AN69" i="1" s="1"/>
  <c r="AT69" i="1"/>
  <c r="J70" i="1"/>
  <c r="L70" i="1"/>
  <c r="P70" i="1"/>
  <c r="R70" i="1"/>
  <c r="S70" i="1"/>
  <c r="V70" i="1"/>
  <c r="W70" i="1"/>
  <c r="X70" i="1"/>
  <c r="Z70" i="1"/>
  <c r="AA70" i="1"/>
  <c r="AB70" i="1"/>
  <c r="AE70" i="1"/>
  <c r="H70" i="1" s="1"/>
  <c r="I70" i="1" s="1"/>
  <c r="U70" i="1" s="1"/>
  <c r="AF70" i="1"/>
  <c r="AN70" i="1" s="1"/>
  <c r="AM70" i="1"/>
  <c r="AT70" i="1"/>
  <c r="AV70" i="1"/>
  <c r="J71" i="1"/>
  <c r="I71" i="1" s="1"/>
  <c r="U71" i="1" s="1"/>
  <c r="L71" i="1"/>
  <c r="AV71" i="1" s="1"/>
  <c r="P71" i="1"/>
  <c r="R71" i="1"/>
  <c r="S71" i="1"/>
  <c r="V71" i="1"/>
  <c r="W71" i="1"/>
  <c r="X71" i="1"/>
  <c r="Z71" i="1"/>
  <c r="AA71" i="1"/>
  <c r="AB71" i="1"/>
  <c r="AE71" i="1"/>
  <c r="H71" i="1" s="1"/>
  <c r="T71" i="1" s="1"/>
  <c r="AF71" i="1"/>
  <c r="AN71" i="1" s="1"/>
  <c r="AT71" i="1"/>
  <c r="J72" i="1"/>
  <c r="L72" i="1"/>
  <c r="P72" i="1"/>
  <c r="R72" i="1"/>
  <c r="S72" i="1"/>
  <c r="V72" i="1"/>
  <c r="W72" i="1"/>
  <c r="X72" i="1"/>
  <c r="Z72" i="1"/>
  <c r="AA72" i="1"/>
  <c r="AB72" i="1"/>
  <c r="AE72" i="1"/>
  <c r="H72" i="1" s="1"/>
  <c r="I72" i="1" s="1"/>
  <c r="U72" i="1" s="1"/>
  <c r="AF72" i="1"/>
  <c r="AN72" i="1" s="1"/>
  <c r="AM72" i="1"/>
  <c r="AT72" i="1"/>
  <c r="AV72" i="1"/>
  <c r="J73" i="1"/>
  <c r="I73" i="1" s="1"/>
  <c r="U73" i="1" s="1"/>
  <c r="L73" i="1"/>
  <c r="AV73" i="1" s="1"/>
  <c r="P73" i="1"/>
  <c r="R73" i="1"/>
  <c r="S73" i="1"/>
  <c r="V73" i="1"/>
  <c r="W73" i="1"/>
  <c r="X73" i="1"/>
  <c r="Z73" i="1"/>
  <c r="AA73" i="1"/>
  <c r="AB73" i="1"/>
  <c r="AE73" i="1"/>
  <c r="H73" i="1" s="1"/>
  <c r="T73" i="1" s="1"/>
  <c r="AF73" i="1"/>
  <c r="AN73" i="1" s="1"/>
  <c r="AT73" i="1"/>
  <c r="J74" i="1"/>
  <c r="L74" i="1"/>
  <c r="P74" i="1"/>
  <c r="R74" i="1"/>
  <c r="S74" i="1"/>
  <c r="V74" i="1"/>
  <c r="W74" i="1"/>
  <c r="X74" i="1"/>
  <c r="Z74" i="1"/>
  <c r="AA74" i="1"/>
  <c r="AB74" i="1"/>
  <c r="AE74" i="1"/>
  <c r="H74" i="1" s="1"/>
  <c r="I74" i="1" s="1"/>
  <c r="U74" i="1" s="1"/>
  <c r="AF74" i="1"/>
  <c r="AN74" i="1" s="1"/>
  <c r="AM74" i="1"/>
  <c r="AT74" i="1"/>
  <c r="AV74" i="1"/>
  <c r="J75" i="1"/>
  <c r="I75" i="1" s="1"/>
  <c r="U75" i="1" s="1"/>
  <c r="L75" i="1"/>
  <c r="AV75" i="1" s="1"/>
  <c r="P75" i="1"/>
  <c r="R75" i="1"/>
  <c r="S75" i="1"/>
  <c r="V75" i="1"/>
  <c r="W75" i="1"/>
  <c r="X75" i="1"/>
  <c r="Z75" i="1"/>
  <c r="AA75" i="1"/>
  <c r="AB75" i="1"/>
  <c r="AE75" i="1"/>
  <c r="H75" i="1" s="1"/>
  <c r="T75" i="1" s="1"/>
  <c r="AF75" i="1"/>
  <c r="AN75" i="1" s="1"/>
  <c r="AT75" i="1"/>
  <c r="J76" i="1"/>
  <c r="L76" i="1"/>
  <c r="P76" i="1"/>
  <c r="R76" i="1"/>
  <c r="S76" i="1"/>
  <c r="V76" i="1"/>
  <c r="W76" i="1"/>
  <c r="X76" i="1"/>
  <c r="Z76" i="1"/>
  <c r="AA76" i="1"/>
  <c r="AB76" i="1"/>
  <c r="AE76" i="1"/>
  <c r="H76" i="1" s="1"/>
  <c r="T76" i="1" s="1"/>
  <c r="AF76" i="1"/>
  <c r="AN76" i="1" s="1"/>
  <c r="AM76" i="1"/>
  <c r="AT76" i="1"/>
  <c r="AV76" i="1"/>
  <c r="J78" i="1"/>
  <c r="L78" i="1"/>
  <c r="AV78" i="1" s="1"/>
  <c r="R78" i="1"/>
  <c r="S78" i="1"/>
  <c r="T78" i="1"/>
  <c r="U78" i="1"/>
  <c r="V78" i="1"/>
  <c r="W78" i="1"/>
  <c r="X78" i="1"/>
  <c r="Z78" i="1"/>
  <c r="AA78" i="1"/>
  <c r="AE78" i="1"/>
  <c r="H78" i="1" s="1"/>
  <c r="AF78" i="1"/>
  <c r="AN78" i="1"/>
  <c r="AT78" i="1"/>
  <c r="J80" i="1"/>
  <c r="L80" i="1"/>
  <c r="P80" i="1"/>
  <c r="R80" i="1"/>
  <c r="S80" i="1"/>
  <c r="V80" i="1"/>
  <c r="W80" i="1"/>
  <c r="X80" i="1"/>
  <c r="Z80" i="1"/>
  <c r="AA80" i="1"/>
  <c r="AB80" i="1"/>
  <c r="AE80" i="1"/>
  <c r="H80" i="1" s="1"/>
  <c r="AF80" i="1"/>
  <c r="AM80" i="1"/>
  <c r="AS80" i="1" s="1"/>
  <c r="AN80" i="1"/>
  <c r="AT80" i="1"/>
  <c r="J81" i="1"/>
  <c r="L81" i="1"/>
  <c r="AV81" i="1" s="1"/>
  <c r="P81" i="1"/>
  <c r="R81" i="1"/>
  <c r="S81" i="1"/>
  <c r="V81" i="1"/>
  <c r="W81" i="1"/>
  <c r="X81" i="1"/>
  <c r="Z81" i="1"/>
  <c r="AA81" i="1"/>
  <c r="AB81" i="1"/>
  <c r="AE81" i="1"/>
  <c r="AM81" i="1" s="1"/>
  <c r="AF81" i="1"/>
  <c r="AN81" i="1" s="1"/>
  <c r="AT81" i="1"/>
  <c r="J82" i="1"/>
  <c r="L82" i="1"/>
  <c r="P82" i="1"/>
  <c r="R82" i="1"/>
  <c r="S82" i="1"/>
  <c r="V82" i="1"/>
  <c r="W82" i="1"/>
  <c r="X82" i="1"/>
  <c r="Z82" i="1"/>
  <c r="AA82" i="1"/>
  <c r="AB82" i="1"/>
  <c r="AE82" i="1"/>
  <c r="H82" i="1" s="1"/>
  <c r="AF82" i="1"/>
  <c r="AM82" i="1"/>
  <c r="AN82" i="1"/>
  <c r="AT82" i="1"/>
  <c r="AV82" i="1"/>
  <c r="J83" i="1"/>
  <c r="L83" i="1"/>
  <c r="AV83" i="1" s="1"/>
  <c r="P83" i="1"/>
  <c r="R83" i="1"/>
  <c r="S83" i="1"/>
  <c r="V83" i="1"/>
  <c r="W83" i="1"/>
  <c r="X83" i="1"/>
  <c r="Z83" i="1"/>
  <c r="AA83" i="1"/>
  <c r="AB83" i="1"/>
  <c r="AE83" i="1"/>
  <c r="AM83" i="1" s="1"/>
  <c r="AS83" i="1" s="1"/>
  <c r="AF83" i="1"/>
  <c r="AN83" i="1" s="1"/>
  <c r="AT83" i="1"/>
  <c r="J84" i="1"/>
  <c r="L84" i="1"/>
  <c r="AV84" i="1" s="1"/>
  <c r="P84" i="1"/>
  <c r="R84" i="1"/>
  <c r="S84" i="1"/>
  <c r="V84" i="1"/>
  <c r="W84" i="1"/>
  <c r="X84" i="1"/>
  <c r="Z84" i="1"/>
  <c r="AA84" i="1"/>
  <c r="AB84" i="1"/>
  <c r="AE84" i="1"/>
  <c r="H84" i="1" s="1"/>
  <c r="AF84" i="1"/>
  <c r="AM84" i="1"/>
  <c r="AS84" i="1" s="1"/>
  <c r="AN84" i="1"/>
  <c r="AT84" i="1"/>
  <c r="J85" i="1"/>
  <c r="L85" i="1"/>
  <c r="AV85" i="1" s="1"/>
  <c r="P85" i="1"/>
  <c r="R85" i="1"/>
  <c r="S85" i="1"/>
  <c r="V85" i="1"/>
  <c r="W85" i="1"/>
  <c r="X85" i="1"/>
  <c r="Z85" i="1"/>
  <c r="AI79" i="1" s="1"/>
  <c r="AA85" i="1"/>
  <c r="AB85" i="1"/>
  <c r="AE85" i="1"/>
  <c r="AM85" i="1" s="1"/>
  <c r="AF85" i="1"/>
  <c r="AN85" i="1" s="1"/>
  <c r="AT85" i="1"/>
  <c r="J86" i="1"/>
  <c r="L86" i="1"/>
  <c r="P86" i="1"/>
  <c r="R86" i="1"/>
  <c r="S86" i="1"/>
  <c r="V86" i="1"/>
  <c r="W86" i="1"/>
  <c r="X86" i="1"/>
  <c r="Z86" i="1"/>
  <c r="AA86" i="1"/>
  <c r="AB86" i="1"/>
  <c r="AE86" i="1"/>
  <c r="H86" i="1" s="1"/>
  <c r="AF86" i="1"/>
  <c r="AM86" i="1"/>
  <c r="AN86" i="1"/>
  <c r="AT86" i="1"/>
  <c r="AV86" i="1"/>
  <c r="J87" i="1"/>
  <c r="L87" i="1"/>
  <c r="AV87" i="1" s="1"/>
  <c r="P87" i="1"/>
  <c r="R87" i="1"/>
  <c r="S87" i="1"/>
  <c r="V87" i="1"/>
  <c r="W87" i="1"/>
  <c r="X87" i="1"/>
  <c r="Z87" i="1"/>
  <c r="AA87" i="1"/>
  <c r="AB87" i="1"/>
  <c r="AE87" i="1"/>
  <c r="AM87" i="1" s="1"/>
  <c r="AS87" i="1" s="1"/>
  <c r="AF87" i="1"/>
  <c r="AN87" i="1" s="1"/>
  <c r="AT87" i="1"/>
  <c r="J88" i="1"/>
  <c r="L88" i="1"/>
  <c r="AV88" i="1" s="1"/>
  <c r="P88" i="1"/>
  <c r="R88" i="1"/>
  <c r="S88" i="1"/>
  <c r="V88" i="1"/>
  <c r="W88" i="1"/>
  <c r="X88" i="1"/>
  <c r="Z88" i="1"/>
  <c r="AA88" i="1"/>
  <c r="AB88" i="1"/>
  <c r="AE88" i="1"/>
  <c r="H88" i="1" s="1"/>
  <c r="AF88" i="1"/>
  <c r="AM88" i="1"/>
  <c r="AS88" i="1" s="1"/>
  <c r="AN88" i="1"/>
  <c r="AT88" i="1"/>
  <c r="J90" i="1"/>
  <c r="L90" i="1"/>
  <c r="AV90" i="1" s="1"/>
  <c r="P90" i="1"/>
  <c r="R90" i="1"/>
  <c r="S90" i="1"/>
  <c r="T90" i="1"/>
  <c r="U90" i="1"/>
  <c r="V90" i="1"/>
  <c r="W90" i="1"/>
  <c r="X90" i="1"/>
  <c r="Z90" i="1"/>
  <c r="AA90" i="1"/>
  <c r="AB90" i="1"/>
  <c r="AE90" i="1"/>
  <c r="AM90" i="1" s="1"/>
  <c r="AF90" i="1"/>
  <c r="AN90" i="1" s="1"/>
  <c r="AT90" i="1"/>
  <c r="J92" i="1"/>
  <c r="L92" i="1"/>
  <c r="AV92" i="1" s="1"/>
  <c r="P92" i="1"/>
  <c r="R92" i="1"/>
  <c r="S92" i="1"/>
  <c r="V92" i="1"/>
  <c r="W92" i="1"/>
  <c r="X92" i="1"/>
  <c r="Z92" i="1"/>
  <c r="AA92" i="1"/>
  <c r="AB92" i="1"/>
  <c r="AE92" i="1"/>
  <c r="AM92" i="1" s="1"/>
  <c r="AF92" i="1"/>
  <c r="AN92" i="1"/>
  <c r="AT92" i="1"/>
  <c r="J93" i="1"/>
  <c r="L93" i="1"/>
  <c r="P93" i="1"/>
  <c r="R93" i="1"/>
  <c r="S93" i="1"/>
  <c r="V93" i="1"/>
  <c r="W93" i="1"/>
  <c r="X93" i="1"/>
  <c r="Z93" i="1"/>
  <c r="AA93" i="1"/>
  <c r="AB93" i="1"/>
  <c r="AE93" i="1"/>
  <c r="H93" i="1" s="1"/>
  <c r="T93" i="1" s="1"/>
  <c r="AF93" i="1"/>
  <c r="AN93" i="1" s="1"/>
  <c r="AM93" i="1"/>
  <c r="AS93" i="1" s="1"/>
  <c r="AT93" i="1"/>
  <c r="AV93" i="1"/>
  <c r="J95" i="1"/>
  <c r="L95" i="1"/>
  <c r="AV95" i="1" s="1"/>
  <c r="P95" i="1"/>
  <c r="R95" i="1"/>
  <c r="S95" i="1"/>
  <c r="V95" i="1"/>
  <c r="W95" i="1"/>
  <c r="X95" i="1"/>
  <c r="Z95" i="1"/>
  <c r="AA95" i="1"/>
  <c r="AB95" i="1"/>
  <c r="AE95" i="1"/>
  <c r="AM95" i="1" s="1"/>
  <c r="AS95" i="1" s="1"/>
  <c r="AF95" i="1"/>
  <c r="AN95" i="1" s="1"/>
  <c r="AT95" i="1"/>
  <c r="J96" i="1"/>
  <c r="L96" i="1"/>
  <c r="AV96" i="1" s="1"/>
  <c r="P96" i="1"/>
  <c r="R96" i="1"/>
  <c r="S96" i="1"/>
  <c r="V96" i="1"/>
  <c r="W96" i="1"/>
  <c r="X96" i="1"/>
  <c r="Z96" i="1"/>
  <c r="AA96" i="1"/>
  <c r="AB96" i="1"/>
  <c r="AE96" i="1"/>
  <c r="H96" i="1" s="1"/>
  <c r="AF96" i="1"/>
  <c r="AM96" i="1"/>
  <c r="AS96" i="1" s="1"/>
  <c r="AN96" i="1"/>
  <c r="AT96" i="1"/>
  <c r="J98" i="1"/>
  <c r="L98" i="1"/>
  <c r="AV98" i="1" s="1"/>
  <c r="P98" i="1"/>
  <c r="R98" i="1"/>
  <c r="S98" i="1"/>
  <c r="V98" i="1"/>
  <c r="W98" i="1"/>
  <c r="X98" i="1"/>
  <c r="Z98" i="1"/>
  <c r="AA98" i="1"/>
  <c r="AB98" i="1"/>
  <c r="AK94" i="1" s="1"/>
  <c r="AE98" i="1"/>
  <c r="AM98" i="1" s="1"/>
  <c r="AF98" i="1"/>
  <c r="AN98" i="1" s="1"/>
  <c r="AT98" i="1"/>
  <c r="J99" i="1"/>
  <c r="L99" i="1"/>
  <c r="P99" i="1"/>
  <c r="R99" i="1"/>
  <c r="S99" i="1"/>
  <c r="V99" i="1"/>
  <c r="W99" i="1"/>
  <c r="X99" i="1"/>
  <c r="Z99" i="1"/>
  <c r="AA99" i="1"/>
  <c r="AB99" i="1"/>
  <c r="AE99" i="1"/>
  <c r="H99" i="1" s="1"/>
  <c r="AF99" i="1"/>
  <c r="AM99" i="1"/>
  <c r="AN99" i="1"/>
  <c r="AT99" i="1"/>
  <c r="AV99" i="1"/>
  <c r="J100" i="1"/>
  <c r="L100" i="1"/>
  <c r="AV100" i="1" s="1"/>
  <c r="P100" i="1"/>
  <c r="R100" i="1"/>
  <c r="S100" i="1"/>
  <c r="V100" i="1"/>
  <c r="W100" i="1"/>
  <c r="X100" i="1"/>
  <c r="Z100" i="1"/>
  <c r="AA100" i="1"/>
  <c r="AB100" i="1"/>
  <c r="AE100" i="1"/>
  <c r="AM100" i="1" s="1"/>
  <c r="AS100" i="1" s="1"/>
  <c r="AF100" i="1"/>
  <c r="AN100" i="1" s="1"/>
  <c r="AT100" i="1"/>
  <c r="AJ101" i="1"/>
  <c r="J102" i="1"/>
  <c r="L102" i="1"/>
  <c r="AV102" i="1" s="1"/>
  <c r="P102" i="1"/>
  <c r="T102" i="1"/>
  <c r="U102" i="1"/>
  <c r="V102" i="1"/>
  <c r="W102" i="1"/>
  <c r="X102" i="1"/>
  <c r="Z102" i="1"/>
  <c r="AI101" i="1" s="1"/>
  <c r="AA102" i="1"/>
  <c r="AB102" i="1"/>
  <c r="AK101" i="1" s="1"/>
  <c r="AE102" i="1"/>
  <c r="AM102" i="1" s="1"/>
  <c r="AF102" i="1"/>
  <c r="AN102" i="1" s="1"/>
  <c r="AT102" i="1"/>
  <c r="J104" i="1"/>
  <c r="P104" i="1" s="1"/>
  <c r="L104" i="1"/>
  <c r="L103" i="1" s="1"/>
  <c r="R104" i="1"/>
  <c r="S104" i="1"/>
  <c r="T104" i="1"/>
  <c r="U104" i="1"/>
  <c r="V104" i="1"/>
  <c r="W104" i="1"/>
  <c r="X104" i="1"/>
  <c r="Z104" i="1"/>
  <c r="AI103" i="1" s="1"/>
  <c r="AA104" i="1"/>
  <c r="AJ103" i="1" s="1"/>
  <c r="AB104" i="1"/>
  <c r="AK103" i="1" s="1"/>
  <c r="AE104" i="1"/>
  <c r="H104" i="1" s="1"/>
  <c r="AF104" i="1"/>
  <c r="AM104" i="1"/>
  <c r="AN104" i="1"/>
  <c r="AT104" i="1"/>
  <c r="AV104" i="1"/>
  <c r="AJ105" i="1"/>
  <c r="J106" i="1"/>
  <c r="I106" i="1" s="1"/>
  <c r="L106" i="1"/>
  <c r="L105" i="1" s="1"/>
  <c r="P106" i="1"/>
  <c r="T106" i="1"/>
  <c r="U106" i="1"/>
  <c r="V106" i="1"/>
  <c r="W106" i="1"/>
  <c r="X106" i="1"/>
  <c r="Z106" i="1"/>
  <c r="AI105" i="1" s="1"/>
  <c r="AA106" i="1"/>
  <c r="AB106" i="1"/>
  <c r="AK105" i="1" s="1"/>
  <c r="AE106" i="1"/>
  <c r="H106" i="1" s="1"/>
  <c r="H105" i="1" s="1"/>
  <c r="AF106" i="1"/>
  <c r="AN106" i="1" s="1"/>
  <c r="AM106" i="1"/>
  <c r="AT106" i="1"/>
  <c r="AV106" i="1"/>
  <c r="AI107" i="1"/>
  <c r="J108" i="1"/>
  <c r="L108" i="1"/>
  <c r="AV108" i="1" s="1"/>
  <c r="P108" i="1"/>
  <c r="T108" i="1"/>
  <c r="U108" i="1"/>
  <c r="V108" i="1"/>
  <c r="W108" i="1"/>
  <c r="X108" i="1"/>
  <c r="Z108" i="1"/>
  <c r="AA108" i="1"/>
  <c r="AB108" i="1"/>
  <c r="AE108" i="1"/>
  <c r="AM108" i="1" s="1"/>
  <c r="AF108" i="1"/>
  <c r="AN108" i="1" s="1"/>
  <c r="AT108" i="1"/>
  <c r="J109" i="1"/>
  <c r="L109" i="1"/>
  <c r="P109" i="1"/>
  <c r="T109" i="1"/>
  <c r="U109" i="1"/>
  <c r="V109" i="1"/>
  <c r="W109" i="1"/>
  <c r="X109" i="1"/>
  <c r="Z109" i="1"/>
  <c r="AA109" i="1"/>
  <c r="AB109" i="1"/>
  <c r="AE109" i="1"/>
  <c r="H109" i="1" s="1"/>
  <c r="AF109" i="1"/>
  <c r="AM109" i="1"/>
  <c r="AN109" i="1"/>
  <c r="AT109" i="1"/>
  <c r="AV109" i="1"/>
  <c r="J111" i="1"/>
  <c r="L111" i="1"/>
  <c r="P111" i="1"/>
  <c r="T111" i="1"/>
  <c r="U111" i="1"/>
  <c r="V111" i="1"/>
  <c r="W111" i="1"/>
  <c r="X111" i="1"/>
  <c r="Z111" i="1"/>
  <c r="AA111" i="1"/>
  <c r="AB111" i="1"/>
  <c r="AE111" i="1"/>
  <c r="H111" i="1" s="1"/>
  <c r="AF111" i="1"/>
  <c r="AN111" i="1" s="1"/>
  <c r="AM111" i="1"/>
  <c r="AT111" i="1"/>
  <c r="AV111" i="1"/>
  <c r="J112" i="1"/>
  <c r="L112" i="1"/>
  <c r="AV112" i="1" s="1"/>
  <c r="P112" i="1"/>
  <c r="T112" i="1"/>
  <c r="U112" i="1"/>
  <c r="V112" i="1"/>
  <c r="W112" i="1"/>
  <c r="X112" i="1"/>
  <c r="Z112" i="1"/>
  <c r="AA112" i="1"/>
  <c r="AB112" i="1"/>
  <c r="AE112" i="1"/>
  <c r="AM112" i="1" s="1"/>
  <c r="AF112" i="1"/>
  <c r="AN112" i="1"/>
  <c r="AT112" i="1"/>
  <c r="J113" i="1"/>
  <c r="L113" i="1"/>
  <c r="P113" i="1"/>
  <c r="T113" i="1"/>
  <c r="U113" i="1"/>
  <c r="V113" i="1"/>
  <c r="W113" i="1"/>
  <c r="X113" i="1"/>
  <c r="Z113" i="1"/>
  <c r="AA113" i="1"/>
  <c r="AB113" i="1"/>
  <c r="AE113" i="1"/>
  <c r="H113" i="1" s="1"/>
  <c r="R113" i="1" s="1"/>
  <c r="AF113" i="1"/>
  <c r="AN113" i="1" s="1"/>
  <c r="AM113" i="1"/>
  <c r="AS113" i="1" s="1"/>
  <c r="AT113" i="1"/>
  <c r="AV113" i="1"/>
  <c r="J114" i="1"/>
  <c r="L114" i="1"/>
  <c r="AV114" i="1" s="1"/>
  <c r="P114" i="1"/>
  <c r="T114" i="1"/>
  <c r="U114" i="1"/>
  <c r="V114" i="1"/>
  <c r="W114" i="1"/>
  <c r="X114" i="1"/>
  <c r="Z114" i="1"/>
  <c r="AA114" i="1"/>
  <c r="AB114" i="1"/>
  <c r="AE114" i="1"/>
  <c r="AM114" i="1" s="1"/>
  <c r="AF114" i="1"/>
  <c r="AN114" i="1" s="1"/>
  <c r="AT114" i="1"/>
  <c r="J115" i="1"/>
  <c r="I115" i="1" s="1"/>
  <c r="S115" i="1" s="1"/>
  <c r="L115" i="1"/>
  <c r="P115" i="1"/>
  <c r="T115" i="1"/>
  <c r="U115" i="1"/>
  <c r="V115" i="1"/>
  <c r="W115" i="1"/>
  <c r="X115" i="1"/>
  <c r="Z115" i="1"/>
  <c r="AA115" i="1"/>
  <c r="AB115" i="1"/>
  <c r="AE115" i="1"/>
  <c r="H115" i="1" s="1"/>
  <c r="R115" i="1" s="1"/>
  <c r="AF115" i="1"/>
  <c r="AN115" i="1" s="1"/>
  <c r="AM115" i="1"/>
  <c r="AT115" i="1"/>
  <c r="AV115" i="1"/>
  <c r="H116" i="1"/>
  <c r="R116" i="1" s="1"/>
  <c r="J116" i="1"/>
  <c r="AB116" i="1" s="1"/>
  <c r="L116" i="1"/>
  <c r="AV116" i="1" s="1"/>
  <c r="P116" i="1"/>
  <c r="T116" i="1"/>
  <c r="U116" i="1"/>
  <c r="V116" i="1"/>
  <c r="W116" i="1"/>
  <c r="X116" i="1"/>
  <c r="Z116" i="1"/>
  <c r="AA116" i="1"/>
  <c r="AJ110" i="1" s="1"/>
  <c r="AE116" i="1"/>
  <c r="AM116" i="1" s="1"/>
  <c r="AF116" i="1"/>
  <c r="AN116" i="1" s="1"/>
  <c r="AT116" i="1"/>
  <c r="AK117" i="1"/>
  <c r="J118" i="1"/>
  <c r="L118" i="1"/>
  <c r="L117" i="1" s="1"/>
  <c r="P118" i="1"/>
  <c r="R118" i="1"/>
  <c r="S118" i="1"/>
  <c r="T118" i="1"/>
  <c r="U118" i="1"/>
  <c r="X118" i="1"/>
  <c r="Z118" i="1"/>
  <c r="AI117" i="1" s="1"/>
  <c r="AA118" i="1"/>
  <c r="AJ117" i="1" s="1"/>
  <c r="AB118" i="1"/>
  <c r="AE118" i="1"/>
  <c r="H118" i="1" s="1"/>
  <c r="AF118" i="1"/>
  <c r="AN118" i="1"/>
  <c r="AT118" i="1"/>
  <c r="J120" i="1"/>
  <c r="L120" i="1"/>
  <c r="L119" i="1" s="1"/>
  <c r="P120" i="1"/>
  <c r="R120" i="1"/>
  <c r="S120" i="1"/>
  <c r="T120" i="1"/>
  <c r="U120" i="1"/>
  <c r="V120" i="1"/>
  <c r="W120" i="1"/>
  <c r="X120" i="1"/>
  <c r="Z120" i="1"/>
  <c r="AA120" i="1"/>
  <c r="AJ119" i="1" s="1"/>
  <c r="AB120" i="1"/>
  <c r="AE120" i="1"/>
  <c r="H120" i="1" s="1"/>
  <c r="AF120" i="1"/>
  <c r="AN120" i="1" s="1"/>
  <c r="AM120" i="1"/>
  <c r="AS120" i="1" s="1"/>
  <c r="AT120" i="1"/>
  <c r="AV120" i="1"/>
  <c r="J121" i="1"/>
  <c r="L121" i="1"/>
  <c r="AV121" i="1" s="1"/>
  <c r="R121" i="1"/>
  <c r="S121" i="1"/>
  <c r="T121" i="1"/>
  <c r="U121" i="1"/>
  <c r="V121" i="1"/>
  <c r="W121" i="1"/>
  <c r="X121" i="1"/>
  <c r="Z121" i="1"/>
  <c r="AA121" i="1"/>
  <c r="AE121" i="1"/>
  <c r="AM121" i="1" s="1"/>
  <c r="AS121" i="1" s="1"/>
  <c r="AF121" i="1"/>
  <c r="AN121" i="1"/>
  <c r="AT121" i="1"/>
  <c r="J122" i="1"/>
  <c r="L122" i="1"/>
  <c r="P122" i="1"/>
  <c r="R122" i="1"/>
  <c r="S122" i="1"/>
  <c r="T122" i="1"/>
  <c r="U122" i="1"/>
  <c r="V122" i="1"/>
  <c r="W122" i="1"/>
  <c r="X122" i="1"/>
  <c r="Z122" i="1"/>
  <c r="AA122" i="1"/>
  <c r="AB122" i="1"/>
  <c r="AE122" i="1"/>
  <c r="H122" i="1" s="1"/>
  <c r="AF122" i="1"/>
  <c r="AN122" i="1" s="1"/>
  <c r="AM122" i="1"/>
  <c r="AS122" i="1" s="1"/>
  <c r="AT122" i="1"/>
  <c r="AV122" i="1"/>
  <c r="J123" i="1"/>
  <c r="P123" i="1" s="1"/>
  <c r="L123" i="1"/>
  <c r="AV123" i="1" s="1"/>
  <c r="R123" i="1"/>
  <c r="S123" i="1"/>
  <c r="T123" i="1"/>
  <c r="U123" i="1"/>
  <c r="V123" i="1"/>
  <c r="W123" i="1"/>
  <c r="X123" i="1"/>
  <c r="Z123" i="1"/>
  <c r="AA123" i="1"/>
  <c r="AE123" i="1"/>
  <c r="AM123" i="1" s="1"/>
  <c r="AF123" i="1"/>
  <c r="AN123" i="1"/>
  <c r="AT123" i="1"/>
  <c r="J125" i="1"/>
  <c r="X125" i="1" s="1"/>
  <c r="L125" i="1"/>
  <c r="L124" i="1" s="1"/>
  <c r="P125" i="1"/>
  <c r="R125" i="1"/>
  <c r="S125" i="1"/>
  <c r="T125" i="1"/>
  <c r="U125" i="1"/>
  <c r="V125" i="1"/>
  <c r="W125" i="1"/>
  <c r="Z125" i="1"/>
  <c r="AI124" i="1" s="1"/>
  <c r="AA125" i="1"/>
  <c r="AJ124" i="1" s="1"/>
  <c r="AB125" i="1"/>
  <c r="AK124" i="1" s="1"/>
  <c r="AE125" i="1"/>
  <c r="H125" i="1" s="1"/>
  <c r="AF125" i="1"/>
  <c r="AM125" i="1"/>
  <c r="AN125" i="1"/>
  <c r="AT125" i="1"/>
  <c r="AV125" i="1"/>
  <c r="J128" i="1"/>
  <c r="L128" i="1"/>
  <c r="L127" i="1" s="1"/>
  <c r="L126" i="1" s="1"/>
  <c r="P128" i="1"/>
  <c r="T128" i="1"/>
  <c r="U128" i="1"/>
  <c r="V128" i="1"/>
  <c r="W128" i="1"/>
  <c r="X128" i="1"/>
  <c r="Z128" i="1"/>
  <c r="AA128" i="1"/>
  <c r="C28" i="3"/>
  <c r="F28" i="3" s="1"/>
  <c r="AB128" i="1"/>
  <c r="AK127" i="1" s="1"/>
  <c r="AE128" i="1"/>
  <c r="AM128" i="1" s="1"/>
  <c r="AF128" i="1"/>
  <c r="AN128" i="1"/>
  <c r="AT128" i="1"/>
  <c r="J131" i="1"/>
  <c r="L131" i="1"/>
  <c r="AV131" i="1" s="1"/>
  <c r="P131" i="1"/>
  <c r="T131" i="1"/>
  <c r="U131" i="1"/>
  <c r="V131" i="1"/>
  <c r="W131" i="1"/>
  <c r="X131" i="1"/>
  <c r="Z131" i="1"/>
  <c r="AI130" i="1" s="1"/>
  <c r="AA131" i="1"/>
  <c r="AJ130" i="1" s="1"/>
  <c r="AB131" i="1"/>
  <c r="AK130" i="1" s="1"/>
  <c r="AE131" i="1"/>
  <c r="AM131" i="1" s="1"/>
  <c r="AF131" i="1"/>
  <c r="AN131" i="1"/>
  <c r="AT131" i="1"/>
  <c r="C2" i="4"/>
  <c r="F2" i="4"/>
  <c r="C4" i="4"/>
  <c r="F4" i="4"/>
  <c r="C6" i="4"/>
  <c r="F6" i="4"/>
  <c r="C8" i="4"/>
  <c r="F8" i="4"/>
  <c r="C10" i="4"/>
  <c r="F10" i="4"/>
  <c r="I10" i="4"/>
  <c r="I15" i="4"/>
  <c r="F14" i="3" s="1"/>
  <c r="I16" i="4"/>
  <c r="F15" i="3" s="1"/>
  <c r="I17" i="4"/>
  <c r="F16" i="3" s="1"/>
  <c r="I18" i="4"/>
  <c r="F17" i="3" s="1"/>
  <c r="I23" i="4"/>
  <c r="I15" i="3" s="1"/>
  <c r="I24" i="4"/>
  <c r="I16" i="3" s="1"/>
  <c r="I25" i="4"/>
  <c r="I17" i="3" s="1"/>
  <c r="I26" i="4"/>
  <c r="I18" i="3" s="1"/>
  <c r="I27" i="4"/>
  <c r="I19" i="3" s="1"/>
  <c r="I36" i="4"/>
  <c r="I37" i="4" s="1"/>
  <c r="I24" i="3" s="1"/>
  <c r="C2" i="2"/>
  <c r="F2" i="2"/>
  <c r="C4" i="2"/>
  <c r="F4" i="2"/>
  <c r="C6" i="2"/>
  <c r="F6" i="2"/>
  <c r="C8" i="2"/>
  <c r="F8" i="2"/>
  <c r="AI127" i="1"/>
  <c r="AJ127" i="1"/>
  <c r="C20" i="3" l="1"/>
  <c r="AS131" i="1"/>
  <c r="H131" i="1"/>
  <c r="H130" i="1" s="1"/>
  <c r="L130" i="1"/>
  <c r="L129" i="1" s="1"/>
  <c r="AS128" i="1"/>
  <c r="AS123" i="1"/>
  <c r="AM118" i="1"/>
  <c r="AS118" i="1" s="1"/>
  <c r="L110" i="1"/>
  <c r="I102" i="1"/>
  <c r="AI94" i="1"/>
  <c r="AS92" i="1"/>
  <c r="AJ91" i="1"/>
  <c r="H92" i="1"/>
  <c r="T92" i="1" s="1"/>
  <c r="AJ79" i="1"/>
  <c r="L79" i="1"/>
  <c r="AV80" i="1"/>
  <c r="AJ46" i="1"/>
  <c r="L46" i="1"/>
  <c r="AV47" i="1"/>
  <c r="AM45" i="1"/>
  <c r="AS45" i="1" s="1"/>
  <c r="H45" i="1"/>
  <c r="AS41" i="1"/>
  <c r="AJ40" i="1"/>
  <c r="H41" i="1"/>
  <c r="T41" i="1" s="1"/>
  <c r="AJ31" i="1"/>
  <c r="L31" i="1"/>
  <c r="AJ24" i="1"/>
  <c r="AK13" i="1"/>
  <c r="AI13" i="1"/>
  <c r="I131" i="1"/>
  <c r="AS125" i="1"/>
  <c r="AB123" i="1"/>
  <c r="H123" i="1"/>
  <c r="H119" i="1" s="1"/>
  <c r="I122" i="1"/>
  <c r="AB121" i="1"/>
  <c r="H121" i="1"/>
  <c r="I121" i="1" s="1"/>
  <c r="AK119" i="1"/>
  <c r="AI119" i="1"/>
  <c r="I120" i="1"/>
  <c r="I119" i="1" s="1"/>
  <c r="J119" i="1" s="1"/>
  <c r="AV118" i="1"/>
  <c r="AS112" i="1"/>
  <c r="H112" i="1"/>
  <c r="R112" i="1" s="1"/>
  <c r="AK110" i="1"/>
  <c r="AI110" i="1"/>
  <c r="I111" i="1"/>
  <c r="AK107" i="1"/>
  <c r="AJ94" i="1"/>
  <c r="L91" i="1"/>
  <c r="P78" i="1"/>
  <c r="AB78" i="1"/>
  <c r="I76" i="1"/>
  <c r="U76" i="1" s="1"/>
  <c r="AK67" i="1"/>
  <c r="AI67" i="1"/>
  <c r="P66" i="1"/>
  <c r="AB66" i="1"/>
  <c r="AK46" i="1" s="1"/>
  <c r="P45" i="1"/>
  <c r="AB45" i="1"/>
  <c r="AS116" i="1"/>
  <c r="AS114" i="1"/>
  <c r="H114" i="1"/>
  <c r="R114" i="1" s="1"/>
  <c r="I113" i="1"/>
  <c r="S113" i="1" s="1"/>
  <c r="I112" i="1"/>
  <c r="S112" i="1" s="1"/>
  <c r="AS109" i="1"/>
  <c r="AJ107" i="1"/>
  <c r="AS104" i="1"/>
  <c r="AS102" i="1"/>
  <c r="H102" i="1"/>
  <c r="H101" i="1" s="1"/>
  <c r="L101" i="1"/>
  <c r="AS99" i="1"/>
  <c r="I93" i="1"/>
  <c r="U93" i="1" s="1"/>
  <c r="AK91" i="1"/>
  <c r="AI91" i="1"/>
  <c r="AS86" i="1"/>
  <c r="AS82" i="1"/>
  <c r="AK79" i="1"/>
  <c r="AJ67" i="1"/>
  <c r="AS62" i="1"/>
  <c r="AS58" i="1"/>
  <c r="AS53" i="1"/>
  <c r="AS49" i="1"/>
  <c r="L40" i="1"/>
  <c r="I43" i="1"/>
  <c r="U43" i="1" s="1"/>
  <c r="AK40" i="1"/>
  <c r="AI40" i="1"/>
  <c r="I41" i="1"/>
  <c r="AS36" i="1"/>
  <c r="AJ35" i="1"/>
  <c r="L35" i="1"/>
  <c r="I34" i="1"/>
  <c r="S34" i="1" s="1"/>
  <c r="AK31" i="1"/>
  <c r="AI31" i="1"/>
  <c r="AS29" i="1"/>
  <c r="AI24" i="1"/>
  <c r="AS23" i="1"/>
  <c r="AS19" i="1"/>
  <c r="AJ18" i="1"/>
  <c r="L18" i="1"/>
  <c r="AJ13" i="1"/>
  <c r="H129" i="1"/>
  <c r="I118" i="1"/>
  <c r="H117" i="1"/>
  <c r="V118" i="1"/>
  <c r="I130" i="1"/>
  <c r="I129" i="1" s="1"/>
  <c r="S131" i="1"/>
  <c r="I109" i="1"/>
  <c r="S109" i="1" s="1"/>
  <c r="R109" i="1"/>
  <c r="H103" i="1"/>
  <c r="I104" i="1"/>
  <c r="I103" i="1" s="1"/>
  <c r="T99" i="1"/>
  <c r="I99" i="1"/>
  <c r="U99" i="1" s="1"/>
  <c r="T82" i="1"/>
  <c r="I82" i="1"/>
  <c r="U82" i="1" s="1"/>
  <c r="T58" i="1"/>
  <c r="I58" i="1"/>
  <c r="U58" i="1" s="1"/>
  <c r="T49" i="1"/>
  <c r="I49" i="1"/>
  <c r="U49" i="1" s="1"/>
  <c r="U41" i="1"/>
  <c r="AS115" i="1"/>
  <c r="AS90" i="1"/>
  <c r="AS85" i="1"/>
  <c r="H67" i="1"/>
  <c r="AS61" i="1"/>
  <c r="AS52" i="1"/>
  <c r="AS28" i="1"/>
  <c r="AS14" i="1"/>
  <c r="S111" i="1"/>
  <c r="I105" i="1"/>
  <c r="J105" i="1" s="1"/>
  <c r="S106" i="1"/>
  <c r="T96" i="1"/>
  <c r="I96" i="1"/>
  <c r="U96" i="1" s="1"/>
  <c r="T88" i="1"/>
  <c r="I88" i="1"/>
  <c r="U88" i="1" s="1"/>
  <c r="T80" i="1"/>
  <c r="I80" i="1"/>
  <c r="T64" i="1"/>
  <c r="I64" i="1"/>
  <c r="U64" i="1" s="1"/>
  <c r="T56" i="1"/>
  <c r="I56" i="1"/>
  <c r="U56" i="1" s="1"/>
  <c r="T47" i="1"/>
  <c r="I47" i="1"/>
  <c r="I21" i="1"/>
  <c r="S21" i="1" s="1"/>
  <c r="R21" i="1"/>
  <c r="H31" i="1"/>
  <c r="AS25" i="1"/>
  <c r="H124" i="1"/>
  <c r="I125" i="1"/>
  <c r="I124" i="1" s="1"/>
  <c r="T86" i="1"/>
  <c r="I86" i="1"/>
  <c r="U86" i="1" s="1"/>
  <c r="T62" i="1"/>
  <c r="I62" i="1"/>
  <c r="U62" i="1" s="1"/>
  <c r="T53" i="1"/>
  <c r="I53" i="1"/>
  <c r="U53" i="1" s="1"/>
  <c r="I36" i="1"/>
  <c r="R36" i="1"/>
  <c r="I29" i="1"/>
  <c r="S29" i="1" s="1"/>
  <c r="R29" i="1"/>
  <c r="I19" i="1"/>
  <c r="R19" i="1"/>
  <c r="H13" i="1"/>
  <c r="I14" i="1"/>
  <c r="R14" i="1"/>
  <c r="F22" i="3"/>
  <c r="AS111" i="1"/>
  <c r="AS108" i="1"/>
  <c r="AS106" i="1"/>
  <c r="AS98" i="1"/>
  <c r="AS81" i="1"/>
  <c r="AS76" i="1"/>
  <c r="AS74" i="1"/>
  <c r="AS72" i="1"/>
  <c r="AS70" i="1"/>
  <c r="AS68" i="1"/>
  <c r="AS65" i="1"/>
  <c r="AS57" i="1"/>
  <c r="AS48" i="1"/>
  <c r="I101" i="1"/>
  <c r="J101" i="1" s="1"/>
  <c r="S102" i="1"/>
  <c r="T84" i="1"/>
  <c r="I84" i="1"/>
  <c r="U84" i="1" s="1"/>
  <c r="T60" i="1"/>
  <c r="I60" i="1"/>
  <c r="U60" i="1" s="1"/>
  <c r="T51" i="1"/>
  <c r="I51" i="1"/>
  <c r="U51" i="1" s="1"/>
  <c r="I27" i="1"/>
  <c r="S27" i="1" s="1"/>
  <c r="R27" i="1"/>
  <c r="AV128" i="1"/>
  <c r="C27" i="3"/>
  <c r="P121" i="1"/>
  <c r="C21" i="3" s="1"/>
  <c r="I19" i="4"/>
  <c r="R131" i="1"/>
  <c r="I123" i="1"/>
  <c r="I116" i="1"/>
  <c r="S116" i="1" s="1"/>
  <c r="R102" i="1"/>
  <c r="H91" i="1"/>
  <c r="AM78" i="1"/>
  <c r="AS78" i="1" s="1"/>
  <c r="I78" i="1"/>
  <c r="AM75" i="1"/>
  <c r="AS75" i="1" s="1"/>
  <c r="T74" i="1"/>
  <c r="AM73" i="1"/>
  <c r="AS73" i="1" s="1"/>
  <c r="T72" i="1"/>
  <c r="AM71" i="1"/>
  <c r="AS71" i="1" s="1"/>
  <c r="T70" i="1"/>
  <c r="AM69" i="1"/>
  <c r="AS69" i="1" s="1"/>
  <c r="T68" i="1"/>
  <c r="AV45" i="1"/>
  <c r="I45" i="1"/>
  <c r="I40" i="1" s="1"/>
  <c r="H40" i="1"/>
  <c r="AM34" i="1"/>
  <c r="AS34" i="1" s="1"/>
  <c r="AV16" i="1"/>
  <c r="AM16" i="1"/>
  <c r="AS16" i="1" s="1"/>
  <c r="H128" i="1"/>
  <c r="R111" i="1"/>
  <c r="H108" i="1"/>
  <c r="L107" i="1"/>
  <c r="R106" i="1"/>
  <c r="H100" i="1"/>
  <c r="H98" i="1"/>
  <c r="H95" i="1"/>
  <c r="L94" i="1"/>
  <c r="H90" i="1"/>
  <c r="I90" i="1" s="1"/>
  <c r="H87" i="1"/>
  <c r="H85" i="1"/>
  <c r="H83" i="1"/>
  <c r="H81" i="1"/>
  <c r="I68" i="1"/>
  <c r="H65" i="1"/>
  <c r="H63" i="1"/>
  <c r="H61" i="1"/>
  <c r="H59" i="1"/>
  <c r="H57" i="1"/>
  <c r="H55" i="1"/>
  <c r="H52" i="1"/>
  <c r="H50" i="1"/>
  <c r="H48" i="1"/>
  <c r="H46" i="1" s="1"/>
  <c r="H38" i="1"/>
  <c r="H35" i="1" s="1"/>
  <c r="R32" i="1"/>
  <c r="I32" i="1"/>
  <c r="H28" i="1"/>
  <c r="H25" i="1"/>
  <c r="L24" i="1"/>
  <c r="L12" i="1" s="1"/>
  <c r="R23" i="1"/>
  <c r="I23" i="1"/>
  <c r="H20" i="1"/>
  <c r="R20" i="1" s="1"/>
  <c r="H18" i="1" l="1"/>
  <c r="I92" i="1"/>
  <c r="I114" i="1"/>
  <c r="S114" i="1" s="1"/>
  <c r="H110" i="1"/>
  <c r="I28" i="1"/>
  <c r="S28" i="1" s="1"/>
  <c r="R28" i="1"/>
  <c r="I85" i="1"/>
  <c r="U85" i="1" s="1"/>
  <c r="T85" i="1"/>
  <c r="I52" i="1"/>
  <c r="U52" i="1" s="1"/>
  <c r="T52" i="1"/>
  <c r="I81" i="1"/>
  <c r="U81" i="1" s="1"/>
  <c r="T81" i="1"/>
  <c r="I100" i="1"/>
  <c r="U100" i="1" s="1"/>
  <c r="T100" i="1"/>
  <c r="I110" i="1"/>
  <c r="J110" i="1" s="1"/>
  <c r="J130" i="1"/>
  <c r="I57" i="1"/>
  <c r="U57" i="1" s="1"/>
  <c r="T57" i="1"/>
  <c r="H94" i="1"/>
  <c r="I95" i="1"/>
  <c r="T95" i="1"/>
  <c r="I61" i="1"/>
  <c r="U61" i="1" s="1"/>
  <c r="T61" i="1"/>
  <c r="I31" i="1"/>
  <c r="S32" i="1"/>
  <c r="I50" i="1"/>
  <c r="U50" i="1" s="1"/>
  <c r="T50" i="1"/>
  <c r="I59" i="1"/>
  <c r="U59" i="1" s="1"/>
  <c r="T59" i="1"/>
  <c r="I67" i="1"/>
  <c r="J67" i="1" s="1"/>
  <c r="U68" i="1"/>
  <c r="I87" i="1"/>
  <c r="U87" i="1" s="1"/>
  <c r="T87" i="1"/>
  <c r="I98" i="1"/>
  <c r="U98" i="1" s="1"/>
  <c r="T98" i="1"/>
  <c r="H107" i="1"/>
  <c r="I108" i="1"/>
  <c r="R108" i="1"/>
  <c r="U47" i="1"/>
  <c r="U80" i="1"/>
  <c r="J31" i="1"/>
  <c r="I20" i="1"/>
  <c r="S20" i="1" s="1"/>
  <c r="J103" i="1"/>
  <c r="J129" i="1"/>
  <c r="I48" i="1"/>
  <c r="U48" i="1" s="1"/>
  <c r="T48" i="1"/>
  <c r="S36" i="1"/>
  <c r="I117" i="1"/>
  <c r="W118" i="1"/>
  <c r="H79" i="1"/>
  <c r="I22" i="1"/>
  <c r="J22" i="1" s="1"/>
  <c r="S23" i="1"/>
  <c r="I65" i="1"/>
  <c r="U65" i="1" s="1"/>
  <c r="T65" i="1"/>
  <c r="I13" i="1"/>
  <c r="S14" i="1"/>
  <c r="H24" i="1"/>
  <c r="I25" i="1"/>
  <c r="R25" i="1"/>
  <c r="I38" i="1"/>
  <c r="S38" i="1" s="1"/>
  <c r="R38" i="1"/>
  <c r="I55" i="1"/>
  <c r="W55" i="1" s="1"/>
  <c r="C19" i="3" s="1"/>
  <c r="V55" i="1"/>
  <c r="C18" i="3" s="1"/>
  <c r="I63" i="1"/>
  <c r="U63" i="1" s="1"/>
  <c r="T63" i="1"/>
  <c r="I83" i="1"/>
  <c r="U83" i="1" s="1"/>
  <c r="T83" i="1"/>
  <c r="R128" i="1"/>
  <c r="I128" i="1"/>
  <c r="H127" i="1"/>
  <c r="I18" i="1"/>
  <c r="J18" i="1" s="1"/>
  <c r="S19" i="1"/>
  <c r="J40" i="1"/>
  <c r="C14" i="3"/>
  <c r="J124" i="1"/>
  <c r="J117" i="1"/>
  <c r="I91" i="1" l="1"/>
  <c r="J91" i="1" s="1"/>
  <c r="U92" i="1"/>
  <c r="I24" i="1"/>
  <c r="S25" i="1"/>
  <c r="C15" i="3" s="1"/>
  <c r="I107" i="1"/>
  <c r="S108" i="1"/>
  <c r="I46" i="1"/>
  <c r="J46" i="1" s="1"/>
  <c r="H126" i="1"/>
  <c r="J127" i="1"/>
  <c r="H12" i="1"/>
  <c r="S128" i="1"/>
  <c r="I127" i="1"/>
  <c r="I126" i="1" s="1"/>
  <c r="U95" i="1"/>
  <c r="C17" i="3" s="1"/>
  <c r="I94" i="1"/>
  <c r="J94" i="1" s="1"/>
  <c r="C16" i="3"/>
  <c r="I79" i="1"/>
  <c r="J79" i="1" s="1"/>
  <c r="J24" i="1"/>
  <c r="I35" i="1"/>
  <c r="J35" i="1" s="1"/>
  <c r="J13" i="1"/>
  <c r="J107" i="1"/>
  <c r="C22" i="3" l="1"/>
  <c r="H22" i="4" s="1"/>
  <c r="I22" i="4" s="1"/>
  <c r="I28" i="4" s="1"/>
  <c r="F30" i="4" s="1"/>
  <c r="I12" i="1"/>
  <c r="J12" i="1" s="1"/>
  <c r="J132" i="1"/>
  <c r="J126" i="1"/>
  <c r="I14" i="3" l="1"/>
  <c r="I22" i="3" s="1"/>
  <c r="C29" i="3" s="1"/>
  <c r="I28" i="3" s="1"/>
  <c r="F29" i="3" l="1"/>
  <c r="I29" i="3" s="1"/>
</calcChain>
</file>

<file path=xl/sharedStrings.xml><?xml version="1.0" encoding="utf-8"?>
<sst xmlns="http://schemas.openxmlformats.org/spreadsheetml/2006/main" count="1845" uniqueCount="525">
  <si>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</si>
  <si>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</si>
  <si>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</si>
  <si>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</si>
  <si>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</si>
  <si>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</si>
  <si>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</si>
  <si>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</si>
  <si>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</si>
  <si>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</si>
  <si>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</si>
  <si>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</si>
  <si>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</si>
  <si>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</si>
  <si>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</si>
  <si>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</si>
  <si>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</si>
  <si>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</si>
  <si>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</si>
  <si>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</si>
  <si>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</si>
  <si>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</si>
  <si>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</si>
  <si>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</si>
  <si>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</si>
  <si>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</si>
  <si>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</si>
  <si>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</si>
  <si>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</si>
  <si>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</si>
  <si>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</si>
  <si>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</si>
  <si>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</si>
  <si>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</si>
  <si>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</si>
  <si>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</si>
  <si>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</si>
  <si>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</si>
  <si>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</si>
  <si>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</si>
  <si>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</si>
  <si>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</si>
  <si>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</si>
  <si>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</si>
  <si>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</si>
  <si>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</si>
  <si>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</si>
  <si>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</si>
  <si>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</si>
  <si>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</si>
  <si>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</si>
  <si>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</si>
  <si>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</si>
  <si>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</si>
  <si>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</si>
  <si>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</si>
  <si>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</si>
  <si>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</si>
  <si>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</si>
  <si>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</si>
  <si>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</si>
  <si>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</si>
  <si>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</si>
  <si>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</si>
  <si>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</si>
  <si>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</si>
  <si>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</si>
  <si>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</si>
  <si>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</si>
  <si>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</si>
  <si>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</si>
  <si>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</si>
  <si>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</si>
  <si>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</si>
  <si>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</si>
  <si>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</si>
  <si>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</si>
  <si>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</si>
  <si>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</si>
  <si>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</si>
  <si>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</si>
  <si>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</si>
  <si>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</si>
  <si>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</si>
  <si>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</si>
  <si>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</si>
  <si>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</si>
  <si>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</si>
  <si>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</si>
  <si>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Poznámka:</t>
  </si>
  <si>
    <t>Objekt</t>
  </si>
  <si>
    <t>SO_01</t>
  </si>
  <si>
    <t>SO_02</t>
  </si>
  <si>
    <t>SO_03</t>
  </si>
  <si>
    <t>Kód</t>
  </si>
  <si>
    <t>317121251RT2</t>
  </si>
  <si>
    <t>317121251RT3</t>
  </si>
  <si>
    <t>342256255R00</t>
  </si>
  <si>
    <t>342256252R00</t>
  </si>
  <si>
    <t>340235211R00</t>
  </si>
  <si>
    <t>602011141R00</t>
  </si>
  <si>
    <t>612403399RT2</t>
  </si>
  <si>
    <t>784221101R00</t>
  </si>
  <si>
    <t>612481211R00</t>
  </si>
  <si>
    <t>612421331RT2</t>
  </si>
  <si>
    <t>631416211R00</t>
  </si>
  <si>
    <t>631571111R00</t>
  </si>
  <si>
    <t>642944121RU2</t>
  </si>
  <si>
    <t>642944121RU4</t>
  </si>
  <si>
    <t>711</t>
  </si>
  <si>
    <t>711141559RY2</t>
  </si>
  <si>
    <t>711111001RZ1</t>
  </si>
  <si>
    <t>998711101R00</t>
  </si>
  <si>
    <t>766</t>
  </si>
  <si>
    <t>766661112R00</t>
  </si>
  <si>
    <t>766661413R00</t>
  </si>
  <si>
    <t>766664911R00</t>
  </si>
  <si>
    <t>766664915R00</t>
  </si>
  <si>
    <t>766665921R00</t>
  </si>
  <si>
    <t>1217VDVD</t>
  </si>
  <si>
    <t>333x8VDVD</t>
  </si>
  <si>
    <t>210205107R00</t>
  </si>
  <si>
    <t>42396156.A</t>
  </si>
  <si>
    <t>611601203</t>
  </si>
  <si>
    <t>611601201</t>
  </si>
  <si>
    <t>61165701</t>
  </si>
  <si>
    <t>111x5VD</t>
  </si>
  <si>
    <t>54914624</t>
  </si>
  <si>
    <t>54914622</t>
  </si>
  <si>
    <t>54914621</t>
  </si>
  <si>
    <t>725100005RA0</t>
  </si>
  <si>
    <t>725100006RA0</t>
  </si>
  <si>
    <t>998766101R00</t>
  </si>
  <si>
    <t>771</t>
  </si>
  <si>
    <t>771101116R00</t>
  </si>
  <si>
    <t>771101210RT1</t>
  </si>
  <si>
    <t>771101210R00</t>
  </si>
  <si>
    <t>771575111R00</t>
  </si>
  <si>
    <t>771579793R00</t>
  </si>
  <si>
    <t>771579791R00</t>
  </si>
  <si>
    <t>597623142</t>
  </si>
  <si>
    <t>771101141R00</t>
  </si>
  <si>
    <t>771101147R00</t>
  </si>
  <si>
    <t>998771101R00</t>
  </si>
  <si>
    <t>781</t>
  </si>
  <si>
    <t>781900010RA0</t>
  </si>
  <si>
    <t>100001500R00</t>
  </si>
  <si>
    <t>781101111R00</t>
  </si>
  <si>
    <t>781101210R00</t>
  </si>
  <si>
    <t>781111116R00</t>
  </si>
  <si>
    <t>781475120R00</t>
  </si>
  <si>
    <t>781479705R00</t>
  </si>
  <si>
    <t>597813551</t>
  </si>
  <si>
    <t>781111121R00</t>
  </si>
  <si>
    <t>998781102R00</t>
  </si>
  <si>
    <t>783</t>
  </si>
  <si>
    <t>783226100R00</t>
  </si>
  <si>
    <t>783225600R00</t>
  </si>
  <si>
    <t>784</t>
  </si>
  <si>
    <t>784402801R00</t>
  </si>
  <si>
    <t>784011221RT2</t>
  </si>
  <si>
    <t>784111101R00</t>
  </si>
  <si>
    <t>784195212R00</t>
  </si>
  <si>
    <t>784498931R00</t>
  </si>
  <si>
    <t>90</t>
  </si>
  <si>
    <t>909      R00</t>
  </si>
  <si>
    <t>900</t>
  </si>
  <si>
    <t>998011002R00</t>
  </si>
  <si>
    <t>94</t>
  </si>
  <si>
    <t>941955002R00</t>
  </si>
  <si>
    <t>95</t>
  </si>
  <si>
    <t>952901111R00</t>
  </si>
  <si>
    <t>121PCVD</t>
  </si>
  <si>
    <t>96</t>
  </si>
  <si>
    <t>965081713R00</t>
  </si>
  <si>
    <t>965048250R00</t>
  </si>
  <si>
    <t>962031143R00</t>
  </si>
  <si>
    <t>962031145R00</t>
  </si>
  <si>
    <t>968072455R00</t>
  </si>
  <si>
    <t>968061125R00</t>
  </si>
  <si>
    <t>M23</t>
  </si>
  <si>
    <t>230120092R00</t>
  </si>
  <si>
    <t>S</t>
  </si>
  <si>
    <t>979082111R00</t>
  </si>
  <si>
    <t>979082317R00</t>
  </si>
  <si>
    <t>979093111R00</t>
  </si>
  <si>
    <t>979990001R00</t>
  </si>
  <si>
    <t>63465132</t>
  </si>
  <si>
    <t>111VD</t>
  </si>
  <si>
    <t>112xVD</t>
  </si>
  <si>
    <t>121VD</t>
  </si>
  <si>
    <t>121VZT1VD</t>
  </si>
  <si>
    <t>Rekonstrukce kuželny Zábřeh - III. etapa - sociální zázemí pro hospodu</t>
  </si>
  <si>
    <t>Zábřeh</t>
  </si>
  <si>
    <t>Zkrácený popis / Varianta</t>
  </si>
  <si>
    <t>Rozměry</t>
  </si>
  <si>
    <t>Stavební práce</t>
  </si>
  <si>
    <t>Zdi podpěrné a volné</t>
  </si>
  <si>
    <t>Montáž ŽB překladů do 180 cm dodatečně do rýh</t>
  </si>
  <si>
    <t>včetně dodávky RZP 119 x 14 x 14 cm</t>
  </si>
  <si>
    <t>včetně dodávky RZP 149 x 14 x 14 cm</t>
  </si>
  <si>
    <t>Stěny a příčky</t>
  </si>
  <si>
    <t>Příčka z tvárnic pórobetonových tl. 150 mm</t>
  </si>
  <si>
    <t>Příčka z tvárnic pórobetonových tl.  75 mm</t>
  </si>
  <si>
    <t>Zazdívka otvorů cihlami</t>
  </si>
  <si>
    <t>Omítky ze suchých směsí</t>
  </si>
  <si>
    <t>Štuk na stěnách vnitřní, ručně</t>
  </si>
  <si>
    <t>Úprava povrchů vnitřní</t>
  </si>
  <si>
    <t>Hrubá výplň rýh ve stěnách maltou</t>
  </si>
  <si>
    <t>s použitím suché maltové směsi</t>
  </si>
  <si>
    <t>Penetrace podkladu</t>
  </si>
  <si>
    <t>Montáž výztužné sítě(perlinky)do stěrky-vnit.stěny</t>
  </si>
  <si>
    <t>Oprava vápen.omítek stěn do 30 % pl. - štukových</t>
  </si>
  <si>
    <t>Podlahy a podlahové konstrukce</t>
  </si>
  <si>
    <t>Mazanina betonová, tloušťka do 100 mm</t>
  </si>
  <si>
    <t>s použitím pytlovaných směsí</t>
  </si>
  <si>
    <t>Doplnění násypů pískem</t>
  </si>
  <si>
    <t>Výplně otvorů</t>
  </si>
  <si>
    <t>Osazení ocelových zárubní dodatečně do 2,5 m2</t>
  </si>
  <si>
    <t>včetně dodávky zárubně  60x197x16 cm</t>
  </si>
  <si>
    <t>včetně dodávky zárubně  80x197x16 cm</t>
  </si>
  <si>
    <t>Izolace proti vodě</t>
  </si>
  <si>
    <t>Izolace proti vlhk. vodorovná pásy přitavením</t>
  </si>
  <si>
    <t>1 vrstva - včetně dod. Glastek 40 special mineral</t>
  </si>
  <si>
    <t>Izolace proti vlhkosti vodor. nátěr ALP za studena</t>
  </si>
  <si>
    <t>1x nátěr - včetně dodávky penetračního laku ALP</t>
  </si>
  <si>
    <t>Přesun hmot pro izolace proti vodě, výšky do 6 m</t>
  </si>
  <si>
    <t>Konstrukce truhlářské</t>
  </si>
  <si>
    <t>Montáž dveří do zárubně,otevíravých 1kř.do 0,8 m</t>
  </si>
  <si>
    <t>Montáž dveří protipožár.1kř.do 80 cm, bez kukátka</t>
  </si>
  <si>
    <t>Vyřezání otvoru v dveřních křídlech kompletizovan.</t>
  </si>
  <si>
    <t>Seříznutí dveřních křídel  kompletizovaných</t>
  </si>
  <si>
    <t>Zakování dveří 1křídlých kompletizovaných</t>
  </si>
  <si>
    <t>Demontáž a zpětná montáž vodorovného madla pro invalidní WC</t>
  </si>
  <si>
    <t>D+M větrací mřížka do dveří</t>
  </si>
  <si>
    <t>baŕva šedá</t>
  </si>
  <si>
    <t>D+M piktogram - viz. výpis truhlářských výrobků</t>
  </si>
  <si>
    <t>Zarážka proti nárazů dveří - nalepovací, průhledná</t>
  </si>
  <si>
    <t>Dveře vnitřní CPL plné 1kř. 80x197 cm - šedé - viz. výpis truhlářských výrobků</t>
  </si>
  <si>
    <t>Dveře vnitřní CPL plné 1kř. 60x197 cm - šedé - viz. výpis truhlářských výrobků</t>
  </si>
  <si>
    <t>Dveře protipožární CPL EI30 DP3 80x197 šedá barva</t>
  </si>
  <si>
    <t>D+M nápis Braillovým písmem - WC INVALIDÉ</t>
  </si>
  <si>
    <t>Dveřní kování WC zámek</t>
  </si>
  <si>
    <t>Dveřní kování - cylindrická vložka</t>
  </si>
  <si>
    <t>Dveřní kování - dozický klíč</t>
  </si>
  <si>
    <t>Dodávka a montáž  WC kabin ženy - viz. výpis truhlářských výrobků</t>
  </si>
  <si>
    <t>Dodávka a montáž  WC kabin muži - viz. výpis truhlářských výrobků</t>
  </si>
  <si>
    <t>Přesun hmot pro truhlářské konstr., výšky do 6 m</t>
  </si>
  <si>
    <t>Podlahy z dlaždic</t>
  </si>
  <si>
    <t>Vyrovnání podkladů samonivel. hmotou tl. do 30 mm</t>
  </si>
  <si>
    <t>Penetrace podkladu pod stěrku</t>
  </si>
  <si>
    <t>Penetrace podkladu pod dlažby</t>
  </si>
  <si>
    <t>Montáž podlah keram.,hladké, tmel, 45x45 cm</t>
  </si>
  <si>
    <t>Příplatek za spárovací hmotu - plošně,keram.dlažba</t>
  </si>
  <si>
    <t>Příplatek za plochu podlah keram. do 5 m2 jednotl.</t>
  </si>
  <si>
    <t>Dlaždice 450/450/10, R10</t>
  </si>
  <si>
    <t>Hydroizolační stěrka jednovrstvá pod dlažby</t>
  </si>
  <si>
    <t>Bandáž koutů - provedení</t>
  </si>
  <si>
    <t>s páskem</t>
  </si>
  <si>
    <t>Přesun hmot pro podlahy z dlaždic, výšky do 6 m</t>
  </si>
  <si>
    <t>Obklady (keramické)</t>
  </si>
  <si>
    <t>Odsekání obkladů vnitřních</t>
  </si>
  <si>
    <t>Dočištění stěny od lepidel</t>
  </si>
  <si>
    <t>Vyrovnání podkladu maltou ze SMS tl. do 7 mm</t>
  </si>
  <si>
    <t>Penetrace podkladu pod obklady</t>
  </si>
  <si>
    <t>Otvor v obkladačce diamant.korunkou prům.do 90 mm</t>
  </si>
  <si>
    <t>Obklad vnitřní stěn keramický, do tmele</t>
  </si>
  <si>
    <t>Přípl.za spárovací hmotu-plošně,keram.vnitř.obklad</t>
  </si>
  <si>
    <t>Obkládačka dle stavebníka</t>
  </si>
  <si>
    <t>Montáž lišt rohových, vanových a dilatačních</t>
  </si>
  <si>
    <t>vč. lišty</t>
  </si>
  <si>
    <t>Přesun hmot pro obklady keramické, výšky do 12 m</t>
  </si>
  <si>
    <t>Nátěry</t>
  </si>
  <si>
    <t>Nátěr syntetický kovových konstrukcí základní</t>
  </si>
  <si>
    <t>Nátěr syntetický kovových konstrukcí 2x</t>
  </si>
  <si>
    <t>Malby</t>
  </si>
  <si>
    <t>Odstranění malby oškrábáním v místnosti H do 3,8 m</t>
  </si>
  <si>
    <t>Zakrytí předmětů</t>
  </si>
  <si>
    <t>včetně dodávky fólie tl. 0,04 mm</t>
  </si>
  <si>
    <t>Penetrace podkladu nátěrem 1 x</t>
  </si>
  <si>
    <t>Malba (např.Primalex Plus), bílá, bez penetrace, 2 x</t>
  </si>
  <si>
    <t>Tmelení spoje mezi stěnou a podhledem akryl. tmelem</t>
  </si>
  <si>
    <t>Hodinové zúčtovací sazby (HZS)</t>
  </si>
  <si>
    <t>Hzs-nezmeritelne stavebni prace</t>
  </si>
  <si>
    <t>Přesun hmot</t>
  </si>
  <si>
    <t>Přesun hmot pro budovy zděné výšky do 12 m</t>
  </si>
  <si>
    <t>Lešení a stavební výtahy</t>
  </si>
  <si>
    <t>Lešení lehké pomocné, výška podlahy do 1,9 m</t>
  </si>
  <si>
    <t>Různé dokončovací konstrukce a práce na pozemních stavbách</t>
  </si>
  <si>
    <t>Vyčištění budov o výšce podlaží do 4 m</t>
  </si>
  <si>
    <t>Dokumentace skutečného provedení stavby, 3 paré</t>
  </si>
  <si>
    <t>Bourání konstrukcí</t>
  </si>
  <si>
    <t>Bourání dlažeb keramických tl.10 mm, nad 1 m2</t>
  </si>
  <si>
    <t>Dočištění povrchu po vybourání dlažeb, MC do 50%</t>
  </si>
  <si>
    <t>Bourání příček tl. 100 mm</t>
  </si>
  <si>
    <t>Bourání příček tl. 150 mm</t>
  </si>
  <si>
    <t>Vybourání kovových dveřních zárubní pl. do 2 m2</t>
  </si>
  <si>
    <t>Vyvěšení dřevěných dveřních křídel pl. do 2 m2</t>
  </si>
  <si>
    <t>Montáže potrubí</t>
  </si>
  <si>
    <t>Zhotovení prostupů pro vedení</t>
  </si>
  <si>
    <t>Přesuny sutí</t>
  </si>
  <si>
    <t>Vnitrostaveništní doprava suti do 10 m</t>
  </si>
  <si>
    <t>Vodorovná doprava suti a hmot po suchu do 5000 m</t>
  </si>
  <si>
    <t>Uložení suti na skládku bez zhutnění</t>
  </si>
  <si>
    <t>Poplatek za skládku stavební suti</t>
  </si>
  <si>
    <t>Ostatní materiál</t>
  </si>
  <si>
    <t>D+M zrcadlo</t>
  </si>
  <si>
    <t>ZTI, UT, VZT</t>
  </si>
  <si>
    <t>ZTI</t>
  </si>
  <si>
    <t>Vytápění, ZTI, kanalizace, zařizovací předměty, VZT - dle samostatného rozpočtu</t>
  </si>
  <si>
    <t>Elektroinstalace</t>
  </si>
  <si>
    <t>Ostatní</t>
  </si>
  <si>
    <t>Elektroinstalace - dle samostatného rozpočtu</t>
  </si>
  <si>
    <t>Doba výstavby:</t>
  </si>
  <si>
    <t>Začátek výstavby:</t>
  </si>
  <si>
    <t>Konec výstavby:</t>
  </si>
  <si>
    <t>Zpracováno dne:</t>
  </si>
  <si>
    <t>M.j.</t>
  </si>
  <si>
    <t>kus</t>
  </si>
  <si>
    <t>m2</t>
  </si>
  <si>
    <t>m3</t>
  </si>
  <si>
    <t>t</t>
  </si>
  <si>
    <t>m</t>
  </si>
  <si>
    <t>h</t>
  </si>
  <si>
    <t>soubor</t>
  </si>
  <si>
    <t>Množství</t>
  </si>
  <si>
    <t>27.02.2019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</si>
  <si>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</si>
  <si>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</si>
  <si>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</si>
  <si>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</si>
  <si>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</si>
  <si>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</si>
  <si>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</si>
  <si>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</si>
  <si>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</si>
  <si>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</si>
  <si>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město Zábřeh</t>
  </si>
  <si>
    <t>Celkem</t>
  </si>
  <si>
    <t>Hmotnost (t)</t>
  </si>
  <si>
    <t>Cenová</t>
  </si>
  <si>
    <t>soustava</t>
  </si>
  <si>
    <t>RTS 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</si>
  <si>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</si>
  <si>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</si>
  <si>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</si>
  <si>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</si>
  <si>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</si>
  <si>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</si>
  <si>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</si>
  <si>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</si>
  <si>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</si>
  <si>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0</t>
  </si>
  <si>
    <t>31_</t>
  </si>
  <si>
    <t>34_</t>
  </si>
  <si>
    <t>60_</t>
  </si>
  <si>
    <t>61_</t>
  </si>
  <si>
    <t>63_</t>
  </si>
  <si>
    <t>64_</t>
  </si>
  <si>
    <t>711_</t>
  </si>
  <si>
    <t>766_</t>
  </si>
  <si>
    <t>771_</t>
  </si>
  <si>
    <t>781_</t>
  </si>
  <si>
    <t>783_</t>
  </si>
  <si>
    <t>784_</t>
  </si>
  <si>
    <t>90_</t>
  </si>
  <si>
    <t>900_</t>
  </si>
  <si>
    <t>94_</t>
  </si>
  <si>
    <t>95_</t>
  </si>
  <si>
    <t>96_</t>
  </si>
  <si>
    <t>M23_</t>
  </si>
  <si>
    <t>S_</t>
  </si>
  <si>
    <t>Z99999_</t>
  </si>
  <si>
    <t>111VD_</t>
  </si>
  <si>
    <t>121VD_</t>
  </si>
  <si>
    <t>SO_01_3_</t>
  </si>
  <si>
    <t>SO_01_6_</t>
  </si>
  <si>
    <t>SO_01_71_</t>
  </si>
  <si>
    <t>SO_01_76_</t>
  </si>
  <si>
    <t>SO_01_77_</t>
  </si>
  <si>
    <t>SO_01_78_</t>
  </si>
  <si>
    <t>SO_01_9_</t>
  </si>
  <si>
    <t>SO_01_Z_</t>
  </si>
  <si>
    <t>SO_02_1_</t>
  </si>
  <si>
    <t>SO_03_1_</t>
  </si>
  <si>
    <t>SO_01_</t>
  </si>
  <si>
    <t>SO_02_</t>
  </si>
  <si>
    <t>SO_03_</t>
  </si>
  <si>
    <t>Výkaz výměr</t>
  </si>
  <si>
    <t>2,75*1,25</t>
  </si>
  <si>
    <t>1,8*1,25</t>
  </si>
  <si>
    <t>(0,525+0,18)*2,825</t>
  </si>
  <si>
    <t>(0,15+0,15)*2,825</t>
  </si>
  <si>
    <t>(2,75+0,9+1,4+2,1+1)*0,3   UT</t>
  </si>
  <si>
    <t>1*0,3*6   kanal</t>
  </si>
  <si>
    <t>2,9*0,3</t>
  </si>
  <si>
    <t>(2,75+0,5+0,5+0,5+1)*0,3</t>
  </si>
  <si>
    <t>(4,5+1,2+2,2+1,8+1+2,7+2,7+1,8+1+0,5+0,5+0,5+0,5+0,5)*0,3   voda</t>
  </si>
  <si>
    <t>(2,5+0,9+15)*0,2   el.</t>
  </si>
  <si>
    <t>10   rez</t>
  </si>
  <si>
    <t>8,1*1,2   wc invalidé</t>
  </si>
  <si>
    <t>6,1*2,8   kotelna</t>
  </si>
  <si>
    <t>(2,75+1+1+1,5+1,775+2,213+1+2,65)*0,1*0,5*2   kanalizace</t>
  </si>
  <si>
    <t>1*1*0,1*2*2   napojení kanalizace</t>
  </si>
  <si>
    <t>1*1*0,9*2</t>
  </si>
  <si>
    <t>(2,75+1+1+1,5+1,775+2,213+1+2,65)*0,3*0,5</t>
  </si>
  <si>
    <t>(2,75+1+1+1,5+1,775+2,213+1+2,65)*0,5</t>
  </si>
  <si>
    <t>1*1*2</t>
  </si>
  <si>
    <t>2   uklid</t>
  </si>
  <si>
    <t>3,95+7,64+4,1+4,32+8,31+16,58+2,77+3,13+3,18</t>
  </si>
  <si>
    <t>3,95+4,1+4,32+2,77+3,13+3,18</t>
  </si>
  <si>
    <t>53,98*1,1</t>
  </si>
  <si>
    <t>0,622</t>
  </si>
  <si>
    <t>53,98</t>
  </si>
  <si>
    <t>(11,3+5,25+12,5+7,35)*0,3</t>
  </si>
  <si>
    <t>11,3+5,25+12,5+7,35</t>
  </si>
  <si>
    <t>0,3*29</t>
  </si>
  <si>
    <t>(1,775+1,775+0,84+0,84-0,6)*1,625   uklid</t>
  </si>
  <si>
    <t>(0,845+0,845+1,775+1,775-0,6)*2*2   damy</t>
  </si>
  <si>
    <t>(2,6+2,6+0,925+0,99-0,6-0,6-0,6)*2</t>
  </si>
  <si>
    <t>(0,87+0,87+1,415+1,415-0,6)*2*3   páni</t>
  </si>
  <si>
    <t>(2,75+2,75+1,98+1,98-(4*0,6))*2</t>
  </si>
  <si>
    <t>1,1*2</t>
  </si>
  <si>
    <t>7,38*1,8</t>
  </si>
  <si>
    <t>-0,8*1,8*2</t>
  </si>
  <si>
    <t>-1*1,8</t>
  </si>
  <si>
    <t>12,5*1,8</t>
  </si>
  <si>
    <t>0,15*1,8*2</t>
  </si>
  <si>
    <t>2,75*0,15</t>
  </si>
  <si>
    <t>5,25*1,8</t>
  </si>
  <si>
    <t>-1,8*0,6</t>
  </si>
  <si>
    <t>11,3*1,8</t>
  </si>
  <si>
    <t>-0,8*1,8</t>
  </si>
  <si>
    <t>57,5265*1,15</t>
  </si>
  <si>
    <t>0,84452</t>
  </si>
  <si>
    <t>1,8*11</t>
  </si>
  <si>
    <t>1,8+2,75</t>
  </si>
  <si>
    <t>1,45+0,8</t>
  </si>
  <si>
    <t>0,8*2*4</t>
  </si>
  <si>
    <t>0,6*2</t>
  </si>
  <si>
    <t>(2,75+2,75+3,495+3,495)*1,3</t>
  </si>
  <si>
    <t>11,282*1,3</t>
  </si>
  <si>
    <t>(0,84+0,84+1,8+1,8)*1,3</t>
  </si>
  <si>
    <t>(2,2+2,2+1,16+1,16+0,4+0,4)*1,3</t>
  </si>
  <si>
    <t>(1,78+1,78+2,4+2,4)*1,3</t>
  </si>
  <si>
    <t>(1,8+1,8+1,3+1,3)*2,85</t>
  </si>
  <si>
    <t>-0,8*2</t>
  </si>
  <si>
    <t>0,86*1,15*3</t>
  </si>
  <si>
    <t>71,95</t>
  </si>
  <si>
    <t>0,6*1,2*4</t>
  </si>
  <si>
    <t>47,5436</t>
  </si>
  <si>
    <t>11,3+5,25+12,5+7,35+6,1+8,1</t>
  </si>
  <si>
    <t>3*8</t>
  </si>
  <si>
    <t>0,2202+0,834+0,1862+2,1163+8,0926+0,1961+0,1137+0,0029+0,006</t>
  </si>
  <si>
    <t>4,21+6,77+4,24+4,21+7,98+14,52+3,48+3,38+3,34</t>
  </si>
  <si>
    <t>(1,775+0,845+0,1+0,84)*2,22   zeny</t>
  </si>
  <si>
    <t>-0,6*2*2</t>
  </si>
  <si>
    <t>(1,415+1,415+2,75)*2,15   muzi</t>
  </si>
  <si>
    <t>-0,6*2*3</t>
  </si>
  <si>
    <t>0,2*2   otvor</t>
  </si>
  <si>
    <t>0,3*2,2   otvor</t>
  </si>
  <si>
    <t>1,5*0,2   preklad</t>
  </si>
  <si>
    <t>0,6*2*8</t>
  </si>
  <si>
    <t>0,8*2</t>
  </si>
  <si>
    <t>3   VZT</t>
  </si>
  <si>
    <t>5   kanal</t>
  </si>
  <si>
    <t>4   voda</t>
  </si>
  <si>
    <t>4,9152+5,2261</t>
  </si>
  <si>
    <t>0,5*0,8*2</t>
  </si>
  <si>
    <t>Cenová soustava</t>
  </si>
  <si>
    <t>Rozpočtové náklady v Kč</t>
  </si>
  <si>
    <t>A</t>
  </si>
  <si>
    <t>HSV</t>
  </si>
  <si>
    <t>PSV</t>
  </si>
  <si>
    <t>"M"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</si>
  <si>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</si>
  <si>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</si>
  <si>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</si>
  <si>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</si>
  <si>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</si>
  <si>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</si>
  <si>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</si>
  <si>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</si>
  <si>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</si>
  <si>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</si>
  <si>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</si>
  <si>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</si>
  <si>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</si>
  <si>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</si>
  <si>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Koordinace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</si>
  <si>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</si>
  <si>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</si>
  <si>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</si>
  <si>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</si>
  <si>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</si>
  <si>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</si>
  <si>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</si>
  <si>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</si>
  <si>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</si>
  <si>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</si>
  <si>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</si>
  <si>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</si>
  <si>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</si>
  <si>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</si>
  <si>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</si>
  <si>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</si>
  <si>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</si>
  <si>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</si>
  <si>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</si>
  <si>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</si>
  <si>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</si>
  <si>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</si>
  <si>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</si>
  <si>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Vedlejší rozpočtové náklady VRN</t>
  </si>
  <si>
    <t>Doplňkové náklady DN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</si>
  <si>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</si>
  <si>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</si>
  <si>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</si>
  <si>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</si>
  <si>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</si>
  <si>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</si>
  <si>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Vedlejší a ostatní rozpočtové náklady</t>
  </si>
  <si>
    <t>Kč</t>
  </si>
  <si>
    <t>%</t>
  </si>
  <si>
    <t>Základna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</si>
</sst>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sz val="10"/>
      <color indexed="59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9"/>
      </patternFill>
    </fill>
    <fill>
      <patternFill patternType="solid">
        <fgColor indexed="57"/>
        <bgColor indexed="9"/>
      </patternFill>
    </fill>
    <fill>
      <patternFill patternType="solid">
        <fgColor indexed="41"/>
      </patternFill>
    </fill>
    <fill>
      <patternFill patternType="solid">
        <fgColor indexed="22"/>
        <bgColor indexed="9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9" fillId="2" borderId="3" xfId="0" applyNumberFormat="1" applyFont="1" applyFill="1" applyBorder="1" applyAlignment="1" applyProtection="1">
      <alignment horizontal="left" vertical="center"/>
    </xf>
    <xf numFmtId="49" fontId="10" fillId="3" borderId="0" xfId="0" applyNumberFormat="1" applyFont="1" applyFill="1" applyBorder="1" applyAlignment="1" applyProtection="1">
      <alignment horizontal="left" vertical="center"/>
    </xf>
    <xf numFmtId="49" fontId="9" fillId="2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6" fillId="0" borderId="4" xfId="0" applyNumberFormat="1" applyFont="1" applyFill="1" applyBorder="1" applyAlignment="1" applyProtection="1">
      <alignment horizontal="right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5" fillId="3" borderId="0" xfId="0" applyNumberFormat="1" applyFont="1" applyFill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horizontal="right" vertical="center"/>
      <protection locked="0"/>
    </xf>
    <xf numFmtId="0" fontId="1" fillId="4" borderId="0" xfId="0" applyNumberFormat="1" applyFont="1" applyFill="1" applyBorder="1" applyAlignment="1" applyProtection="1">
      <alignment vertical="center"/>
      <protection locked="0"/>
    </xf>
    <xf numFmtId="4" fontId="7" fillId="4" borderId="0" xfId="0" applyNumberFormat="1" applyFont="1" applyFill="1" applyBorder="1" applyAlignment="1" applyProtection="1">
      <alignment horizontal="right" vertical="center"/>
      <protection locked="0"/>
    </xf>
    <xf numFmtId="49" fontId="4" fillId="2" borderId="0" xfId="0" applyNumberFormat="1" applyFont="1" applyFill="1" applyBorder="1" applyAlignment="1" applyProtection="1">
      <alignment horizontal="left" vertical="center"/>
      <protection locked="0"/>
    </xf>
    <xf numFmtId="4" fontId="6" fillId="4" borderId="4" xfId="0" applyNumberFormat="1" applyFont="1" applyFill="1" applyBorder="1" applyAlignment="1" applyProtection="1">
      <alignment horizontal="right" vertical="center"/>
      <protection locked="0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9" fillId="2" borderId="3" xfId="0" applyNumberFormat="1" applyFont="1" applyFill="1" applyBorder="1" applyAlignment="1" applyProtection="1">
      <alignment horizontal="right" vertical="center"/>
    </xf>
    <xf numFmtId="49" fontId="10" fillId="3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6" fillId="0" borderId="4" xfId="0" applyNumberFormat="1" applyFont="1" applyFill="1" applyBorder="1" applyAlignment="1" applyProtection="1">
      <alignment horizontal="right" vertical="center"/>
    </xf>
    <xf numFmtId="0" fontId="1" fillId="0" borderId="15" xfId="0" applyNumberFormat="1" applyFont="1" applyFill="1" applyBorder="1" applyAlignment="1" applyProtection="1">
      <alignment vertical="center"/>
    </xf>
    <xf numFmtId="0" fontId="1" fillId="0" borderId="1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9" fillId="2" borderId="3" xfId="0" applyNumberFormat="1" applyFont="1" applyFill="1" applyBorder="1" applyAlignment="1" applyProtection="1">
      <alignment horizontal="right" vertical="center"/>
    </xf>
    <xf numFmtId="4" fontId="10" fillId="3" borderId="0" xfId="0" applyNumberFormat="1" applyFont="1" applyFill="1" applyBorder="1" applyAlignment="1" applyProtection="1">
      <alignment horizontal="right" vertical="center"/>
    </xf>
    <xf numFmtId="4" fontId="9" fillId="2" borderId="0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9" fontId="3" fillId="0" borderId="17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49" fontId="3" fillId="0" borderId="18" xfId="0" applyNumberFormat="1" applyFont="1" applyFill="1" applyBorder="1" applyAlignment="1" applyProtection="1">
      <alignment horizontal="right" vertical="center"/>
    </xf>
    <xf numFmtId="4" fontId="6" fillId="0" borderId="3" xfId="0" applyNumberFormat="1" applyFont="1" applyFill="1" applyBorder="1" applyAlignment="1" applyProtection="1">
      <alignment horizontal="right" vertical="center"/>
    </xf>
    <xf numFmtId="49" fontId="3" fillId="0" borderId="19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>
      <alignment vertical="center"/>
    </xf>
    <xf numFmtId="49" fontId="13" fillId="5" borderId="20" xfId="0" applyNumberFormat="1" applyFont="1" applyFill="1" applyBorder="1" applyAlignment="1" applyProtection="1">
      <alignment horizontal="center" vertical="center"/>
    </xf>
    <xf numFmtId="49" fontId="14" fillId="0" borderId="21" xfId="0" applyNumberFormat="1" applyFont="1" applyFill="1" applyBorder="1" applyAlignment="1" applyProtection="1">
      <alignment horizontal="left" vertical="center"/>
    </xf>
    <xf numFmtId="49" fontId="14" fillId="0" borderId="22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left" vertical="center"/>
    </xf>
    <xf numFmtId="49" fontId="15" fillId="0" borderId="20" xfId="0" applyNumberFormat="1" applyFont="1" applyFill="1" applyBorder="1" applyAlignment="1" applyProtection="1">
      <alignment horizontal="left"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25" xfId="0" applyNumberFormat="1" applyFont="1" applyFill="1" applyBorder="1" applyAlignment="1" applyProtection="1">
      <alignment vertical="center"/>
    </xf>
    <xf numFmtId="4" fontId="15" fillId="0" borderId="20" xfId="0" applyNumberFormat="1" applyFont="1" applyFill="1" applyBorder="1" applyAlignment="1" applyProtection="1">
      <alignment horizontal="right" vertical="center"/>
    </xf>
    <xf numFmtId="49" fontId="15" fillId="0" borderId="20" xfId="0" applyNumberFormat="1" applyFont="1" applyFill="1" applyBorder="1" applyAlignment="1" applyProtection="1">
      <alignment horizontal="right" vertical="center"/>
    </xf>
    <xf numFmtId="4" fontId="15" fillId="0" borderId="11" xfId="0" applyNumberFormat="1" applyFont="1" applyFill="1" applyBorder="1" applyAlignment="1" applyProtection="1">
      <alignment horizontal="right" vertical="center"/>
    </xf>
    <xf numFmtId="0" fontId="1" fillId="0" borderId="26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4" fillId="5" borderId="28" xfId="0" applyNumberFormat="1" applyFont="1" applyFill="1" applyBorder="1" applyAlignment="1" applyProtection="1">
      <alignment horizontal="right" vertical="center"/>
    </xf>
    <xf numFmtId="0" fontId="1" fillId="0" borderId="29" xfId="0" applyNumberFormat="1" applyFont="1" applyFill="1" applyBorder="1" applyAlignment="1" applyProtection="1">
      <alignment vertical="center"/>
    </xf>
    <xf numFmtId="0" fontId="1" fillId="0" borderId="30" xfId="0" applyNumberFormat="1" applyFont="1" applyFill="1" applyBorder="1" applyAlignment="1" applyProtection="1">
      <alignment vertical="center"/>
    </xf>
    <xf numFmtId="49" fontId="3" fillId="0" borderId="31" xfId="0" applyNumberFormat="1" applyFont="1" applyFill="1" applyBorder="1" applyAlignment="1" applyProtection="1">
      <alignment horizontal="right" vertical="center"/>
    </xf>
    <xf numFmtId="4" fontId="1" fillId="0" borderId="20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9" fontId="3" fillId="0" borderId="32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righ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/>
    <xf numFmtId="49" fontId="2" fillId="0" borderId="4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33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4" borderId="0" xfId="0" applyNumberFormat="1" applyFont="1" applyFill="1" applyBorder="1" applyAlignment="1" applyProtection="1">
      <alignment horizontal="left" vertical="center"/>
      <protection locked="0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49" fontId="1" fillId="0" borderId="0" xfId="0" applyNumberFormat="1" applyFont="1" applyFill="1" applyBorder="1" applyAlignment="1" applyProtection="1">
      <alignment horizontal="left" vertical="center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0" fontId="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7" xfId="0" applyNumberFormat="1" applyFont="1" applyFill="1" applyBorder="1" applyAlignment="1" applyProtection="1">
      <alignment horizontal="left" vertical="center"/>
      <protection locked="0"/>
    </xf>
    <xf numFmtId="49" fontId="3" fillId="0" borderId="36" xfId="0" applyNumberFormat="1" applyFont="1" applyFill="1" applyBorder="1" applyAlignment="1" applyProtection="1">
      <alignment horizontal="center" vertical="center"/>
    </xf>
    <xf numFmtId="0" fontId="3" fillId="0" borderId="37" xfId="0" applyNumberFormat="1" applyFont="1" applyFill="1" applyBorder="1" applyAlignment="1" applyProtection="1">
      <alignment horizontal="center" vertical="center"/>
    </xf>
    <xf numFmtId="0" fontId="3" fillId="0" borderId="38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horizontal="left" vertical="center"/>
    </xf>
    <xf numFmtId="0" fontId="1" fillId="4" borderId="30" xfId="0" applyNumberFormat="1" applyFont="1" applyFill="1" applyBorder="1" applyAlignment="1" applyProtection="1">
      <alignment horizontal="left" vertical="center"/>
      <protection locked="0"/>
    </xf>
    <xf numFmtId="0" fontId="1" fillId="4" borderId="35" xfId="0" applyNumberFormat="1" applyFont="1" applyFill="1" applyBorder="1" applyAlignment="1" applyProtection="1">
      <alignment horizontal="left" vertical="center"/>
      <protection locked="0"/>
    </xf>
    <xf numFmtId="0" fontId="1" fillId="0" borderId="35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1" fillId="0" borderId="27" xfId="0" applyNumberFormat="1" applyFont="1" applyFill="1" applyBorder="1" applyAlignment="1" applyProtection="1">
      <alignment horizontal="left" vertical="center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 wrapText="1"/>
    </xf>
    <xf numFmtId="0" fontId="1" fillId="0" borderId="39" xfId="0" applyNumberFormat="1" applyFont="1" applyFill="1" applyBorder="1" applyAlignment="1" applyProtection="1">
      <alignment horizontal="left" vertical="center"/>
    </xf>
    <xf numFmtId="49" fontId="12" fillId="0" borderId="40" xfId="0" applyNumberFormat="1" applyFont="1" applyFill="1" applyBorder="1" applyAlignment="1" applyProtection="1">
      <alignment horizontal="center" vertical="center"/>
    </xf>
    <xf numFmtId="0" fontId="12" fillId="0" borderId="40" xfId="0" applyNumberFormat="1" applyFont="1" applyFill="1" applyBorder="1" applyAlignment="1" applyProtection="1">
      <alignment horizontal="center" vertical="center"/>
    </xf>
    <xf numFmtId="49" fontId="16" fillId="0" borderId="41" xfId="0" applyNumberFormat="1" applyFont="1" applyFill="1" applyBorder="1" applyAlignment="1" applyProtection="1">
      <alignment horizontal="left" vertical="center"/>
    </xf>
    <xf numFmtId="0" fontId="16" fillId="0" borderId="28" xfId="0" applyNumberFormat="1" applyFont="1" applyFill="1" applyBorder="1" applyAlignment="1" applyProtection="1">
      <alignment horizontal="left" vertical="center"/>
    </xf>
    <xf numFmtId="49" fontId="15" fillId="0" borderId="41" xfId="0" applyNumberFormat="1" applyFont="1" applyFill="1" applyBorder="1" applyAlignment="1" applyProtection="1">
      <alignment horizontal="left" vertical="center"/>
    </xf>
    <xf numFmtId="0" fontId="15" fillId="0" borderId="28" xfId="0" applyNumberFormat="1" applyFont="1" applyFill="1" applyBorder="1" applyAlignment="1" applyProtection="1">
      <alignment horizontal="left" vertical="center"/>
    </xf>
    <xf numFmtId="49" fontId="14" fillId="0" borderId="41" xfId="0" applyNumberFormat="1" applyFont="1" applyFill="1" applyBorder="1" applyAlignment="1" applyProtection="1">
      <alignment horizontal="left" vertical="center"/>
    </xf>
    <xf numFmtId="0" fontId="14" fillId="0" borderId="28" xfId="0" applyNumberFormat="1" applyFont="1" applyFill="1" applyBorder="1" applyAlignment="1" applyProtection="1">
      <alignment horizontal="left" vertical="center"/>
    </xf>
    <xf numFmtId="49" fontId="14" fillId="5" borderId="41" xfId="0" applyNumberFormat="1" applyFont="1" applyFill="1" applyBorder="1" applyAlignment="1" applyProtection="1">
      <alignment horizontal="left" vertical="center"/>
    </xf>
    <xf numFmtId="0" fontId="14" fillId="5" borderId="40" xfId="0" applyNumberFormat="1" applyFont="1" applyFill="1" applyBorder="1" applyAlignment="1" applyProtection="1">
      <alignment horizontal="left" vertical="center"/>
    </xf>
    <xf numFmtId="49" fontId="15" fillId="0" borderId="42" xfId="0" applyNumberFormat="1" applyFont="1" applyFill="1" applyBorder="1" applyAlignment="1" applyProtection="1">
      <alignment horizontal="left" vertical="center"/>
    </xf>
    <xf numFmtId="0" fontId="15" fillId="0" borderId="3" xfId="0" applyNumberFormat="1" applyFont="1" applyFill="1" applyBorder="1" applyAlignment="1" applyProtection="1">
      <alignment horizontal="left" vertical="center"/>
    </xf>
    <xf numFmtId="0" fontId="15" fillId="0" borderId="43" xfId="0" applyNumberFormat="1" applyFont="1" applyFill="1" applyBorder="1" applyAlignment="1" applyProtection="1">
      <alignment horizontal="left" vertical="center"/>
    </xf>
    <xf numFmtId="49" fontId="15" fillId="0" borderId="16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44" xfId="0" applyNumberFormat="1" applyFont="1" applyFill="1" applyBorder="1" applyAlignment="1" applyProtection="1">
      <alignment horizontal="left" vertical="center"/>
    </xf>
    <xf numFmtId="49" fontId="15" fillId="0" borderId="45" xfId="0" applyNumberFormat="1" applyFont="1" applyFill="1" applyBorder="1" applyAlignment="1" applyProtection="1">
      <alignment horizontal="left" vertical="center"/>
    </xf>
    <xf numFmtId="0" fontId="15" fillId="0" borderId="30" xfId="0" applyNumberFormat="1" applyFont="1" applyFill="1" applyBorder="1" applyAlignment="1" applyProtection="1">
      <alignment horizontal="left" vertical="center"/>
    </xf>
    <xf numFmtId="0" fontId="15" fillId="0" borderId="46" xfId="0" applyNumberFormat="1" applyFont="1" applyFill="1" applyBorder="1" applyAlignment="1" applyProtection="1">
      <alignment horizontal="left" vertical="center"/>
    </xf>
    <xf numFmtId="49" fontId="14" fillId="0" borderId="30" xfId="0" applyNumberFormat="1" applyFont="1" applyFill="1" applyBorder="1" applyAlignment="1" applyProtection="1">
      <alignment horizontal="left" vertical="center"/>
    </xf>
    <xf numFmtId="0" fontId="14" fillId="0" borderId="30" xfId="0" applyNumberFormat="1" applyFont="1" applyFill="1" applyBorder="1" applyAlignment="1" applyProtection="1">
      <alignment horizontal="left" vertical="center"/>
    </xf>
    <xf numFmtId="49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38" xfId="0" applyNumberFormat="1" applyFont="1" applyFill="1" applyBorder="1" applyAlignment="1" applyProtection="1">
      <alignment horizontal="left" vertical="center"/>
    </xf>
    <xf numFmtId="49" fontId="1" fillId="0" borderId="41" xfId="0" applyNumberFormat="1" applyFont="1" applyFill="1" applyBorder="1" applyAlignment="1" applyProtection="1">
      <alignment horizontal="left" vertical="center"/>
    </xf>
    <xf numFmtId="0" fontId="1" fillId="0" borderId="40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" fillId="0" borderId="47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0" fontId="1" fillId="0" borderId="48" xfId="0" applyNumberFormat="1" applyFont="1" applyFill="1" applyBorder="1" applyAlignment="1" applyProtection="1">
      <alignment horizontal="left" vertical="center"/>
    </xf>
    <xf numFmtId="4" fontId="14" fillId="0" borderId="49" xfId="0" applyNumberFormat="1" applyFont="1" applyFill="1" applyBorder="1" applyAlignment="1" applyProtection="1">
      <alignment horizontal="right" vertical="center"/>
    </xf>
    <xf numFmtId="0" fontId="14" fillId="0" borderId="29" xfId="0" applyNumberFormat="1" applyFont="1" applyFill="1" applyBorder="1" applyAlignment="1" applyProtection="1">
      <alignment horizontal="right" vertical="center"/>
    </xf>
    <xf numFmtId="0" fontId="14" fillId="0" borderId="50" xfId="0" applyNumberFormat="1" applyFont="1" applyFill="1" applyBorder="1" applyAlignment="1" applyProtection="1">
      <alignment horizontal="right" vertical="center"/>
    </xf>
    <xf numFmtId="49" fontId="3" fillId="0" borderId="49" xfId="0" applyNumberFormat="1" applyFont="1" applyFill="1" applyBorder="1" applyAlignment="1" applyProtection="1">
      <alignment horizontal="left" vertical="center"/>
    </xf>
    <xf numFmtId="0" fontId="3" fillId="0" borderId="2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49" fontId="14" fillId="0" borderId="49" xfId="0" applyNumberFormat="1" applyFont="1" applyFill="1" applyBorder="1" applyAlignment="1" applyProtection="1">
      <alignment horizontal="left" vertical="center"/>
    </xf>
    <xf numFmtId="0" fontId="14" fillId="0" borderId="29" xfId="0" applyNumberFormat="1" applyFont="1" applyFill="1" applyBorder="1" applyAlignment="1" applyProtection="1">
      <alignment horizontal="left" vertical="center"/>
    </xf>
    <xf numFmtId="0" fontId="14" fillId="0" borderId="50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00FFFF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/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10" ht="72.900000000000006" customHeight="1" x14ac:dyDescent="0.25">
      <c r="A1" s="83"/>
      <c r="B1" s="58"/>
      <c r="C1" s="115" t="s">
        <v>484</v>
      </c>
      <c r="D1" s="85"/>
      <c r="E1" s="85"/>
      <c r="F1" s="85"/>
      <c r="G1" s="85"/>
      <c r="H1" s="85"/>
      <c r="I1" s="85"/>
    </row>
    <row r="2" spans="1:10" x14ac:dyDescent="0.25">
      <c r="A2" s="86" t="s">
        <v>1</v>
      </c>
      <c r="B2" s="87"/>
      <c r="C2" s="90" t="str">
        <f>'Stavební rozpočet'!D2</f>
        <v>Rekonstrukce kuželny Zábřeh - III. etapa - sociální zázemí pro hospodu</v>
      </c>
      <c r="D2" s="109"/>
      <c r="E2" s="96" t="s">
        <v>332</v>
      </c>
      <c r="F2" s="96" t="str">
        <f>'Stavební rozpočet'!J2</f>
        <v>město Zábřeh</v>
      </c>
      <c r="G2" s="87"/>
      <c r="H2" s="96" t="s">
        <v>509</v>
      </c>
      <c r="I2" s="116"/>
      <c r="J2" s="42"/>
    </row>
    <row r="3" spans="1:10" ht="25.65" customHeight="1" x14ac:dyDescent="0.25">
      <c r="A3" s="88"/>
      <c r="B3" s="89"/>
      <c r="C3" s="91"/>
      <c r="D3" s="91"/>
      <c r="E3" s="89"/>
      <c r="F3" s="89"/>
      <c r="G3" s="89"/>
      <c r="H3" s="89"/>
      <c r="I3" s="98"/>
      <c r="J3" s="42"/>
    </row>
    <row r="4" spans="1:10" x14ac:dyDescent="0.25">
      <c r="A4" s="99" t="s">
        <v>2</v>
      </c>
      <c r="B4" s="89"/>
      <c r="C4" s="100" t="str">
        <f>'Stavební rozpočet'!D4</f>
        <v xml:space="preserve"> </v>
      </c>
      <c r="D4" s="89"/>
      <c r="E4" s="100" t="s">
        <v>333</v>
      </c>
      <c r="F4" s="100" t="str">
        <f>'Stavební rozpočet'!J4</f>
        <v xml:space="preserve"> </v>
      </c>
      <c r="G4" s="89"/>
      <c r="H4" s="100" t="s">
        <v>509</v>
      </c>
      <c r="I4" s="117"/>
      <c r="J4" s="42"/>
    </row>
    <row r="5" spans="1:10" x14ac:dyDescent="0.25">
      <c r="A5" s="88"/>
      <c r="B5" s="89"/>
      <c r="C5" s="89"/>
      <c r="D5" s="89"/>
      <c r="E5" s="89"/>
      <c r="F5" s="89"/>
      <c r="G5" s="89"/>
      <c r="H5" s="89"/>
      <c r="I5" s="98"/>
      <c r="J5" s="42"/>
    </row>
    <row r="6" spans="1:10" x14ac:dyDescent="0.25">
      <c r="A6" s="99" t="s">
        <v>3</v>
      </c>
      <c r="B6" s="89"/>
      <c r="C6" s="100" t="str">
        <f>'Stavební rozpočet'!D6</f>
        <v>Zábřeh</v>
      </c>
      <c r="D6" s="89"/>
      <c r="E6" s="100" t="s">
        <v>334</v>
      </c>
      <c r="F6" s="100" t="str">
        <f>'Stavební rozpočet'!J6</f>
        <v xml:space="preserve"> </v>
      </c>
      <c r="G6" s="89"/>
      <c r="H6" s="100" t="s">
        <v>509</v>
      </c>
      <c r="I6" s="117"/>
      <c r="J6" s="42"/>
    </row>
    <row r="7" spans="1:10" x14ac:dyDescent="0.25">
      <c r="A7" s="88"/>
      <c r="B7" s="89"/>
      <c r="C7" s="89"/>
      <c r="D7" s="89"/>
      <c r="E7" s="89"/>
      <c r="F7" s="89"/>
      <c r="G7" s="89"/>
      <c r="H7" s="89"/>
      <c r="I7" s="98"/>
      <c r="J7" s="42"/>
    </row>
    <row r="8" spans="1:10" x14ac:dyDescent="0.25">
      <c r="A8" s="99" t="s">
        <v>314</v>
      </c>
      <c r="B8" s="89"/>
      <c r="C8" s="100" t="str">
        <f>'Stavební rozpočet'!G4</f>
        <v xml:space="preserve"> </v>
      </c>
      <c r="D8" s="89"/>
      <c r="E8" s="100" t="s">
        <v>315</v>
      </c>
      <c r="F8" s="100" t="str">
        <f>'Stavební rozpočet'!G6</f>
        <v xml:space="preserve"> </v>
      </c>
      <c r="G8" s="89"/>
      <c r="H8" s="101" t="s">
        <v>510</v>
      </c>
      <c r="I8" s="117" t="s">
        <v>88</v>
      </c>
      <c r="J8" s="42"/>
    </row>
    <row r="9" spans="1:10" x14ac:dyDescent="0.25">
      <c r="A9" s="88"/>
      <c r="B9" s="89"/>
      <c r="C9" s="89"/>
      <c r="D9" s="89"/>
      <c r="E9" s="89"/>
      <c r="F9" s="89"/>
      <c r="G9" s="89"/>
      <c r="H9" s="89"/>
      <c r="I9" s="98"/>
      <c r="J9" s="42"/>
    </row>
    <row r="10" spans="1:10" x14ac:dyDescent="0.25">
      <c r="A10" s="99" t="s">
        <v>4</v>
      </c>
      <c r="B10" s="89"/>
      <c r="C10" s="100">
        <f>'Stavební rozpočet'!D8</f>
        <v>801</v>
      </c>
      <c r="D10" s="89"/>
      <c r="E10" s="100" t="s">
        <v>335</v>
      </c>
      <c r="F10" s="100" t="str">
        <f>'Stavební rozpočet'!J8</f>
        <v xml:space="preserve"> </v>
      </c>
      <c r="G10" s="89"/>
      <c r="H10" s="101" t="s">
        <v>511</v>
      </c>
      <c r="I10" s="120" t="str">
        <f>'Stavební rozpočet'!G8</f>
        <v>27.02.2019</v>
      </c>
      <c r="J10" s="42"/>
    </row>
    <row r="11" spans="1:10" x14ac:dyDescent="0.25">
      <c r="A11" s="118"/>
      <c r="B11" s="119"/>
      <c r="C11" s="119"/>
      <c r="D11" s="119"/>
      <c r="E11" s="119"/>
      <c r="F11" s="119"/>
      <c r="G11" s="119"/>
      <c r="H11" s="119"/>
      <c r="I11" s="121"/>
      <c r="J11" s="42"/>
    </row>
    <row r="12" spans="1:10" ht="23.4" customHeight="1" x14ac:dyDescent="0.25">
      <c r="A12" s="122" t="s">
        <v>470</v>
      </c>
      <c r="B12" s="123"/>
      <c r="C12" s="123"/>
      <c r="D12" s="123"/>
      <c r="E12" s="123"/>
      <c r="F12" s="123"/>
      <c r="G12" s="123"/>
      <c r="H12" s="123"/>
      <c r="I12" s="123"/>
    </row>
    <row r="13" spans="1:10" ht="26.4" customHeight="1" x14ac:dyDescent="0.25">
      <c r="A13" s="59" t="s">
        <v>471</v>
      </c>
      <c r="B13" s="124" t="s">
        <v>482</v>
      </c>
      <c r="C13" s="125"/>
      <c r="D13" s="59" t="s">
        <v>485</v>
      </c>
      <c r="E13" s="124" t="s">
        <v>495</v>
      </c>
      <c r="F13" s="125"/>
      <c r="G13" s="59" t="s">
        <v>496</v>
      </c>
      <c r="H13" s="124" t="s">
        <v>512</v>
      </c>
      <c r="I13" s="125"/>
      <c r="J13" s="42"/>
    </row>
    <row r="14" spans="1:10" ht="15.15" customHeight="1" x14ac:dyDescent="0.25">
      <c r="A14" s="60" t="s">
        <v>472</v>
      </c>
      <c r="B14" s="64" t="s">
        <v>483</v>
      </c>
      <c r="C14" s="67">
        <f>SUM('Stavební rozpočet'!R12:R131)</f>
        <v>0</v>
      </c>
      <c r="D14" s="126" t="s">
        <v>486</v>
      </c>
      <c r="E14" s="127"/>
      <c r="F14" s="67">
        <f>VORN!I15</f>
        <v>0</v>
      </c>
      <c r="G14" s="126" t="s">
        <v>497</v>
      </c>
      <c r="H14" s="127"/>
      <c r="I14" s="67">
        <f>VORN!I22</f>
        <v>0</v>
      </c>
      <c r="J14" s="42"/>
    </row>
    <row r="15" spans="1:10" ht="15.15" customHeight="1" x14ac:dyDescent="0.25">
      <c r="A15" s="61"/>
      <c r="B15" s="64" t="s">
        <v>336</v>
      </c>
      <c r="C15" s="67">
        <f>SUM('Stavební rozpočet'!S12:S131)</f>
        <v>0</v>
      </c>
      <c r="D15" s="126" t="s">
        <v>487</v>
      </c>
      <c r="E15" s="127"/>
      <c r="F15" s="67">
        <f>VORN!I16</f>
        <v>0</v>
      </c>
      <c r="G15" s="126" t="s">
        <v>498</v>
      </c>
      <c r="H15" s="127"/>
      <c r="I15" s="67">
        <f>VORN!I23</f>
        <v>0</v>
      </c>
      <c r="J15" s="42"/>
    </row>
    <row r="16" spans="1:10" ht="15.15" customHeight="1" x14ac:dyDescent="0.25">
      <c r="A16" s="60" t="s">
        <v>473</v>
      </c>
      <c r="B16" s="64" t="s">
        <v>483</v>
      </c>
      <c r="C16" s="67">
        <f>SUM('Stavební rozpočet'!T12:T131)</f>
        <v>0</v>
      </c>
      <c r="D16" s="126" t="s">
        <v>488</v>
      </c>
      <c r="E16" s="127"/>
      <c r="F16" s="67">
        <f>VORN!I17</f>
        <v>0</v>
      </c>
      <c r="G16" s="126" t="s">
        <v>499</v>
      </c>
      <c r="H16" s="127"/>
      <c r="I16" s="67">
        <f>VORN!I24</f>
        <v>0</v>
      </c>
      <c r="J16" s="42"/>
    </row>
    <row r="17" spans="1:10" ht="15.15" customHeight="1" x14ac:dyDescent="0.25">
      <c r="A17" s="61"/>
      <c r="B17" s="64" t="s">
        <v>336</v>
      </c>
      <c r="C17" s="67">
        <f>SUM('Stavební rozpočet'!U12:U131)</f>
        <v>0</v>
      </c>
      <c r="D17" s="126" t="s">
        <v>489</v>
      </c>
      <c r="E17" s="127"/>
      <c r="F17" s="67">
        <f>VORN!I18</f>
        <v>0</v>
      </c>
      <c r="G17" s="126" t="s">
        <v>500</v>
      </c>
      <c r="H17" s="127"/>
      <c r="I17" s="67">
        <f>VORN!I25</f>
        <v>0</v>
      </c>
      <c r="J17" s="42"/>
    </row>
    <row r="18" spans="1:10" ht="15.15" customHeight="1" x14ac:dyDescent="0.25">
      <c r="A18" s="60" t="s">
        <v>474</v>
      </c>
      <c r="B18" s="64" t="s">
        <v>483</v>
      </c>
      <c r="C18" s="67">
        <f>SUM('Stavební rozpočet'!V12:V131)</f>
        <v>0</v>
      </c>
      <c r="D18" s="126"/>
      <c r="E18" s="127"/>
      <c r="F18" s="68"/>
      <c r="G18" s="126" t="s">
        <v>311</v>
      </c>
      <c r="H18" s="127"/>
      <c r="I18" s="67">
        <f>VORN!I26</f>
        <v>0</v>
      </c>
      <c r="J18" s="42"/>
    </row>
    <row r="19" spans="1:10" ht="15.15" customHeight="1" x14ac:dyDescent="0.25">
      <c r="A19" s="61"/>
      <c r="B19" s="64" t="s">
        <v>336</v>
      </c>
      <c r="C19" s="67">
        <f>SUM('Stavební rozpočet'!W12:W131)</f>
        <v>0</v>
      </c>
      <c r="D19" s="126"/>
      <c r="E19" s="127"/>
      <c r="F19" s="68"/>
      <c r="G19" s="126" t="s">
        <v>501</v>
      </c>
      <c r="H19" s="127"/>
      <c r="I19" s="67">
        <f>VORN!I27</f>
        <v>0</v>
      </c>
      <c r="J19" s="42"/>
    </row>
    <row r="20" spans="1:10" ht="15.15" customHeight="1" x14ac:dyDescent="0.25">
      <c r="A20" s="128" t="s">
        <v>305</v>
      </c>
      <c r="B20" s="129"/>
      <c r="C20" s="67">
        <f>SUM('Stavební rozpočet'!X12:X131)</f>
        <v>0</v>
      </c>
      <c r="D20" s="126"/>
      <c r="E20" s="127"/>
      <c r="F20" s="68"/>
      <c r="G20" s="126"/>
      <c r="H20" s="127"/>
      <c r="I20" s="68"/>
      <c r="J20" s="42"/>
    </row>
    <row r="21" spans="1:10" ht="15.15" customHeight="1" x14ac:dyDescent="0.25">
      <c r="A21" s="128" t="s">
        <v>475</v>
      </c>
      <c r="B21" s="129"/>
      <c r="C21" s="67">
        <f>SUM('Stavební rozpočet'!P12:P131)</f>
        <v>0</v>
      </c>
      <c r="D21" s="126"/>
      <c r="E21" s="127"/>
      <c r="F21" s="68"/>
      <c r="G21" s="126"/>
      <c r="H21" s="127"/>
      <c r="I21" s="68"/>
      <c r="J21" s="42"/>
    </row>
    <row r="22" spans="1:10" ht="16.649999999999999" customHeight="1" x14ac:dyDescent="0.25">
      <c r="A22" s="128" t="s">
        <v>476</v>
      </c>
      <c r="B22" s="129"/>
      <c r="C22" s="67">
        <f>SUM(C14:C21)</f>
        <v>0</v>
      </c>
      <c r="D22" s="128" t="s">
        <v>490</v>
      </c>
      <c r="E22" s="129"/>
      <c r="F22" s="67">
        <f>SUM(F14:F21)</f>
        <v>0</v>
      </c>
      <c r="G22" s="128" t="s">
        <v>502</v>
      </c>
      <c r="H22" s="129"/>
      <c r="I22" s="67">
        <f>SUM(I14:I21)</f>
        <v>0</v>
      </c>
      <c r="J22" s="42"/>
    </row>
    <row r="23" spans="1:10" ht="15.15" customHeight="1" x14ac:dyDescent="0.25">
      <c r="A23" s="9"/>
      <c r="B23" s="9"/>
      <c r="C23" s="65"/>
      <c r="D23" s="128" t="s">
        <v>491</v>
      </c>
      <c r="E23" s="129"/>
      <c r="F23" s="69">
        <v>0</v>
      </c>
      <c r="G23" s="128" t="s">
        <v>503</v>
      </c>
      <c r="H23" s="129"/>
      <c r="I23" s="67">
        <v>0</v>
      </c>
      <c r="J23" s="42"/>
    </row>
    <row r="24" spans="1:10" ht="15.15" customHeight="1" x14ac:dyDescent="0.25">
      <c r="D24" s="9"/>
      <c r="E24" s="9"/>
      <c r="F24" s="70"/>
      <c r="G24" s="128" t="s">
        <v>504</v>
      </c>
      <c r="H24" s="129"/>
      <c r="I24" s="67">
        <f>vorn_sum</f>
        <v>0</v>
      </c>
      <c r="J24" s="42"/>
    </row>
    <row r="25" spans="1:10" ht="15.15" customHeight="1" x14ac:dyDescent="0.25">
      <c r="F25" s="71"/>
      <c r="G25" s="128" t="s">
        <v>505</v>
      </c>
      <c r="H25" s="129"/>
      <c r="I25" s="67">
        <v>0</v>
      </c>
      <c r="J25" s="42"/>
    </row>
    <row r="26" spans="1:10" x14ac:dyDescent="0.25">
      <c r="A26" s="58"/>
      <c r="B26" s="58"/>
      <c r="C26" s="58"/>
      <c r="G26" s="9"/>
      <c r="H26" s="9"/>
      <c r="I26" s="9"/>
    </row>
    <row r="27" spans="1:10" ht="15.15" customHeight="1" x14ac:dyDescent="0.25">
      <c r="A27" s="130" t="s">
        <v>477</v>
      </c>
      <c r="B27" s="131"/>
      <c r="C27" s="72">
        <f>SUM('Stavební rozpočet'!Z12:Z131)</f>
        <v>0</v>
      </c>
      <c r="D27" s="66"/>
      <c r="E27" s="58"/>
      <c r="F27" s="58"/>
      <c r="G27" s="58"/>
      <c r="H27" s="58"/>
      <c r="I27" s="58"/>
    </row>
    <row r="28" spans="1:10" ht="15.15" customHeight="1" x14ac:dyDescent="0.25">
      <c r="A28" s="130" t="s">
        <v>478</v>
      </c>
      <c r="B28" s="131"/>
      <c r="C28" s="72">
        <f>SUM('Stavební rozpočet'!AA12:AA131)</f>
        <v>0</v>
      </c>
      <c r="D28" s="130" t="s">
        <v>492</v>
      </c>
      <c r="E28" s="131"/>
      <c r="F28" s="72">
        <f>ROUND(C28*(15/100),2)</f>
        <v>0</v>
      </c>
      <c r="G28" s="130" t="s">
        <v>506</v>
      </c>
      <c r="H28" s="131"/>
      <c r="I28" s="72">
        <f>SUM(C27:C29)</f>
        <v>0</v>
      </c>
      <c r="J28" s="42"/>
    </row>
    <row r="29" spans="1:10" ht="15.15" customHeight="1" x14ac:dyDescent="0.25">
      <c r="A29" s="130" t="s">
        <v>479</v>
      </c>
      <c r="B29" s="131"/>
      <c r="C29" s="72">
        <f>SUM('Stavební rozpočet'!AB12:AB131)+(F22+I22+F23+I23+I24+I25)</f>
        <v>0</v>
      </c>
      <c r="D29" s="130" t="s">
        <v>493</v>
      </c>
      <c r="E29" s="131"/>
      <c r="F29" s="72">
        <f>ROUND(C29*(21/100),2)</f>
        <v>0</v>
      </c>
      <c r="G29" s="130" t="s">
        <v>507</v>
      </c>
      <c r="H29" s="131"/>
      <c r="I29" s="72">
        <f>SUM(F28:F29)+I28</f>
        <v>0</v>
      </c>
      <c r="J29" s="42"/>
    </row>
    <row r="30" spans="1:10" x14ac:dyDescent="0.25">
      <c r="A30" s="62"/>
      <c r="B30" s="62"/>
      <c r="C30" s="62"/>
      <c r="D30" s="62"/>
      <c r="E30" s="62"/>
      <c r="F30" s="62"/>
      <c r="G30" s="62"/>
      <c r="H30" s="62"/>
      <c r="I30" s="62"/>
    </row>
    <row r="31" spans="1:10" ht="14.4" customHeight="1" x14ac:dyDescent="0.25">
      <c r="A31" s="132" t="s">
        <v>480</v>
      </c>
      <c r="B31" s="133"/>
      <c r="C31" s="134"/>
      <c r="D31" s="132" t="s">
        <v>494</v>
      </c>
      <c r="E31" s="133"/>
      <c r="F31" s="134"/>
      <c r="G31" s="132" t="s">
        <v>508</v>
      </c>
      <c r="H31" s="133"/>
      <c r="I31" s="134"/>
      <c r="J31" s="43"/>
    </row>
    <row r="32" spans="1:10" ht="14.4" customHeight="1" x14ac:dyDescent="0.25">
      <c r="A32" s="135"/>
      <c r="B32" s="136"/>
      <c r="C32" s="137"/>
      <c r="D32" s="135"/>
      <c r="E32" s="136"/>
      <c r="F32" s="137"/>
      <c r="G32" s="135"/>
      <c r="H32" s="136"/>
      <c r="I32" s="137"/>
      <c r="J32" s="43"/>
    </row>
    <row r="33" spans="1:10" ht="14.4" customHeight="1" x14ac:dyDescent="0.25">
      <c r="A33" s="135"/>
      <c r="B33" s="136"/>
      <c r="C33" s="137"/>
      <c r="D33" s="135"/>
      <c r="E33" s="136"/>
      <c r="F33" s="137"/>
      <c r="G33" s="135"/>
      <c r="H33" s="136"/>
      <c r="I33" s="137"/>
      <c r="J33" s="43"/>
    </row>
    <row r="34" spans="1:10" ht="14.4" customHeight="1" x14ac:dyDescent="0.25">
      <c r="A34" s="135"/>
      <c r="B34" s="136"/>
      <c r="C34" s="137"/>
      <c r="D34" s="135"/>
      <c r="E34" s="136"/>
      <c r="F34" s="137"/>
      <c r="G34" s="135"/>
      <c r="H34" s="136"/>
      <c r="I34" s="137"/>
      <c r="J34" s="43"/>
    </row>
    <row r="35" spans="1:10" ht="14.4" customHeight="1" x14ac:dyDescent="0.25">
      <c r="A35" s="138" t="s">
        <v>481</v>
      </c>
      <c r="B35" s="139"/>
      <c r="C35" s="140"/>
      <c r="D35" s="138" t="s">
        <v>481</v>
      </c>
      <c r="E35" s="139"/>
      <c r="F35" s="140"/>
      <c r="G35" s="138" t="s">
        <v>481</v>
      </c>
      <c r="H35" s="139"/>
      <c r="I35" s="140"/>
      <c r="J35" s="43"/>
    </row>
    <row r="36" spans="1:10" ht="11.25" customHeight="1" x14ac:dyDescent="0.25">
      <c r="A36" s="63" t="s">
        <v>89</v>
      </c>
      <c r="B36" s="53"/>
      <c r="C36" s="53"/>
      <c r="D36" s="53"/>
      <c r="E36" s="53"/>
      <c r="F36" s="53"/>
      <c r="G36" s="53"/>
      <c r="H36" s="53"/>
      <c r="I36" s="53"/>
    </row>
    <row r="37" spans="1:10" x14ac:dyDescent="0.25">
      <c r="A37" s="100"/>
      <c r="B37" s="89"/>
      <c r="C37" s="89"/>
      <c r="D37" s="89"/>
      <c r="E37" s="89"/>
      <c r="F37" s="89"/>
      <c r="G37" s="89"/>
      <c r="H37" s="89"/>
      <c r="I37" s="89"/>
    </row>
  </sheetData>
  <sheetProtection sheet="1" objects="1" scenarios="1"/>
  <mergeCells count="83"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  <mergeCell ref="A31:C31"/>
    <mergeCell ref="D31:F31"/>
    <mergeCell ref="G31:I31"/>
    <mergeCell ref="A32:C32"/>
    <mergeCell ref="D32:F32"/>
    <mergeCell ref="G32:I32"/>
    <mergeCell ref="A28:B28"/>
    <mergeCell ref="D28:E28"/>
    <mergeCell ref="G28:H28"/>
    <mergeCell ref="A29:B29"/>
    <mergeCell ref="D29:E29"/>
    <mergeCell ref="G29:H29"/>
    <mergeCell ref="D23:E23"/>
    <mergeCell ref="G23:H23"/>
    <mergeCell ref="G24:H24"/>
    <mergeCell ref="G25:H25"/>
    <mergeCell ref="A27:B27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34"/>
  <sheetViews>
    <sheetView workbookViewId="0">
      <pane ySplit="11" topLeftCell="A114" activePane="bottomLeft" state="frozenSplit"/>
      <selection pane="bottomLeft" activeCell="G132" sqref="G132"/>
    </sheetView>
  </sheetViews>
  <sheetFormatPr defaultColWidth="11.5546875" defaultRowHeight="13.2" x14ac:dyDescent="0.25"/>
  <cols>
    <col min="1" max="1" width="3.6640625" customWidth="1"/>
    <col min="2" max="2" width="6.88671875" customWidth="1"/>
    <col min="3" max="3" width="13.33203125" customWidth="1"/>
    <col min="4" max="4" width="67.88671875" customWidth="1"/>
    <col min="5" max="5" width="6.44140625" customWidth="1"/>
    <col min="6" max="6" width="12.88671875" customWidth="1"/>
    <col min="7" max="7" width="12" customWidth="1"/>
    <col min="8" max="10" width="14.33203125" customWidth="1"/>
    <col min="11" max="12" width="11.6640625" customWidth="1"/>
    <col min="13" max="13" width="6.44140625" customWidth="1"/>
    <col min="14" max="14" width="0" hidden="1" customWidth="1"/>
    <col min="15" max="48" width="12.109375" hidden="1" customWidth="1"/>
  </cols>
  <sheetData>
    <row r="1" spans="1:48" ht="72.900000000000006" customHeight="1" x14ac:dyDescent="0.4">
      <c r="A1" s="84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48" x14ac:dyDescent="0.25">
      <c r="A2" s="86" t="s">
        <v>1</v>
      </c>
      <c r="B2" s="87"/>
      <c r="C2" s="87"/>
      <c r="D2" s="90" t="s">
        <v>192</v>
      </c>
      <c r="E2" s="92" t="s">
        <v>313</v>
      </c>
      <c r="F2" s="87"/>
      <c r="G2" s="93" t="s">
        <v>6</v>
      </c>
      <c r="H2" s="94"/>
      <c r="I2" s="96" t="s">
        <v>332</v>
      </c>
      <c r="J2" s="96" t="s">
        <v>337</v>
      </c>
      <c r="K2" s="87"/>
      <c r="L2" s="87"/>
      <c r="M2" s="97"/>
      <c r="N2" s="42"/>
    </row>
    <row r="3" spans="1:48" x14ac:dyDescent="0.25">
      <c r="A3" s="88"/>
      <c r="B3" s="89"/>
      <c r="C3" s="89"/>
      <c r="D3" s="91"/>
      <c r="E3" s="89"/>
      <c r="F3" s="89"/>
      <c r="G3" s="95"/>
      <c r="H3" s="95"/>
      <c r="I3" s="89"/>
      <c r="J3" s="89"/>
      <c r="K3" s="89"/>
      <c r="L3" s="89"/>
      <c r="M3" s="98"/>
      <c r="N3" s="42"/>
    </row>
    <row r="4" spans="1:48" x14ac:dyDescent="0.25">
      <c r="A4" s="99" t="s">
        <v>2</v>
      </c>
      <c r="B4" s="89"/>
      <c r="C4" s="89"/>
      <c r="D4" s="100" t="s">
        <v>6</v>
      </c>
      <c r="E4" s="101" t="s">
        <v>314</v>
      </c>
      <c r="F4" s="89"/>
      <c r="G4" s="102" t="s">
        <v>6</v>
      </c>
      <c r="H4" s="95"/>
      <c r="I4" s="100" t="s">
        <v>333</v>
      </c>
      <c r="J4" s="100" t="s">
        <v>6</v>
      </c>
      <c r="K4" s="89"/>
      <c r="L4" s="89"/>
      <c r="M4" s="98"/>
      <c r="N4" s="42"/>
    </row>
    <row r="5" spans="1:48" x14ac:dyDescent="0.25">
      <c r="A5" s="88"/>
      <c r="B5" s="89"/>
      <c r="C5" s="89"/>
      <c r="D5" s="89"/>
      <c r="E5" s="89"/>
      <c r="F5" s="89"/>
      <c r="G5" s="95"/>
      <c r="H5" s="95"/>
      <c r="I5" s="89"/>
      <c r="J5" s="89"/>
      <c r="K5" s="89"/>
      <c r="L5" s="89"/>
      <c r="M5" s="98"/>
      <c r="N5" s="42"/>
    </row>
    <row r="6" spans="1:48" x14ac:dyDescent="0.25">
      <c r="A6" s="99" t="s">
        <v>3</v>
      </c>
      <c r="B6" s="89"/>
      <c r="C6" s="89"/>
      <c r="D6" s="100" t="s">
        <v>193</v>
      </c>
      <c r="E6" s="101" t="s">
        <v>315</v>
      </c>
      <c r="F6" s="89"/>
      <c r="G6" s="102" t="s">
        <v>6</v>
      </c>
      <c r="H6" s="95"/>
      <c r="I6" s="100" t="s">
        <v>334</v>
      </c>
      <c r="J6" s="103" t="s">
        <v>6</v>
      </c>
      <c r="K6" s="95"/>
      <c r="L6" s="95"/>
      <c r="M6" s="104"/>
      <c r="N6" s="42"/>
    </row>
    <row r="7" spans="1:48" x14ac:dyDescent="0.25">
      <c r="A7" s="88"/>
      <c r="B7" s="89"/>
      <c r="C7" s="89"/>
      <c r="D7" s="89"/>
      <c r="E7" s="89"/>
      <c r="F7" s="89"/>
      <c r="G7" s="95"/>
      <c r="H7" s="95"/>
      <c r="I7" s="89"/>
      <c r="J7" s="95"/>
      <c r="K7" s="95"/>
      <c r="L7" s="95"/>
      <c r="M7" s="104"/>
      <c r="N7" s="42"/>
    </row>
    <row r="8" spans="1:48" x14ac:dyDescent="0.25">
      <c r="A8" s="99" t="s">
        <v>4</v>
      </c>
      <c r="B8" s="89"/>
      <c r="C8" s="89"/>
      <c r="D8" s="100">
        <v>801</v>
      </c>
      <c r="E8" s="101" t="s">
        <v>316</v>
      </c>
      <c r="F8" s="89"/>
      <c r="G8" s="102" t="s">
        <v>326</v>
      </c>
      <c r="H8" s="95"/>
      <c r="I8" s="100" t="s">
        <v>335</v>
      </c>
      <c r="J8" s="103" t="s">
        <v>6</v>
      </c>
      <c r="K8" s="95"/>
      <c r="L8" s="95"/>
      <c r="M8" s="104"/>
      <c r="N8" s="42"/>
    </row>
    <row r="9" spans="1:48" x14ac:dyDescent="0.25">
      <c r="A9" s="110"/>
      <c r="B9" s="111"/>
      <c r="C9" s="111"/>
      <c r="D9" s="111"/>
      <c r="E9" s="111"/>
      <c r="F9" s="111"/>
      <c r="G9" s="112"/>
      <c r="H9" s="112"/>
      <c r="I9" s="111"/>
      <c r="J9" s="112"/>
      <c r="K9" s="112"/>
      <c r="L9" s="112"/>
      <c r="M9" s="113"/>
      <c r="N9" s="42"/>
    </row>
    <row r="10" spans="1:48" x14ac:dyDescent="0.25">
      <c r="A10" s="1" t="s">
        <v>5</v>
      </c>
      <c r="B10" s="11" t="s">
        <v>90</v>
      </c>
      <c r="C10" s="11" t="s">
        <v>94</v>
      </c>
      <c r="D10" s="11" t="s">
        <v>194</v>
      </c>
      <c r="E10" s="11" t="s">
        <v>317</v>
      </c>
      <c r="F10" s="18" t="s">
        <v>325</v>
      </c>
      <c r="G10" s="22" t="s">
        <v>327</v>
      </c>
      <c r="H10" s="105" t="s">
        <v>329</v>
      </c>
      <c r="I10" s="106"/>
      <c r="J10" s="107"/>
      <c r="K10" s="105" t="s">
        <v>339</v>
      </c>
      <c r="L10" s="107"/>
      <c r="M10" s="37" t="s">
        <v>340</v>
      </c>
      <c r="N10" s="43"/>
    </row>
    <row r="11" spans="1:48" x14ac:dyDescent="0.25">
      <c r="A11" s="2" t="s">
        <v>6</v>
      </c>
      <c r="B11" s="12" t="s">
        <v>6</v>
      </c>
      <c r="C11" s="12" t="s">
        <v>6</v>
      </c>
      <c r="D11" s="16" t="s">
        <v>195</v>
      </c>
      <c r="E11" s="12" t="s">
        <v>6</v>
      </c>
      <c r="F11" s="12" t="s">
        <v>6</v>
      </c>
      <c r="G11" s="23" t="s">
        <v>328</v>
      </c>
      <c r="H11" s="31" t="s">
        <v>330</v>
      </c>
      <c r="I11" s="32" t="s">
        <v>336</v>
      </c>
      <c r="J11" s="33" t="s">
        <v>338</v>
      </c>
      <c r="K11" s="31" t="s">
        <v>327</v>
      </c>
      <c r="L11" s="33" t="s">
        <v>338</v>
      </c>
      <c r="M11" s="38" t="s">
        <v>341</v>
      </c>
      <c r="N11" s="43"/>
      <c r="P11" s="35" t="s">
        <v>343</v>
      </c>
      <c r="Q11" s="35" t="s">
        <v>344</v>
      </c>
      <c r="R11" s="35" t="s">
        <v>345</v>
      </c>
      <c r="S11" s="35" t="s">
        <v>346</v>
      </c>
      <c r="T11" s="35" t="s">
        <v>347</v>
      </c>
      <c r="U11" s="35" t="s">
        <v>348</v>
      </c>
      <c r="V11" s="35" t="s">
        <v>349</v>
      </c>
      <c r="W11" s="35" t="s">
        <v>350</v>
      </c>
      <c r="X11" s="35" t="s">
        <v>351</v>
      </c>
    </row>
    <row r="12" spans="1:48" x14ac:dyDescent="0.25">
      <c r="A12" s="3"/>
      <c r="B12" s="13" t="s">
        <v>91</v>
      </c>
      <c r="C12" s="13"/>
      <c r="D12" s="13" t="s">
        <v>196</v>
      </c>
      <c r="E12" s="3" t="s">
        <v>6</v>
      </c>
      <c r="F12" s="3" t="s">
        <v>6</v>
      </c>
      <c r="G12" s="24" t="s">
        <v>6</v>
      </c>
      <c r="H12" s="46">
        <f>H13+H18+H22+H24+H31+H35+H40+H46+H67+H79+H91+H94+H101+H103+H105+H107+H110+H117+H119+H124</f>
        <v>0</v>
      </c>
      <c r="I12" s="46">
        <f>I13+I18+I22+I24+I31+I35+I40+I46+I67+I79+I91+I94+I101+I103+I105+I107+I110+I117+I119+I124</f>
        <v>0</v>
      </c>
      <c r="J12" s="46">
        <f>H12+I12</f>
        <v>0</v>
      </c>
      <c r="K12" s="34"/>
      <c r="L12" s="46">
        <f>L13+L18+L22+L24+L31+L35+L40+L46+L67+L79+L91+L94+L101+L103+L105+L107+L110+L117+L119+L124</f>
        <v>24.735951823999997</v>
      </c>
      <c r="M12" s="34"/>
    </row>
    <row r="13" spans="1:48" x14ac:dyDescent="0.25">
      <c r="A13" s="4"/>
      <c r="B13" s="14" t="s">
        <v>91</v>
      </c>
      <c r="C13" s="14" t="s">
        <v>37</v>
      </c>
      <c r="D13" s="14" t="s">
        <v>197</v>
      </c>
      <c r="E13" s="4" t="s">
        <v>6</v>
      </c>
      <c r="F13" s="4" t="s">
        <v>6</v>
      </c>
      <c r="G13" s="25" t="s">
        <v>6</v>
      </c>
      <c r="H13" s="47">
        <f>SUM(H14:H16)</f>
        <v>0</v>
      </c>
      <c r="I13" s="47">
        <f>SUM(I14:I16)</f>
        <v>0</v>
      </c>
      <c r="J13" s="47">
        <f>H13+I13</f>
        <v>0</v>
      </c>
      <c r="K13" s="35"/>
      <c r="L13" s="47">
        <f>SUM(L14:L16)</f>
        <v>0.22015000000000001</v>
      </c>
      <c r="M13" s="35"/>
      <c r="Y13" s="35" t="s">
        <v>91</v>
      </c>
      <c r="AI13" s="47">
        <f>SUM(Z14:Z16)</f>
        <v>0</v>
      </c>
      <c r="AJ13" s="47">
        <f>SUM(AA14:AA16)</f>
        <v>0</v>
      </c>
      <c r="AK13" s="47">
        <f>SUM(AB14:AB16)</f>
        <v>0</v>
      </c>
    </row>
    <row r="14" spans="1:48" x14ac:dyDescent="0.25">
      <c r="A14" s="5" t="s">
        <v>7</v>
      </c>
      <c r="B14" s="5" t="s">
        <v>91</v>
      </c>
      <c r="C14" s="5" t="s">
        <v>95</v>
      </c>
      <c r="D14" s="5" t="s">
        <v>198</v>
      </c>
      <c r="E14" s="5" t="s">
        <v>318</v>
      </c>
      <c r="F14" s="19">
        <v>1</v>
      </c>
      <c r="G14" s="26">
        <v>0</v>
      </c>
      <c r="H14" s="19">
        <f>F14*AE14</f>
        <v>0</v>
      </c>
      <c r="I14" s="19">
        <f>J14-H14</f>
        <v>0</v>
      </c>
      <c r="J14" s="19">
        <f>F14*G14</f>
        <v>0</v>
      </c>
      <c r="K14" s="19">
        <v>0.10249999999999999</v>
      </c>
      <c r="L14" s="19">
        <f>F14*K14</f>
        <v>0.10249999999999999</v>
      </c>
      <c r="M14" s="39" t="s">
        <v>342</v>
      </c>
      <c r="P14" s="44">
        <f>IF(AG14="5",J14,0)</f>
        <v>0</v>
      </c>
      <c r="R14" s="44">
        <f>IF(AG14="1",H14,0)</f>
        <v>0</v>
      </c>
      <c r="S14" s="44">
        <f>IF(AG14="1",I14,0)</f>
        <v>0</v>
      </c>
      <c r="T14" s="44">
        <f>IF(AG14="7",H14,0)</f>
        <v>0</v>
      </c>
      <c r="U14" s="44">
        <f>IF(AG14="7",I14,0)</f>
        <v>0</v>
      </c>
      <c r="V14" s="44">
        <f>IF(AG14="2",H14,0)</f>
        <v>0</v>
      </c>
      <c r="W14" s="44">
        <f>IF(AG14="2",I14,0)</f>
        <v>0</v>
      </c>
      <c r="X14" s="44">
        <f>IF(AG14="0",J14,0)</f>
        <v>0</v>
      </c>
      <c r="Y14" s="35" t="s">
        <v>91</v>
      </c>
      <c r="Z14" s="19">
        <f>IF(AD14=0,J14,0)</f>
        <v>0</v>
      </c>
      <c r="AA14" s="19">
        <f>IF(AD14=15,J14,0)</f>
        <v>0</v>
      </c>
      <c r="AB14" s="19">
        <f>IF(AD14=21,J14,0)</f>
        <v>0</v>
      </c>
      <c r="AD14" s="44">
        <v>21</v>
      </c>
      <c r="AE14" s="44">
        <f>G14*0.52550831792976</f>
        <v>0</v>
      </c>
      <c r="AF14" s="44">
        <f>G14*(1-0.52550831792976)</f>
        <v>0</v>
      </c>
      <c r="AG14" s="39" t="s">
        <v>7</v>
      </c>
      <c r="AM14" s="44">
        <f>F14*AE14</f>
        <v>0</v>
      </c>
      <c r="AN14" s="44">
        <f>F14*AF14</f>
        <v>0</v>
      </c>
      <c r="AO14" s="45" t="s">
        <v>353</v>
      </c>
      <c r="AP14" s="45" t="s">
        <v>375</v>
      </c>
      <c r="AQ14" s="35" t="s">
        <v>385</v>
      </c>
      <c r="AS14" s="44">
        <f>AM14+AN14</f>
        <v>0</v>
      </c>
      <c r="AT14" s="44">
        <f>G14/(100-AU14)*100</f>
        <v>0</v>
      </c>
      <c r="AU14" s="44">
        <v>0</v>
      </c>
      <c r="AV14" s="44">
        <f>L14</f>
        <v>0.10249999999999999</v>
      </c>
    </row>
    <row r="15" spans="1:48" x14ac:dyDescent="0.25">
      <c r="D15" s="17" t="s">
        <v>199</v>
      </c>
      <c r="G15" s="27"/>
    </row>
    <row r="16" spans="1:48" x14ac:dyDescent="0.25">
      <c r="A16" s="5" t="s">
        <v>8</v>
      </c>
      <c r="B16" s="5" t="s">
        <v>91</v>
      </c>
      <c r="C16" s="5" t="s">
        <v>96</v>
      </c>
      <c r="D16" s="5" t="s">
        <v>198</v>
      </c>
      <c r="E16" s="5" t="s">
        <v>318</v>
      </c>
      <c r="F16" s="19">
        <v>1</v>
      </c>
      <c r="G16" s="26">
        <v>0</v>
      </c>
      <c r="H16" s="19">
        <f>F16*AE16</f>
        <v>0</v>
      </c>
      <c r="I16" s="19">
        <f>J16-H16</f>
        <v>0</v>
      </c>
      <c r="J16" s="19">
        <f>F16*G16</f>
        <v>0</v>
      </c>
      <c r="K16" s="19">
        <v>0.11765</v>
      </c>
      <c r="L16" s="19">
        <f>F16*K16</f>
        <v>0.11765</v>
      </c>
      <c r="M16" s="39" t="s">
        <v>342</v>
      </c>
      <c r="P16" s="44">
        <f>IF(AG16="5",J16,0)</f>
        <v>0</v>
      </c>
      <c r="R16" s="44">
        <f>IF(AG16="1",H16,0)</f>
        <v>0</v>
      </c>
      <c r="S16" s="44">
        <f>IF(AG16="1",I16,0)</f>
        <v>0</v>
      </c>
      <c r="T16" s="44">
        <f>IF(AG16="7",H16,0)</f>
        <v>0</v>
      </c>
      <c r="U16" s="44">
        <f>IF(AG16="7",I16,0)</f>
        <v>0</v>
      </c>
      <c r="V16" s="44">
        <f>IF(AG16="2",H16,0)</f>
        <v>0</v>
      </c>
      <c r="W16" s="44">
        <f>IF(AG16="2",I16,0)</f>
        <v>0</v>
      </c>
      <c r="X16" s="44">
        <f>IF(AG16="0",J16,0)</f>
        <v>0</v>
      </c>
      <c r="Y16" s="35" t="s">
        <v>91</v>
      </c>
      <c r="Z16" s="19">
        <f>IF(AD16=0,J16,0)</f>
        <v>0</v>
      </c>
      <c r="AA16" s="19">
        <f>IF(AD16=15,J16,0)</f>
        <v>0</v>
      </c>
      <c r="AB16" s="19">
        <f>IF(AD16=21,J16,0)</f>
        <v>0</v>
      </c>
      <c r="AD16" s="44">
        <v>21</v>
      </c>
      <c r="AE16" s="44">
        <f>G16*0.570016750418761</f>
        <v>0</v>
      </c>
      <c r="AF16" s="44">
        <f>G16*(1-0.570016750418761)</f>
        <v>0</v>
      </c>
      <c r="AG16" s="39" t="s">
        <v>7</v>
      </c>
      <c r="AM16" s="44">
        <f>F16*AE16</f>
        <v>0</v>
      </c>
      <c r="AN16" s="44">
        <f>F16*AF16</f>
        <v>0</v>
      </c>
      <c r="AO16" s="45" t="s">
        <v>353</v>
      </c>
      <c r="AP16" s="45" t="s">
        <v>375</v>
      </c>
      <c r="AQ16" s="35" t="s">
        <v>385</v>
      </c>
      <c r="AS16" s="44">
        <f>AM16+AN16</f>
        <v>0</v>
      </c>
      <c r="AT16" s="44">
        <f>G16/(100-AU16)*100</f>
        <v>0</v>
      </c>
      <c r="AU16" s="44">
        <v>0</v>
      </c>
      <c r="AV16" s="44">
        <f>L16</f>
        <v>0.11765</v>
      </c>
    </row>
    <row r="17" spans="1:48" x14ac:dyDescent="0.25">
      <c r="D17" s="17" t="s">
        <v>200</v>
      </c>
      <c r="G17" s="27"/>
    </row>
    <row r="18" spans="1:48" x14ac:dyDescent="0.25">
      <c r="A18" s="4"/>
      <c r="B18" s="14" t="s">
        <v>91</v>
      </c>
      <c r="C18" s="14" t="s">
        <v>40</v>
      </c>
      <c r="D18" s="14" t="s">
        <v>201</v>
      </c>
      <c r="E18" s="4" t="s">
        <v>6</v>
      </c>
      <c r="F18" s="4" t="s">
        <v>6</v>
      </c>
      <c r="G18" s="25" t="s">
        <v>6</v>
      </c>
      <c r="H18" s="47">
        <f>SUM(H19:H21)</f>
        <v>0</v>
      </c>
      <c r="I18" s="47">
        <f>SUM(I19:I21)</f>
        <v>0</v>
      </c>
      <c r="J18" s="47">
        <f>H18+I18</f>
        <v>0</v>
      </c>
      <c r="K18" s="35"/>
      <c r="L18" s="47">
        <f>SUM(L19:L21)</f>
        <v>0.83395956799999982</v>
      </c>
      <c r="M18" s="35"/>
      <c r="Y18" s="35" t="s">
        <v>91</v>
      </c>
      <c r="AI18" s="47">
        <f>SUM(Z19:Z21)</f>
        <v>0</v>
      </c>
      <c r="AJ18" s="47">
        <f>SUM(AA19:AA21)</f>
        <v>0</v>
      </c>
      <c r="AK18" s="47">
        <f>SUM(AB19:AB21)</f>
        <v>0</v>
      </c>
    </row>
    <row r="19" spans="1:48" x14ac:dyDescent="0.25">
      <c r="A19" s="5" t="s">
        <v>9</v>
      </c>
      <c r="B19" s="5" t="s">
        <v>91</v>
      </c>
      <c r="C19" s="5" t="s">
        <v>97</v>
      </c>
      <c r="D19" s="5" t="s">
        <v>202</v>
      </c>
      <c r="E19" s="5" t="s">
        <v>319</v>
      </c>
      <c r="F19" s="19">
        <v>5.6875</v>
      </c>
      <c r="G19" s="26">
        <v>0</v>
      </c>
      <c r="H19" s="19">
        <f>F19*AE19</f>
        <v>0</v>
      </c>
      <c r="I19" s="19">
        <f>J19-H19</f>
        <v>0</v>
      </c>
      <c r="J19" s="19">
        <f>F19*G19</f>
        <v>0</v>
      </c>
      <c r="K19" s="19">
        <v>0.11141</v>
      </c>
      <c r="L19" s="19">
        <f>F19*K19</f>
        <v>0.63364437499999993</v>
      </c>
      <c r="M19" s="39" t="s">
        <v>342</v>
      </c>
      <c r="P19" s="44">
        <f>IF(AG19="5",J19,0)</f>
        <v>0</v>
      </c>
      <c r="R19" s="44">
        <f>IF(AG19="1",H19,0)</f>
        <v>0</v>
      </c>
      <c r="S19" s="44">
        <f>IF(AG19="1",I19,0)</f>
        <v>0</v>
      </c>
      <c r="T19" s="44">
        <f>IF(AG19="7",H19,0)</f>
        <v>0</v>
      </c>
      <c r="U19" s="44">
        <f>IF(AG19="7",I19,0)</f>
        <v>0</v>
      </c>
      <c r="V19" s="44">
        <f>IF(AG19="2",H19,0)</f>
        <v>0</v>
      </c>
      <c r="W19" s="44">
        <f>IF(AG19="2",I19,0)</f>
        <v>0</v>
      </c>
      <c r="X19" s="44">
        <f>IF(AG19="0",J19,0)</f>
        <v>0</v>
      </c>
      <c r="Y19" s="35" t="s">
        <v>91</v>
      </c>
      <c r="Z19" s="19">
        <f>IF(AD19=0,J19,0)</f>
        <v>0</v>
      </c>
      <c r="AA19" s="19">
        <f>IF(AD19=15,J19,0)</f>
        <v>0</v>
      </c>
      <c r="AB19" s="19">
        <f>IF(AD19=21,J19,0)</f>
        <v>0</v>
      </c>
      <c r="AD19" s="44">
        <v>21</v>
      </c>
      <c r="AE19" s="44">
        <f>G19*0.664814707326334</f>
        <v>0</v>
      </c>
      <c r="AF19" s="44">
        <f>G19*(1-0.664814707326334)</f>
        <v>0</v>
      </c>
      <c r="AG19" s="39" t="s">
        <v>7</v>
      </c>
      <c r="AM19" s="44">
        <f>F19*AE19</f>
        <v>0</v>
      </c>
      <c r="AN19" s="44">
        <f>F19*AF19</f>
        <v>0</v>
      </c>
      <c r="AO19" s="45" t="s">
        <v>354</v>
      </c>
      <c r="AP19" s="45" t="s">
        <v>375</v>
      </c>
      <c r="AQ19" s="35" t="s">
        <v>385</v>
      </c>
      <c r="AS19" s="44">
        <f>AM19+AN19</f>
        <v>0</v>
      </c>
      <c r="AT19" s="44">
        <f>G19/(100-AU19)*100</f>
        <v>0</v>
      </c>
      <c r="AU19" s="44">
        <v>0</v>
      </c>
      <c r="AV19" s="44">
        <f>L19</f>
        <v>0.63364437499999993</v>
      </c>
    </row>
    <row r="20" spans="1:48" x14ac:dyDescent="0.25">
      <c r="A20" s="5" t="s">
        <v>10</v>
      </c>
      <c r="B20" s="5" t="s">
        <v>91</v>
      </c>
      <c r="C20" s="5" t="s">
        <v>98</v>
      </c>
      <c r="D20" s="5" t="s">
        <v>203</v>
      </c>
      <c r="E20" s="5" t="s">
        <v>319</v>
      </c>
      <c r="F20" s="19">
        <v>2.8391299999999999</v>
      </c>
      <c r="G20" s="26">
        <v>0</v>
      </c>
      <c r="H20" s="19">
        <f>F20*AE20</f>
        <v>0</v>
      </c>
      <c r="I20" s="19">
        <f>J20-H20</f>
        <v>0</v>
      </c>
      <c r="J20" s="19">
        <f>F20*G20</f>
        <v>0</v>
      </c>
      <c r="K20" s="19">
        <v>5.6099999999999997E-2</v>
      </c>
      <c r="L20" s="19">
        <f>F20*K20</f>
        <v>0.15927519299999998</v>
      </c>
      <c r="M20" s="39" t="s">
        <v>342</v>
      </c>
      <c r="P20" s="44">
        <f>IF(AG20="5",J20,0)</f>
        <v>0</v>
      </c>
      <c r="R20" s="44">
        <f>IF(AG20="1",H20,0)</f>
        <v>0</v>
      </c>
      <c r="S20" s="44">
        <f>IF(AG20="1",I20,0)</f>
        <v>0</v>
      </c>
      <c r="T20" s="44">
        <f>IF(AG20="7",H20,0)</f>
        <v>0</v>
      </c>
      <c r="U20" s="44">
        <f>IF(AG20="7",I20,0)</f>
        <v>0</v>
      </c>
      <c r="V20" s="44">
        <f>IF(AG20="2",H20,0)</f>
        <v>0</v>
      </c>
      <c r="W20" s="44">
        <f>IF(AG20="2",I20,0)</f>
        <v>0</v>
      </c>
      <c r="X20" s="44">
        <f>IF(AG20="0",J20,0)</f>
        <v>0</v>
      </c>
      <c r="Y20" s="35" t="s">
        <v>91</v>
      </c>
      <c r="Z20" s="19">
        <f>IF(AD20=0,J20,0)</f>
        <v>0</v>
      </c>
      <c r="AA20" s="19">
        <f>IF(AD20=15,J20,0)</f>
        <v>0</v>
      </c>
      <c r="AB20" s="19">
        <f>IF(AD20=21,J20,0)</f>
        <v>0</v>
      </c>
      <c r="AD20" s="44">
        <v>21</v>
      </c>
      <c r="AE20" s="44">
        <f>G20*0.561617484243737</f>
        <v>0</v>
      </c>
      <c r="AF20" s="44">
        <f>G20*(1-0.561617484243737)</f>
        <v>0</v>
      </c>
      <c r="AG20" s="39" t="s">
        <v>7</v>
      </c>
      <c r="AM20" s="44">
        <f>F20*AE20</f>
        <v>0</v>
      </c>
      <c r="AN20" s="44">
        <f>F20*AF20</f>
        <v>0</v>
      </c>
      <c r="AO20" s="45" t="s">
        <v>354</v>
      </c>
      <c r="AP20" s="45" t="s">
        <v>375</v>
      </c>
      <c r="AQ20" s="35" t="s">
        <v>385</v>
      </c>
      <c r="AS20" s="44">
        <f>AM20+AN20</f>
        <v>0</v>
      </c>
      <c r="AT20" s="44">
        <f>G20/(100-AU20)*100</f>
        <v>0</v>
      </c>
      <c r="AU20" s="44">
        <v>0</v>
      </c>
      <c r="AV20" s="44">
        <f>L20</f>
        <v>0.15927519299999998</v>
      </c>
    </row>
    <row r="21" spans="1:48" x14ac:dyDescent="0.25">
      <c r="A21" s="5" t="s">
        <v>11</v>
      </c>
      <c r="B21" s="5" t="s">
        <v>91</v>
      </c>
      <c r="C21" s="5" t="s">
        <v>99</v>
      </c>
      <c r="D21" s="5" t="s">
        <v>204</v>
      </c>
      <c r="E21" s="5" t="s">
        <v>318</v>
      </c>
      <c r="F21" s="19">
        <v>12</v>
      </c>
      <c r="G21" s="26">
        <v>0</v>
      </c>
      <c r="H21" s="19">
        <f>F21*AE21</f>
        <v>0</v>
      </c>
      <c r="I21" s="19">
        <f>J21-H21</f>
        <v>0</v>
      </c>
      <c r="J21" s="19">
        <f>F21*G21</f>
        <v>0</v>
      </c>
      <c r="K21" s="19">
        <v>3.4199999999999999E-3</v>
      </c>
      <c r="L21" s="19">
        <f>F21*K21</f>
        <v>4.104E-2</v>
      </c>
      <c r="M21" s="39" t="s">
        <v>342</v>
      </c>
      <c r="P21" s="44">
        <f>IF(AG21="5",J21,0)</f>
        <v>0</v>
      </c>
      <c r="R21" s="44">
        <f>IF(AG21="1",H21,0)</f>
        <v>0</v>
      </c>
      <c r="S21" s="44">
        <f>IF(AG21="1",I21,0)</f>
        <v>0</v>
      </c>
      <c r="T21" s="44">
        <f>IF(AG21="7",H21,0)</f>
        <v>0</v>
      </c>
      <c r="U21" s="44">
        <f>IF(AG21="7",I21,0)</f>
        <v>0</v>
      </c>
      <c r="V21" s="44">
        <f>IF(AG21="2",H21,0)</f>
        <v>0</v>
      </c>
      <c r="W21" s="44">
        <f>IF(AG21="2",I21,0)</f>
        <v>0</v>
      </c>
      <c r="X21" s="44">
        <f>IF(AG21="0",J21,0)</f>
        <v>0</v>
      </c>
      <c r="Y21" s="35" t="s">
        <v>91</v>
      </c>
      <c r="Z21" s="19">
        <f>IF(AD21=0,J21,0)</f>
        <v>0</v>
      </c>
      <c r="AA21" s="19">
        <f>IF(AD21=15,J21,0)</f>
        <v>0</v>
      </c>
      <c r="AB21" s="19">
        <f>IF(AD21=21,J21,0)</f>
        <v>0</v>
      </c>
      <c r="AD21" s="44">
        <v>21</v>
      </c>
      <c r="AE21" s="44">
        <f>G21*0.225225225225225</f>
        <v>0</v>
      </c>
      <c r="AF21" s="44">
        <f>G21*(1-0.225225225225225)</f>
        <v>0</v>
      </c>
      <c r="AG21" s="39" t="s">
        <v>7</v>
      </c>
      <c r="AM21" s="44">
        <f>F21*AE21</f>
        <v>0</v>
      </c>
      <c r="AN21" s="44">
        <f>F21*AF21</f>
        <v>0</v>
      </c>
      <c r="AO21" s="45" t="s">
        <v>354</v>
      </c>
      <c r="AP21" s="45" t="s">
        <v>375</v>
      </c>
      <c r="AQ21" s="35" t="s">
        <v>385</v>
      </c>
      <c r="AS21" s="44">
        <f>AM21+AN21</f>
        <v>0</v>
      </c>
      <c r="AT21" s="44">
        <f>G21/(100-AU21)*100</f>
        <v>0</v>
      </c>
      <c r="AU21" s="44">
        <v>0</v>
      </c>
      <c r="AV21" s="44">
        <f>L21</f>
        <v>4.104E-2</v>
      </c>
    </row>
    <row r="22" spans="1:48" x14ac:dyDescent="0.25">
      <c r="A22" s="4"/>
      <c r="B22" s="14" t="s">
        <v>91</v>
      </c>
      <c r="C22" s="14" t="s">
        <v>66</v>
      </c>
      <c r="D22" s="14" t="s">
        <v>205</v>
      </c>
      <c r="E22" s="4" t="s">
        <v>6</v>
      </c>
      <c r="F22" s="4" t="s">
        <v>6</v>
      </c>
      <c r="G22" s="25" t="s">
        <v>6</v>
      </c>
      <c r="H22" s="47">
        <f>SUM(H23:H23)</f>
        <v>0</v>
      </c>
      <c r="I22" s="47">
        <f>SUM(I23:I23)</f>
        <v>0</v>
      </c>
      <c r="J22" s="47">
        <f>H22+I22</f>
        <v>0</v>
      </c>
      <c r="K22" s="35"/>
      <c r="L22" s="47">
        <f>SUM(L23:L23)</f>
        <v>0.18620400000000001</v>
      </c>
      <c r="M22" s="35"/>
      <c r="Y22" s="35" t="s">
        <v>91</v>
      </c>
      <c r="AI22" s="47">
        <f>SUM(Z23:Z23)</f>
        <v>0</v>
      </c>
      <c r="AJ22" s="47">
        <f>SUM(AA23:AA23)</f>
        <v>0</v>
      </c>
      <c r="AK22" s="47">
        <f>SUM(AB23:AB23)</f>
        <v>0</v>
      </c>
    </row>
    <row r="23" spans="1:48" x14ac:dyDescent="0.25">
      <c r="A23" s="5" t="s">
        <v>12</v>
      </c>
      <c r="B23" s="5" t="s">
        <v>91</v>
      </c>
      <c r="C23" s="5" t="s">
        <v>100</v>
      </c>
      <c r="D23" s="5" t="s">
        <v>206</v>
      </c>
      <c r="E23" s="5" t="s">
        <v>319</v>
      </c>
      <c r="F23" s="19">
        <v>74.4816</v>
      </c>
      <c r="G23" s="26">
        <v>0</v>
      </c>
      <c r="H23" s="19">
        <f>F23*AE23</f>
        <v>0</v>
      </c>
      <c r="I23" s="19">
        <f>J23-H23</f>
        <v>0</v>
      </c>
      <c r="J23" s="19">
        <f>F23*G23</f>
        <v>0</v>
      </c>
      <c r="K23" s="19">
        <v>2.5000000000000001E-3</v>
      </c>
      <c r="L23" s="19">
        <f>F23*K23</f>
        <v>0.18620400000000001</v>
      </c>
      <c r="M23" s="39" t="s">
        <v>342</v>
      </c>
      <c r="P23" s="44">
        <f>IF(AG23="5",J23,0)</f>
        <v>0</v>
      </c>
      <c r="R23" s="44">
        <f>IF(AG23="1",H23,0)</f>
        <v>0</v>
      </c>
      <c r="S23" s="44">
        <f>IF(AG23="1",I23,0)</f>
        <v>0</v>
      </c>
      <c r="T23" s="44">
        <f>IF(AG23="7",H23,0)</f>
        <v>0</v>
      </c>
      <c r="U23" s="44">
        <f>IF(AG23="7",I23,0)</f>
        <v>0</v>
      </c>
      <c r="V23" s="44">
        <f>IF(AG23="2",H23,0)</f>
        <v>0</v>
      </c>
      <c r="W23" s="44">
        <f>IF(AG23="2",I23,0)</f>
        <v>0</v>
      </c>
      <c r="X23" s="44">
        <f>IF(AG23="0",J23,0)</f>
        <v>0</v>
      </c>
      <c r="Y23" s="35" t="s">
        <v>91</v>
      </c>
      <c r="Z23" s="19">
        <f>IF(AD23=0,J23,0)</f>
        <v>0</v>
      </c>
      <c r="AA23" s="19">
        <f>IF(AD23=15,J23,0)</f>
        <v>0</v>
      </c>
      <c r="AB23" s="19">
        <f>IF(AD23=21,J23,0)</f>
        <v>0</v>
      </c>
      <c r="AD23" s="44">
        <v>21</v>
      </c>
      <c r="AE23" s="44">
        <f>G23*0.0927361754071272</f>
        <v>0</v>
      </c>
      <c r="AF23" s="44">
        <f>G23*(1-0.0927361754071272)</f>
        <v>0</v>
      </c>
      <c r="AG23" s="39" t="s">
        <v>7</v>
      </c>
      <c r="AM23" s="44">
        <f>F23*AE23</f>
        <v>0</v>
      </c>
      <c r="AN23" s="44">
        <f>F23*AF23</f>
        <v>0</v>
      </c>
      <c r="AO23" s="45" t="s">
        <v>355</v>
      </c>
      <c r="AP23" s="45" t="s">
        <v>376</v>
      </c>
      <c r="AQ23" s="35" t="s">
        <v>385</v>
      </c>
      <c r="AS23" s="44">
        <f>AM23+AN23</f>
        <v>0</v>
      </c>
      <c r="AT23" s="44">
        <f>G23/(100-AU23)*100</f>
        <v>0</v>
      </c>
      <c r="AU23" s="44">
        <v>0</v>
      </c>
      <c r="AV23" s="44">
        <f>L23</f>
        <v>0.18620400000000001</v>
      </c>
    </row>
    <row r="24" spans="1:48" x14ac:dyDescent="0.25">
      <c r="A24" s="4"/>
      <c r="B24" s="14" t="s">
        <v>91</v>
      </c>
      <c r="C24" s="14" t="s">
        <v>67</v>
      </c>
      <c r="D24" s="14" t="s">
        <v>207</v>
      </c>
      <c r="E24" s="4" t="s">
        <v>6</v>
      </c>
      <c r="F24" s="4" t="s">
        <v>6</v>
      </c>
      <c r="G24" s="25" t="s">
        <v>6</v>
      </c>
      <c r="H24" s="47">
        <f>SUM(H25:H29)</f>
        <v>0</v>
      </c>
      <c r="I24" s="47">
        <f>SUM(I25:I29)</f>
        <v>0</v>
      </c>
      <c r="J24" s="47">
        <f>H24+I24</f>
        <v>0</v>
      </c>
      <c r="K24" s="35"/>
      <c r="L24" s="47">
        <f>SUM(L25:L29)</f>
        <v>2.1162899520000003</v>
      </c>
      <c r="M24" s="35"/>
      <c r="Y24" s="35" t="s">
        <v>91</v>
      </c>
      <c r="AI24" s="47">
        <f>SUM(Z25:Z29)</f>
        <v>0</v>
      </c>
      <c r="AJ24" s="47">
        <f>SUM(AA25:AA29)</f>
        <v>0</v>
      </c>
      <c r="AK24" s="47">
        <f>SUM(AB25:AB29)</f>
        <v>0</v>
      </c>
    </row>
    <row r="25" spans="1:48" x14ac:dyDescent="0.25">
      <c r="A25" s="5" t="s">
        <v>13</v>
      </c>
      <c r="B25" s="5" t="s">
        <v>91</v>
      </c>
      <c r="C25" s="5" t="s">
        <v>101</v>
      </c>
      <c r="D25" s="5" t="s">
        <v>208</v>
      </c>
      <c r="E25" s="5" t="s">
        <v>319</v>
      </c>
      <c r="F25" s="19">
        <v>26.79</v>
      </c>
      <c r="G25" s="26">
        <v>0</v>
      </c>
      <c r="H25" s="19">
        <f>F25*AE25</f>
        <v>0</v>
      </c>
      <c r="I25" s="19">
        <f>J25-H25</f>
        <v>0</v>
      </c>
      <c r="J25" s="19">
        <f>F25*G25</f>
        <v>0</v>
      </c>
      <c r="K25" s="19">
        <v>6.8000000000000005E-2</v>
      </c>
      <c r="L25" s="19">
        <f>F25*K25</f>
        <v>1.82172</v>
      </c>
      <c r="M25" s="39" t="s">
        <v>342</v>
      </c>
      <c r="P25" s="44">
        <f>IF(AG25="5",J25,0)</f>
        <v>0</v>
      </c>
      <c r="R25" s="44">
        <f>IF(AG25="1",H25,0)</f>
        <v>0</v>
      </c>
      <c r="S25" s="44">
        <f>IF(AG25="1",I25,0)</f>
        <v>0</v>
      </c>
      <c r="T25" s="44">
        <f>IF(AG25="7",H25,0)</f>
        <v>0</v>
      </c>
      <c r="U25" s="44">
        <f>IF(AG25="7",I25,0)</f>
        <v>0</v>
      </c>
      <c r="V25" s="44">
        <f>IF(AG25="2",H25,0)</f>
        <v>0</v>
      </c>
      <c r="W25" s="44">
        <f>IF(AG25="2",I25,0)</f>
        <v>0</v>
      </c>
      <c r="X25" s="44">
        <f>IF(AG25="0",J25,0)</f>
        <v>0</v>
      </c>
      <c r="Y25" s="35" t="s">
        <v>91</v>
      </c>
      <c r="Z25" s="19">
        <f>IF(AD25=0,J25,0)</f>
        <v>0</v>
      </c>
      <c r="AA25" s="19">
        <f>IF(AD25=15,J25,0)</f>
        <v>0</v>
      </c>
      <c r="AB25" s="19">
        <f>IF(AD25=21,J25,0)</f>
        <v>0</v>
      </c>
      <c r="AD25" s="44">
        <v>21</v>
      </c>
      <c r="AE25" s="44">
        <f>G25*0.424</f>
        <v>0</v>
      </c>
      <c r="AF25" s="44">
        <f>G25*(1-0.424)</f>
        <v>0</v>
      </c>
      <c r="AG25" s="39" t="s">
        <v>7</v>
      </c>
      <c r="AM25" s="44">
        <f>F25*AE25</f>
        <v>0</v>
      </c>
      <c r="AN25" s="44">
        <f>F25*AF25</f>
        <v>0</v>
      </c>
      <c r="AO25" s="45" t="s">
        <v>356</v>
      </c>
      <c r="AP25" s="45" t="s">
        <v>376</v>
      </c>
      <c r="AQ25" s="35" t="s">
        <v>385</v>
      </c>
      <c r="AS25" s="44">
        <f>AM25+AN25</f>
        <v>0</v>
      </c>
      <c r="AT25" s="44">
        <f>G25/(100-AU25)*100</f>
        <v>0</v>
      </c>
      <c r="AU25" s="44">
        <v>0</v>
      </c>
      <c r="AV25" s="44">
        <f>L25</f>
        <v>1.82172</v>
      </c>
    </row>
    <row r="26" spans="1:48" x14ac:dyDescent="0.25">
      <c r="D26" s="17" t="s">
        <v>209</v>
      </c>
      <c r="G26" s="27"/>
    </row>
    <row r="27" spans="1:48" x14ac:dyDescent="0.25">
      <c r="A27" s="5" t="s">
        <v>14</v>
      </c>
      <c r="B27" s="5" t="s">
        <v>91</v>
      </c>
      <c r="C27" s="5" t="s">
        <v>102</v>
      </c>
      <c r="D27" s="5" t="s">
        <v>210</v>
      </c>
      <c r="E27" s="5" t="s">
        <v>319</v>
      </c>
      <c r="F27" s="19">
        <v>74.4816</v>
      </c>
      <c r="G27" s="26">
        <v>0</v>
      </c>
      <c r="H27" s="19">
        <f>F27*AE27</f>
        <v>0</v>
      </c>
      <c r="I27" s="19">
        <f>J27-H27</f>
        <v>0</v>
      </c>
      <c r="J27" s="19">
        <f>F27*G27</f>
        <v>0</v>
      </c>
      <c r="K27" s="19">
        <v>2.2000000000000001E-4</v>
      </c>
      <c r="L27" s="19">
        <f>F27*K27</f>
        <v>1.6385952000000002E-2</v>
      </c>
      <c r="M27" s="39" t="s">
        <v>342</v>
      </c>
      <c r="P27" s="44">
        <f>IF(AG27="5",J27,0)</f>
        <v>0</v>
      </c>
      <c r="R27" s="44">
        <f>IF(AG27="1",H27,0)</f>
        <v>0</v>
      </c>
      <c r="S27" s="44">
        <f>IF(AG27="1",I27,0)</f>
        <v>0</v>
      </c>
      <c r="T27" s="44">
        <f>IF(AG27="7",H27,0)</f>
        <v>0</v>
      </c>
      <c r="U27" s="44">
        <f>IF(AG27="7",I27,0)</f>
        <v>0</v>
      </c>
      <c r="V27" s="44">
        <f>IF(AG27="2",H27,0)</f>
        <v>0</v>
      </c>
      <c r="W27" s="44">
        <f>IF(AG27="2",I27,0)</f>
        <v>0</v>
      </c>
      <c r="X27" s="44">
        <f>IF(AG27="0",J27,0)</f>
        <v>0</v>
      </c>
      <c r="Y27" s="35" t="s">
        <v>91</v>
      </c>
      <c r="Z27" s="19">
        <f>IF(AD27=0,J27,0)</f>
        <v>0</v>
      </c>
      <c r="AA27" s="19">
        <f>IF(AD27=15,J27,0)</f>
        <v>0</v>
      </c>
      <c r="AB27" s="19">
        <f>IF(AD27=21,J27,0)</f>
        <v>0</v>
      </c>
      <c r="AD27" s="44">
        <v>21</v>
      </c>
      <c r="AE27" s="44">
        <f>G27*0.67820825008371</f>
        <v>0</v>
      </c>
      <c r="AF27" s="44">
        <f>G27*(1-0.67820825008371)</f>
        <v>0</v>
      </c>
      <c r="AG27" s="39" t="s">
        <v>7</v>
      </c>
      <c r="AM27" s="44">
        <f>F27*AE27</f>
        <v>0</v>
      </c>
      <c r="AN27" s="44">
        <f>F27*AF27</f>
        <v>0</v>
      </c>
      <c r="AO27" s="45" t="s">
        <v>356</v>
      </c>
      <c r="AP27" s="45" t="s">
        <v>376</v>
      </c>
      <c r="AQ27" s="35" t="s">
        <v>385</v>
      </c>
      <c r="AS27" s="44">
        <f>AM27+AN27</f>
        <v>0</v>
      </c>
      <c r="AT27" s="44">
        <f>G27/(100-AU27)*100</f>
        <v>0</v>
      </c>
      <c r="AU27" s="44">
        <v>0</v>
      </c>
      <c r="AV27" s="44">
        <f>L27</f>
        <v>1.6385952000000002E-2</v>
      </c>
    </row>
    <row r="28" spans="1:48" x14ac:dyDescent="0.25">
      <c r="A28" s="5" t="s">
        <v>15</v>
      </c>
      <c r="B28" s="5" t="s">
        <v>91</v>
      </c>
      <c r="C28" s="5" t="s">
        <v>103</v>
      </c>
      <c r="D28" s="5" t="s">
        <v>211</v>
      </c>
      <c r="E28" s="5" t="s">
        <v>319</v>
      </c>
      <c r="F28" s="19">
        <v>74.4816</v>
      </c>
      <c r="G28" s="26">
        <v>0</v>
      </c>
      <c r="H28" s="19">
        <f>F28*AE28</f>
        <v>0</v>
      </c>
      <c r="I28" s="19">
        <f>J28-H28</f>
        <v>0</v>
      </c>
      <c r="J28" s="19">
        <f>F28*G28</f>
        <v>0</v>
      </c>
      <c r="K28" s="19">
        <v>0</v>
      </c>
      <c r="L28" s="19">
        <f>F28*K28</f>
        <v>0</v>
      </c>
      <c r="M28" s="39" t="s">
        <v>342</v>
      </c>
      <c r="P28" s="44">
        <f>IF(AG28="5",J28,0)</f>
        <v>0</v>
      </c>
      <c r="R28" s="44">
        <f>IF(AG28="1",H28,0)</f>
        <v>0</v>
      </c>
      <c r="S28" s="44">
        <f>IF(AG28="1",I28,0)</f>
        <v>0</v>
      </c>
      <c r="T28" s="44">
        <f>IF(AG28="7",H28,0)</f>
        <v>0</v>
      </c>
      <c r="U28" s="44">
        <f>IF(AG28="7",I28,0)</f>
        <v>0</v>
      </c>
      <c r="V28" s="44">
        <f>IF(AG28="2",H28,0)</f>
        <v>0</v>
      </c>
      <c r="W28" s="44">
        <f>IF(AG28="2",I28,0)</f>
        <v>0</v>
      </c>
      <c r="X28" s="44">
        <f>IF(AG28="0",J28,0)</f>
        <v>0</v>
      </c>
      <c r="Y28" s="35" t="s">
        <v>91</v>
      </c>
      <c r="Z28" s="19">
        <f>IF(AD28=0,J28,0)</f>
        <v>0</v>
      </c>
      <c r="AA28" s="19">
        <f>IF(AD28=15,J28,0)</f>
        <v>0</v>
      </c>
      <c r="AB28" s="19">
        <f>IF(AD28=21,J28,0)</f>
        <v>0</v>
      </c>
      <c r="AD28" s="44">
        <v>21</v>
      </c>
      <c r="AE28" s="44">
        <f>G28*0</f>
        <v>0</v>
      </c>
      <c r="AF28" s="44">
        <f>G28*(1-0)</f>
        <v>0</v>
      </c>
      <c r="AG28" s="39" t="s">
        <v>7</v>
      </c>
      <c r="AM28" s="44">
        <f>F28*AE28</f>
        <v>0</v>
      </c>
      <c r="AN28" s="44">
        <f>F28*AF28</f>
        <v>0</v>
      </c>
      <c r="AO28" s="45" t="s">
        <v>356</v>
      </c>
      <c r="AP28" s="45" t="s">
        <v>376</v>
      </c>
      <c r="AQ28" s="35" t="s">
        <v>385</v>
      </c>
      <c r="AS28" s="44">
        <f>AM28+AN28</f>
        <v>0</v>
      </c>
      <c r="AT28" s="44">
        <f>G28/(100-AU28)*100</f>
        <v>0</v>
      </c>
      <c r="AU28" s="44">
        <v>0</v>
      </c>
      <c r="AV28" s="44">
        <f>L28</f>
        <v>0</v>
      </c>
    </row>
    <row r="29" spans="1:48" x14ac:dyDescent="0.25">
      <c r="A29" s="5" t="s">
        <v>16</v>
      </c>
      <c r="B29" s="5" t="s">
        <v>91</v>
      </c>
      <c r="C29" s="5" t="s">
        <v>104</v>
      </c>
      <c r="D29" s="5" t="s">
        <v>212</v>
      </c>
      <c r="E29" s="5" t="s">
        <v>319</v>
      </c>
      <c r="F29" s="19">
        <v>26.8</v>
      </c>
      <c r="G29" s="26">
        <v>0</v>
      </c>
      <c r="H29" s="19">
        <f>F29*AE29</f>
        <v>0</v>
      </c>
      <c r="I29" s="19">
        <f>J29-H29</f>
        <v>0</v>
      </c>
      <c r="J29" s="19">
        <f>F29*G29</f>
        <v>0</v>
      </c>
      <c r="K29" s="19">
        <v>1.038E-2</v>
      </c>
      <c r="L29" s="19">
        <f>F29*K29</f>
        <v>0.27818400000000004</v>
      </c>
      <c r="M29" s="39" t="s">
        <v>342</v>
      </c>
      <c r="P29" s="44">
        <f>IF(AG29="5",J29,0)</f>
        <v>0</v>
      </c>
      <c r="R29" s="44">
        <f>IF(AG29="1",H29,0)</f>
        <v>0</v>
      </c>
      <c r="S29" s="44">
        <f>IF(AG29="1",I29,0)</f>
        <v>0</v>
      </c>
      <c r="T29" s="44">
        <f>IF(AG29="7",H29,0)</f>
        <v>0</v>
      </c>
      <c r="U29" s="44">
        <f>IF(AG29="7",I29,0)</f>
        <v>0</v>
      </c>
      <c r="V29" s="44">
        <f>IF(AG29="2",H29,0)</f>
        <v>0</v>
      </c>
      <c r="W29" s="44">
        <f>IF(AG29="2",I29,0)</f>
        <v>0</v>
      </c>
      <c r="X29" s="44">
        <f>IF(AG29="0",J29,0)</f>
        <v>0</v>
      </c>
      <c r="Y29" s="35" t="s">
        <v>91</v>
      </c>
      <c r="Z29" s="19">
        <f>IF(AD29=0,J29,0)</f>
        <v>0</v>
      </c>
      <c r="AA29" s="19">
        <f>IF(AD29=15,J29,0)</f>
        <v>0</v>
      </c>
      <c r="AB29" s="19">
        <f>IF(AD29=21,J29,0)</f>
        <v>0</v>
      </c>
      <c r="AD29" s="44">
        <v>21</v>
      </c>
      <c r="AE29" s="44">
        <f>G29*0.23633128521766</f>
        <v>0</v>
      </c>
      <c r="AF29" s="44">
        <f>G29*(1-0.23633128521766)</f>
        <v>0</v>
      </c>
      <c r="AG29" s="39" t="s">
        <v>7</v>
      </c>
      <c r="AM29" s="44">
        <f>F29*AE29</f>
        <v>0</v>
      </c>
      <c r="AN29" s="44">
        <f>F29*AF29</f>
        <v>0</v>
      </c>
      <c r="AO29" s="45" t="s">
        <v>356</v>
      </c>
      <c r="AP29" s="45" t="s">
        <v>376</v>
      </c>
      <c r="AQ29" s="35" t="s">
        <v>385</v>
      </c>
      <c r="AS29" s="44">
        <f>AM29+AN29</f>
        <v>0</v>
      </c>
      <c r="AT29" s="44">
        <f>G29/(100-AU29)*100</f>
        <v>0</v>
      </c>
      <c r="AU29" s="44">
        <v>0</v>
      </c>
      <c r="AV29" s="44">
        <f>L29</f>
        <v>0.27818400000000004</v>
      </c>
    </row>
    <row r="30" spans="1:48" x14ac:dyDescent="0.25">
      <c r="D30" s="17" t="s">
        <v>209</v>
      </c>
      <c r="G30" s="27"/>
    </row>
    <row r="31" spans="1:48" x14ac:dyDescent="0.25">
      <c r="A31" s="4"/>
      <c r="B31" s="14" t="s">
        <v>91</v>
      </c>
      <c r="C31" s="14" t="s">
        <v>69</v>
      </c>
      <c r="D31" s="14" t="s">
        <v>213</v>
      </c>
      <c r="E31" s="4" t="s">
        <v>6</v>
      </c>
      <c r="F31" s="4" t="s">
        <v>6</v>
      </c>
      <c r="G31" s="25" t="s">
        <v>6</v>
      </c>
      <c r="H31" s="47">
        <f>SUM(H32:H34)</f>
        <v>0</v>
      </c>
      <c r="I31" s="47">
        <f>SUM(I32:I34)</f>
        <v>0</v>
      </c>
      <c r="J31" s="47">
        <f>H31+I31</f>
        <v>0</v>
      </c>
      <c r="K31" s="35"/>
      <c r="L31" s="47">
        <f>SUM(L32:L34)</f>
        <v>8.0925472000000003</v>
      </c>
      <c r="M31" s="35"/>
      <c r="Y31" s="35" t="s">
        <v>91</v>
      </c>
      <c r="AI31" s="47">
        <f>SUM(Z32:Z34)</f>
        <v>0</v>
      </c>
      <c r="AJ31" s="47">
        <f>SUM(AA32:AA34)</f>
        <v>0</v>
      </c>
      <c r="AK31" s="47">
        <f>SUM(AB32:AB34)</f>
        <v>0</v>
      </c>
    </row>
    <row r="32" spans="1:48" x14ac:dyDescent="0.25">
      <c r="A32" s="5" t="s">
        <v>17</v>
      </c>
      <c r="B32" s="5" t="s">
        <v>91</v>
      </c>
      <c r="C32" s="5" t="s">
        <v>105</v>
      </c>
      <c r="D32" s="5" t="s">
        <v>214</v>
      </c>
      <c r="E32" s="5" t="s">
        <v>320</v>
      </c>
      <c r="F32" s="19">
        <v>1.7887999999999999</v>
      </c>
      <c r="G32" s="26">
        <v>0</v>
      </c>
      <c r="H32" s="19">
        <f>F32*AE32</f>
        <v>0</v>
      </c>
      <c r="I32" s="19">
        <f>J32-H32</f>
        <v>0</v>
      </c>
      <c r="J32" s="19">
        <f>F32*G32</f>
        <v>0</v>
      </c>
      <c r="K32" s="19">
        <v>1.919</v>
      </c>
      <c r="L32" s="19">
        <f>F32*K32</f>
        <v>3.4327071999999998</v>
      </c>
      <c r="M32" s="39" t="s">
        <v>342</v>
      </c>
      <c r="P32" s="44">
        <f>IF(AG32="5",J32,0)</f>
        <v>0</v>
      </c>
      <c r="R32" s="44">
        <f>IF(AG32="1",H32,0)</f>
        <v>0</v>
      </c>
      <c r="S32" s="44">
        <f>IF(AG32="1",I32,0)</f>
        <v>0</v>
      </c>
      <c r="T32" s="44">
        <f>IF(AG32="7",H32,0)</f>
        <v>0</v>
      </c>
      <c r="U32" s="44">
        <f>IF(AG32="7",I32,0)</f>
        <v>0</v>
      </c>
      <c r="V32" s="44">
        <f>IF(AG32="2",H32,0)</f>
        <v>0</v>
      </c>
      <c r="W32" s="44">
        <f>IF(AG32="2",I32,0)</f>
        <v>0</v>
      </c>
      <c r="X32" s="44">
        <f>IF(AG32="0",J32,0)</f>
        <v>0</v>
      </c>
      <c r="Y32" s="35" t="s">
        <v>91</v>
      </c>
      <c r="Z32" s="19">
        <f>IF(AD32=0,J32,0)</f>
        <v>0</v>
      </c>
      <c r="AA32" s="19">
        <f>IF(AD32=15,J32,0)</f>
        <v>0</v>
      </c>
      <c r="AB32" s="19">
        <f>IF(AD32=21,J32,0)</f>
        <v>0</v>
      </c>
      <c r="AD32" s="44">
        <v>21</v>
      </c>
      <c r="AE32" s="44">
        <f>G32*0.797981027667984</f>
        <v>0</v>
      </c>
      <c r="AF32" s="44">
        <f>G32*(1-0.797981027667984)</f>
        <v>0</v>
      </c>
      <c r="AG32" s="39" t="s">
        <v>7</v>
      </c>
      <c r="AM32" s="44">
        <f>F32*AE32</f>
        <v>0</v>
      </c>
      <c r="AN32" s="44">
        <f>F32*AF32</f>
        <v>0</v>
      </c>
      <c r="AO32" s="45" t="s">
        <v>357</v>
      </c>
      <c r="AP32" s="45" t="s">
        <v>376</v>
      </c>
      <c r="AQ32" s="35" t="s">
        <v>385</v>
      </c>
      <c r="AS32" s="44">
        <f>AM32+AN32</f>
        <v>0</v>
      </c>
      <c r="AT32" s="44">
        <f>G32/(100-AU32)*100</f>
        <v>0</v>
      </c>
      <c r="AU32" s="44">
        <v>0</v>
      </c>
      <c r="AV32" s="44">
        <f>L32</f>
        <v>3.4327071999999998</v>
      </c>
    </row>
    <row r="33" spans="1:48" x14ac:dyDescent="0.25">
      <c r="D33" s="17" t="s">
        <v>215</v>
      </c>
      <c r="G33" s="27"/>
    </row>
    <row r="34" spans="1:48" x14ac:dyDescent="0.25">
      <c r="A34" s="5" t="s">
        <v>18</v>
      </c>
      <c r="B34" s="5" t="s">
        <v>91</v>
      </c>
      <c r="C34" s="5" t="s">
        <v>106</v>
      </c>
      <c r="D34" s="5" t="s">
        <v>216</v>
      </c>
      <c r="E34" s="5" t="s">
        <v>320</v>
      </c>
      <c r="F34" s="19">
        <v>3.8832</v>
      </c>
      <c r="G34" s="26">
        <v>0</v>
      </c>
      <c r="H34" s="19">
        <f>F34*AE34</f>
        <v>0</v>
      </c>
      <c r="I34" s="19">
        <f>J34-H34</f>
        <v>0</v>
      </c>
      <c r="J34" s="19">
        <f>F34*G34</f>
        <v>0</v>
      </c>
      <c r="K34" s="19">
        <v>1.2</v>
      </c>
      <c r="L34" s="19">
        <f>F34*K34</f>
        <v>4.65984</v>
      </c>
      <c r="M34" s="39" t="s">
        <v>342</v>
      </c>
      <c r="P34" s="44">
        <f>IF(AG34="5",J34,0)</f>
        <v>0</v>
      </c>
      <c r="R34" s="44">
        <f>IF(AG34="1",H34,0)</f>
        <v>0</v>
      </c>
      <c r="S34" s="44">
        <f>IF(AG34="1",I34,0)</f>
        <v>0</v>
      </c>
      <c r="T34" s="44">
        <f>IF(AG34="7",H34,0)</f>
        <v>0</v>
      </c>
      <c r="U34" s="44">
        <f>IF(AG34="7",I34,0)</f>
        <v>0</v>
      </c>
      <c r="V34" s="44">
        <f>IF(AG34="2",H34,0)</f>
        <v>0</v>
      </c>
      <c r="W34" s="44">
        <f>IF(AG34="2",I34,0)</f>
        <v>0</v>
      </c>
      <c r="X34" s="44">
        <f>IF(AG34="0",J34,0)</f>
        <v>0</v>
      </c>
      <c r="Y34" s="35" t="s">
        <v>91</v>
      </c>
      <c r="Z34" s="19">
        <f>IF(AD34=0,J34,0)</f>
        <v>0</v>
      </c>
      <c r="AA34" s="19">
        <f>IF(AD34=15,J34,0)</f>
        <v>0</v>
      </c>
      <c r="AB34" s="19">
        <f>IF(AD34=21,J34,0)</f>
        <v>0</v>
      </c>
      <c r="AD34" s="44">
        <v>21</v>
      </c>
      <c r="AE34" s="44">
        <f>G34*0.393398024451119</f>
        <v>0</v>
      </c>
      <c r="AF34" s="44">
        <f>G34*(1-0.393398024451119)</f>
        <v>0</v>
      </c>
      <c r="AG34" s="39" t="s">
        <v>7</v>
      </c>
      <c r="AM34" s="44">
        <f>F34*AE34</f>
        <v>0</v>
      </c>
      <c r="AN34" s="44">
        <f>F34*AF34</f>
        <v>0</v>
      </c>
      <c r="AO34" s="45" t="s">
        <v>357</v>
      </c>
      <c r="AP34" s="45" t="s">
        <v>376</v>
      </c>
      <c r="AQ34" s="35" t="s">
        <v>385</v>
      </c>
      <c r="AS34" s="44">
        <f>AM34+AN34</f>
        <v>0</v>
      </c>
      <c r="AT34" s="44">
        <f>G34/(100-AU34)*100</f>
        <v>0</v>
      </c>
      <c r="AU34" s="44">
        <v>0</v>
      </c>
      <c r="AV34" s="44">
        <f>L34</f>
        <v>4.65984</v>
      </c>
    </row>
    <row r="35" spans="1:48" x14ac:dyDescent="0.25">
      <c r="A35" s="4"/>
      <c r="B35" s="14" t="s">
        <v>91</v>
      </c>
      <c r="C35" s="14" t="s">
        <v>70</v>
      </c>
      <c r="D35" s="14" t="s">
        <v>217</v>
      </c>
      <c r="E35" s="4" t="s">
        <v>6</v>
      </c>
      <c r="F35" s="4" t="s">
        <v>6</v>
      </c>
      <c r="G35" s="25" t="s">
        <v>6</v>
      </c>
      <c r="H35" s="47">
        <f>SUM(H36:H38)</f>
        <v>0</v>
      </c>
      <c r="I35" s="47">
        <f>SUM(I36:I38)</f>
        <v>0</v>
      </c>
      <c r="J35" s="47">
        <f>H35+I35</f>
        <v>0</v>
      </c>
      <c r="K35" s="35"/>
      <c r="L35" s="47">
        <f>SUM(L36:L38)</f>
        <v>0.19608999999999999</v>
      </c>
      <c r="M35" s="35"/>
      <c r="Y35" s="35" t="s">
        <v>91</v>
      </c>
      <c r="AI35" s="47">
        <f>SUM(Z36:Z38)</f>
        <v>0</v>
      </c>
      <c r="AJ35" s="47">
        <f>SUM(AA36:AA38)</f>
        <v>0</v>
      </c>
      <c r="AK35" s="47">
        <f>SUM(AB36:AB38)</f>
        <v>0</v>
      </c>
    </row>
    <row r="36" spans="1:48" x14ac:dyDescent="0.25">
      <c r="A36" s="5" t="s">
        <v>19</v>
      </c>
      <c r="B36" s="5" t="s">
        <v>91</v>
      </c>
      <c r="C36" s="5" t="s">
        <v>107</v>
      </c>
      <c r="D36" s="5" t="s">
        <v>218</v>
      </c>
      <c r="E36" s="5" t="s">
        <v>318</v>
      </c>
      <c r="F36" s="19">
        <v>1</v>
      </c>
      <c r="G36" s="26">
        <v>0</v>
      </c>
      <c r="H36" s="19">
        <f>F36*AE36</f>
        <v>0</v>
      </c>
      <c r="I36" s="19">
        <f>J36-H36</f>
        <v>0</v>
      </c>
      <c r="J36" s="19">
        <f>F36*G36</f>
        <v>0</v>
      </c>
      <c r="K36" s="19">
        <v>6.8070000000000006E-2</v>
      </c>
      <c r="L36" s="19">
        <f>F36*K36</f>
        <v>6.8070000000000006E-2</v>
      </c>
      <c r="M36" s="39" t="s">
        <v>342</v>
      </c>
      <c r="P36" s="44">
        <f>IF(AG36="5",J36,0)</f>
        <v>0</v>
      </c>
      <c r="R36" s="44">
        <f>IF(AG36="1",H36,0)</f>
        <v>0</v>
      </c>
      <c r="S36" s="44">
        <f>IF(AG36="1",I36,0)</f>
        <v>0</v>
      </c>
      <c r="T36" s="44">
        <f>IF(AG36="7",H36,0)</f>
        <v>0</v>
      </c>
      <c r="U36" s="44">
        <f>IF(AG36="7",I36,0)</f>
        <v>0</v>
      </c>
      <c r="V36" s="44">
        <f>IF(AG36="2",H36,0)</f>
        <v>0</v>
      </c>
      <c r="W36" s="44">
        <f>IF(AG36="2",I36,0)</f>
        <v>0</v>
      </c>
      <c r="X36" s="44">
        <f>IF(AG36="0",J36,0)</f>
        <v>0</v>
      </c>
      <c r="Y36" s="35" t="s">
        <v>91</v>
      </c>
      <c r="Z36" s="19">
        <f>IF(AD36=0,J36,0)</f>
        <v>0</v>
      </c>
      <c r="AA36" s="19">
        <f>IF(AD36=15,J36,0)</f>
        <v>0</v>
      </c>
      <c r="AB36" s="19">
        <f>IF(AD36=21,J36,0)</f>
        <v>0</v>
      </c>
      <c r="AD36" s="44">
        <v>21</v>
      </c>
      <c r="AE36" s="44">
        <f>G36*0.549641499185225</f>
        <v>0</v>
      </c>
      <c r="AF36" s="44">
        <f>G36*(1-0.549641499185225)</f>
        <v>0</v>
      </c>
      <c r="AG36" s="39" t="s">
        <v>7</v>
      </c>
      <c r="AM36" s="44">
        <f>F36*AE36</f>
        <v>0</v>
      </c>
      <c r="AN36" s="44">
        <f>F36*AF36</f>
        <v>0</v>
      </c>
      <c r="AO36" s="45" t="s">
        <v>358</v>
      </c>
      <c r="AP36" s="45" t="s">
        <v>376</v>
      </c>
      <c r="AQ36" s="35" t="s">
        <v>385</v>
      </c>
      <c r="AS36" s="44">
        <f>AM36+AN36</f>
        <v>0</v>
      </c>
      <c r="AT36" s="44">
        <f>G36/(100-AU36)*100</f>
        <v>0</v>
      </c>
      <c r="AU36" s="44">
        <v>0</v>
      </c>
      <c r="AV36" s="44">
        <f>L36</f>
        <v>6.8070000000000006E-2</v>
      </c>
    </row>
    <row r="37" spans="1:48" x14ac:dyDescent="0.25">
      <c r="D37" s="17" t="s">
        <v>219</v>
      </c>
      <c r="G37" s="27"/>
    </row>
    <row r="38" spans="1:48" x14ac:dyDescent="0.25">
      <c r="A38" s="5" t="s">
        <v>20</v>
      </c>
      <c r="B38" s="5" t="s">
        <v>91</v>
      </c>
      <c r="C38" s="5" t="s">
        <v>108</v>
      </c>
      <c r="D38" s="5" t="s">
        <v>218</v>
      </c>
      <c r="E38" s="5" t="s">
        <v>318</v>
      </c>
      <c r="F38" s="19">
        <v>2</v>
      </c>
      <c r="G38" s="26">
        <v>0</v>
      </c>
      <c r="H38" s="19">
        <f>F38*AE38</f>
        <v>0</v>
      </c>
      <c r="I38" s="19">
        <f>J38-H38</f>
        <v>0</v>
      </c>
      <c r="J38" s="19">
        <f>F38*G38</f>
        <v>0</v>
      </c>
      <c r="K38" s="19">
        <v>6.4009999999999997E-2</v>
      </c>
      <c r="L38" s="19">
        <f>F38*K38</f>
        <v>0.12801999999999999</v>
      </c>
      <c r="M38" s="39" t="s">
        <v>342</v>
      </c>
      <c r="P38" s="44">
        <f>IF(AG38="5",J38,0)</f>
        <v>0</v>
      </c>
      <c r="R38" s="44">
        <f>IF(AG38="1",H38,0)</f>
        <v>0</v>
      </c>
      <c r="S38" s="44">
        <f>IF(AG38="1",I38,0)</f>
        <v>0</v>
      </c>
      <c r="T38" s="44">
        <f>IF(AG38="7",H38,0)</f>
        <v>0</v>
      </c>
      <c r="U38" s="44">
        <f>IF(AG38="7",I38,0)</f>
        <v>0</v>
      </c>
      <c r="V38" s="44">
        <f>IF(AG38="2",H38,0)</f>
        <v>0</v>
      </c>
      <c r="W38" s="44">
        <f>IF(AG38="2",I38,0)</f>
        <v>0</v>
      </c>
      <c r="X38" s="44">
        <f>IF(AG38="0",J38,0)</f>
        <v>0</v>
      </c>
      <c r="Y38" s="35" t="s">
        <v>91</v>
      </c>
      <c r="Z38" s="19">
        <f>IF(AD38=0,J38,0)</f>
        <v>0</v>
      </c>
      <c r="AA38" s="19">
        <f>IF(AD38=15,J38,0)</f>
        <v>0</v>
      </c>
      <c r="AB38" s="19">
        <f>IF(AD38=21,J38,0)</f>
        <v>0</v>
      </c>
      <c r="AD38" s="44">
        <v>21</v>
      </c>
      <c r="AE38" s="44">
        <f>G38*0.554720730397422</f>
        <v>0</v>
      </c>
      <c r="AF38" s="44">
        <f>G38*(1-0.554720730397422)</f>
        <v>0</v>
      </c>
      <c r="AG38" s="39" t="s">
        <v>7</v>
      </c>
      <c r="AM38" s="44">
        <f>F38*AE38</f>
        <v>0</v>
      </c>
      <c r="AN38" s="44">
        <f>F38*AF38</f>
        <v>0</v>
      </c>
      <c r="AO38" s="45" t="s">
        <v>358</v>
      </c>
      <c r="AP38" s="45" t="s">
        <v>376</v>
      </c>
      <c r="AQ38" s="35" t="s">
        <v>385</v>
      </c>
      <c r="AS38" s="44">
        <f>AM38+AN38</f>
        <v>0</v>
      </c>
      <c r="AT38" s="44">
        <f>G38/(100-AU38)*100</f>
        <v>0</v>
      </c>
      <c r="AU38" s="44">
        <v>0</v>
      </c>
      <c r="AV38" s="44">
        <f>L38</f>
        <v>0.12801999999999999</v>
      </c>
    </row>
    <row r="39" spans="1:48" x14ac:dyDescent="0.25">
      <c r="D39" s="17" t="s">
        <v>220</v>
      </c>
      <c r="G39" s="27"/>
    </row>
    <row r="40" spans="1:48" x14ac:dyDescent="0.25">
      <c r="A40" s="4"/>
      <c r="B40" s="14" t="s">
        <v>91</v>
      </c>
      <c r="C40" s="14" t="s">
        <v>109</v>
      </c>
      <c r="D40" s="14" t="s">
        <v>221</v>
      </c>
      <c r="E40" s="4" t="s">
        <v>6</v>
      </c>
      <c r="F40" s="4" t="s">
        <v>6</v>
      </c>
      <c r="G40" s="25" t="s">
        <v>6</v>
      </c>
      <c r="H40" s="47">
        <f>SUM(H41:H45)</f>
        <v>0</v>
      </c>
      <c r="I40" s="47">
        <f>SUM(I41:I45)</f>
        <v>0</v>
      </c>
      <c r="J40" s="47">
        <f>H40+I40</f>
        <v>0</v>
      </c>
      <c r="K40" s="35"/>
      <c r="L40" s="47">
        <f>SUM(L41:L45)</f>
        <v>5.2948480000000006E-2</v>
      </c>
      <c r="M40" s="35"/>
      <c r="Y40" s="35" t="s">
        <v>91</v>
      </c>
      <c r="AI40" s="47">
        <f>SUM(Z41:Z45)</f>
        <v>0</v>
      </c>
      <c r="AJ40" s="47">
        <f>SUM(AA41:AA45)</f>
        <v>0</v>
      </c>
      <c r="AK40" s="47">
        <f>SUM(AB41:AB45)</f>
        <v>0</v>
      </c>
    </row>
    <row r="41" spans="1:48" x14ac:dyDescent="0.25">
      <c r="A41" s="5" t="s">
        <v>21</v>
      </c>
      <c r="B41" s="5" t="s">
        <v>91</v>
      </c>
      <c r="C41" s="5" t="s">
        <v>110</v>
      </c>
      <c r="D41" s="5" t="s">
        <v>222</v>
      </c>
      <c r="E41" s="5" t="s">
        <v>319</v>
      </c>
      <c r="F41" s="19">
        <v>8.9440000000000008</v>
      </c>
      <c r="G41" s="26">
        <v>0</v>
      </c>
      <c r="H41" s="19">
        <f>F41*AE41</f>
        <v>0</v>
      </c>
      <c r="I41" s="19">
        <f>J41-H41</f>
        <v>0</v>
      </c>
      <c r="J41" s="19">
        <f>F41*G41</f>
        <v>0</v>
      </c>
      <c r="K41" s="19">
        <v>5.5900000000000004E-3</v>
      </c>
      <c r="L41" s="19">
        <f>F41*K41</f>
        <v>4.9996960000000007E-2</v>
      </c>
      <c r="M41" s="39" t="s">
        <v>342</v>
      </c>
      <c r="P41" s="44">
        <f>IF(AG41="5",J41,0)</f>
        <v>0</v>
      </c>
      <c r="R41" s="44">
        <f>IF(AG41="1",H41,0)</f>
        <v>0</v>
      </c>
      <c r="S41" s="44">
        <f>IF(AG41="1",I41,0)</f>
        <v>0</v>
      </c>
      <c r="T41" s="44">
        <f>IF(AG41="7",H41,0)</f>
        <v>0</v>
      </c>
      <c r="U41" s="44">
        <f>IF(AG41="7",I41,0)</f>
        <v>0</v>
      </c>
      <c r="V41" s="44">
        <f>IF(AG41="2",H41,0)</f>
        <v>0</v>
      </c>
      <c r="W41" s="44">
        <f>IF(AG41="2",I41,0)</f>
        <v>0</v>
      </c>
      <c r="X41" s="44">
        <f>IF(AG41="0",J41,0)</f>
        <v>0</v>
      </c>
      <c r="Y41" s="35" t="s">
        <v>91</v>
      </c>
      <c r="Z41" s="19">
        <f>IF(AD41=0,J41,0)</f>
        <v>0</v>
      </c>
      <c r="AA41" s="19">
        <f>IF(AD41=15,J41,0)</f>
        <v>0</v>
      </c>
      <c r="AB41" s="19">
        <f>IF(AD41=21,J41,0)</f>
        <v>0</v>
      </c>
      <c r="AD41" s="44">
        <v>21</v>
      </c>
      <c r="AE41" s="44">
        <f>G41*0.671224616295225</f>
        <v>0</v>
      </c>
      <c r="AF41" s="44">
        <f>G41*(1-0.671224616295225)</f>
        <v>0</v>
      </c>
      <c r="AG41" s="39" t="s">
        <v>13</v>
      </c>
      <c r="AM41" s="44">
        <f>F41*AE41</f>
        <v>0</v>
      </c>
      <c r="AN41" s="44">
        <f>F41*AF41</f>
        <v>0</v>
      </c>
      <c r="AO41" s="45" t="s">
        <v>359</v>
      </c>
      <c r="AP41" s="45" t="s">
        <v>377</v>
      </c>
      <c r="AQ41" s="35" t="s">
        <v>385</v>
      </c>
      <c r="AS41" s="44">
        <f>AM41+AN41</f>
        <v>0</v>
      </c>
      <c r="AT41" s="44">
        <f>G41/(100-AU41)*100</f>
        <v>0</v>
      </c>
      <c r="AU41" s="44">
        <v>0</v>
      </c>
      <c r="AV41" s="44">
        <f>L41</f>
        <v>4.9996960000000007E-2</v>
      </c>
    </row>
    <row r="42" spans="1:48" x14ac:dyDescent="0.25">
      <c r="D42" s="17" t="s">
        <v>223</v>
      </c>
      <c r="G42" s="27"/>
    </row>
    <row r="43" spans="1:48" x14ac:dyDescent="0.25">
      <c r="A43" s="5" t="s">
        <v>22</v>
      </c>
      <c r="B43" s="5" t="s">
        <v>91</v>
      </c>
      <c r="C43" s="5" t="s">
        <v>111</v>
      </c>
      <c r="D43" s="5" t="s">
        <v>224</v>
      </c>
      <c r="E43" s="5" t="s">
        <v>319</v>
      </c>
      <c r="F43" s="19">
        <v>8.9440000000000008</v>
      </c>
      <c r="G43" s="26">
        <v>0</v>
      </c>
      <c r="H43" s="19">
        <f>F43*AE43</f>
        <v>0</v>
      </c>
      <c r="I43" s="19">
        <f>J43-H43</f>
        <v>0</v>
      </c>
      <c r="J43" s="19">
        <f>F43*G43</f>
        <v>0</v>
      </c>
      <c r="K43" s="19">
        <v>3.3E-4</v>
      </c>
      <c r="L43" s="19">
        <f>F43*K43</f>
        <v>2.9515200000000004E-3</v>
      </c>
      <c r="M43" s="39" t="s">
        <v>342</v>
      </c>
      <c r="P43" s="44">
        <f>IF(AG43="5",J43,0)</f>
        <v>0</v>
      </c>
      <c r="R43" s="44">
        <f>IF(AG43="1",H43,0)</f>
        <v>0</v>
      </c>
      <c r="S43" s="44">
        <f>IF(AG43="1",I43,0)</f>
        <v>0</v>
      </c>
      <c r="T43" s="44">
        <f>IF(AG43="7",H43,0)</f>
        <v>0</v>
      </c>
      <c r="U43" s="44">
        <f>IF(AG43="7",I43,0)</f>
        <v>0</v>
      </c>
      <c r="V43" s="44">
        <f>IF(AG43="2",H43,0)</f>
        <v>0</v>
      </c>
      <c r="W43" s="44">
        <f>IF(AG43="2",I43,0)</f>
        <v>0</v>
      </c>
      <c r="X43" s="44">
        <f>IF(AG43="0",J43,0)</f>
        <v>0</v>
      </c>
      <c r="Y43" s="35" t="s">
        <v>91</v>
      </c>
      <c r="Z43" s="19">
        <f>IF(AD43=0,J43,0)</f>
        <v>0</v>
      </c>
      <c r="AA43" s="19">
        <f>IF(AD43=15,J43,0)</f>
        <v>0</v>
      </c>
      <c r="AB43" s="19">
        <f>IF(AD43=21,J43,0)</f>
        <v>0</v>
      </c>
      <c r="AD43" s="44">
        <v>21</v>
      </c>
      <c r="AE43" s="44">
        <f>G43*0.559668721818349</f>
        <v>0</v>
      </c>
      <c r="AF43" s="44">
        <f>G43*(1-0.559668721818349)</f>
        <v>0</v>
      </c>
      <c r="AG43" s="39" t="s">
        <v>13</v>
      </c>
      <c r="AM43" s="44">
        <f>F43*AE43</f>
        <v>0</v>
      </c>
      <c r="AN43" s="44">
        <f>F43*AF43</f>
        <v>0</v>
      </c>
      <c r="AO43" s="45" t="s">
        <v>359</v>
      </c>
      <c r="AP43" s="45" t="s">
        <v>377</v>
      </c>
      <c r="AQ43" s="35" t="s">
        <v>385</v>
      </c>
      <c r="AS43" s="44">
        <f>AM43+AN43</f>
        <v>0</v>
      </c>
      <c r="AT43" s="44">
        <f>G43/(100-AU43)*100</f>
        <v>0</v>
      </c>
      <c r="AU43" s="44">
        <v>0</v>
      </c>
      <c r="AV43" s="44">
        <f>L43</f>
        <v>2.9515200000000004E-3</v>
      </c>
    </row>
    <row r="44" spans="1:48" x14ac:dyDescent="0.25">
      <c r="D44" s="17" t="s">
        <v>225</v>
      </c>
      <c r="G44" s="27"/>
    </row>
    <row r="45" spans="1:48" x14ac:dyDescent="0.25">
      <c r="A45" s="5" t="s">
        <v>23</v>
      </c>
      <c r="B45" s="5" t="s">
        <v>91</v>
      </c>
      <c r="C45" s="5" t="s">
        <v>112</v>
      </c>
      <c r="D45" s="5" t="s">
        <v>226</v>
      </c>
      <c r="E45" s="5" t="s">
        <v>321</v>
      </c>
      <c r="F45" s="19">
        <v>5.2999999999999999E-2</v>
      </c>
      <c r="G45" s="26">
        <v>0</v>
      </c>
      <c r="H45" s="19">
        <f>F45*AE45</f>
        <v>0</v>
      </c>
      <c r="I45" s="19">
        <f>J45-H45</f>
        <v>0</v>
      </c>
      <c r="J45" s="19">
        <f>F45*G45</f>
        <v>0</v>
      </c>
      <c r="K45" s="19">
        <v>0</v>
      </c>
      <c r="L45" s="19">
        <f>F45*K45</f>
        <v>0</v>
      </c>
      <c r="M45" s="39" t="s">
        <v>342</v>
      </c>
      <c r="P45" s="44">
        <f>IF(AG45="5",J45,0)</f>
        <v>0</v>
      </c>
      <c r="R45" s="44">
        <f>IF(AG45="1",H45,0)</f>
        <v>0</v>
      </c>
      <c r="S45" s="44">
        <f>IF(AG45="1",I45,0)</f>
        <v>0</v>
      </c>
      <c r="T45" s="44">
        <f>IF(AG45="7",H45,0)</f>
        <v>0</v>
      </c>
      <c r="U45" s="44">
        <f>IF(AG45="7",I45,0)</f>
        <v>0</v>
      </c>
      <c r="V45" s="44">
        <f>IF(AG45="2",H45,0)</f>
        <v>0</v>
      </c>
      <c r="W45" s="44">
        <f>IF(AG45="2",I45,0)</f>
        <v>0</v>
      </c>
      <c r="X45" s="44">
        <f>IF(AG45="0",J45,0)</f>
        <v>0</v>
      </c>
      <c r="Y45" s="35" t="s">
        <v>91</v>
      </c>
      <c r="Z45" s="19">
        <f>IF(AD45=0,J45,0)</f>
        <v>0</v>
      </c>
      <c r="AA45" s="19">
        <f>IF(AD45=15,J45,0)</f>
        <v>0</v>
      </c>
      <c r="AB45" s="19">
        <f>IF(AD45=21,J45,0)</f>
        <v>0</v>
      </c>
      <c r="AD45" s="44">
        <v>21</v>
      </c>
      <c r="AE45" s="44">
        <f>G45*0</f>
        <v>0</v>
      </c>
      <c r="AF45" s="44">
        <f>G45*(1-0)</f>
        <v>0</v>
      </c>
      <c r="AG45" s="39" t="s">
        <v>11</v>
      </c>
      <c r="AM45" s="44">
        <f>F45*AE45</f>
        <v>0</v>
      </c>
      <c r="AN45" s="44">
        <f>F45*AF45</f>
        <v>0</v>
      </c>
      <c r="AO45" s="45" t="s">
        <v>359</v>
      </c>
      <c r="AP45" s="45" t="s">
        <v>377</v>
      </c>
      <c r="AQ45" s="35" t="s">
        <v>385</v>
      </c>
      <c r="AS45" s="44">
        <f>AM45+AN45</f>
        <v>0</v>
      </c>
      <c r="AT45" s="44">
        <f>G45/(100-AU45)*100</f>
        <v>0</v>
      </c>
      <c r="AU45" s="44">
        <v>0</v>
      </c>
      <c r="AV45" s="44">
        <f>L45</f>
        <v>0</v>
      </c>
    </row>
    <row r="46" spans="1:48" x14ac:dyDescent="0.25">
      <c r="A46" s="4"/>
      <c r="B46" s="14" t="s">
        <v>91</v>
      </c>
      <c r="C46" s="14" t="s">
        <v>113</v>
      </c>
      <c r="D46" s="14" t="s">
        <v>227</v>
      </c>
      <c r="E46" s="4" t="s">
        <v>6</v>
      </c>
      <c r="F46" s="4" t="s">
        <v>6</v>
      </c>
      <c r="G46" s="25" t="s">
        <v>6</v>
      </c>
      <c r="H46" s="47">
        <f>SUM(H47:H66)</f>
        <v>0</v>
      </c>
      <c r="I46" s="47">
        <f>SUM(I47:I66)</f>
        <v>0</v>
      </c>
      <c r="J46" s="47">
        <f>H46+I46</f>
        <v>0</v>
      </c>
      <c r="K46" s="35"/>
      <c r="L46" s="47">
        <f>SUM(L47:L66)</f>
        <v>0.21842000000000003</v>
      </c>
      <c r="M46" s="35"/>
      <c r="Y46" s="35" t="s">
        <v>91</v>
      </c>
      <c r="AI46" s="47">
        <f>SUM(Z47:Z66)</f>
        <v>0</v>
      </c>
      <c r="AJ46" s="47">
        <f>SUM(AA47:AA66)</f>
        <v>0</v>
      </c>
      <c r="AK46" s="47">
        <f>SUM(AB47:AB66)</f>
        <v>0</v>
      </c>
    </row>
    <row r="47" spans="1:48" x14ac:dyDescent="0.25">
      <c r="A47" s="5" t="s">
        <v>24</v>
      </c>
      <c r="B47" s="5" t="s">
        <v>91</v>
      </c>
      <c r="C47" s="5" t="s">
        <v>114</v>
      </c>
      <c r="D47" s="5" t="s">
        <v>228</v>
      </c>
      <c r="E47" s="5" t="s">
        <v>318</v>
      </c>
      <c r="F47" s="19">
        <v>4</v>
      </c>
      <c r="G47" s="26">
        <v>0</v>
      </c>
      <c r="H47" s="19">
        <f t="shared" ref="H47:H53" si="0">F47*AE47</f>
        <v>0</v>
      </c>
      <c r="I47" s="19">
        <f t="shared" ref="I47:I53" si="1">J47-H47</f>
        <v>0</v>
      </c>
      <c r="J47" s="19">
        <f t="shared" ref="J47:J53" si="2">F47*G47</f>
        <v>0</v>
      </c>
      <c r="K47" s="19">
        <v>0</v>
      </c>
      <c r="L47" s="19">
        <f t="shared" ref="L47:L53" si="3">F47*K47</f>
        <v>0</v>
      </c>
      <c r="M47" s="39" t="s">
        <v>342</v>
      </c>
      <c r="P47" s="44">
        <f t="shared" ref="P47:P53" si="4">IF(AG47="5",J47,0)</f>
        <v>0</v>
      </c>
      <c r="R47" s="44">
        <f t="shared" ref="R47:R53" si="5">IF(AG47="1",H47,0)</f>
        <v>0</v>
      </c>
      <c r="S47" s="44">
        <f t="shared" ref="S47:S53" si="6">IF(AG47="1",I47,0)</f>
        <v>0</v>
      </c>
      <c r="T47" s="44">
        <f t="shared" ref="T47:T53" si="7">IF(AG47="7",H47,0)</f>
        <v>0</v>
      </c>
      <c r="U47" s="44">
        <f t="shared" ref="U47:U53" si="8">IF(AG47="7",I47,0)</f>
        <v>0</v>
      </c>
      <c r="V47" s="44">
        <f t="shared" ref="V47:V53" si="9">IF(AG47="2",H47,0)</f>
        <v>0</v>
      </c>
      <c r="W47" s="44">
        <f t="shared" ref="W47:W53" si="10">IF(AG47="2",I47,0)</f>
        <v>0</v>
      </c>
      <c r="X47" s="44">
        <f t="shared" ref="X47:X53" si="11">IF(AG47="0",J47,0)</f>
        <v>0</v>
      </c>
      <c r="Y47" s="35" t="s">
        <v>91</v>
      </c>
      <c r="Z47" s="19">
        <f t="shared" ref="Z47:Z53" si="12">IF(AD47=0,J47,0)</f>
        <v>0</v>
      </c>
      <c r="AA47" s="19">
        <f t="shared" ref="AA47:AA53" si="13">IF(AD47=15,J47,0)</f>
        <v>0</v>
      </c>
      <c r="AB47" s="19">
        <f t="shared" ref="AB47:AB53" si="14">IF(AD47=21,J47,0)</f>
        <v>0</v>
      </c>
      <c r="AD47" s="44">
        <v>21</v>
      </c>
      <c r="AE47" s="44">
        <f>G47*0</f>
        <v>0</v>
      </c>
      <c r="AF47" s="44">
        <f>G47*(1-0)</f>
        <v>0</v>
      </c>
      <c r="AG47" s="39" t="s">
        <v>13</v>
      </c>
      <c r="AM47" s="44">
        <f t="shared" ref="AM47:AM53" si="15">F47*AE47</f>
        <v>0</v>
      </c>
      <c r="AN47" s="44">
        <f t="shared" ref="AN47:AN53" si="16">F47*AF47</f>
        <v>0</v>
      </c>
      <c r="AO47" s="45" t="s">
        <v>360</v>
      </c>
      <c r="AP47" s="45" t="s">
        <v>378</v>
      </c>
      <c r="AQ47" s="35" t="s">
        <v>385</v>
      </c>
      <c r="AS47" s="44">
        <f t="shared" ref="AS47:AS53" si="17">AM47+AN47</f>
        <v>0</v>
      </c>
      <c r="AT47" s="44">
        <f t="shared" ref="AT47:AT53" si="18">G47/(100-AU47)*100</f>
        <v>0</v>
      </c>
      <c r="AU47" s="44">
        <v>0</v>
      </c>
      <c r="AV47" s="44">
        <f t="shared" ref="AV47:AV53" si="19">L47</f>
        <v>0</v>
      </c>
    </row>
    <row r="48" spans="1:48" x14ac:dyDescent="0.25">
      <c r="A48" s="5" t="s">
        <v>25</v>
      </c>
      <c r="B48" s="5" t="s">
        <v>91</v>
      </c>
      <c r="C48" s="5" t="s">
        <v>115</v>
      </c>
      <c r="D48" s="5" t="s">
        <v>229</v>
      </c>
      <c r="E48" s="5" t="s">
        <v>318</v>
      </c>
      <c r="F48" s="19">
        <v>2</v>
      </c>
      <c r="G48" s="26">
        <v>0</v>
      </c>
      <c r="H48" s="19">
        <f t="shared" si="0"/>
        <v>0</v>
      </c>
      <c r="I48" s="19">
        <f t="shared" si="1"/>
        <v>0</v>
      </c>
      <c r="J48" s="19">
        <f t="shared" si="2"/>
        <v>0</v>
      </c>
      <c r="K48" s="19">
        <v>0</v>
      </c>
      <c r="L48" s="19">
        <f t="shared" si="3"/>
        <v>0</v>
      </c>
      <c r="M48" s="39" t="s">
        <v>342</v>
      </c>
      <c r="P48" s="44">
        <f t="shared" si="4"/>
        <v>0</v>
      </c>
      <c r="R48" s="44">
        <f t="shared" si="5"/>
        <v>0</v>
      </c>
      <c r="S48" s="44">
        <f t="shared" si="6"/>
        <v>0</v>
      </c>
      <c r="T48" s="44">
        <f t="shared" si="7"/>
        <v>0</v>
      </c>
      <c r="U48" s="44">
        <f t="shared" si="8"/>
        <v>0</v>
      </c>
      <c r="V48" s="44">
        <f t="shared" si="9"/>
        <v>0</v>
      </c>
      <c r="W48" s="44">
        <f t="shared" si="10"/>
        <v>0</v>
      </c>
      <c r="X48" s="44">
        <f t="shared" si="11"/>
        <v>0</v>
      </c>
      <c r="Y48" s="35" t="s">
        <v>91</v>
      </c>
      <c r="Z48" s="19">
        <f t="shared" si="12"/>
        <v>0</v>
      </c>
      <c r="AA48" s="19">
        <f t="shared" si="13"/>
        <v>0</v>
      </c>
      <c r="AB48" s="19">
        <f t="shared" si="14"/>
        <v>0</v>
      </c>
      <c r="AD48" s="44">
        <v>21</v>
      </c>
      <c r="AE48" s="44">
        <f>G48*0</f>
        <v>0</v>
      </c>
      <c r="AF48" s="44">
        <f>G48*(1-0)</f>
        <v>0</v>
      </c>
      <c r="AG48" s="39" t="s">
        <v>13</v>
      </c>
      <c r="AM48" s="44">
        <f t="shared" si="15"/>
        <v>0</v>
      </c>
      <c r="AN48" s="44">
        <f t="shared" si="16"/>
        <v>0</v>
      </c>
      <c r="AO48" s="45" t="s">
        <v>360</v>
      </c>
      <c r="AP48" s="45" t="s">
        <v>378</v>
      </c>
      <c r="AQ48" s="35" t="s">
        <v>385</v>
      </c>
      <c r="AS48" s="44">
        <f t="shared" si="17"/>
        <v>0</v>
      </c>
      <c r="AT48" s="44">
        <f t="shared" si="18"/>
        <v>0</v>
      </c>
      <c r="AU48" s="44">
        <v>0</v>
      </c>
      <c r="AV48" s="44">
        <f t="shared" si="19"/>
        <v>0</v>
      </c>
    </row>
    <row r="49" spans="1:48" x14ac:dyDescent="0.25">
      <c r="A49" s="5" t="s">
        <v>26</v>
      </c>
      <c r="B49" s="5" t="s">
        <v>91</v>
      </c>
      <c r="C49" s="5" t="s">
        <v>116</v>
      </c>
      <c r="D49" s="5" t="s">
        <v>230</v>
      </c>
      <c r="E49" s="5" t="s">
        <v>318</v>
      </c>
      <c r="F49" s="19">
        <v>2</v>
      </c>
      <c r="G49" s="26">
        <v>0</v>
      </c>
      <c r="H49" s="19">
        <f t="shared" si="0"/>
        <v>0</v>
      </c>
      <c r="I49" s="19">
        <f t="shared" si="1"/>
        <v>0</v>
      </c>
      <c r="J49" s="19">
        <f t="shared" si="2"/>
        <v>0</v>
      </c>
      <c r="K49" s="19">
        <v>0</v>
      </c>
      <c r="L49" s="19">
        <f t="shared" si="3"/>
        <v>0</v>
      </c>
      <c r="M49" s="39" t="s">
        <v>342</v>
      </c>
      <c r="P49" s="44">
        <f t="shared" si="4"/>
        <v>0</v>
      </c>
      <c r="R49" s="44">
        <f t="shared" si="5"/>
        <v>0</v>
      </c>
      <c r="S49" s="44">
        <f t="shared" si="6"/>
        <v>0</v>
      </c>
      <c r="T49" s="44">
        <f t="shared" si="7"/>
        <v>0</v>
      </c>
      <c r="U49" s="44">
        <f t="shared" si="8"/>
        <v>0</v>
      </c>
      <c r="V49" s="44">
        <f t="shared" si="9"/>
        <v>0</v>
      </c>
      <c r="W49" s="44">
        <f t="shared" si="10"/>
        <v>0</v>
      </c>
      <c r="X49" s="44">
        <f t="shared" si="11"/>
        <v>0</v>
      </c>
      <c r="Y49" s="35" t="s">
        <v>91</v>
      </c>
      <c r="Z49" s="19">
        <f t="shared" si="12"/>
        <v>0</v>
      </c>
      <c r="AA49" s="19">
        <f t="shared" si="13"/>
        <v>0</v>
      </c>
      <c r="AB49" s="19">
        <f t="shared" si="14"/>
        <v>0</v>
      </c>
      <c r="AD49" s="44">
        <v>21</v>
      </c>
      <c r="AE49" s="44">
        <f>G49*0</f>
        <v>0</v>
      </c>
      <c r="AF49" s="44">
        <f>G49*(1-0)</f>
        <v>0</v>
      </c>
      <c r="AG49" s="39" t="s">
        <v>13</v>
      </c>
      <c r="AM49" s="44">
        <f t="shared" si="15"/>
        <v>0</v>
      </c>
      <c r="AN49" s="44">
        <f t="shared" si="16"/>
        <v>0</v>
      </c>
      <c r="AO49" s="45" t="s">
        <v>360</v>
      </c>
      <c r="AP49" s="45" t="s">
        <v>378</v>
      </c>
      <c r="AQ49" s="35" t="s">
        <v>385</v>
      </c>
      <c r="AS49" s="44">
        <f t="shared" si="17"/>
        <v>0</v>
      </c>
      <c r="AT49" s="44">
        <f t="shared" si="18"/>
        <v>0</v>
      </c>
      <c r="AU49" s="44">
        <v>0</v>
      </c>
      <c r="AV49" s="44">
        <f t="shared" si="19"/>
        <v>0</v>
      </c>
    </row>
    <row r="50" spans="1:48" x14ac:dyDescent="0.25">
      <c r="A50" s="5" t="s">
        <v>27</v>
      </c>
      <c r="B50" s="5" t="s">
        <v>91</v>
      </c>
      <c r="C50" s="5" t="s">
        <v>117</v>
      </c>
      <c r="D50" s="5" t="s">
        <v>231</v>
      </c>
      <c r="E50" s="5" t="s">
        <v>318</v>
      </c>
      <c r="F50" s="19">
        <v>6</v>
      </c>
      <c r="G50" s="26">
        <v>0</v>
      </c>
      <c r="H50" s="19">
        <f t="shared" si="0"/>
        <v>0</v>
      </c>
      <c r="I50" s="19">
        <f t="shared" si="1"/>
        <v>0</v>
      </c>
      <c r="J50" s="19">
        <f t="shared" si="2"/>
        <v>0</v>
      </c>
      <c r="K50" s="19">
        <v>0</v>
      </c>
      <c r="L50" s="19">
        <f t="shared" si="3"/>
        <v>0</v>
      </c>
      <c r="M50" s="39" t="s">
        <v>342</v>
      </c>
      <c r="P50" s="44">
        <f t="shared" si="4"/>
        <v>0</v>
      </c>
      <c r="R50" s="44">
        <f t="shared" si="5"/>
        <v>0</v>
      </c>
      <c r="S50" s="44">
        <f t="shared" si="6"/>
        <v>0</v>
      </c>
      <c r="T50" s="44">
        <f t="shared" si="7"/>
        <v>0</v>
      </c>
      <c r="U50" s="44">
        <f t="shared" si="8"/>
        <v>0</v>
      </c>
      <c r="V50" s="44">
        <f t="shared" si="9"/>
        <v>0</v>
      </c>
      <c r="W50" s="44">
        <f t="shared" si="10"/>
        <v>0</v>
      </c>
      <c r="X50" s="44">
        <f t="shared" si="11"/>
        <v>0</v>
      </c>
      <c r="Y50" s="35" t="s">
        <v>91</v>
      </c>
      <c r="Z50" s="19">
        <f t="shared" si="12"/>
        <v>0</v>
      </c>
      <c r="AA50" s="19">
        <f t="shared" si="13"/>
        <v>0</v>
      </c>
      <c r="AB50" s="19">
        <f t="shared" si="14"/>
        <v>0</v>
      </c>
      <c r="AD50" s="44">
        <v>21</v>
      </c>
      <c r="AE50" s="44">
        <f>G50*0</f>
        <v>0</v>
      </c>
      <c r="AF50" s="44">
        <f>G50*(1-0)</f>
        <v>0</v>
      </c>
      <c r="AG50" s="39" t="s">
        <v>13</v>
      </c>
      <c r="AM50" s="44">
        <f t="shared" si="15"/>
        <v>0</v>
      </c>
      <c r="AN50" s="44">
        <f t="shared" si="16"/>
        <v>0</v>
      </c>
      <c r="AO50" s="45" t="s">
        <v>360</v>
      </c>
      <c r="AP50" s="45" t="s">
        <v>378</v>
      </c>
      <c r="AQ50" s="35" t="s">
        <v>385</v>
      </c>
      <c r="AS50" s="44">
        <f t="shared" si="17"/>
        <v>0</v>
      </c>
      <c r="AT50" s="44">
        <f t="shared" si="18"/>
        <v>0</v>
      </c>
      <c r="AU50" s="44">
        <v>0</v>
      </c>
      <c r="AV50" s="44">
        <f t="shared" si="19"/>
        <v>0</v>
      </c>
    </row>
    <row r="51" spans="1:48" x14ac:dyDescent="0.25">
      <c r="A51" s="5" t="s">
        <v>28</v>
      </c>
      <c r="B51" s="5" t="s">
        <v>91</v>
      </c>
      <c r="C51" s="5" t="s">
        <v>118</v>
      </c>
      <c r="D51" s="5" t="s">
        <v>232</v>
      </c>
      <c r="E51" s="5" t="s">
        <v>318</v>
      </c>
      <c r="F51" s="19">
        <v>6</v>
      </c>
      <c r="G51" s="26">
        <v>0</v>
      </c>
      <c r="H51" s="19">
        <f t="shared" si="0"/>
        <v>0</v>
      </c>
      <c r="I51" s="19">
        <f t="shared" si="1"/>
        <v>0</v>
      </c>
      <c r="J51" s="19">
        <f t="shared" si="2"/>
        <v>0</v>
      </c>
      <c r="K51" s="19">
        <v>0</v>
      </c>
      <c r="L51" s="19">
        <f t="shared" si="3"/>
        <v>0</v>
      </c>
      <c r="M51" s="39" t="s">
        <v>342</v>
      </c>
      <c r="P51" s="44">
        <f t="shared" si="4"/>
        <v>0</v>
      </c>
      <c r="R51" s="44">
        <f t="shared" si="5"/>
        <v>0</v>
      </c>
      <c r="S51" s="44">
        <f t="shared" si="6"/>
        <v>0</v>
      </c>
      <c r="T51" s="44">
        <f t="shared" si="7"/>
        <v>0</v>
      </c>
      <c r="U51" s="44">
        <f t="shared" si="8"/>
        <v>0</v>
      </c>
      <c r="V51" s="44">
        <f t="shared" si="9"/>
        <v>0</v>
      </c>
      <c r="W51" s="44">
        <f t="shared" si="10"/>
        <v>0</v>
      </c>
      <c r="X51" s="44">
        <f t="shared" si="11"/>
        <v>0</v>
      </c>
      <c r="Y51" s="35" t="s">
        <v>91</v>
      </c>
      <c r="Z51" s="19">
        <f t="shared" si="12"/>
        <v>0</v>
      </c>
      <c r="AA51" s="19">
        <f t="shared" si="13"/>
        <v>0</v>
      </c>
      <c r="AB51" s="19">
        <f t="shared" si="14"/>
        <v>0</v>
      </c>
      <c r="AD51" s="44">
        <v>21</v>
      </c>
      <c r="AE51" s="44">
        <f>G51*0</f>
        <v>0</v>
      </c>
      <c r="AF51" s="44">
        <f>G51*(1-0)</f>
        <v>0</v>
      </c>
      <c r="AG51" s="39" t="s">
        <v>13</v>
      </c>
      <c r="AM51" s="44">
        <f t="shared" si="15"/>
        <v>0</v>
      </c>
      <c r="AN51" s="44">
        <f t="shared" si="16"/>
        <v>0</v>
      </c>
      <c r="AO51" s="45" t="s">
        <v>360</v>
      </c>
      <c r="AP51" s="45" t="s">
        <v>378</v>
      </c>
      <c r="AQ51" s="35" t="s">
        <v>385</v>
      </c>
      <c r="AS51" s="44">
        <f t="shared" si="17"/>
        <v>0</v>
      </c>
      <c r="AT51" s="44">
        <f t="shared" si="18"/>
        <v>0</v>
      </c>
      <c r="AU51" s="44">
        <v>0</v>
      </c>
      <c r="AV51" s="44">
        <f t="shared" si="19"/>
        <v>0</v>
      </c>
    </row>
    <row r="52" spans="1:48" x14ac:dyDescent="0.25">
      <c r="A52" s="5" t="s">
        <v>29</v>
      </c>
      <c r="B52" s="5" t="s">
        <v>91</v>
      </c>
      <c r="C52" s="5" t="s">
        <v>119</v>
      </c>
      <c r="D52" s="5" t="s">
        <v>233</v>
      </c>
      <c r="E52" s="5" t="s">
        <v>318</v>
      </c>
      <c r="F52" s="19">
        <v>1</v>
      </c>
      <c r="G52" s="26">
        <v>0</v>
      </c>
      <c r="H52" s="19">
        <f t="shared" si="0"/>
        <v>0</v>
      </c>
      <c r="I52" s="19">
        <f t="shared" si="1"/>
        <v>0</v>
      </c>
      <c r="J52" s="19">
        <f t="shared" si="2"/>
        <v>0</v>
      </c>
      <c r="K52" s="19">
        <v>0</v>
      </c>
      <c r="L52" s="19">
        <f t="shared" si="3"/>
        <v>0</v>
      </c>
      <c r="M52" s="39"/>
      <c r="P52" s="44">
        <f t="shared" si="4"/>
        <v>0</v>
      </c>
      <c r="R52" s="44">
        <f t="shared" si="5"/>
        <v>0</v>
      </c>
      <c r="S52" s="44">
        <f t="shared" si="6"/>
        <v>0</v>
      </c>
      <c r="T52" s="44">
        <f t="shared" si="7"/>
        <v>0</v>
      </c>
      <c r="U52" s="44">
        <f t="shared" si="8"/>
        <v>0</v>
      </c>
      <c r="V52" s="44">
        <f t="shared" si="9"/>
        <v>0</v>
      </c>
      <c r="W52" s="44">
        <f t="shared" si="10"/>
        <v>0</v>
      </c>
      <c r="X52" s="44">
        <f t="shared" si="11"/>
        <v>0</v>
      </c>
      <c r="Y52" s="35" t="s">
        <v>91</v>
      </c>
      <c r="Z52" s="19">
        <f t="shared" si="12"/>
        <v>0</v>
      </c>
      <c r="AA52" s="19">
        <f t="shared" si="13"/>
        <v>0</v>
      </c>
      <c r="AB52" s="19">
        <f t="shared" si="14"/>
        <v>0</v>
      </c>
      <c r="AD52" s="44">
        <v>21</v>
      </c>
      <c r="AE52" s="44">
        <f>G52*0.476923076923077</f>
        <v>0</v>
      </c>
      <c r="AF52" s="44">
        <f>G52*(1-0.476923076923077)</f>
        <v>0</v>
      </c>
      <c r="AG52" s="39" t="s">
        <v>13</v>
      </c>
      <c r="AM52" s="44">
        <f t="shared" si="15"/>
        <v>0</v>
      </c>
      <c r="AN52" s="44">
        <f t="shared" si="16"/>
        <v>0</v>
      </c>
      <c r="AO52" s="45" t="s">
        <v>360</v>
      </c>
      <c r="AP52" s="45" t="s">
        <v>378</v>
      </c>
      <c r="AQ52" s="35" t="s">
        <v>385</v>
      </c>
      <c r="AS52" s="44">
        <f t="shared" si="17"/>
        <v>0</v>
      </c>
      <c r="AT52" s="44">
        <f t="shared" si="18"/>
        <v>0</v>
      </c>
      <c r="AU52" s="44">
        <v>0</v>
      </c>
      <c r="AV52" s="44">
        <f t="shared" si="19"/>
        <v>0</v>
      </c>
    </row>
    <row r="53" spans="1:48" x14ac:dyDescent="0.25">
      <c r="A53" s="5" t="s">
        <v>30</v>
      </c>
      <c r="B53" s="5" t="s">
        <v>91</v>
      </c>
      <c r="C53" s="5" t="s">
        <v>120</v>
      </c>
      <c r="D53" s="5" t="s">
        <v>234</v>
      </c>
      <c r="E53" s="5" t="s">
        <v>318</v>
      </c>
      <c r="F53" s="19">
        <v>4</v>
      </c>
      <c r="G53" s="26">
        <v>0</v>
      </c>
      <c r="H53" s="19">
        <f t="shared" si="0"/>
        <v>0</v>
      </c>
      <c r="I53" s="19">
        <f t="shared" si="1"/>
        <v>0</v>
      </c>
      <c r="J53" s="19">
        <f t="shared" si="2"/>
        <v>0</v>
      </c>
      <c r="K53" s="19">
        <v>0</v>
      </c>
      <c r="L53" s="19">
        <f t="shared" si="3"/>
        <v>0</v>
      </c>
      <c r="M53" s="39"/>
      <c r="P53" s="44">
        <f t="shared" si="4"/>
        <v>0</v>
      </c>
      <c r="R53" s="44">
        <f t="shared" si="5"/>
        <v>0</v>
      </c>
      <c r="S53" s="44">
        <f t="shared" si="6"/>
        <v>0</v>
      </c>
      <c r="T53" s="44">
        <f t="shared" si="7"/>
        <v>0</v>
      </c>
      <c r="U53" s="44">
        <f t="shared" si="8"/>
        <v>0</v>
      </c>
      <c r="V53" s="44">
        <f t="shared" si="9"/>
        <v>0</v>
      </c>
      <c r="W53" s="44">
        <f t="shared" si="10"/>
        <v>0</v>
      </c>
      <c r="X53" s="44">
        <f t="shared" si="11"/>
        <v>0</v>
      </c>
      <c r="Y53" s="35" t="s">
        <v>91</v>
      </c>
      <c r="Z53" s="19">
        <f t="shared" si="12"/>
        <v>0</v>
      </c>
      <c r="AA53" s="19">
        <f t="shared" si="13"/>
        <v>0</v>
      </c>
      <c r="AB53" s="19">
        <f t="shared" si="14"/>
        <v>0</v>
      </c>
      <c r="AD53" s="44">
        <v>21</v>
      </c>
      <c r="AE53" s="44">
        <f>G53*0.666666666666667</f>
        <v>0</v>
      </c>
      <c r="AF53" s="44">
        <f>G53*(1-0.666666666666667)</f>
        <v>0</v>
      </c>
      <c r="AG53" s="39" t="s">
        <v>13</v>
      </c>
      <c r="AM53" s="44">
        <f t="shared" si="15"/>
        <v>0</v>
      </c>
      <c r="AN53" s="44">
        <f t="shared" si="16"/>
        <v>0</v>
      </c>
      <c r="AO53" s="45" t="s">
        <v>360</v>
      </c>
      <c r="AP53" s="45" t="s">
        <v>378</v>
      </c>
      <c r="AQ53" s="35" t="s">
        <v>385</v>
      </c>
      <c r="AS53" s="44">
        <f t="shared" si="17"/>
        <v>0</v>
      </c>
      <c r="AT53" s="44">
        <f t="shared" si="18"/>
        <v>0</v>
      </c>
      <c r="AU53" s="44">
        <v>0</v>
      </c>
      <c r="AV53" s="44">
        <f t="shared" si="19"/>
        <v>0</v>
      </c>
    </row>
    <row r="54" spans="1:48" x14ac:dyDescent="0.25">
      <c r="D54" s="17" t="s">
        <v>235</v>
      </c>
      <c r="G54" s="27"/>
    </row>
    <row r="55" spans="1:48" x14ac:dyDescent="0.25">
      <c r="A55" s="5" t="s">
        <v>31</v>
      </c>
      <c r="B55" s="5" t="s">
        <v>91</v>
      </c>
      <c r="C55" s="5" t="s">
        <v>121</v>
      </c>
      <c r="D55" s="5" t="s">
        <v>236</v>
      </c>
      <c r="E55" s="5" t="s">
        <v>318</v>
      </c>
      <c r="F55" s="19">
        <v>6</v>
      </c>
      <c r="G55" s="26">
        <v>0</v>
      </c>
      <c r="H55" s="19">
        <f t="shared" ref="H55:H66" si="20">F55*AE55</f>
        <v>0</v>
      </c>
      <c r="I55" s="19">
        <f t="shared" ref="I55:I66" si="21">J55-H55</f>
        <v>0</v>
      </c>
      <c r="J55" s="19">
        <f t="shared" ref="J55:J66" si="22">F55*G55</f>
        <v>0</v>
      </c>
      <c r="K55" s="19">
        <v>0</v>
      </c>
      <c r="L55" s="19">
        <f t="shared" ref="L55:L66" si="23">F55*K55</f>
        <v>0</v>
      </c>
      <c r="M55" s="39" t="s">
        <v>342</v>
      </c>
      <c r="P55" s="44">
        <f t="shared" ref="P55:P66" si="24">IF(AG55="5",J55,0)</f>
        <v>0</v>
      </c>
      <c r="R55" s="44">
        <f t="shared" ref="R55:R66" si="25">IF(AG55="1",H55,0)</f>
        <v>0</v>
      </c>
      <c r="S55" s="44">
        <f t="shared" ref="S55:S66" si="26">IF(AG55="1",I55,0)</f>
        <v>0</v>
      </c>
      <c r="T55" s="44">
        <f t="shared" ref="T55:T66" si="27">IF(AG55="7",H55,0)</f>
        <v>0</v>
      </c>
      <c r="U55" s="44">
        <f t="shared" ref="U55:U66" si="28">IF(AG55="7",I55,0)</f>
        <v>0</v>
      </c>
      <c r="V55" s="44">
        <f t="shared" ref="V55:V66" si="29">IF(AG55="2",H55,0)</f>
        <v>0</v>
      </c>
      <c r="W55" s="44">
        <f t="shared" ref="W55:W66" si="30">IF(AG55="2",I55,0)</f>
        <v>0</v>
      </c>
      <c r="X55" s="44">
        <f t="shared" ref="X55:X66" si="31">IF(AG55="0",J55,0)</f>
        <v>0</v>
      </c>
      <c r="Y55" s="35" t="s">
        <v>91</v>
      </c>
      <c r="Z55" s="19">
        <f t="shared" ref="Z55:Z66" si="32">IF(AD55=0,J55,0)</f>
        <v>0</v>
      </c>
      <c r="AA55" s="19">
        <f t="shared" ref="AA55:AA66" si="33">IF(AD55=15,J55,0)</f>
        <v>0</v>
      </c>
      <c r="AB55" s="19">
        <f t="shared" ref="AB55:AB66" si="34">IF(AD55=21,J55,0)</f>
        <v>0</v>
      </c>
      <c r="AD55" s="44">
        <v>21</v>
      </c>
      <c r="AE55" s="44">
        <f>G55*0.515570220664054</f>
        <v>0</v>
      </c>
      <c r="AF55" s="44">
        <f>G55*(1-0.515570220664054)</f>
        <v>0</v>
      </c>
      <c r="AG55" s="39" t="s">
        <v>8</v>
      </c>
      <c r="AM55" s="44">
        <f t="shared" ref="AM55:AM66" si="35">F55*AE55</f>
        <v>0</v>
      </c>
      <c r="AN55" s="44">
        <f t="shared" ref="AN55:AN66" si="36">F55*AF55</f>
        <v>0</v>
      </c>
      <c r="AO55" s="45" t="s">
        <v>360</v>
      </c>
      <c r="AP55" s="45" t="s">
        <v>378</v>
      </c>
      <c r="AQ55" s="35" t="s">
        <v>385</v>
      </c>
      <c r="AS55" s="44">
        <f t="shared" ref="AS55:AS66" si="37">AM55+AN55</f>
        <v>0</v>
      </c>
      <c r="AT55" s="44">
        <f t="shared" ref="AT55:AT66" si="38">G55/(100-AU55)*100</f>
        <v>0</v>
      </c>
      <c r="AU55" s="44">
        <v>0</v>
      </c>
      <c r="AV55" s="44">
        <f t="shared" ref="AV55:AV66" si="39">L55</f>
        <v>0</v>
      </c>
    </row>
    <row r="56" spans="1:48" x14ac:dyDescent="0.25">
      <c r="A56" s="6" t="s">
        <v>32</v>
      </c>
      <c r="B56" s="6" t="s">
        <v>91</v>
      </c>
      <c r="C56" s="6" t="s">
        <v>122</v>
      </c>
      <c r="D56" s="6" t="s">
        <v>237</v>
      </c>
      <c r="E56" s="6" t="s">
        <v>318</v>
      </c>
      <c r="F56" s="20">
        <v>3</v>
      </c>
      <c r="G56" s="28">
        <v>0</v>
      </c>
      <c r="H56" s="20">
        <f t="shared" si="20"/>
        <v>0</v>
      </c>
      <c r="I56" s="20">
        <f t="shared" si="21"/>
        <v>0</v>
      </c>
      <c r="J56" s="20">
        <f t="shared" si="22"/>
        <v>0</v>
      </c>
      <c r="K56" s="20">
        <v>1.24E-3</v>
      </c>
      <c r="L56" s="20">
        <f t="shared" si="23"/>
        <v>3.7200000000000002E-3</v>
      </c>
      <c r="M56" s="40" t="s">
        <v>342</v>
      </c>
      <c r="P56" s="44">
        <f t="shared" si="24"/>
        <v>0</v>
      </c>
      <c r="R56" s="44">
        <f t="shared" si="25"/>
        <v>0</v>
      </c>
      <c r="S56" s="44">
        <f t="shared" si="26"/>
        <v>0</v>
      </c>
      <c r="T56" s="44">
        <f t="shared" si="27"/>
        <v>0</v>
      </c>
      <c r="U56" s="44">
        <f t="shared" si="28"/>
        <v>0</v>
      </c>
      <c r="V56" s="44">
        <f t="shared" si="29"/>
        <v>0</v>
      </c>
      <c r="W56" s="44">
        <f t="shared" si="30"/>
        <v>0</v>
      </c>
      <c r="X56" s="44">
        <f t="shared" si="31"/>
        <v>0</v>
      </c>
      <c r="Y56" s="35" t="s">
        <v>91</v>
      </c>
      <c r="Z56" s="20">
        <f t="shared" si="32"/>
        <v>0</v>
      </c>
      <c r="AA56" s="20">
        <f t="shared" si="33"/>
        <v>0</v>
      </c>
      <c r="AB56" s="20">
        <f t="shared" si="34"/>
        <v>0</v>
      </c>
      <c r="AD56" s="44">
        <v>21</v>
      </c>
      <c r="AE56" s="44">
        <f t="shared" ref="AE56:AE63" si="40">G56*1</f>
        <v>0</v>
      </c>
      <c r="AF56" s="44">
        <f t="shared" ref="AF56:AF63" si="41">G56*(1-1)</f>
        <v>0</v>
      </c>
      <c r="AG56" s="40" t="s">
        <v>13</v>
      </c>
      <c r="AM56" s="44">
        <f t="shared" si="35"/>
        <v>0</v>
      </c>
      <c r="AN56" s="44">
        <f t="shared" si="36"/>
        <v>0</v>
      </c>
      <c r="AO56" s="45" t="s">
        <v>360</v>
      </c>
      <c r="AP56" s="45" t="s">
        <v>378</v>
      </c>
      <c r="AQ56" s="35" t="s">
        <v>385</v>
      </c>
      <c r="AS56" s="44">
        <f t="shared" si="37"/>
        <v>0</v>
      </c>
      <c r="AT56" s="44">
        <f t="shared" si="38"/>
        <v>0</v>
      </c>
      <c r="AU56" s="44">
        <v>0</v>
      </c>
      <c r="AV56" s="44">
        <f t="shared" si="39"/>
        <v>3.7200000000000002E-3</v>
      </c>
    </row>
    <row r="57" spans="1:48" x14ac:dyDescent="0.25">
      <c r="A57" s="6" t="s">
        <v>33</v>
      </c>
      <c r="B57" s="6" t="s">
        <v>91</v>
      </c>
      <c r="C57" s="6" t="s">
        <v>123</v>
      </c>
      <c r="D57" s="6" t="s">
        <v>238</v>
      </c>
      <c r="E57" s="6" t="s">
        <v>318</v>
      </c>
      <c r="F57" s="20">
        <v>3</v>
      </c>
      <c r="G57" s="28">
        <v>0</v>
      </c>
      <c r="H57" s="20">
        <f t="shared" si="20"/>
        <v>0</v>
      </c>
      <c r="I57" s="20">
        <f t="shared" si="21"/>
        <v>0</v>
      </c>
      <c r="J57" s="20">
        <f t="shared" si="22"/>
        <v>0</v>
      </c>
      <c r="K57" s="20">
        <v>1.9E-2</v>
      </c>
      <c r="L57" s="20">
        <f t="shared" si="23"/>
        <v>5.6999999999999995E-2</v>
      </c>
      <c r="M57" s="40" t="s">
        <v>342</v>
      </c>
      <c r="P57" s="44">
        <f t="shared" si="24"/>
        <v>0</v>
      </c>
      <c r="R57" s="44">
        <f t="shared" si="25"/>
        <v>0</v>
      </c>
      <c r="S57" s="44">
        <f t="shared" si="26"/>
        <v>0</v>
      </c>
      <c r="T57" s="44">
        <f t="shared" si="27"/>
        <v>0</v>
      </c>
      <c r="U57" s="44">
        <f t="shared" si="28"/>
        <v>0</v>
      </c>
      <c r="V57" s="44">
        <f t="shared" si="29"/>
        <v>0</v>
      </c>
      <c r="W57" s="44">
        <f t="shared" si="30"/>
        <v>0</v>
      </c>
      <c r="X57" s="44">
        <f t="shared" si="31"/>
        <v>0</v>
      </c>
      <c r="Y57" s="35" t="s">
        <v>91</v>
      </c>
      <c r="Z57" s="20">
        <f t="shared" si="32"/>
        <v>0</v>
      </c>
      <c r="AA57" s="20">
        <f t="shared" si="33"/>
        <v>0</v>
      </c>
      <c r="AB57" s="20">
        <f t="shared" si="34"/>
        <v>0</v>
      </c>
      <c r="AD57" s="44">
        <v>21</v>
      </c>
      <c r="AE57" s="44">
        <f t="shared" si="40"/>
        <v>0</v>
      </c>
      <c r="AF57" s="44">
        <f t="shared" si="41"/>
        <v>0</v>
      </c>
      <c r="AG57" s="40" t="s">
        <v>13</v>
      </c>
      <c r="AM57" s="44">
        <f t="shared" si="35"/>
        <v>0</v>
      </c>
      <c r="AN57" s="44">
        <f t="shared" si="36"/>
        <v>0</v>
      </c>
      <c r="AO57" s="45" t="s">
        <v>360</v>
      </c>
      <c r="AP57" s="45" t="s">
        <v>378</v>
      </c>
      <c r="AQ57" s="35" t="s">
        <v>385</v>
      </c>
      <c r="AS57" s="44">
        <f t="shared" si="37"/>
        <v>0</v>
      </c>
      <c r="AT57" s="44">
        <f t="shared" si="38"/>
        <v>0</v>
      </c>
      <c r="AU57" s="44">
        <v>0</v>
      </c>
      <c r="AV57" s="44">
        <f t="shared" si="39"/>
        <v>5.6999999999999995E-2</v>
      </c>
    </row>
    <row r="58" spans="1:48" x14ac:dyDescent="0.25">
      <c r="A58" s="6" t="s">
        <v>34</v>
      </c>
      <c r="B58" s="6" t="s">
        <v>91</v>
      </c>
      <c r="C58" s="6" t="s">
        <v>124</v>
      </c>
      <c r="D58" s="6" t="s">
        <v>239</v>
      </c>
      <c r="E58" s="6" t="s">
        <v>318</v>
      </c>
      <c r="F58" s="20">
        <v>1</v>
      </c>
      <c r="G58" s="28">
        <v>0</v>
      </c>
      <c r="H58" s="20">
        <f t="shared" si="20"/>
        <v>0</v>
      </c>
      <c r="I58" s="20">
        <f t="shared" si="21"/>
        <v>0</v>
      </c>
      <c r="J58" s="20">
        <f t="shared" si="22"/>
        <v>0</v>
      </c>
      <c r="K58" s="20">
        <v>1.4999999999999999E-2</v>
      </c>
      <c r="L58" s="20">
        <f t="shared" si="23"/>
        <v>1.4999999999999999E-2</v>
      </c>
      <c r="M58" s="40" t="s">
        <v>342</v>
      </c>
      <c r="P58" s="44">
        <f t="shared" si="24"/>
        <v>0</v>
      </c>
      <c r="R58" s="44">
        <f t="shared" si="25"/>
        <v>0</v>
      </c>
      <c r="S58" s="44">
        <f t="shared" si="26"/>
        <v>0</v>
      </c>
      <c r="T58" s="44">
        <f t="shared" si="27"/>
        <v>0</v>
      </c>
      <c r="U58" s="44">
        <f t="shared" si="28"/>
        <v>0</v>
      </c>
      <c r="V58" s="44">
        <f t="shared" si="29"/>
        <v>0</v>
      </c>
      <c r="W58" s="44">
        <f t="shared" si="30"/>
        <v>0</v>
      </c>
      <c r="X58" s="44">
        <f t="shared" si="31"/>
        <v>0</v>
      </c>
      <c r="Y58" s="35" t="s">
        <v>91</v>
      </c>
      <c r="Z58" s="20">
        <f t="shared" si="32"/>
        <v>0</v>
      </c>
      <c r="AA58" s="20">
        <f t="shared" si="33"/>
        <v>0</v>
      </c>
      <c r="AB58" s="20">
        <f t="shared" si="34"/>
        <v>0</v>
      </c>
      <c r="AD58" s="44">
        <v>21</v>
      </c>
      <c r="AE58" s="44">
        <f t="shared" si="40"/>
        <v>0</v>
      </c>
      <c r="AF58" s="44">
        <f t="shared" si="41"/>
        <v>0</v>
      </c>
      <c r="AG58" s="40" t="s">
        <v>13</v>
      </c>
      <c r="AM58" s="44">
        <f t="shared" si="35"/>
        <v>0</v>
      </c>
      <c r="AN58" s="44">
        <f t="shared" si="36"/>
        <v>0</v>
      </c>
      <c r="AO58" s="45" t="s">
        <v>360</v>
      </c>
      <c r="AP58" s="45" t="s">
        <v>378</v>
      </c>
      <c r="AQ58" s="35" t="s">
        <v>385</v>
      </c>
      <c r="AS58" s="44">
        <f t="shared" si="37"/>
        <v>0</v>
      </c>
      <c r="AT58" s="44">
        <f t="shared" si="38"/>
        <v>0</v>
      </c>
      <c r="AU58" s="44">
        <v>0</v>
      </c>
      <c r="AV58" s="44">
        <f t="shared" si="39"/>
        <v>1.4999999999999999E-2</v>
      </c>
    </row>
    <row r="59" spans="1:48" x14ac:dyDescent="0.25">
      <c r="A59" s="6" t="s">
        <v>35</v>
      </c>
      <c r="B59" s="6" t="s">
        <v>91</v>
      </c>
      <c r="C59" s="6" t="s">
        <v>125</v>
      </c>
      <c r="D59" s="6" t="s">
        <v>240</v>
      </c>
      <c r="E59" s="6" t="s">
        <v>318</v>
      </c>
      <c r="F59" s="20">
        <v>2</v>
      </c>
      <c r="G59" s="28">
        <v>0</v>
      </c>
      <c r="H59" s="20">
        <f t="shared" si="20"/>
        <v>0</v>
      </c>
      <c r="I59" s="20">
        <f t="shared" si="21"/>
        <v>0</v>
      </c>
      <c r="J59" s="20">
        <f t="shared" si="22"/>
        <v>0</v>
      </c>
      <c r="K59" s="20">
        <v>3.5000000000000003E-2</v>
      </c>
      <c r="L59" s="20">
        <f t="shared" si="23"/>
        <v>7.0000000000000007E-2</v>
      </c>
      <c r="M59" s="40" t="s">
        <v>342</v>
      </c>
      <c r="P59" s="44">
        <f t="shared" si="24"/>
        <v>0</v>
      </c>
      <c r="R59" s="44">
        <f t="shared" si="25"/>
        <v>0</v>
      </c>
      <c r="S59" s="44">
        <f t="shared" si="26"/>
        <v>0</v>
      </c>
      <c r="T59" s="44">
        <f t="shared" si="27"/>
        <v>0</v>
      </c>
      <c r="U59" s="44">
        <f t="shared" si="28"/>
        <v>0</v>
      </c>
      <c r="V59" s="44">
        <f t="shared" si="29"/>
        <v>0</v>
      </c>
      <c r="W59" s="44">
        <f t="shared" si="30"/>
        <v>0</v>
      </c>
      <c r="X59" s="44">
        <f t="shared" si="31"/>
        <v>0</v>
      </c>
      <c r="Y59" s="35" t="s">
        <v>91</v>
      </c>
      <c r="Z59" s="20">
        <f t="shared" si="32"/>
        <v>0</v>
      </c>
      <c r="AA59" s="20">
        <f t="shared" si="33"/>
        <v>0</v>
      </c>
      <c r="AB59" s="20">
        <f t="shared" si="34"/>
        <v>0</v>
      </c>
      <c r="AD59" s="44">
        <v>21</v>
      </c>
      <c r="AE59" s="44">
        <f t="shared" si="40"/>
        <v>0</v>
      </c>
      <c r="AF59" s="44">
        <f t="shared" si="41"/>
        <v>0</v>
      </c>
      <c r="AG59" s="40" t="s">
        <v>13</v>
      </c>
      <c r="AM59" s="44">
        <f t="shared" si="35"/>
        <v>0</v>
      </c>
      <c r="AN59" s="44">
        <f t="shared" si="36"/>
        <v>0</v>
      </c>
      <c r="AO59" s="45" t="s">
        <v>360</v>
      </c>
      <c r="AP59" s="45" t="s">
        <v>378</v>
      </c>
      <c r="AQ59" s="35" t="s">
        <v>385</v>
      </c>
      <c r="AS59" s="44">
        <f t="shared" si="37"/>
        <v>0</v>
      </c>
      <c r="AT59" s="44">
        <f t="shared" si="38"/>
        <v>0</v>
      </c>
      <c r="AU59" s="44">
        <v>0</v>
      </c>
      <c r="AV59" s="44">
        <f t="shared" si="39"/>
        <v>7.0000000000000007E-2</v>
      </c>
    </row>
    <row r="60" spans="1:48" x14ac:dyDescent="0.25">
      <c r="A60" s="5" t="s">
        <v>36</v>
      </c>
      <c r="B60" s="5" t="s">
        <v>91</v>
      </c>
      <c r="C60" s="5" t="s">
        <v>126</v>
      </c>
      <c r="D60" s="5" t="s">
        <v>241</v>
      </c>
      <c r="E60" s="5" t="s">
        <v>318</v>
      </c>
      <c r="F60" s="19">
        <v>1</v>
      </c>
      <c r="G60" s="26">
        <v>0</v>
      </c>
      <c r="H60" s="19">
        <f t="shared" si="20"/>
        <v>0</v>
      </c>
      <c r="I60" s="19">
        <f t="shared" si="21"/>
        <v>0</v>
      </c>
      <c r="J60" s="19">
        <f t="shared" si="22"/>
        <v>0</v>
      </c>
      <c r="K60" s="19">
        <v>0</v>
      </c>
      <c r="L60" s="19">
        <f t="shared" si="23"/>
        <v>0</v>
      </c>
      <c r="M60" s="39"/>
      <c r="P60" s="44">
        <f t="shared" si="24"/>
        <v>0</v>
      </c>
      <c r="R60" s="44">
        <f t="shared" si="25"/>
        <v>0</v>
      </c>
      <c r="S60" s="44">
        <f t="shared" si="26"/>
        <v>0</v>
      </c>
      <c r="T60" s="44">
        <f t="shared" si="27"/>
        <v>0</v>
      </c>
      <c r="U60" s="44">
        <f t="shared" si="28"/>
        <v>0</v>
      </c>
      <c r="V60" s="44">
        <f t="shared" si="29"/>
        <v>0</v>
      </c>
      <c r="W60" s="44">
        <f t="shared" si="30"/>
        <v>0</v>
      </c>
      <c r="X60" s="44">
        <f t="shared" si="31"/>
        <v>0</v>
      </c>
      <c r="Y60" s="35" t="s">
        <v>91</v>
      </c>
      <c r="Z60" s="19">
        <f t="shared" si="32"/>
        <v>0</v>
      </c>
      <c r="AA60" s="19">
        <f t="shared" si="33"/>
        <v>0</v>
      </c>
      <c r="AB60" s="19">
        <f t="shared" si="34"/>
        <v>0</v>
      </c>
      <c r="AD60" s="44">
        <v>21</v>
      </c>
      <c r="AE60" s="44">
        <f t="shared" si="40"/>
        <v>0</v>
      </c>
      <c r="AF60" s="44">
        <f t="shared" si="41"/>
        <v>0</v>
      </c>
      <c r="AG60" s="39" t="s">
        <v>13</v>
      </c>
      <c r="AM60" s="44">
        <f t="shared" si="35"/>
        <v>0</v>
      </c>
      <c r="AN60" s="44">
        <f t="shared" si="36"/>
        <v>0</v>
      </c>
      <c r="AO60" s="45" t="s">
        <v>360</v>
      </c>
      <c r="AP60" s="45" t="s">
        <v>378</v>
      </c>
      <c r="AQ60" s="35" t="s">
        <v>385</v>
      </c>
      <c r="AS60" s="44">
        <f t="shared" si="37"/>
        <v>0</v>
      </c>
      <c r="AT60" s="44">
        <f t="shared" si="38"/>
        <v>0</v>
      </c>
      <c r="AU60" s="44">
        <v>0</v>
      </c>
      <c r="AV60" s="44">
        <f t="shared" si="39"/>
        <v>0</v>
      </c>
    </row>
    <row r="61" spans="1:48" x14ac:dyDescent="0.25">
      <c r="A61" s="6" t="s">
        <v>37</v>
      </c>
      <c r="B61" s="6" t="s">
        <v>91</v>
      </c>
      <c r="C61" s="6" t="s">
        <v>127</v>
      </c>
      <c r="D61" s="6" t="s">
        <v>242</v>
      </c>
      <c r="E61" s="6" t="s">
        <v>318</v>
      </c>
      <c r="F61" s="20">
        <v>1</v>
      </c>
      <c r="G61" s="28">
        <v>0</v>
      </c>
      <c r="H61" s="20">
        <f t="shared" si="20"/>
        <v>0</v>
      </c>
      <c r="I61" s="20">
        <f t="shared" si="21"/>
        <v>0</v>
      </c>
      <c r="J61" s="20">
        <f t="shared" si="22"/>
        <v>0</v>
      </c>
      <c r="K61" s="20">
        <v>8.0000000000000004E-4</v>
      </c>
      <c r="L61" s="20">
        <f t="shared" si="23"/>
        <v>8.0000000000000004E-4</v>
      </c>
      <c r="M61" s="40" t="s">
        <v>342</v>
      </c>
      <c r="P61" s="44">
        <f t="shared" si="24"/>
        <v>0</v>
      </c>
      <c r="R61" s="44">
        <f t="shared" si="25"/>
        <v>0</v>
      </c>
      <c r="S61" s="44">
        <f t="shared" si="26"/>
        <v>0</v>
      </c>
      <c r="T61" s="44">
        <f t="shared" si="27"/>
        <v>0</v>
      </c>
      <c r="U61" s="44">
        <f t="shared" si="28"/>
        <v>0</v>
      </c>
      <c r="V61" s="44">
        <f t="shared" si="29"/>
        <v>0</v>
      </c>
      <c r="W61" s="44">
        <f t="shared" si="30"/>
        <v>0</v>
      </c>
      <c r="X61" s="44">
        <f t="shared" si="31"/>
        <v>0</v>
      </c>
      <c r="Y61" s="35" t="s">
        <v>91</v>
      </c>
      <c r="Z61" s="20">
        <f t="shared" si="32"/>
        <v>0</v>
      </c>
      <c r="AA61" s="20">
        <f t="shared" si="33"/>
        <v>0</v>
      </c>
      <c r="AB61" s="20">
        <f t="shared" si="34"/>
        <v>0</v>
      </c>
      <c r="AD61" s="44">
        <v>21</v>
      </c>
      <c r="AE61" s="44">
        <f t="shared" si="40"/>
        <v>0</v>
      </c>
      <c r="AF61" s="44">
        <f t="shared" si="41"/>
        <v>0</v>
      </c>
      <c r="AG61" s="40" t="s">
        <v>13</v>
      </c>
      <c r="AM61" s="44">
        <f t="shared" si="35"/>
        <v>0</v>
      </c>
      <c r="AN61" s="44">
        <f t="shared" si="36"/>
        <v>0</v>
      </c>
      <c r="AO61" s="45" t="s">
        <v>360</v>
      </c>
      <c r="AP61" s="45" t="s">
        <v>378</v>
      </c>
      <c r="AQ61" s="35" t="s">
        <v>385</v>
      </c>
      <c r="AS61" s="44">
        <f t="shared" si="37"/>
        <v>0</v>
      </c>
      <c r="AT61" s="44">
        <f t="shared" si="38"/>
        <v>0</v>
      </c>
      <c r="AU61" s="44">
        <v>0</v>
      </c>
      <c r="AV61" s="44">
        <f t="shared" si="39"/>
        <v>8.0000000000000004E-4</v>
      </c>
    </row>
    <row r="62" spans="1:48" x14ac:dyDescent="0.25">
      <c r="A62" s="6" t="s">
        <v>38</v>
      </c>
      <c r="B62" s="6" t="s">
        <v>91</v>
      </c>
      <c r="C62" s="6" t="s">
        <v>128</v>
      </c>
      <c r="D62" s="6" t="s">
        <v>243</v>
      </c>
      <c r="E62" s="6" t="s">
        <v>318</v>
      </c>
      <c r="F62" s="20">
        <v>3</v>
      </c>
      <c r="G62" s="28">
        <v>0</v>
      </c>
      <c r="H62" s="20">
        <f t="shared" si="20"/>
        <v>0</v>
      </c>
      <c r="I62" s="20">
        <f t="shared" si="21"/>
        <v>0</v>
      </c>
      <c r="J62" s="20">
        <f t="shared" si="22"/>
        <v>0</v>
      </c>
      <c r="K62" s="20">
        <v>8.0000000000000004E-4</v>
      </c>
      <c r="L62" s="20">
        <f t="shared" si="23"/>
        <v>2.4000000000000002E-3</v>
      </c>
      <c r="M62" s="40" t="s">
        <v>342</v>
      </c>
      <c r="P62" s="44">
        <f t="shared" si="24"/>
        <v>0</v>
      </c>
      <c r="R62" s="44">
        <f t="shared" si="25"/>
        <v>0</v>
      </c>
      <c r="S62" s="44">
        <f t="shared" si="26"/>
        <v>0</v>
      </c>
      <c r="T62" s="44">
        <f t="shared" si="27"/>
        <v>0</v>
      </c>
      <c r="U62" s="44">
        <f t="shared" si="28"/>
        <v>0</v>
      </c>
      <c r="V62" s="44">
        <f t="shared" si="29"/>
        <v>0</v>
      </c>
      <c r="W62" s="44">
        <f t="shared" si="30"/>
        <v>0</v>
      </c>
      <c r="X62" s="44">
        <f t="shared" si="31"/>
        <v>0</v>
      </c>
      <c r="Y62" s="35" t="s">
        <v>91</v>
      </c>
      <c r="Z62" s="20">
        <f t="shared" si="32"/>
        <v>0</v>
      </c>
      <c r="AA62" s="20">
        <f t="shared" si="33"/>
        <v>0</v>
      </c>
      <c r="AB62" s="20">
        <f t="shared" si="34"/>
        <v>0</v>
      </c>
      <c r="AD62" s="44">
        <v>21</v>
      </c>
      <c r="AE62" s="44">
        <f t="shared" si="40"/>
        <v>0</v>
      </c>
      <c r="AF62" s="44">
        <f t="shared" si="41"/>
        <v>0</v>
      </c>
      <c r="AG62" s="40" t="s">
        <v>13</v>
      </c>
      <c r="AM62" s="44">
        <f t="shared" si="35"/>
        <v>0</v>
      </c>
      <c r="AN62" s="44">
        <f t="shared" si="36"/>
        <v>0</v>
      </c>
      <c r="AO62" s="45" t="s">
        <v>360</v>
      </c>
      <c r="AP62" s="45" t="s">
        <v>378</v>
      </c>
      <c r="AQ62" s="35" t="s">
        <v>385</v>
      </c>
      <c r="AS62" s="44">
        <f t="shared" si="37"/>
        <v>0</v>
      </c>
      <c r="AT62" s="44">
        <f t="shared" si="38"/>
        <v>0</v>
      </c>
      <c r="AU62" s="44">
        <v>0</v>
      </c>
      <c r="AV62" s="44">
        <f t="shared" si="39"/>
        <v>2.4000000000000002E-3</v>
      </c>
    </row>
    <row r="63" spans="1:48" x14ac:dyDescent="0.25">
      <c r="A63" s="6" t="s">
        <v>39</v>
      </c>
      <c r="B63" s="6" t="s">
        <v>91</v>
      </c>
      <c r="C63" s="6" t="s">
        <v>129</v>
      </c>
      <c r="D63" s="6" t="s">
        <v>244</v>
      </c>
      <c r="E63" s="6" t="s">
        <v>318</v>
      </c>
      <c r="F63" s="20">
        <v>2</v>
      </c>
      <c r="G63" s="28">
        <v>0</v>
      </c>
      <c r="H63" s="20">
        <f t="shared" si="20"/>
        <v>0</v>
      </c>
      <c r="I63" s="20">
        <f t="shared" si="21"/>
        <v>0</v>
      </c>
      <c r="J63" s="20">
        <f t="shared" si="22"/>
        <v>0</v>
      </c>
      <c r="K63" s="20">
        <v>8.0000000000000004E-4</v>
      </c>
      <c r="L63" s="20">
        <f t="shared" si="23"/>
        <v>1.6000000000000001E-3</v>
      </c>
      <c r="M63" s="40" t="s">
        <v>342</v>
      </c>
      <c r="P63" s="44">
        <f t="shared" si="24"/>
        <v>0</v>
      </c>
      <c r="R63" s="44">
        <f t="shared" si="25"/>
        <v>0</v>
      </c>
      <c r="S63" s="44">
        <f t="shared" si="26"/>
        <v>0</v>
      </c>
      <c r="T63" s="44">
        <f t="shared" si="27"/>
        <v>0</v>
      </c>
      <c r="U63" s="44">
        <f t="shared" si="28"/>
        <v>0</v>
      </c>
      <c r="V63" s="44">
        <f t="shared" si="29"/>
        <v>0</v>
      </c>
      <c r="W63" s="44">
        <f t="shared" si="30"/>
        <v>0</v>
      </c>
      <c r="X63" s="44">
        <f t="shared" si="31"/>
        <v>0</v>
      </c>
      <c r="Y63" s="35" t="s">
        <v>91</v>
      </c>
      <c r="Z63" s="20">
        <f t="shared" si="32"/>
        <v>0</v>
      </c>
      <c r="AA63" s="20">
        <f t="shared" si="33"/>
        <v>0</v>
      </c>
      <c r="AB63" s="20">
        <f t="shared" si="34"/>
        <v>0</v>
      </c>
      <c r="AD63" s="44">
        <v>21</v>
      </c>
      <c r="AE63" s="44">
        <f t="shared" si="40"/>
        <v>0</v>
      </c>
      <c r="AF63" s="44">
        <f t="shared" si="41"/>
        <v>0</v>
      </c>
      <c r="AG63" s="40" t="s">
        <v>13</v>
      </c>
      <c r="AM63" s="44">
        <f t="shared" si="35"/>
        <v>0</v>
      </c>
      <c r="AN63" s="44">
        <f t="shared" si="36"/>
        <v>0</v>
      </c>
      <c r="AO63" s="45" t="s">
        <v>360</v>
      </c>
      <c r="AP63" s="45" t="s">
        <v>378</v>
      </c>
      <c r="AQ63" s="35" t="s">
        <v>385</v>
      </c>
      <c r="AS63" s="44">
        <f t="shared" si="37"/>
        <v>0</v>
      </c>
      <c r="AT63" s="44">
        <f t="shared" si="38"/>
        <v>0</v>
      </c>
      <c r="AU63" s="44">
        <v>0</v>
      </c>
      <c r="AV63" s="44">
        <f t="shared" si="39"/>
        <v>1.6000000000000001E-3</v>
      </c>
    </row>
    <row r="64" spans="1:48" x14ac:dyDescent="0.25">
      <c r="A64" s="5" t="s">
        <v>40</v>
      </c>
      <c r="B64" s="5" t="s">
        <v>91</v>
      </c>
      <c r="C64" s="5" t="s">
        <v>130</v>
      </c>
      <c r="D64" s="5" t="s">
        <v>245</v>
      </c>
      <c r="E64" s="5" t="s">
        <v>318</v>
      </c>
      <c r="F64" s="19">
        <v>1</v>
      </c>
      <c r="G64" s="26">
        <v>0</v>
      </c>
      <c r="H64" s="19">
        <f t="shared" si="20"/>
        <v>0</v>
      </c>
      <c r="I64" s="19">
        <f t="shared" si="21"/>
        <v>0</v>
      </c>
      <c r="J64" s="19">
        <f t="shared" si="22"/>
        <v>0</v>
      </c>
      <c r="K64" s="19">
        <v>3.8280000000000002E-2</v>
      </c>
      <c r="L64" s="19">
        <f t="shared" si="23"/>
        <v>3.8280000000000002E-2</v>
      </c>
      <c r="M64" s="39" t="s">
        <v>342</v>
      </c>
      <c r="P64" s="44">
        <f t="shared" si="24"/>
        <v>0</v>
      </c>
      <c r="R64" s="44">
        <f t="shared" si="25"/>
        <v>0</v>
      </c>
      <c r="S64" s="44">
        <f t="shared" si="26"/>
        <v>0</v>
      </c>
      <c r="T64" s="44">
        <f t="shared" si="27"/>
        <v>0</v>
      </c>
      <c r="U64" s="44">
        <f t="shared" si="28"/>
        <v>0</v>
      </c>
      <c r="V64" s="44">
        <f t="shared" si="29"/>
        <v>0</v>
      </c>
      <c r="W64" s="44">
        <f t="shared" si="30"/>
        <v>0</v>
      </c>
      <c r="X64" s="44">
        <f t="shared" si="31"/>
        <v>0</v>
      </c>
      <c r="Y64" s="35" t="s">
        <v>91</v>
      </c>
      <c r="Z64" s="19">
        <f t="shared" si="32"/>
        <v>0</v>
      </c>
      <c r="AA64" s="19">
        <f t="shared" si="33"/>
        <v>0</v>
      </c>
      <c r="AB64" s="19">
        <f t="shared" si="34"/>
        <v>0</v>
      </c>
      <c r="AD64" s="44">
        <v>21</v>
      </c>
      <c r="AE64" s="44">
        <f>G64*0.660610924092218</f>
        <v>0</v>
      </c>
      <c r="AF64" s="44">
        <f>G64*(1-0.660610924092218)</f>
        <v>0</v>
      </c>
      <c r="AG64" s="39" t="s">
        <v>13</v>
      </c>
      <c r="AM64" s="44">
        <f t="shared" si="35"/>
        <v>0</v>
      </c>
      <c r="AN64" s="44">
        <f t="shared" si="36"/>
        <v>0</v>
      </c>
      <c r="AO64" s="45" t="s">
        <v>360</v>
      </c>
      <c r="AP64" s="45" t="s">
        <v>378</v>
      </c>
      <c r="AQ64" s="35" t="s">
        <v>385</v>
      </c>
      <c r="AS64" s="44">
        <f t="shared" si="37"/>
        <v>0</v>
      </c>
      <c r="AT64" s="44">
        <f t="shared" si="38"/>
        <v>0</v>
      </c>
      <c r="AU64" s="44">
        <v>0</v>
      </c>
      <c r="AV64" s="44">
        <f t="shared" si="39"/>
        <v>3.8280000000000002E-2</v>
      </c>
    </row>
    <row r="65" spans="1:48" x14ac:dyDescent="0.25">
      <c r="A65" s="5" t="s">
        <v>41</v>
      </c>
      <c r="B65" s="5" t="s">
        <v>91</v>
      </c>
      <c r="C65" s="5" t="s">
        <v>131</v>
      </c>
      <c r="D65" s="5" t="s">
        <v>246</v>
      </c>
      <c r="E65" s="5" t="s">
        <v>318</v>
      </c>
      <c r="F65" s="19">
        <v>1</v>
      </c>
      <c r="G65" s="26">
        <v>0</v>
      </c>
      <c r="H65" s="19">
        <f t="shared" si="20"/>
        <v>0</v>
      </c>
      <c r="I65" s="19">
        <f t="shared" si="21"/>
        <v>0</v>
      </c>
      <c r="J65" s="19">
        <f t="shared" si="22"/>
        <v>0</v>
      </c>
      <c r="K65" s="19">
        <v>2.962E-2</v>
      </c>
      <c r="L65" s="19">
        <f t="shared" si="23"/>
        <v>2.962E-2</v>
      </c>
      <c r="M65" s="39" t="s">
        <v>342</v>
      </c>
      <c r="P65" s="44">
        <f t="shared" si="24"/>
        <v>0</v>
      </c>
      <c r="R65" s="44">
        <f t="shared" si="25"/>
        <v>0</v>
      </c>
      <c r="S65" s="44">
        <f t="shared" si="26"/>
        <v>0</v>
      </c>
      <c r="T65" s="44">
        <f t="shared" si="27"/>
        <v>0</v>
      </c>
      <c r="U65" s="44">
        <f t="shared" si="28"/>
        <v>0</v>
      </c>
      <c r="V65" s="44">
        <f t="shared" si="29"/>
        <v>0</v>
      </c>
      <c r="W65" s="44">
        <f t="shared" si="30"/>
        <v>0</v>
      </c>
      <c r="X65" s="44">
        <f t="shared" si="31"/>
        <v>0</v>
      </c>
      <c r="Y65" s="35" t="s">
        <v>91</v>
      </c>
      <c r="Z65" s="19">
        <f t="shared" si="32"/>
        <v>0</v>
      </c>
      <c r="AA65" s="19">
        <f t="shared" si="33"/>
        <v>0</v>
      </c>
      <c r="AB65" s="19">
        <f t="shared" si="34"/>
        <v>0</v>
      </c>
      <c r="AD65" s="44">
        <v>21</v>
      </c>
      <c r="AE65" s="44">
        <f>G65*0.681421375756944</f>
        <v>0</v>
      </c>
      <c r="AF65" s="44">
        <f>G65*(1-0.681421375756944)</f>
        <v>0</v>
      </c>
      <c r="AG65" s="39" t="s">
        <v>13</v>
      </c>
      <c r="AM65" s="44">
        <f t="shared" si="35"/>
        <v>0</v>
      </c>
      <c r="AN65" s="44">
        <f t="shared" si="36"/>
        <v>0</v>
      </c>
      <c r="AO65" s="45" t="s">
        <v>360</v>
      </c>
      <c r="AP65" s="45" t="s">
        <v>378</v>
      </c>
      <c r="AQ65" s="35" t="s">
        <v>385</v>
      </c>
      <c r="AS65" s="44">
        <f t="shared" si="37"/>
        <v>0</v>
      </c>
      <c r="AT65" s="44">
        <f t="shared" si="38"/>
        <v>0</v>
      </c>
      <c r="AU65" s="44">
        <v>0</v>
      </c>
      <c r="AV65" s="44">
        <f t="shared" si="39"/>
        <v>2.962E-2</v>
      </c>
    </row>
    <row r="66" spans="1:48" x14ac:dyDescent="0.25">
      <c r="A66" s="5" t="s">
        <v>42</v>
      </c>
      <c r="B66" s="5" t="s">
        <v>91</v>
      </c>
      <c r="C66" s="5" t="s">
        <v>132</v>
      </c>
      <c r="D66" s="5" t="s">
        <v>247</v>
      </c>
      <c r="E66" s="5" t="s">
        <v>321</v>
      </c>
      <c r="F66" s="19">
        <v>0.21840000000000001</v>
      </c>
      <c r="G66" s="26">
        <v>0</v>
      </c>
      <c r="H66" s="19">
        <f t="shared" si="20"/>
        <v>0</v>
      </c>
      <c r="I66" s="19">
        <f t="shared" si="21"/>
        <v>0</v>
      </c>
      <c r="J66" s="19">
        <f t="shared" si="22"/>
        <v>0</v>
      </c>
      <c r="K66" s="19">
        <v>0</v>
      </c>
      <c r="L66" s="19">
        <f t="shared" si="23"/>
        <v>0</v>
      </c>
      <c r="M66" s="39" t="s">
        <v>342</v>
      </c>
      <c r="P66" s="44">
        <f t="shared" si="24"/>
        <v>0</v>
      </c>
      <c r="R66" s="44">
        <f t="shared" si="25"/>
        <v>0</v>
      </c>
      <c r="S66" s="44">
        <f t="shared" si="26"/>
        <v>0</v>
      </c>
      <c r="T66" s="44">
        <f t="shared" si="27"/>
        <v>0</v>
      </c>
      <c r="U66" s="44">
        <f t="shared" si="28"/>
        <v>0</v>
      </c>
      <c r="V66" s="44">
        <f t="shared" si="29"/>
        <v>0</v>
      </c>
      <c r="W66" s="44">
        <f t="shared" si="30"/>
        <v>0</v>
      </c>
      <c r="X66" s="44">
        <f t="shared" si="31"/>
        <v>0</v>
      </c>
      <c r="Y66" s="35" t="s">
        <v>91</v>
      </c>
      <c r="Z66" s="19">
        <f t="shared" si="32"/>
        <v>0</v>
      </c>
      <c r="AA66" s="19">
        <f t="shared" si="33"/>
        <v>0</v>
      </c>
      <c r="AB66" s="19">
        <f t="shared" si="34"/>
        <v>0</v>
      </c>
      <c r="AD66" s="44">
        <v>21</v>
      </c>
      <c r="AE66" s="44">
        <f>G66*0</f>
        <v>0</v>
      </c>
      <c r="AF66" s="44">
        <f>G66*(1-0)</f>
        <v>0</v>
      </c>
      <c r="AG66" s="39" t="s">
        <v>11</v>
      </c>
      <c r="AM66" s="44">
        <f t="shared" si="35"/>
        <v>0</v>
      </c>
      <c r="AN66" s="44">
        <f t="shared" si="36"/>
        <v>0</v>
      </c>
      <c r="AO66" s="45" t="s">
        <v>360</v>
      </c>
      <c r="AP66" s="45" t="s">
        <v>378</v>
      </c>
      <c r="AQ66" s="35" t="s">
        <v>385</v>
      </c>
      <c r="AS66" s="44">
        <f t="shared" si="37"/>
        <v>0</v>
      </c>
      <c r="AT66" s="44">
        <f t="shared" si="38"/>
        <v>0</v>
      </c>
      <c r="AU66" s="44">
        <v>0</v>
      </c>
      <c r="AV66" s="44">
        <f t="shared" si="39"/>
        <v>0</v>
      </c>
    </row>
    <row r="67" spans="1:48" x14ac:dyDescent="0.25">
      <c r="A67" s="4"/>
      <c r="B67" s="14" t="s">
        <v>91</v>
      </c>
      <c r="C67" s="14" t="s">
        <v>133</v>
      </c>
      <c r="D67" s="14" t="s">
        <v>248</v>
      </c>
      <c r="E67" s="4" t="s">
        <v>6</v>
      </c>
      <c r="F67" s="4" t="s">
        <v>6</v>
      </c>
      <c r="G67" s="25" t="s">
        <v>6</v>
      </c>
      <c r="H67" s="47">
        <f>SUM(H68:H78)</f>
        <v>0</v>
      </c>
      <c r="I67" s="47">
        <f>SUM(I68:I78)</f>
        <v>0</v>
      </c>
      <c r="J67" s="47">
        <f>H67+I67</f>
        <v>0</v>
      </c>
      <c r="K67" s="35"/>
      <c r="L67" s="47">
        <f>SUM(L68:L78)</f>
        <v>1.4243923999999999</v>
      </c>
      <c r="M67" s="35"/>
      <c r="Y67" s="35" t="s">
        <v>91</v>
      </c>
      <c r="AI67" s="47">
        <f>SUM(Z68:Z78)</f>
        <v>0</v>
      </c>
      <c r="AJ67" s="47">
        <f>SUM(AA68:AA78)</f>
        <v>0</v>
      </c>
      <c r="AK67" s="47">
        <f>SUM(AB68:AB78)</f>
        <v>0</v>
      </c>
    </row>
    <row r="68" spans="1:48" x14ac:dyDescent="0.25">
      <c r="A68" s="5" t="s">
        <v>43</v>
      </c>
      <c r="B68" s="5" t="s">
        <v>91</v>
      </c>
      <c r="C68" s="5" t="s">
        <v>134</v>
      </c>
      <c r="D68" s="5" t="s">
        <v>249</v>
      </c>
      <c r="E68" s="5" t="s">
        <v>319</v>
      </c>
      <c r="F68" s="19">
        <v>53.98</v>
      </c>
      <c r="G68" s="26">
        <v>0</v>
      </c>
      <c r="H68" s="19">
        <f t="shared" ref="H68:H76" si="42">F68*AE68</f>
        <v>0</v>
      </c>
      <c r="I68" s="19">
        <f t="shared" ref="I68:I76" si="43">J68-H68</f>
        <v>0</v>
      </c>
      <c r="J68" s="19">
        <f t="shared" ref="J68:J76" si="44">F68*G68</f>
        <v>0</v>
      </c>
      <c r="K68" s="19">
        <v>0</v>
      </c>
      <c r="L68" s="19">
        <f t="shared" ref="L68:L76" si="45">F68*K68</f>
        <v>0</v>
      </c>
      <c r="M68" s="39" t="s">
        <v>342</v>
      </c>
      <c r="P68" s="44">
        <f t="shared" ref="P68:P76" si="46">IF(AG68="5",J68,0)</f>
        <v>0</v>
      </c>
      <c r="R68" s="44">
        <f t="shared" ref="R68:R76" si="47">IF(AG68="1",H68,0)</f>
        <v>0</v>
      </c>
      <c r="S68" s="44">
        <f t="shared" ref="S68:S76" si="48">IF(AG68="1",I68,0)</f>
        <v>0</v>
      </c>
      <c r="T68" s="44">
        <f t="shared" ref="T68:T76" si="49">IF(AG68="7",H68,0)</f>
        <v>0</v>
      </c>
      <c r="U68" s="44">
        <f t="shared" ref="U68:U76" si="50">IF(AG68="7",I68,0)</f>
        <v>0</v>
      </c>
      <c r="V68" s="44">
        <f t="shared" ref="V68:V76" si="51">IF(AG68="2",H68,0)</f>
        <v>0</v>
      </c>
      <c r="W68" s="44">
        <f t="shared" ref="W68:W76" si="52">IF(AG68="2",I68,0)</f>
        <v>0</v>
      </c>
      <c r="X68" s="44">
        <f t="shared" ref="X68:X76" si="53">IF(AG68="0",J68,0)</f>
        <v>0</v>
      </c>
      <c r="Y68" s="35" t="s">
        <v>91</v>
      </c>
      <c r="Z68" s="19">
        <f t="shared" ref="Z68:Z76" si="54">IF(AD68=0,J68,0)</f>
        <v>0</v>
      </c>
      <c r="AA68" s="19">
        <f t="shared" ref="AA68:AA76" si="55">IF(AD68=15,J68,0)</f>
        <v>0</v>
      </c>
      <c r="AB68" s="19">
        <f t="shared" ref="AB68:AB76" si="56">IF(AD68=21,J68,0)</f>
        <v>0</v>
      </c>
      <c r="AD68" s="44">
        <v>21</v>
      </c>
      <c r="AE68" s="44">
        <f>G68*0</f>
        <v>0</v>
      </c>
      <c r="AF68" s="44">
        <f>G68*(1-0)</f>
        <v>0</v>
      </c>
      <c r="AG68" s="39" t="s">
        <v>13</v>
      </c>
      <c r="AM68" s="44">
        <f t="shared" ref="AM68:AM76" si="57">F68*AE68</f>
        <v>0</v>
      </c>
      <c r="AN68" s="44">
        <f t="shared" ref="AN68:AN76" si="58">F68*AF68</f>
        <v>0</v>
      </c>
      <c r="AO68" s="45" t="s">
        <v>361</v>
      </c>
      <c r="AP68" s="45" t="s">
        <v>379</v>
      </c>
      <c r="AQ68" s="35" t="s">
        <v>385</v>
      </c>
      <c r="AS68" s="44">
        <f t="shared" ref="AS68:AS76" si="59">AM68+AN68</f>
        <v>0</v>
      </c>
      <c r="AT68" s="44">
        <f t="shared" ref="AT68:AT76" si="60">G68/(100-AU68)*100</f>
        <v>0</v>
      </c>
      <c r="AU68" s="44">
        <v>0</v>
      </c>
      <c r="AV68" s="44">
        <f t="shared" ref="AV68:AV76" si="61">L68</f>
        <v>0</v>
      </c>
    </row>
    <row r="69" spans="1:48" x14ac:dyDescent="0.25">
      <c r="A69" s="5" t="s">
        <v>44</v>
      </c>
      <c r="B69" s="5" t="s">
        <v>91</v>
      </c>
      <c r="C69" s="5" t="s">
        <v>135</v>
      </c>
      <c r="D69" s="5" t="s">
        <v>250</v>
      </c>
      <c r="E69" s="5" t="s">
        <v>319</v>
      </c>
      <c r="F69" s="19">
        <v>53.98</v>
      </c>
      <c r="G69" s="26">
        <v>0</v>
      </c>
      <c r="H69" s="19">
        <f t="shared" si="42"/>
        <v>0</v>
      </c>
      <c r="I69" s="19">
        <f t="shared" si="43"/>
        <v>0</v>
      </c>
      <c r="J69" s="19">
        <f t="shared" si="44"/>
        <v>0</v>
      </c>
      <c r="K69" s="19">
        <v>2.1000000000000001E-4</v>
      </c>
      <c r="L69" s="19">
        <f t="shared" si="45"/>
        <v>1.13358E-2</v>
      </c>
      <c r="M69" s="39" t="s">
        <v>342</v>
      </c>
      <c r="P69" s="44">
        <f t="shared" si="46"/>
        <v>0</v>
      </c>
      <c r="R69" s="44">
        <f t="shared" si="47"/>
        <v>0</v>
      </c>
      <c r="S69" s="44">
        <f t="shared" si="48"/>
        <v>0</v>
      </c>
      <c r="T69" s="44">
        <f t="shared" si="49"/>
        <v>0</v>
      </c>
      <c r="U69" s="44">
        <f t="shared" si="50"/>
        <v>0</v>
      </c>
      <c r="V69" s="44">
        <f t="shared" si="51"/>
        <v>0</v>
      </c>
      <c r="W69" s="44">
        <f t="shared" si="52"/>
        <v>0</v>
      </c>
      <c r="X69" s="44">
        <f t="shared" si="53"/>
        <v>0</v>
      </c>
      <c r="Y69" s="35" t="s">
        <v>91</v>
      </c>
      <c r="Z69" s="19">
        <f t="shared" si="54"/>
        <v>0</v>
      </c>
      <c r="AA69" s="19">
        <f t="shared" si="55"/>
        <v>0</v>
      </c>
      <c r="AB69" s="19">
        <f t="shared" si="56"/>
        <v>0</v>
      </c>
      <c r="AD69" s="44">
        <v>21</v>
      </c>
      <c r="AE69" s="44">
        <f>G69*0.496513186906188</f>
        <v>0</v>
      </c>
      <c r="AF69" s="44">
        <f>G69*(1-0.496513186906188)</f>
        <v>0</v>
      </c>
      <c r="AG69" s="39" t="s">
        <v>13</v>
      </c>
      <c r="AM69" s="44">
        <f t="shared" si="57"/>
        <v>0</v>
      </c>
      <c r="AN69" s="44">
        <f t="shared" si="58"/>
        <v>0</v>
      </c>
      <c r="AO69" s="45" t="s">
        <v>361</v>
      </c>
      <c r="AP69" s="45" t="s">
        <v>379</v>
      </c>
      <c r="AQ69" s="35" t="s">
        <v>385</v>
      </c>
      <c r="AS69" s="44">
        <f t="shared" si="59"/>
        <v>0</v>
      </c>
      <c r="AT69" s="44">
        <f t="shared" si="60"/>
        <v>0</v>
      </c>
      <c r="AU69" s="44">
        <v>0</v>
      </c>
      <c r="AV69" s="44">
        <f t="shared" si="61"/>
        <v>1.13358E-2</v>
      </c>
    </row>
    <row r="70" spans="1:48" x14ac:dyDescent="0.25">
      <c r="A70" s="5" t="s">
        <v>45</v>
      </c>
      <c r="B70" s="5" t="s">
        <v>91</v>
      </c>
      <c r="C70" s="5" t="s">
        <v>136</v>
      </c>
      <c r="D70" s="5" t="s">
        <v>251</v>
      </c>
      <c r="E70" s="5" t="s">
        <v>319</v>
      </c>
      <c r="F70" s="19">
        <v>53.98</v>
      </c>
      <c r="G70" s="26">
        <v>0</v>
      </c>
      <c r="H70" s="19">
        <f t="shared" si="42"/>
        <v>0</v>
      </c>
      <c r="I70" s="19">
        <f t="shared" si="43"/>
        <v>0</v>
      </c>
      <c r="J70" s="19">
        <f t="shared" si="44"/>
        <v>0</v>
      </c>
      <c r="K70" s="19">
        <v>2.1000000000000001E-4</v>
      </c>
      <c r="L70" s="19">
        <f t="shared" si="45"/>
        <v>1.13358E-2</v>
      </c>
      <c r="M70" s="39" t="s">
        <v>342</v>
      </c>
      <c r="P70" s="44">
        <f t="shared" si="46"/>
        <v>0</v>
      </c>
      <c r="R70" s="44">
        <f t="shared" si="47"/>
        <v>0</v>
      </c>
      <c r="S70" s="44">
        <f t="shared" si="48"/>
        <v>0</v>
      </c>
      <c r="T70" s="44">
        <f t="shared" si="49"/>
        <v>0</v>
      </c>
      <c r="U70" s="44">
        <f t="shared" si="50"/>
        <v>0</v>
      </c>
      <c r="V70" s="44">
        <f t="shared" si="51"/>
        <v>0</v>
      </c>
      <c r="W70" s="44">
        <f t="shared" si="52"/>
        <v>0</v>
      </c>
      <c r="X70" s="44">
        <f t="shared" si="53"/>
        <v>0</v>
      </c>
      <c r="Y70" s="35" t="s">
        <v>91</v>
      </c>
      <c r="Z70" s="19">
        <f t="shared" si="54"/>
        <v>0</v>
      </c>
      <c r="AA70" s="19">
        <f t="shared" si="55"/>
        <v>0</v>
      </c>
      <c r="AB70" s="19">
        <f t="shared" si="56"/>
        <v>0</v>
      </c>
      <c r="AD70" s="44">
        <v>21</v>
      </c>
      <c r="AE70" s="44">
        <f>G70*0.496513186906188</f>
        <v>0</v>
      </c>
      <c r="AF70" s="44">
        <f>G70*(1-0.496513186906188)</f>
        <v>0</v>
      </c>
      <c r="AG70" s="39" t="s">
        <v>13</v>
      </c>
      <c r="AM70" s="44">
        <f t="shared" si="57"/>
        <v>0</v>
      </c>
      <c r="AN70" s="44">
        <f t="shared" si="58"/>
        <v>0</v>
      </c>
      <c r="AO70" s="45" t="s">
        <v>361</v>
      </c>
      <c r="AP70" s="45" t="s">
        <v>379</v>
      </c>
      <c r="AQ70" s="35" t="s">
        <v>385</v>
      </c>
      <c r="AS70" s="44">
        <f t="shared" si="59"/>
        <v>0</v>
      </c>
      <c r="AT70" s="44">
        <f t="shared" si="60"/>
        <v>0</v>
      </c>
      <c r="AU70" s="44">
        <v>0</v>
      </c>
      <c r="AV70" s="44">
        <f t="shared" si="61"/>
        <v>1.13358E-2</v>
      </c>
    </row>
    <row r="71" spans="1:48" x14ac:dyDescent="0.25">
      <c r="A71" s="5" t="s">
        <v>46</v>
      </c>
      <c r="B71" s="5" t="s">
        <v>91</v>
      </c>
      <c r="C71" s="5" t="s">
        <v>137</v>
      </c>
      <c r="D71" s="5" t="s">
        <v>252</v>
      </c>
      <c r="E71" s="5" t="s">
        <v>319</v>
      </c>
      <c r="F71" s="19">
        <v>53.98</v>
      </c>
      <c r="G71" s="26">
        <v>0</v>
      </c>
      <c r="H71" s="19">
        <f t="shared" si="42"/>
        <v>0</v>
      </c>
      <c r="I71" s="19">
        <f t="shared" si="43"/>
        <v>0</v>
      </c>
      <c r="J71" s="19">
        <f t="shared" si="44"/>
        <v>0</v>
      </c>
      <c r="K71" s="19">
        <v>4.7600000000000003E-3</v>
      </c>
      <c r="L71" s="19">
        <f t="shared" si="45"/>
        <v>0.25694480000000003</v>
      </c>
      <c r="M71" s="39" t="s">
        <v>342</v>
      </c>
      <c r="P71" s="44">
        <f t="shared" si="46"/>
        <v>0</v>
      </c>
      <c r="R71" s="44">
        <f t="shared" si="47"/>
        <v>0</v>
      </c>
      <c r="S71" s="44">
        <f t="shared" si="48"/>
        <v>0</v>
      </c>
      <c r="T71" s="44">
        <f t="shared" si="49"/>
        <v>0</v>
      </c>
      <c r="U71" s="44">
        <f t="shared" si="50"/>
        <v>0</v>
      </c>
      <c r="V71" s="44">
        <f t="shared" si="51"/>
        <v>0</v>
      </c>
      <c r="W71" s="44">
        <f t="shared" si="52"/>
        <v>0</v>
      </c>
      <c r="X71" s="44">
        <f t="shared" si="53"/>
        <v>0</v>
      </c>
      <c r="Y71" s="35" t="s">
        <v>91</v>
      </c>
      <c r="Z71" s="19">
        <f t="shared" si="54"/>
        <v>0</v>
      </c>
      <c r="AA71" s="19">
        <f t="shared" si="55"/>
        <v>0</v>
      </c>
      <c r="AB71" s="19">
        <f t="shared" si="56"/>
        <v>0</v>
      </c>
      <c r="AD71" s="44">
        <v>21</v>
      </c>
      <c r="AE71" s="44">
        <f>G71*0.152545669218122</f>
        <v>0</v>
      </c>
      <c r="AF71" s="44">
        <f>G71*(1-0.152545669218122)</f>
        <v>0</v>
      </c>
      <c r="AG71" s="39" t="s">
        <v>13</v>
      </c>
      <c r="AM71" s="44">
        <f t="shared" si="57"/>
        <v>0</v>
      </c>
      <c r="AN71" s="44">
        <f t="shared" si="58"/>
        <v>0</v>
      </c>
      <c r="AO71" s="45" t="s">
        <v>361</v>
      </c>
      <c r="AP71" s="45" t="s">
        <v>379</v>
      </c>
      <c r="AQ71" s="35" t="s">
        <v>385</v>
      </c>
      <c r="AS71" s="44">
        <f t="shared" si="59"/>
        <v>0</v>
      </c>
      <c r="AT71" s="44">
        <f t="shared" si="60"/>
        <v>0</v>
      </c>
      <c r="AU71" s="44">
        <v>0</v>
      </c>
      <c r="AV71" s="44">
        <f t="shared" si="61"/>
        <v>0.25694480000000003</v>
      </c>
    </row>
    <row r="72" spans="1:48" x14ac:dyDescent="0.25">
      <c r="A72" s="5" t="s">
        <v>47</v>
      </c>
      <c r="B72" s="5" t="s">
        <v>91</v>
      </c>
      <c r="C72" s="5" t="s">
        <v>138</v>
      </c>
      <c r="D72" s="5" t="s">
        <v>253</v>
      </c>
      <c r="E72" s="5" t="s">
        <v>319</v>
      </c>
      <c r="F72" s="19">
        <v>53.98</v>
      </c>
      <c r="G72" s="26">
        <v>0</v>
      </c>
      <c r="H72" s="19">
        <f t="shared" si="42"/>
        <v>0</v>
      </c>
      <c r="I72" s="19">
        <f t="shared" si="43"/>
        <v>0</v>
      </c>
      <c r="J72" s="19">
        <f t="shared" si="44"/>
        <v>0</v>
      </c>
      <c r="K72" s="19">
        <v>1.1999999999999999E-3</v>
      </c>
      <c r="L72" s="19">
        <f t="shared" si="45"/>
        <v>6.4775999999999986E-2</v>
      </c>
      <c r="M72" s="39" t="s">
        <v>342</v>
      </c>
      <c r="P72" s="44">
        <f t="shared" si="46"/>
        <v>0</v>
      </c>
      <c r="R72" s="44">
        <f t="shared" si="47"/>
        <v>0</v>
      </c>
      <c r="S72" s="44">
        <f t="shared" si="48"/>
        <v>0</v>
      </c>
      <c r="T72" s="44">
        <f t="shared" si="49"/>
        <v>0</v>
      </c>
      <c r="U72" s="44">
        <f t="shared" si="50"/>
        <v>0</v>
      </c>
      <c r="V72" s="44">
        <f t="shared" si="51"/>
        <v>0</v>
      </c>
      <c r="W72" s="44">
        <f t="shared" si="52"/>
        <v>0</v>
      </c>
      <c r="X72" s="44">
        <f t="shared" si="53"/>
        <v>0</v>
      </c>
      <c r="Y72" s="35" t="s">
        <v>91</v>
      </c>
      <c r="Z72" s="19">
        <f t="shared" si="54"/>
        <v>0</v>
      </c>
      <c r="AA72" s="19">
        <f t="shared" si="55"/>
        <v>0</v>
      </c>
      <c r="AB72" s="19">
        <f t="shared" si="56"/>
        <v>0</v>
      </c>
      <c r="AD72" s="44">
        <v>21</v>
      </c>
      <c r="AE72" s="44">
        <f>G72*0.999996140560776</f>
        <v>0</v>
      </c>
      <c r="AF72" s="44">
        <f>G72*(1-0.999996140560776)</f>
        <v>0</v>
      </c>
      <c r="AG72" s="39" t="s">
        <v>13</v>
      </c>
      <c r="AM72" s="44">
        <f t="shared" si="57"/>
        <v>0</v>
      </c>
      <c r="AN72" s="44">
        <f t="shared" si="58"/>
        <v>0</v>
      </c>
      <c r="AO72" s="45" t="s">
        <v>361</v>
      </c>
      <c r="AP72" s="45" t="s">
        <v>379</v>
      </c>
      <c r="AQ72" s="35" t="s">
        <v>385</v>
      </c>
      <c r="AS72" s="44">
        <f t="shared" si="59"/>
        <v>0</v>
      </c>
      <c r="AT72" s="44">
        <f t="shared" si="60"/>
        <v>0</v>
      </c>
      <c r="AU72" s="44">
        <v>0</v>
      </c>
      <c r="AV72" s="44">
        <f t="shared" si="61"/>
        <v>6.4775999999999986E-2</v>
      </c>
    </row>
    <row r="73" spans="1:48" x14ac:dyDescent="0.25">
      <c r="A73" s="5" t="s">
        <v>48</v>
      </c>
      <c r="B73" s="5" t="s">
        <v>91</v>
      </c>
      <c r="C73" s="5" t="s">
        <v>139</v>
      </c>
      <c r="D73" s="5" t="s">
        <v>254</v>
      </c>
      <c r="E73" s="5" t="s">
        <v>319</v>
      </c>
      <c r="F73" s="19">
        <v>21.45</v>
      </c>
      <c r="G73" s="26">
        <v>0</v>
      </c>
      <c r="H73" s="19">
        <f t="shared" si="42"/>
        <v>0</v>
      </c>
      <c r="I73" s="19">
        <f t="shared" si="43"/>
        <v>0</v>
      </c>
      <c r="J73" s="19">
        <f t="shared" si="44"/>
        <v>0</v>
      </c>
      <c r="K73" s="19">
        <v>0</v>
      </c>
      <c r="L73" s="19">
        <f t="shared" si="45"/>
        <v>0</v>
      </c>
      <c r="M73" s="39" t="s">
        <v>342</v>
      </c>
      <c r="P73" s="44">
        <f t="shared" si="46"/>
        <v>0</v>
      </c>
      <c r="R73" s="44">
        <f t="shared" si="47"/>
        <v>0</v>
      </c>
      <c r="S73" s="44">
        <f t="shared" si="48"/>
        <v>0</v>
      </c>
      <c r="T73" s="44">
        <f t="shared" si="49"/>
        <v>0</v>
      </c>
      <c r="U73" s="44">
        <f t="shared" si="50"/>
        <v>0</v>
      </c>
      <c r="V73" s="44">
        <f t="shared" si="51"/>
        <v>0</v>
      </c>
      <c r="W73" s="44">
        <f t="shared" si="52"/>
        <v>0</v>
      </c>
      <c r="X73" s="44">
        <f t="shared" si="53"/>
        <v>0</v>
      </c>
      <c r="Y73" s="35" t="s">
        <v>91</v>
      </c>
      <c r="Z73" s="19">
        <f t="shared" si="54"/>
        <v>0</v>
      </c>
      <c r="AA73" s="19">
        <f t="shared" si="55"/>
        <v>0</v>
      </c>
      <c r="AB73" s="19">
        <f t="shared" si="56"/>
        <v>0</v>
      </c>
      <c r="AD73" s="44">
        <v>21</v>
      </c>
      <c r="AE73" s="44">
        <f>G73*0</f>
        <v>0</v>
      </c>
      <c r="AF73" s="44">
        <f>G73*(1-0)</f>
        <v>0</v>
      </c>
      <c r="AG73" s="39" t="s">
        <v>13</v>
      </c>
      <c r="AM73" s="44">
        <f t="shared" si="57"/>
        <v>0</v>
      </c>
      <c r="AN73" s="44">
        <f t="shared" si="58"/>
        <v>0</v>
      </c>
      <c r="AO73" s="45" t="s">
        <v>361</v>
      </c>
      <c r="AP73" s="45" t="s">
        <v>379</v>
      </c>
      <c r="AQ73" s="35" t="s">
        <v>385</v>
      </c>
      <c r="AS73" s="44">
        <f t="shared" si="59"/>
        <v>0</v>
      </c>
      <c r="AT73" s="44">
        <f t="shared" si="60"/>
        <v>0</v>
      </c>
      <c r="AU73" s="44">
        <v>0</v>
      </c>
      <c r="AV73" s="44">
        <f t="shared" si="61"/>
        <v>0</v>
      </c>
    </row>
    <row r="74" spans="1:48" x14ac:dyDescent="0.25">
      <c r="A74" s="6" t="s">
        <v>49</v>
      </c>
      <c r="B74" s="6" t="s">
        <v>91</v>
      </c>
      <c r="C74" s="6" t="s">
        <v>140</v>
      </c>
      <c r="D74" s="6" t="s">
        <v>255</v>
      </c>
      <c r="E74" s="6" t="s">
        <v>319</v>
      </c>
      <c r="F74" s="20">
        <v>60</v>
      </c>
      <c r="G74" s="28">
        <v>0</v>
      </c>
      <c r="H74" s="20">
        <f t="shared" si="42"/>
        <v>0</v>
      </c>
      <c r="I74" s="20">
        <f t="shared" si="43"/>
        <v>0</v>
      </c>
      <c r="J74" s="20">
        <f t="shared" si="44"/>
        <v>0</v>
      </c>
      <c r="K74" s="20">
        <v>1.7999999999999999E-2</v>
      </c>
      <c r="L74" s="20">
        <f t="shared" si="45"/>
        <v>1.0799999999999998</v>
      </c>
      <c r="M74" s="40" t="s">
        <v>342</v>
      </c>
      <c r="P74" s="44">
        <f t="shared" si="46"/>
        <v>0</v>
      </c>
      <c r="R74" s="44">
        <f t="shared" si="47"/>
        <v>0</v>
      </c>
      <c r="S74" s="44">
        <f t="shared" si="48"/>
        <v>0</v>
      </c>
      <c r="T74" s="44">
        <f t="shared" si="49"/>
        <v>0</v>
      </c>
      <c r="U74" s="44">
        <f t="shared" si="50"/>
        <v>0</v>
      </c>
      <c r="V74" s="44">
        <f t="shared" si="51"/>
        <v>0</v>
      </c>
      <c r="W74" s="44">
        <f t="shared" si="52"/>
        <v>0</v>
      </c>
      <c r="X74" s="44">
        <f t="shared" si="53"/>
        <v>0</v>
      </c>
      <c r="Y74" s="35" t="s">
        <v>91</v>
      </c>
      <c r="Z74" s="20">
        <f t="shared" si="54"/>
        <v>0</v>
      </c>
      <c r="AA74" s="20">
        <f t="shared" si="55"/>
        <v>0</v>
      </c>
      <c r="AB74" s="20">
        <f t="shared" si="56"/>
        <v>0</v>
      </c>
      <c r="AD74" s="44">
        <v>21</v>
      </c>
      <c r="AE74" s="44">
        <f>G74*1</f>
        <v>0</v>
      </c>
      <c r="AF74" s="44">
        <f>G74*(1-1)</f>
        <v>0</v>
      </c>
      <c r="AG74" s="40" t="s">
        <v>13</v>
      </c>
      <c r="AM74" s="44">
        <f t="shared" si="57"/>
        <v>0</v>
      </c>
      <c r="AN74" s="44">
        <f t="shared" si="58"/>
        <v>0</v>
      </c>
      <c r="AO74" s="45" t="s">
        <v>361</v>
      </c>
      <c r="AP74" s="45" t="s">
        <v>379</v>
      </c>
      <c r="AQ74" s="35" t="s">
        <v>385</v>
      </c>
      <c r="AS74" s="44">
        <f t="shared" si="59"/>
        <v>0</v>
      </c>
      <c r="AT74" s="44">
        <f t="shared" si="60"/>
        <v>0</v>
      </c>
      <c r="AU74" s="44">
        <v>0</v>
      </c>
      <c r="AV74" s="44">
        <f t="shared" si="61"/>
        <v>1.0799999999999998</v>
      </c>
    </row>
    <row r="75" spans="1:48" x14ac:dyDescent="0.25">
      <c r="A75" s="5" t="s">
        <v>50</v>
      </c>
      <c r="B75" s="5" t="s">
        <v>91</v>
      </c>
      <c r="C75" s="5" t="s">
        <v>141</v>
      </c>
      <c r="D75" s="5" t="s">
        <v>256</v>
      </c>
      <c r="E75" s="5" t="s">
        <v>319</v>
      </c>
      <c r="F75" s="19">
        <v>64.900000000000006</v>
      </c>
      <c r="G75" s="26">
        <v>0</v>
      </c>
      <c r="H75" s="19">
        <f t="shared" si="42"/>
        <v>0</v>
      </c>
      <c r="I75" s="19">
        <f t="shared" si="43"/>
        <v>0</v>
      </c>
      <c r="J75" s="19">
        <f t="shared" si="44"/>
        <v>0</v>
      </c>
      <c r="K75" s="19">
        <v>0</v>
      </c>
      <c r="L75" s="19">
        <f t="shared" si="45"/>
        <v>0</v>
      </c>
      <c r="M75" s="39" t="s">
        <v>342</v>
      </c>
      <c r="P75" s="44">
        <f t="shared" si="46"/>
        <v>0</v>
      </c>
      <c r="R75" s="44">
        <f t="shared" si="47"/>
        <v>0</v>
      </c>
      <c r="S75" s="44">
        <f t="shared" si="48"/>
        <v>0</v>
      </c>
      <c r="T75" s="44">
        <f t="shared" si="49"/>
        <v>0</v>
      </c>
      <c r="U75" s="44">
        <f t="shared" si="50"/>
        <v>0</v>
      </c>
      <c r="V75" s="44">
        <f t="shared" si="51"/>
        <v>0</v>
      </c>
      <c r="W75" s="44">
        <f t="shared" si="52"/>
        <v>0</v>
      </c>
      <c r="X75" s="44">
        <f t="shared" si="53"/>
        <v>0</v>
      </c>
      <c r="Y75" s="35" t="s">
        <v>91</v>
      </c>
      <c r="Z75" s="19">
        <f t="shared" si="54"/>
        <v>0</v>
      </c>
      <c r="AA75" s="19">
        <f t="shared" si="55"/>
        <v>0</v>
      </c>
      <c r="AB75" s="19">
        <f t="shared" si="56"/>
        <v>0</v>
      </c>
      <c r="AD75" s="44">
        <v>21</v>
      </c>
      <c r="AE75" s="44">
        <f>G75*0</f>
        <v>0</v>
      </c>
      <c r="AF75" s="44">
        <f>G75*(1-0)</f>
        <v>0</v>
      </c>
      <c r="AG75" s="39" t="s">
        <v>13</v>
      </c>
      <c r="AM75" s="44">
        <f t="shared" si="57"/>
        <v>0</v>
      </c>
      <c r="AN75" s="44">
        <f t="shared" si="58"/>
        <v>0</v>
      </c>
      <c r="AO75" s="45" t="s">
        <v>361</v>
      </c>
      <c r="AP75" s="45" t="s">
        <v>379</v>
      </c>
      <c r="AQ75" s="35" t="s">
        <v>385</v>
      </c>
      <c r="AS75" s="44">
        <f t="shared" si="59"/>
        <v>0</v>
      </c>
      <c r="AT75" s="44">
        <f t="shared" si="60"/>
        <v>0</v>
      </c>
      <c r="AU75" s="44">
        <v>0</v>
      </c>
      <c r="AV75" s="44">
        <f t="shared" si="61"/>
        <v>0</v>
      </c>
    </row>
    <row r="76" spans="1:48" x14ac:dyDescent="0.25">
      <c r="A76" s="5" t="s">
        <v>51</v>
      </c>
      <c r="B76" s="5" t="s">
        <v>91</v>
      </c>
      <c r="C76" s="5" t="s">
        <v>142</v>
      </c>
      <c r="D76" s="5" t="s">
        <v>257</v>
      </c>
      <c r="E76" s="5" t="s">
        <v>322</v>
      </c>
      <c r="F76" s="19">
        <v>45.1</v>
      </c>
      <c r="G76" s="26">
        <v>0</v>
      </c>
      <c r="H76" s="19">
        <f t="shared" si="42"/>
        <v>0</v>
      </c>
      <c r="I76" s="19">
        <f t="shared" si="43"/>
        <v>0</v>
      </c>
      <c r="J76" s="19">
        <f t="shared" si="44"/>
        <v>0</v>
      </c>
      <c r="K76" s="19">
        <v>0</v>
      </c>
      <c r="L76" s="19">
        <f t="shared" si="45"/>
        <v>0</v>
      </c>
      <c r="M76" s="39" t="s">
        <v>342</v>
      </c>
      <c r="P76" s="44">
        <f t="shared" si="46"/>
        <v>0</v>
      </c>
      <c r="R76" s="44">
        <f t="shared" si="47"/>
        <v>0</v>
      </c>
      <c r="S76" s="44">
        <f t="shared" si="48"/>
        <v>0</v>
      </c>
      <c r="T76" s="44">
        <f t="shared" si="49"/>
        <v>0</v>
      </c>
      <c r="U76" s="44">
        <f t="shared" si="50"/>
        <v>0</v>
      </c>
      <c r="V76" s="44">
        <f t="shared" si="51"/>
        <v>0</v>
      </c>
      <c r="W76" s="44">
        <f t="shared" si="52"/>
        <v>0</v>
      </c>
      <c r="X76" s="44">
        <f t="shared" si="53"/>
        <v>0</v>
      </c>
      <c r="Y76" s="35" t="s">
        <v>91</v>
      </c>
      <c r="Z76" s="19">
        <f t="shared" si="54"/>
        <v>0</v>
      </c>
      <c r="AA76" s="19">
        <f t="shared" si="55"/>
        <v>0</v>
      </c>
      <c r="AB76" s="19">
        <f t="shared" si="56"/>
        <v>0</v>
      </c>
      <c r="AD76" s="44">
        <v>21</v>
      </c>
      <c r="AE76" s="44">
        <f>G76*0</f>
        <v>0</v>
      </c>
      <c r="AF76" s="44">
        <f>G76*(1-0)</f>
        <v>0</v>
      </c>
      <c r="AG76" s="39" t="s">
        <v>13</v>
      </c>
      <c r="AM76" s="44">
        <f t="shared" si="57"/>
        <v>0</v>
      </c>
      <c r="AN76" s="44">
        <f t="shared" si="58"/>
        <v>0</v>
      </c>
      <c r="AO76" s="45" t="s">
        <v>361</v>
      </c>
      <c r="AP76" s="45" t="s">
        <v>379</v>
      </c>
      <c r="AQ76" s="35" t="s">
        <v>385</v>
      </c>
      <c r="AS76" s="44">
        <f t="shared" si="59"/>
        <v>0</v>
      </c>
      <c r="AT76" s="44">
        <f t="shared" si="60"/>
        <v>0</v>
      </c>
      <c r="AU76" s="44">
        <v>0</v>
      </c>
      <c r="AV76" s="44">
        <f t="shared" si="61"/>
        <v>0</v>
      </c>
    </row>
    <row r="77" spans="1:48" x14ac:dyDescent="0.25">
      <c r="D77" s="17" t="s">
        <v>258</v>
      </c>
      <c r="G77" s="27"/>
    </row>
    <row r="78" spans="1:48" x14ac:dyDescent="0.25">
      <c r="A78" s="5" t="s">
        <v>52</v>
      </c>
      <c r="B78" s="5" t="s">
        <v>91</v>
      </c>
      <c r="C78" s="5" t="s">
        <v>143</v>
      </c>
      <c r="D78" s="5" t="s">
        <v>259</v>
      </c>
      <c r="E78" s="5" t="s">
        <v>321</v>
      </c>
      <c r="F78" s="19">
        <v>1.4244000000000001</v>
      </c>
      <c r="G78" s="26">
        <v>0</v>
      </c>
      <c r="H78" s="19">
        <f>F78*AE78</f>
        <v>0</v>
      </c>
      <c r="I78" s="19">
        <f>J78-H78</f>
        <v>0</v>
      </c>
      <c r="J78" s="19">
        <f>F78*G78</f>
        <v>0</v>
      </c>
      <c r="K78" s="19">
        <v>0</v>
      </c>
      <c r="L78" s="19">
        <f>F78*K78</f>
        <v>0</v>
      </c>
      <c r="M78" s="39" t="s">
        <v>342</v>
      </c>
      <c r="P78" s="44">
        <f>IF(AG78="5",J78,0)</f>
        <v>0</v>
      </c>
      <c r="R78" s="44">
        <f>IF(AG78="1",H78,0)</f>
        <v>0</v>
      </c>
      <c r="S78" s="44">
        <f>IF(AG78="1",I78,0)</f>
        <v>0</v>
      </c>
      <c r="T78" s="44">
        <f>IF(AG78="7",H78,0)</f>
        <v>0</v>
      </c>
      <c r="U78" s="44">
        <f>IF(AG78="7",I78,0)</f>
        <v>0</v>
      </c>
      <c r="V78" s="44">
        <f>IF(AG78="2",H78,0)</f>
        <v>0</v>
      </c>
      <c r="W78" s="44">
        <f>IF(AG78="2",I78,0)</f>
        <v>0</v>
      </c>
      <c r="X78" s="44">
        <f>IF(AG78="0",J78,0)</f>
        <v>0</v>
      </c>
      <c r="Y78" s="35" t="s">
        <v>91</v>
      </c>
      <c r="Z78" s="19">
        <f>IF(AD78=0,J78,0)</f>
        <v>0</v>
      </c>
      <c r="AA78" s="19">
        <f>IF(AD78=15,J78,0)</f>
        <v>0</v>
      </c>
      <c r="AB78" s="19">
        <f>IF(AD78=21,J78,0)</f>
        <v>0</v>
      </c>
      <c r="AD78" s="44">
        <v>21</v>
      </c>
      <c r="AE78" s="44">
        <f>G78*0</f>
        <v>0</v>
      </c>
      <c r="AF78" s="44">
        <f>G78*(1-0)</f>
        <v>0</v>
      </c>
      <c r="AG78" s="39" t="s">
        <v>11</v>
      </c>
      <c r="AM78" s="44">
        <f>F78*AE78</f>
        <v>0</v>
      </c>
      <c r="AN78" s="44">
        <f>F78*AF78</f>
        <v>0</v>
      </c>
      <c r="AO78" s="45" t="s">
        <v>361</v>
      </c>
      <c r="AP78" s="45" t="s">
        <v>379</v>
      </c>
      <c r="AQ78" s="35" t="s">
        <v>385</v>
      </c>
      <c r="AS78" s="44">
        <f>AM78+AN78</f>
        <v>0</v>
      </c>
      <c r="AT78" s="44">
        <f>G78/(100-AU78)*100</f>
        <v>0</v>
      </c>
      <c r="AU78" s="44">
        <v>0</v>
      </c>
      <c r="AV78" s="44">
        <f>L78</f>
        <v>0</v>
      </c>
    </row>
    <row r="79" spans="1:48" x14ac:dyDescent="0.25">
      <c r="A79" s="4"/>
      <c r="B79" s="14" t="s">
        <v>91</v>
      </c>
      <c r="C79" s="14" t="s">
        <v>144</v>
      </c>
      <c r="D79" s="14" t="s">
        <v>260</v>
      </c>
      <c r="E79" s="4" t="s">
        <v>6</v>
      </c>
      <c r="F79" s="4" t="s">
        <v>6</v>
      </c>
      <c r="G79" s="25" t="s">
        <v>6</v>
      </c>
      <c r="H79" s="47">
        <f>SUM(H80:H90)</f>
        <v>0</v>
      </c>
      <c r="I79" s="47">
        <f>SUM(I80:I90)</f>
        <v>0</v>
      </c>
      <c r="J79" s="47">
        <f>H79+I79</f>
        <v>0</v>
      </c>
      <c r="K79" s="35"/>
      <c r="L79" s="47">
        <f>SUM(L80:L90)</f>
        <v>6.3011761900000005</v>
      </c>
      <c r="M79" s="35"/>
      <c r="Y79" s="35" t="s">
        <v>91</v>
      </c>
      <c r="AI79" s="47">
        <f>SUM(Z80:Z90)</f>
        <v>0</v>
      </c>
      <c r="AJ79" s="47">
        <f>SUM(AA80:AA90)</f>
        <v>0</v>
      </c>
      <c r="AK79" s="47">
        <f>SUM(AB80:AB90)</f>
        <v>0</v>
      </c>
    </row>
    <row r="80" spans="1:48" x14ac:dyDescent="0.25">
      <c r="A80" s="5" t="s">
        <v>53</v>
      </c>
      <c r="B80" s="5" t="s">
        <v>91</v>
      </c>
      <c r="C80" s="5" t="s">
        <v>145</v>
      </c>
      <c r="D80" s="5" t="s">
        <v>261</v>
      </c>
      <c r="E80" s="5" t="s">
        <v>319</v>
      </c>
      <c r="F80" s="19">
        <v>76.853750000000005</v>
      </c>
      <c r="G80" s="26">
        <v>0</v>
      </c>
      <c r="H80" s="19">
        <f t="shared" ref="H80:H88" si="62">F80*AE80</f>
        <v>0</v>
      </c>
      <c r="I80" s="19">
        <f t="shared" ref="I80:I88" si="63">J80-H80</f>
        <v>0</v>
      </c>
      <c r="J80" s="19">
        <f t="shared" ref="J80:J88" si="64">F80*G80</f>
        <v>0</v>
      </c>
      <c r="K80" s="19">
        <v>6.8000000000000005E-2</v>
      </c>
      <c r="L80" s="19">
        <f t="shared" ref="L80:L88" si="65">F80*K80</f>
        <v>5.2260550000000006</v>
      </c>
      <c r="M80" s="39" t="s">
        <v>342</v>
      </c>
      <c r="P80" s="44">
        <f t="shared" ref="P80:P88" si="66">IF(AG80="5",J80,0)</f>
        <v>0</v>
      </c>
      <c r="R80" s="44">
        <f t="shared" ref="R80:R88" si="67">IF(AG80="1",H80,0)</f>
        <v>0</v>
      </c>
      <c r="S80" s="44">
        <f t="shared" ref="S80:S88" si="68">IF(AG80="1",I80,0)</f>
        <v>0</v>
      </c>
      <c r="T80" s="44">
        <f t="shared" ref="T80:T88" si="69">IF(AG80="7",H80,0)</f>
        <v>0</v>
      </c>
      <c r="U80" s="44">
        <f t="shared" ref="U80:U88" si="70">IF(AG80="7",I80,0)</f>
        <v>0</v>
      </c>
      <c r="V80" s="44">
        <f t="shared" ref="V80:V88" si="71">IF(AG80="2",H80,0)</f>
        <v>0</v>
      </c>
      <c r="W80" s="44">
        <f t="shared" ref="W80:W88" si="72">IF(AG80="2",I80,0)</f>
        <v>0</v>
      </c>
      <c r="X80" s="44">
        <f t="shared" ref="X80:X88" si="73">IF(AG80="0",J80,0)</f>
        <v>0</v>
      </c>
      <c r="Y80" s="35" t="s">
        <v>91</v>
      </c>
      <c r="Z80" s="19">
        <f t="shared" ref="Z80:Z88" si="74">IF(AD80=0,J80,0)</f>
        <v>0</v>
      </c>
      <c r="AA80" s="19">
        <f t="shared" ref="AA80:AA88" si="75">IF(AD80=15,J80,0)</f>
        <v>0</v>
      </c>
      <c r="AB80" s="19">
        <f t="shared" ref="AB80:AB88" si="76">IF(AD80=21,J80,0)</f>
        <v>0</v>
      </c>
      <c r="AD80" s="44">
        <v>21</v>
      </c>
      <c r="AE80" s="44">
        <f>G80*0</f>
        <v>0</v>
      </c>
      <c r="AF80" s="44">
        <f>G80*(1-0)</f>
        <v>0</v>
      </c>
      <c r="AG80" s="39" t="s">
        <v>13</v>
      </c>
      <c r="AM80" s="44">
        <f t="shared" ref="AM80:AM88" si="77">F80*AE80</f>
        <v>0</v>
      </c>
      <c r="AN80" s="44">
        <f t="shared" ref="AN80:AN88" si="78">F80*AF80</f>
        <v>0</v>
      </c>
      <c r="AO80" s="45" t="s">
        <v>362</v>
      </c>
      <c r="AP80" s="45" t="s">
        <v>380</v>
      </c>
      <c r="AQ80" s="35" t="s">
        <v>385</v>
      </c>
      <c r="AS80" s="44">
        <f t="shared" ref="AS80:AS88" si="79">AM80+AN80</f>
        <v>0</v>
      </c>
      <c r="AT80" s="44">
        <f t="shared" ref="AT80:AT88" si="80">G80/(100-AU80)*100</f>
        <v>0</v>
      </c>
      <c r="AU80" s="44">
        <v>0</v>
      </c>
      <c r="AV80" s="44">
        <f t="shared" ref="AV80:AV88" si="81">L80</f>
        <v>5.2260550000000006</v>
      </c>
    </row>
    <row r="81" spans="1:48" x14ac:dyDescent="0.25">
      <c r="A81" s="5" t="s">
        <v>54</v>
      </c>
      <c r="B81" s="5" t="s">
        <v>91</v>
      </c>
      <c r="C81" s="5" t="s">
        <v>146</v>
      </c>
      <c r="D81" s="5" t="s">
        <v>262</v>
      </c>
      <c r="E81" s="5" t="s">
        <v>319</v>
      </c>
      <c r="F81" s="19">
        <v>76.853750000000005</v>
      </c>
      <c r="G81" s="26">
        <v>0</v>
      </c>
      <c r="H81" s="19">
        <f t="shared" si="62"/>
        <v>0</v>
      </c>
      <c r="I81" s="19">
        <f t="shared" si="63"/>
        <v>0</v>
      </c>
      <c r="J81" s="19">
        <f t="shared" si="64"/>
        <v>0</v>
      </c>
      <c r="K81" s="19">
        <v>0</v>
      </c>
      <c r="L81" s="19">
        <f t="shared" si="65"/>
        <v>0</v>
      </c>
      <c r="M81" s="39" t="s">
        <v>342</v>
      </c>
      <c r="P81" s="44">
        <f t="shared" si="66"/>
        <v>0</v>
      </c>
      <c r="R81" s="44">
        <f t="shared" si="67"/>
        <v>0</v>
      </c>
      <c r="S81" s="44">
        <f t="shared" si="68"/>
        <v>0</v>
      </c>
      <c r="T81" s="44">
        <f t="shared" si="69"/>
        <v>0</v>
      </c>
      <c r="U81" s="44">
        <f t="shared" si="70"/>
        <v>0</v>
      </c>
      <c r="V81" s="44">
        <f t="shared" si="71"/>
        <v>0</v>
      </c>
      <c r="W81" s="44">
        <f t="shared" si="72"/>
        <v>0</v>
      </c>
      <c r="X81" s="44">
        <f t="shared" si="73"/>
        <v>0</v>
      </c>
      <c r="Y81" s="35" t="s">
        <v>91</v>
      </c>
      <c r="Z81" s="19">
        <f t="shared" si="74"/>
        <v>0</v>
      </c>
      <c r="AA81" s="19">
        <f t="shared" si="75"/>
        <v>0</v>
      </c>
      <c r="AB81" s="19">
        <f t="shared" si="76"/>
        <v>0</v>
      </c>
      <c r="AD81" s="44">
        <v>21</v>
      </c>
      <c r="AE81" s="44">
        <f>G81*0</f>
        <v>0</v>
      </c>
      <c r="AF81" s="44">
        <f>G81*(1-0)</f>
        <v>0</v>
      </c>
      <c r="AG81" s="39" t="s">
        <v>13</v>
      </c>
      <c r="AM81" s="44">
        <f t="shared" si="77"/>
        <v>0</v>
      </c>
      <c r="AN81" s="44">
        <f t="shared" si="78"/>
        <v>0</v>
      </c>
      <c r="AO81" s="45" t="s">
        <v>362</v>
      </c>
      <c r="AP81" s="45" t="s">
        <v>380</v>
      </c>
      <c r="AQ81" s="35" t="s">
        <v>385</v>
      </c>
      <c r="AS81" s="44">
        <f t="shared" si="79"/>
        <v>0</v>
      </c>
      <c r="AT81" s="44">
        <f t="shared" si="80"/>
        <v>0</v>
      </c>
      <c r="AU81" s="44">
        <v>0</v>
      </c>
      <c r="AV81" s="44">
        <f t="shared" si="81"/>
        <v>0</v>
      </c>
    </row>
    <row r="82" spans="1:48" x14ac:dyDescent="0.25">
      <c r="A82" s="5" t="s">
        <v>55</v>
      </c>
      <c r="B82" s="5" t="s">
        <v>91</v>
      </c>
      <c r="C82" s="5" t="s">
        <v>147</v>
      </c>
      <c r="D82" s="5" t="s">
        <v>263</v>
      </c>
      <c r="E82" s="5" t="s">
        <v>319</v>
      </c>
      <c r="F82" s="19">
        <v>57.526499999999999</v>
      </c>
      <c r="G82" s="26">
        <v>0</v>
      </c>
      <c r="H82" s="19">
        <f t="shared" si="62"/>
        <v>0</v>
      </c>
      <c r="I82" s="19">
        <f t="shared" si="63"/>
        <v>0</v>
      </c>
      <c r="J82" s="19">
        <f t="shared" si="64"/>
        <v>0</v>
      </c>
      <c r="K82" s="19">
        <v>0</v>
      </c>
      <c r="L82" s="19">
        <f t="shared" si="65"/>
        <v>0</v>
      </c>
      <c r="M82" s="39" t="s">
        <v>342</v>
      </c>
      <c r="P82" s="44">
        <f t="shared" si="66"/>
        <v>0</v>
      </c>
      <c r="R82" s="44">
        <f t="shared" si="67"/>
        <v>0</v>
      </c>
      <c r="S82" s="44">
        <f t="shared" si="68"/>
        <v>0</v>
      </c>
      <c r="T82" s="44">
        <f t="shared" si="69"/>
        <v>0</v>
      </c>
      <c r="U82" s="44">
        <f t="shared" si="70"/>
        <v>0</v>
      </c>
      <c r="V82" s="44">
        <f t="shared" si="71"/>
        <v>0</v>
      </c>
      <c r="W82" s="44">
        <f t="shared" si="72"/>
        <v>0</v>
      </c>
      <c r="X82" s="44">
        <f t="shared" si="73"/>
        <v>0</v>
      </c>
      <c r="Y82" s="35" t="s">
        <v>91</v>
      </c>
      <c r="Z82" s="19">
        <f t="shared" si="74"/>
        <v>0</v>
      </c>
      <c r="AA82" s="19">
        <f t="shared" si="75"/>
        <v>0</v>
      </c>
      <c r="AB82" s="19">
        <f t="shared" si="76"/>
        <v>0</v>
      </c>
      <c r="AD82" s="44">
        <v>21</v>
      </c>
      <c r="AE82" s="44">
        <f>G82*0</f>
        <v>0</v>
      </c>
      <c r="AF82" s="44">
        <f>G82*(1-0)</f>
        <v>0</v>
      </c>
      <c r="AG82" s="39" t="s">
        <v>13</v>
      </c>
      <c r="AM82" s="44">
        <f t="shared" si="77"/>
        <v>0</v>
      </c>
      <c r="AN82" s="44">
        <f t="shared" si="78"/>
        <v>0</v>
      </c>
      <c r="AO82" s="45" t="s">
        <v>362</v>
      </c>
      <c r="AP82" s="45" t="s">
        <v>380</v>
      </c>
      <c r="AQ82" s="35" t="s">
        <v>385</v>
      </c>
      <c r="AS82" s="44">
        <f t="shared" si="79"/>
        <v>0</v>
      </c>
      <c r="AT82" s="44">
        <f t="shared" si="80"/>
        <v>0</v>
      </c>
      <c r="AU82" s="44">
        <v>0</v>
      </c>
      <c r="AV82" s="44">
        <f t="shared" si="81"/>
        <v>0</v>
      </c>
    </row>
    <row r="83" spans="1:48" x14ac:dyDescent="0.25">
      <c r="A83" s="5" t="s">
        <v>56</v>
      </c>
      <c r="B83" s="5" t="s">
        <v>91</v>
      </c>
      <c r="C83" s="5" t="s">
        <v>148</v>
      </c>
      <c r="D83" s="5" t="s">
        <v>264</v>
      </c>
      <c r="E83" s="5" t="s">
        <v>319</v>
      </c>
      <c r="F83" s="19">
        <v>57.526499999999999</v>
      </c>
      <c r="G83" s="26">
        <v>0</v>
      </c>
      <c r="H83" s="19">
        <f t="shared" si="62"/>
        <v>0</v>
      </c>
      <c r="I83" s="19">
        <f t="shared" si="63"/>
        <v>0</v>
      </c>
      <c r="J83" s="19">
        <f t="shared" si="64"/>
        <v>0</v>
      </c>
      <c r="K83" s="19">
        <v>2.1000000000000001E-4</v>
      </c>
      <c r="L83" s="19">
        <f t="shared" si="65"/>
        <v>1.2080565E-2</v>
      </c>
      <c r="M83" s="39" t="s">
        <v>342</v>
      </c>
      <c r="P83" s="44">
        <f t="shared" si="66"/>
        <v>0</v>
      </c>
      <c r="R83" s="44">
        <f t="shared" si="67"/>
        <v>0</v>
      </c>
      <c r="S83" s="44">
        <f t="shared" si="68"/>
        <v>0</v>
      </c>
      <c r="T83" s="44">
        <f t="shared" si="69"/>
        <v>0</v>
      </c>
      <c r="U83" s="44">
        <f t="shared" si="70"/>
        <v>0</v>
      </c>
      <c r="V83" s="44">
        <f t="shared" si="71"/>
        <v>0</v>
      </c>
      <c r="W83" s="44">
        <f t="shared" si="72"/>
        <v>0</v>
      </c>
      <c r="X83" s="44">
        <f t="shared" si="73"/>
        <v>0</v>
      </c>
      <c r="Y83" s="35" t="s">
        <v>91</v>
      </c>
      <c r="Z83" s="19">
        <f t="shared" si="74"/>
        <v>0</v>
      </c>
      <c r="AA83" s="19">
        <f t="shared" si="75"/>
        <v>0</v>
      </c>
      <c r="AB83" s="19">
        <f t="shared" si="76"/>
        <v>0</v>
      </c>
      <c r="AD83" s="44">
        <v>21</v>
      </c>
      <c r="AE83" s="44">
        <f>G83*0.496512990432722</f>
        <v>0</v>
      </c>
      <c r="AF83" s="44">
        <f>G83*(1-0.496512990432722)</f>
        <v>0</v>
      </c>
      <c r="AG83" s="39" t="s">
        <v>13</v>
      </c>
      <c r="AM83" s="44">
        <f t="shared" si="77"/>
        <v>0</v>
      </c>
      <c r="AN83" s="44">
        <f t="shared" si="78"/>
        <v>0</v>
      </c>
      <c r="AO83" s="45" t="s">
        <v>362</v>
      </c>
      <c r="AP83" s="45" t="s">
        <v>380</v>
      </c>
      <c r="AQ83" s="35" t="s">
        <v>385</v>
      </c>
      <c r="AS83" s="44">
        <f t="shared" si="79"/>
        <v>0</v>
      </c>
      <c r="AT83" s="44">
        <f t="shared" si="80"/>
        <v>0</v>
      </c>
      <c r="AU83" s="44">
        <v>0</v>
      </c>
      <c r="AV83" s="44">
        <f t="shared" si="81"/>
        <v>1.2080565E-2</v>
      </c>
    </row>
    <row r="84" spans="1:48" x14ac:dyDescent="0.25">
      <c r="A84" s="5" t="s">
        <v>57</v>
      </c>
      <c r="B84" s="5" t="s">
        <v>91</v>
      </c>
      <c r="C84" s="5" t="s">
        <v>149</v>
      </c>
      <c r="D84" s="5" t="s">
        <v>265</v>
      </c>
      <c r="E84" s="5" t="s">
        <v>318</v>
      </c>
      <c r="F84" s="19">
        <v>4</v>
      </c>
      <c r="G84" s="26">
        <v>0</v>
      </c>
      <c r="H84" s="19">
        <f t="shared" si="62"/>
        <v>0</v>
      </c>
      <c r="I84" s="19">
        <f t="shared" si="63"/>
        <v>0</v>
      </c>
      <c r="J84" s="19">
        <f t="shared" si="64"/>
        <v>0</v>
      </c>
      <c r="K84" s="19">
        <v>0</v>
      </c>
      <c r="L84" s="19">
        <f t="shared" si="65"/>
        <v>0</v>
      </c>
      <c r="M84" s="39" t="s">
        <v>342</v>
      </c>
      <c r="P84" s="44">
        <f t="shared" si="66"/>
        <v>0</v>
      </c>
      <c r="R84" s="44">
        <f t="shared" si="67"/>
        <v>0</v>
      </c>
      <c r="S84" s="44">
        <f t="shared" si="68"/>
        <v>0</v>
      </c>
      <c r="T84" s="44">
        <f t="shared" si="69"/>
        <v>0</v>
      </c>
      <c r="U84" s="44">
        <f t="shared" si="70"/>
        <v>0</v>
      </c>
      <c r="V84" s="44">
        <f t="shared" si="71"/>
        <v>0</v>
      </c>
      <c r="W84" s="44">
        <f t="shared" si="72"/>
        <v>0</v>
      </c>
      <c r="X84" s="44">
        <f t="shared" si="73"/>
        <v>0</v>
      </c>
      <c r="Y84" s="35" t="s">
        <v>91</v>
      </c>
      <c r="Z84" s="19">
        <f t="shared" si="74"/>
        <v>0</v>
      </c>
      <c r="AA84" s="19">
        <f t="shared" si="75"/>
        <v>0</v>
      </c>
      <c r="AB84" s="19">
        <f t="shared" si="76"/>
        <v>0</v>
      </c>
      <c r="AD84" s="44">
        <v>21</v>
      </c>
      <c r="AE84" s="44">
        <f>G84*0.0765377679823683</f>
        <v>0</v>
      </c>
      <c r="AF84" s="44">
        <f>G84*(1-0.0765377679823683)</f>
        <v>0</v>
      </c>
      <c r="AG84" s="39" t="s">
        <v>13</v>
      </c>
      <c r="AM84" s="44">
        <f t="shared" si="77"/>
        <v>0</v>
      </c>
      <c r="AN84" s="44">
        <f t="shared" si="78"/>
        <v>0</v>
      </c>
      <c r="AO84" s="45" t="s">
        <v>362</v>
      </c>
      <c r="AP84" s="45" t="s">
        <v>380</v>
      </c>
      <c r="AQ84" s="35" t="s">
        <v>385</v>
      </c>
      <c r="AS84" s="44">
        <f t="shared" si="79"/>
        <v>0</v>
      </c>
      <c r="AT84" s="44">
        <f t="shared" si="80"/>
        <v>0</v>
      </c>
      <c r="AU84" s="44">
        <v>0</v>
      </c>
      <c r="AV84" s="44">
        <f t="shared" si="81"/>
        <v>0</v>
      </c>
    </row>
    <row r="85" spans="1:48" x14ac:dyDescent="0.25">
      <c r="A85" s="5" t="s">
        <v>58</v>
      </c>
      <c r="B85" s="5" t="s">
        <v>91</v>
      </c>
      <c r="C85" s="5" t="s">
        <v>150</v>
      </c>
      <c r="D85" s="5" t="s">
        <v>266</v>
      </c>
      <c r="E85" s="5" t="s">
        <v>319</v>
      </c>
      <c r="F85" s="19">
        <v>57.526499999999999</v>
      </c>
      <c r="G85" s="26">
        <v>0</v>
      </c>
      <c r="H85" s="19">
        <f t="shared" si="62"/>
        <v>0</v>
      </c>
      <c r="I85" s="19">
        <f t="shared" si="63"/>
        <v>0</v>
      </c>
      <c r="J85" s="19">
        <f t="shared" si="64"/>
        <v>0</v>
      </c>
      <c r="K85" s="19">
        <v>5.3499999999999997E-3</v>
      </c>
      <c r="L85" s="19">
        <f t="shared" si="65"/>
        <v>0.30776677499999999</v>
      </c>
      <c r="M85" s="39" t="s">
        <v>342</v>
      </c>
      <c r="P85" s="44">
        <f t="shared" si="66"/>
        <v>0</v>
      </c>
      <c r="R85" s="44">
        <f t="shared" si="67"/>
        <v>0</v>
      </c>
      <c r="S85" s="44">
        <f t="shared" si="68"/>
        <v>0</v>
      </c>
      <c r="T85" s="44">
        <f t="shared" si="69"/>
        <v>0</v>
      </c>
      <c r="U85" s="44">
        <f t="shared" si="70"/>
        <v>0</v>
      </c>
      <c r="V85" s="44">
        <f t="shared" si="71"/>
        <v>0</v>
      </c>
      <c r="W85" s="44">
        <f t="shared" si="72"/>
        <v>0</v>
      </c>
      <c r="X85" s="44">
        <f t="shared" si="73"/>
        <v>0</v>
      </c>
      <c r="Y85" s="35" t="s">
        <v>91</v>
      </c>
      <c r="Z85" s="19">
        <f t="shared" si="74"/>
        <v>0</v>
      </c>
      <c r="AA85" s="19">
        <f t="shared" si="75"/>
        <v>0</v>
      </c>
      <c r="AB85" s="19">
        <f t="shared" si="76"/>
        <v>0</v>
      </c>
      <c r="AD85" s="44">
        <v>21</v>
      </c>
      <c r="AE85" s="44">
        <f>G85*0.154025618199027</f>
        <v>0</v>
      </c>
      <c r="AF85" s="44">
        <f>G85*(1-0.154025618199027)</f>
        <v>0</v>
      </c>
      <c r="AG85" s="39" t="s">
        <v>13</v>
      </c>
      <c r="AM85" s="44">
        <f t="shared" si="77"/>
        <v>0</v>
      </c>
      <c r="AN85" s="44">
        <f t="shared" si="78"/>
        <v>0</v>
      </c>
      <c r="AO85" s="45" t="s">
        <v>362</v>
      </c>
      <c r="AP85" s="45" t="s">
        <v>380</v>
      </c>
      <c r="AQ85" s="35" t="s">
        <v>385</v>
      </c>
      <c r="AS85" s="44">
        <f t="shared" si="79"/>
        <v>0</v>
      </c>
      <c r="AT85" s="44">
        <f t="shared" si="80"/>
        <v>0</v>
      </c>
      <c r="AU85" s="44">
        <v>0</v>
      </c>
      <c r="AV85" s="44">
        <f t="shared" si="81"/>
        <v>0.30776677499999999</v>
      </c>
    </row>
    <row r="86" spans="1:48" x14ac:dyDescent="0.25">
      <c r="A86" s="5" t="s">
        <v>59</v>
      </c>
      <c r="B86" s="5" t="s">
        <v>91</v>
      </c>
      <c r="C86" s="5" t="s">
        <v>151</v>
      </c>
      <c r="D86" s="5" t="s">
        <v>267</v>
      </c>
      <c r="E86" s="5" t="s">
        <v>319</v>
      </c>
      <c r="F86" s="19">
        <v>57.526499999999999</v>
      </c>
      <c r="G86" s="26">
        <v>0</v>
      </c>
      <c r="H86" s="19">
        <f t="shared" si="62"/>
        <v>0</v>
      </c>
      <c r="I86" s="19">
        <f t="shared" si="63"/>
        <v>0</v>
      </c>
      <c r="J86" s="19">
        <f t="shared" si="64"/>
        <v>0</v>
      </c>
      <c r="K86" s="19">
        <v>8.9999999999999998E-4</v>
      </c>
      <c r="L86" s="19">
        <f t="shared" si="65"/>
        <v>5.1773849999999996E-2</v>
      </c>
      <c r="M86" s="39" t="s">
        <v>342</v>
      </c>
      <c r="P86" s="44">
        <f t="shared" si="66"/>
        <v>0</v>
      </c>
      <c r="R86" s="44">
        <f t="shared" si="67"/>
        <v>0</v>
      </c>
      <c r="S86" s="44">
        <f t="shared" si="68"/>
        <v>0</v>
      </c>
      <c r="T86" s="44">
        <f t="shared" si="69"/>
        <v>0</v>
      </c>
      <c r="U86" s="44">
        <f t="shared" si="70"/>
        <v>0</v>
      </c>
      <c r="V86" s="44">
        <f t="shared" si="71"/>
        <v>0</v>
      </c>
      <c r="W86" s="44">
        <f t="shared" si="72"/>
        <v>0</v>
      </c>
      <c r="X86" s="44">
        <f t="shared" si="73"/>
        <v>0</v>
      </c>
      <c r="Y86" s="35" t="s">
        <v>91</v>
      </c>
      <c r="Z86" s="19">
        <f t="shared" si="74"/>
        <v>0</v>
      </c>
      <c r="AA86" s="19">
        <f t="shared" si="75"/>
        <v>0</v>
      </c>
      <c r="AB86" s="19">
        <f t="shared" si="76"/>
        <v>0</v>
      </c>
      <c r="AD86" s="44">
        <v>21</v>
      </c>
      <c r="AE86" s="44">
        <f>G86*1.00000193148072</f>
        <v>0</v>
      </c>
      <c r="AF86" s="44">
        <f>G86*(1-1.00000193148072)</f>
        <v>0</v>
      </c>
      <c r="AG86" s="39" t="s">
        <v>13</v>
      </c>
      <c r="AM86" s="44">
        <f t="shared" si="77"/>
        <v>0</v>
      </c>
      <c r="AN86" s="44">
        <f t="shared" si="78"/>
        <v>0</v>
      </c>
      <c r="AO86" s="45" t="s">
        <v>362</v>
      </c>
      <c r="AP86" s="45" t="s">
        <v>380</v>
      </c>
      <c r="AQ86" s="35" t="s">
        <v>385</v>
      </c>
      <c r="AS86" s="44">
        <f t="shared" si="79"/>
        <v>0</v>
      </c>
      <c r="AT86" s="44">
        <f t="shared" si="80"/>
        <v>0</v>
      </c>
      <c r="AU86" s="44">
        <v>0</v>
      </c>
      <c r="AV86" s="44">
        <f t="shared" si="81"/>
        <v>5.1773849999999996E-2</v>
      </c>
    </row>
    <row r="87" spans="1:48" x14ac:dyDescent="0.25">
      <c r="A87" s="6" t="s">
        <v>60</v>
      </c>
      <c r="B87" s="6" t="s">
        <v>91</v>
      </c>
      <c r="C87" s="6" t="s">
        <v>152</v>
      </c>
      <c r="D87" s="6" t="s">
        <v>268</v>
      </c>
      <c r="E87" s="6" t="s">
        <v>319</v>
      </c>
      <c r="F87" s="20">
        <v>67</v>
      </c>
      <c r="G87" s="28">
        <v>0</v>
      </c>
      <c r="H87" s="20">
        <f t="shared" si="62"/>
        <v>0</v>
      </c>
      <c r="I87" s="20">
        <f t="shared" si="63"/>
        <v>0</v>
      </c>
      <c r="J87" s="20">
        <f t="shared" si="64"/>
        <v>0</v>
      </c>
      <c r="K87" s="20">
        <v>1.0500000000000001E-2</v>
      </c>
      <c r="L87" s="20">
        <f t="shared" si="65"/>
        <v>0.70350000000000001</v>
      </c>
      <c r="M87" s="40" t="s">
        <v>342</v>
      </c>
      <c r="P87" s="44">
        <f t="shared" si="66"/>
        <v>0</v>
      </c>
      <c r="R87" s="44">
        <f t="shared" si="67"/>
        <v>0</v>
      </c>
      <c r="S87" s="44">
        <f t="shared" si="68"/>
        <v>0</v>
      </c>
      <c r="T87" s="44">
        <f t="shared" si="69"/>
        <v>0</v>
      </c>
      <c r="U87" s="44">
        <f t="shared" si="70"/>
        <v>0</v>
      </c>
      <c r="V87" s="44">
        <f t="shared" si="71"/>
        <v>0</v>
      </c>
      <c r="W87" s="44">
        <f t="shared" si="72"/>
        <v>0</v>
      </c>
      <c r="X87" s="44">
        <f t="shared" si="73"/>
        <v>0</v>
      </c>
      <c r="Y87" s="35" t="s">
        <v>91</v>
      </c>
      <c r="Z87" s="20">
        <f t="shared" si="74"/>
        <v>0</v>
      </c>
      <c r="AA87" s="20">
        <f t="shared" si="75"/>
        <v>0</v>
      </c>
      <c r="AB87" s="20">
        <f t="shared" si="76"/>
        <v>0</v>
      </c>
      <c r="AD87" s="44">
        <v>21</v>
      </c>
      <c r="AE87" s="44">
        <f>G87*1</f>
        <v>0</v>
      </c>
      <c r="AF87" s="44">
        <f>G87*(1-1)</f>
        <v>0</v>
      </c>
      <c r="AG87" s="40" t="s">
        <v>13</v>
      </c>
      <c r="AM87" s="44">
        <f t="shared" si="77"/>
        <v>0</v>
      </c>
      <c r="AN87" s="44">
        <f t="shared" si="78"/>
        <v>0</v>
      </c>
      <c r="AO87" s="45" t="s">
        <v>362</v>
      </c>
      <c r="AP87" s="45" t="s">
        <v>380</v>
      </c>
      <c r="AQ87" s="35" t="s">
        <v>385</v>
      </c>
      <c r="AS87" s="44">
        <f t="shared" si="79"/>
        <v>0</v>
      </c>
      <c r="AT87" s="44">
        <f t="shared" si="80"/>
        <v>0</v>
      </c>
      <c r="AU87" s="44">
        <v>0</v>
      </c>
      <c r="AV87" s="44">
        <f t="shared" si="81"/>
        <v>0.70350000000000001</v>
      </c>
    </row>
    <row r="88" spans="1:48" x14ac:dyDescent="0.25">
      <c r="A88" s="5" t="s">
        <v>61</v>
      </c>
      <c r="B88" s="5" t="s">
        <v>91</v>
      </c>
      <c r="C88" s="5" t="s">
        <v>153</v>
      </c>
      <c r="D88" s="5" t="s">
        <v>269</v>
      </c>
      <c r="E88" s="5" t="s">
        <v>322</v>
      </c>
      <c r="F88" s="19">
        <v>63</v>
      </c>
      <c r="G88" s="26">
        <v>0</v>
      </c>
      <c r="H88" s="19">
        <f t="shared" si="62"/>
        <v>0</v>
      </c>
      <c r="I88" s="19">
        <f t="shared" si="63"/>
        <v>0</v>
      </c>
      <c r="J88" s="19">
        <f t="shared" si="64"/>
        <v>0</v>
      </c>
      <c r="K88" s="19">
        <v>0</v>
      </c>
      <c r="L88" s="19">
        <f t="shared" si="65"/>
        <v>0</v>
      </c>
      <c r="M88" s="39" t="s">
        <v>342</v>
      </c>
      <c r="P88" s="44">
        <f t="shared" si="66"/>
        <v>0</v>
      </c>
      <c r="R88" s="44">
        <f t="shared" si="67"/>
        <v>0</v>
      </c>
      <c r="S88" s="44">
        <f t="shared" si="68"/>
        <v>0</v>
      </c>
      <c r="T88" s="44">
        <f t="shared" si="69"/>
        <v>0</v>
      </c>
      <c r="U88" s="44">
        <f t="shared" si="70"/>
        <v>0</v>
      </c>
      <c r="V88" s="44">
        <f t="shared" si="71"/>
        <v>0</v>
      </c>
      <c r="W88" s="44">
        <f t="shared" si="72"/>
        <v>0</v>
      </c>
      <c r="X88" s="44">
        <f t="shared" si="73"/>
        <v>0</v>
      </c>
      <c r="Y88" s="35" t="s">
        <v>91</v>
      </c>
      <c r="Z88" s="19">
        <f t="shared" si="74"/>
        <v>0</v>
      </c>
      <c r="AA88" s="19">
        <f t="shared" si="75"/>
        <v>0</v>
      </c>
      <c r="AB88" s="19">
        <f t="shared" si="76"/>
        <v>0</v>
      </c>
      <c r="AD88" s="44">
        <v>21</v>
      </c>
      <c r="AE88" s="44">
        <f>G88*0</f>
        <v>0</v>
      </c>
      <c r="AF88" s="44">
        <f>G88*(1-0)</f>
        <v>0</v>
      </c>
      <c r="AG88" s="39" t="s">
        <v>13</v>
      </c>
      <c r="AM88" s="44">
        <f t="shared" si="77"/>
        <v>0</v>
      </c>
      <c r="AN88" s="44">
        <f t="shared" si="78"/>
        <v>0</v>
      </c>
      <c r="AO88" s="45" t="s">
        <v>362</v>
      </c>
      <c r="AP88" s="45" t="s">
        <v>380</v>
      </c>
      <c r="AQ88" s="35" t="s">
        <v>385</v>
      </c>
      <c r="AS88" s="44">
        <f t="shared" si="79"/>
        <v>0</v>
      </c>
      <c r="AT88" s="44">
        <f t="shared" si="80"/>
        <v>0</v>
      </c>
      <c r="AU88" s="44">
        <v>0</v>
      </c>
      <c r="AV88" s="44">
        <f t="shared" si="81"/>
        <v>0</v>
      </c>
    </row>
    <row r="89" spans="1:48" x14ac:dyDescent="0.25">
      <c r="D89" s="17" t="s">
        <v>270</v>
      </c>
      <c r="G89" s="27"/>
    </row>
    <row r="90" spans="1:48" x14ac:dyDescent="0.25">
      <c r="A90" s="5" t="s">
        <v>62</v>
      </c>
      <c r="B90" s="5" t="s">
        <v>91</v>
      </c>
      <c r="C90" s="5" t="s">
        <v>154</v>
      </c>
      <c r="D90" s="5" t="s">
        <v>271</v>
      </c>
      <c r="E90" s="5" t="s">
        <v>321</v>
      </c>
      <c r="F90" s="19">
        <v>6.3011999999999997</v>
      </c>
      <c r="G90" s="26">
        <v>0</v>
      </c>
      <c r="H90" s="19">
        <f>F90*AE90</f>
        <v>0</v>
      </c>
      <c r="I90" s="19">
        <f>J90-H90</f>
        <v>0</v>
      </c>
      <c r="J90" s="19">
        <f>F90*G90</f>
        <v>0</v>
      </c>
      <c r="K90" s="19">
        <v>0</v>
      </c>
      <c r="L90" s="19">
        <f>F90*K90</f>
        <v>0</v>
      </c>
      <c r="M90" s="39" t="s">
        <v>342</v>
      </c>
      <c r="P90" s="44">
        <f>IF(AG90="5",J90,0)</f>
        <v>0</v>
      </c>
      <c r="R90" s="44">
        <f>IF(AG90="1",H90,0)</f>
        <v>0</v>
      </c>
      <c r="S90" s="44">
        <f>IF(AG90="1",I90,0)</f>
        <v>0</v>
      </c>
      <c r="T90" s="44">
        <f>IF(AG90="7",H90,0)</f>
        <v>0</v>
      </c>
      <c r="U90" s="44">
        <f>IF(AG90="7",I90,0)</f>
        <v>0</v>
      </c>
      <c r="V90" s="44">
        <f>IF(AG90="2",H90,0)</f>
        <v>0</v>
      </c>
      <c r="W90" s="44">
        <f>IF(AG90="2",I90,0)</f>
        <v>0</v>
      </c>
      <c r="X90" s="44">
        <f>IF(AG90="0",J90,0)</f>
        <v>0</v>
      </c>
      <c r="Y90" s="35" t="s">
        <v>91</v>
      </c>
      <c r="Z90" s="19">
        <f>IF(AD90=0,J90,0)</f>
        <v>0</v>
      </c>
      <c r="AA90" s="19">
        <f>IF(AD90=15,J90,0)</f>
        <v>0</v>
      </c>
      <c r="AB90" s="19">
        <f>IF(AD90=21,J90,0)</f>
        <v>0</v>
      </c>
      <c r="AD90" s="44">
        <v>21</v>
      </c>
      <c r="AE90" s="44">
        <f>G90*0</f>
        <v>0</v>
      </c>
      <c r="AF90" s="44">
        <f>G90*(1-0)</f>
        <v>0</v>
      </c>
      <c r="AG90" s="39" t="s">
        <v>11</v>
      </c>
      <c r="AM90" s="44">
        <f>F90*AE90</f>
        <v>0</v>
      </c>
      <c r="AN90" s="44">
        <f>F90*AF90</f>
        <v>0</v>
      </c>
      <c r="AO90" s="45" t="s">
        <v>362</v>
      </c>
      <c r="AP90" s="45" t="s">
        <v>380</v>
      </c>
      <c r="AQ90" s="35" t="s">
        <v>385</v>
      </c>
      <c r="AS90" s="44">
        <f>AM90+AN90</f>
        <v>0</v>
      </c>
      <c r="AT90" s="44">
        <f>G90/(100-AU90)*100</f>
        <v>0</v>
      </c>
      <c r="AU90" s="44">
        <v>0</v>
      </c>
      <c r="AV90" s="44">
        <f>L90</f>
        <v>0</v>
      </c>
    </row>
    <row r="91" spans="1:48" x14ac:dyDescent="0.25">
      <c r="A91" s="4"/>
      <c r="B91" s="14" t="s">
        <v>91</v>
      </c>
      <c r="C91" s="14" t="s">
        <v>155</v>
      </c>
      <c r="D91" s="14" t="s">
        <v>272</v>
      </c>
      <c r="E91" s="4" t="s">
        <v>6</v>
      </c>
      <c r="F91" s="4" t="s">
        <v>6</v>
      </c>
      <c r="G91" s="25" t="s">
        <v>6</v>
      </c>
      <c r="H91" s="47">
        <f>SUM(H92:H93)</f>
        <v>0</v>
      </c>
      <c r="I91" s="47">
        <f>SUM(I92:I93)</f>
        <v>0</v>
      </c>
      <c r="J91" s="47">
        <f>H91+I91</f>
        <v>0</v>
      </c>
      <c r="K91" s="35"/>
      <c r="L91" s="47">
        <f>SUM(L92:L93)</f>
        <v>2.7359999999999997E-3</v>
      </c>
      <c r="M91" s="35"/>
      <c r="Y91" s="35" t="s">
        <v>91</v>
      </c>
      <c r="AI91" s="47">
        <f>SUM(Z92:Z93)</f>
        <v>0</v>
      </c>
      <c r="AJ91" s="47">
        <f>SUM(AA92:AA93)</f>
        <v>0</v>
      </c>
      <c r="AK91" s="47">
        <f>SUM(AB92:AB93)</f>
        <v>0</v>
      </c>
    </row>
    <row r="92" spans="1:48" x14ac:dyDescent="0.25">
      <c r="A92" s="5" t="s">
        <v>63</v>
      </c>
      <c r="B92" s="5" t="s">
        <v>91</v>
      </c>
      <c r="C92" s="5" t="s">
        <v>156</v>
      </c>
      <c r="D92" s="5" t="s">
        <v>273</v>
      </c>
      <c r="E92" s="5" t="s">
        <v>319</v>
      </c>
      <c r="F92" s="19">
        <v>7.6</v>
      </c>
      <c r="G92" s="26">
        <v>0</v>
      </c>
      <c r="H92" s="19">
        <f>F92*AE92</f>
        <v>0</v>
      </c>
      <c r="I92" s="19">
        <f>J92-H92</f>
        <v>0</v>
      </c>
      <c r="J92" s="19">
        <f>F92*G92</f>
        <v>0</v>
      </c>
      <c r="K92" s="19">
        <v>8.0000000000000007E-5</v>
      </c>
      <c r="L92" s="19">
        <f>F92*K92</f>
        <v>6.0800000000000003E-4</v>
      </c>
      <c r="M92" s="39" t="s">
        <v>342</v>
      </c>
      <c r="P92" s="44">
        <f>IF(AG92="5",J92,0)</f>
        <v>0</v>
      </c>
      <c r="R92" s="44">
        <f>IF(AG92="1",H92,0)</f>
        <v>0</v>
      </c>
      <c r="S92" s="44">
        <f>IF(AG92="1",I92,0)</f>
        <v>0</v>
      </c>
      <c r="T92" s="44">
        <f>IF(AG92="7",H92,0)</f>
        <v>0</v>
      </c>
      <c r="U92" s="44">
        <f>IF(AG92="7",I92,0)</f>
        <v>0</v>
      </c>
      <c r="V92" s="44">
        <f>IF(AG92="2",H92,0)</f>
        <v>0</v>
      </c>
      <c r="W92" s="44">
        <f>IF(AG92="2",I92,0)</f>
        <v>0</v>
      </c>
      <c r="X92" s="44">
        <f>IF(AG92="0",J92,0)</f>
        <v>0</v>
      </c>
      <c r="Y92" s="35" t="s">
        <v>91</v>
      </c>
      <c r="Z92" s="19">
        <f>IF(AD92=0,J92,0)</f>
        <v>0</v>
      </c>
      <c r="AA92" s="19">
        <f>IF(AD92=15,J92,0)</f>
        <v>0</v>
      </c>
      <c r="AB92" s="19">
        <f>IF(AD92=21,J92,0)</f>
        <v>0</v>
      </c>
      <c r="AD92" s="44">
        <v>21</v>
      </c>
      <c r="AE92" s="44">
        <f>G92*0.132343234323432</f>
        <v>0</v>
      </c>
      <c r="AF92" s="44">
        <f>G92*(1-0.132343234323432)</f>
        <v>0</v>
      </c>
      <c r="AG92" s="39" t="s">
        <v>13</v>
      </c>
      <c r="AM92" s="44">
        <f>F92*AE92</f>
        <v>0</v>
      </c>
      <c r="AN92" s="44">
        <f>F92*AF92</f>
        <v>0</v>
      </c>
      <c r="AO92" s="45" t="s">
        <v>363</v>
      </c>
      <c r="AP92" s="45" t="s">
        <v>380</v>
      </c>
      <c r="AQ92" s="35" t="s">
        <v>385</v>
      </c>
      <c r="AS92" s="44">
        <f>AM92+AN92</f>
        <v>0</v>
      </c>
      <c r="AT92" s="44">
        <f>G92/(100-AU92)*100</f>
        <v>0</v>
      </c>
      <c r="AU92" s="44">
        <v>0</v>
      </c>
      <c r="AV92" s="44">
        <f>L92</f>
        <v>6.0800000000000003E-4</v>
      </c>
    </row>
    <row r="93" spans="1:48" x14ac:dyDescent="0.25">
      <c r="A93" s="5" t="s">
        <v>64</v>
      </c>
      <c r="B93" s="5" t="s">
        <v>91</v>
      </c>
      <c r="C93" s="5" t="s">
        <v>157</v>
      </c>
      <c r="D93" s="5" t="s">
        <v>274</v>
      </c>
      <c r="E93" s="5" t="s">
        <v>319</v>
      </c>
      <c r="F93" s="19">
        <v>7.6</v>
      </c>
      <c r="G93" s="26">
        <v>0</v>
      </c>
      <c r="H93" s="19">
        <f>F93*AE93</f>
        <v>0</v>
      </c>
      <c r="I93" s="19">
        <f>J93-H93</f>
        <v>0</v>
      </c>
      <c r="J93" s="19">
        <f>F93*G93</f>
        <v>0</v>
      </c>
      <c r="K93" s="19">
        <v>2.7999999999999998E-4</v>
      </c>
      <c r="L93" s="19">
        <f>F93*K93</f>
        <v>2.1279999999999997E-3</v>
      </c>
      <c r="M93" s="39" t="s">
        <v>342</v>
      </c>
      <c r="P93" s="44">
        <f>IF(AG93="5",J93,0)</f>
        <v>0</v>
      </c>
      <c r="R93" s="44">
        <f>IF(AG93="1",H93,0)</f>
        <v>0</v>
      </c>
      <c r="S93" s="44">
        <f>IF(AG93="1",I93,0)</f>
        <v>0</v>
      </c>
      <c r="T93" s="44">
        <f>IF(AG93="7",H93,0)</f>
        <v>0</v>
      </c>
      <c r="U93" s="44">
        <f>IF(AG93="7",I93,0)</f>
        <v>0</v>
      </c>
      <c r="V93" s="44">
        <f>IF(AG93="2",H93,0)</f>
        <v>0</v>
      </c>
      <c r="W93" s="44">
        <f>IF(AG93="2",I93,0)</f>
        <v>0</v>
      </c>
      <c r="X93" s="44">
        <f>IF(AG93="0",J93,0)</f>
        <v>0</v>
      </c>
      <c r="Y93" s="35" t="s">
        <v>91</v>
      </c>
      <c r="Z93" s="19">
        <f>IF(AD93=0,J93,0)</f>
        <v>0</v>
      </c>
      <c r="AA93" s="19">
        <f>IF(AD93=15,J93,0)</f>
        <v>0</v>
      </c>
      <c r="AB93" s="19">
        <f>IF(AD93=21,J93,0)</f>
        <v>0</v>
      </c>
      <c r="AD93" s="44">
        <v>21</v>
      </c>
      <c r="AE93" s="44">
        <f>G93*0.206968070273285</f>
        <v>0</v>
      </c>
      <c r="AF93" s="44">
        <f>G93*(1-0.206968070273285)</f>
        <v>0</v>
      </c>
      <c r="AG93" s="39" t="s">
        <v>13</v>
      </c>
      <c r="AM93" s="44">
        <f>F93*AE93</f>
        <v>0</v>
      </c>
      <c r="AN93" s="44">
        <f>F93*AF93</f>
        <v>0</v>
      </c>
      <c r="AO93" s="45" t="s">
        <v>363</v>
      </c>
      <c r="AP93" s="45" t="s">
        <v>380</v>
      </c>
      <c r="AQ93" s="35" t="s">
        <v>385</v>
      </c>
      <c r="AS93" s="44">
        <f>AM93+AN93</f>
        <v>0</v>
      </c>
      <c r="AT93" s="44">
        <f>G93/(100-AU93)*100</f>
        <v>0</v>
      </c>
      <c r="AU93" s="44">
        <v>0</v>
      </c>
      <c r="AV93" s="44">
        <f>L93</f>
        <v>2.1279999999999997E-3</v>
      </c>
    </row>
    <row r="94" spans="1:48" x14ac:dyDescent="0.25">
      <c r="A94" s="4"/>
      <c r="B94" s="14" t="s">
        <v>91</v>
      </c>
      <c r="C94" s="14" t="s">
        <v>158</v>
      </c>
      <c r="D94" s="14" t="s">
        <v>275</v>
      </c>
      <c r="E94" s="4" t="s">
        <v>6</v>
      </c>
      <c r="F94" s="4" t="s">
        <v>6</v>
      </c>
      <c r="G94" s="25" t="s">
        <v>6</v>
      </c>
      <c r="H94" s="47">
        <f>SUM(H95:H100)</f>
        <v>0</v>
      </c>
      <c r="I94" s="47">
        <f>SUM(I95:I100)</f>
        <v>0</v>
      </c>
      <c r="J94" s="47">
        <f>H94+I94</f>
        <v>0</v>
      </c>
      <c r="K94" s="35"/>
      <c r="L94" s="47">
        <f>SUM(L95:L100)</f>
        <v>5.3312999999999999E-2</v>
      </c>
      <c r="M94" s="35"/>
      <c r="Y94" s="35" t="s">
        <v>91</v>
      </c>
      <c r="AI94" s="47">
        <f>SUM(Z95:Z100)</f>
        <v>0</v>
      </c>
      <c r="AJ94" s="47">
        <f>SUM(AA95:AA100)</f>
        <v>0</v>
      </c>
      <c r="AK94" s="47">
        <f>SUM(AB95:AB100)</f>
        <v>0</v>
      </c>
    </row>
    <row r="95" spans="1:48" x14ac:dyDescent="0.25">
      <c r="A95" s="5" t="s">
        <v>65</v>
      </c>
      <c r="B95" s="5" t="s">
        <v>91</v>
      </c>
      <c r="C95" s="5" t="s">
        <v>159</v>
      </c>
      <c r="D95" s="5" t="s">
        <v>276</v>
      </c>
      <c r="E95" s="5" t="s">
        <v>319</v>
      </c>
      <c r="F95" s="19">
        <v>74.4816</v>
      </c>
      <c r="G95" s="26">
        <v>0</v>
      </c>
      <c r="H95" s="19">
        <f>F95*AE95</f>
        <v>0</v>
      </c>
      <c r="I95" s="19">
        <f>J95-H95</f>
        <v>0</v>
      </c>
      <c r="J95" s="19">
        <f>F95*G95</f>
        <v>0</v>
      </c>
      <c r="K95" s="19">
        <v>0</v>
      </c>
      <c r="L95" s="19">
        <f>F95*K95</f>
        <v>0</v>
      </c>
      <c r="M95" s="39" t="s">
        <v>342</v>
      </c>
      <c r="P95" s="44">
        <f>IF(AG95="5",J95,0)</f>
        <v>0</v>
      </c>
      <c r="R95" s="44">
        <f>IF(AG95="1",H95,0)</f>
        <v>0</v>
      </c>
      <c r="S95" s="44">
        <f>IF(AG95="1",I95,0)</f>
        <v>0</v>
      </c>
      <c r="T95" s="44">
        <f>IF(AG95="7",H95,0)</f>
        <v>0</v>
      </c>
      <c r="U95" s="44">
        <f>IF(AG95="7",I95,0)</f>
        <v>0</v>
      </c>
      <c r="V95" s="44">
        <f>IF(AG95="2",H95,0)</f>
        <v>0</v>
      </c>
      <c r="W95" s="44">
        <f>IF(AG95="2",I95,0)</f>
        <v>0</v>
      </c>
      <c r="X95" s="44">
        <f>IF(AG95="0",J95,0)</f>
        <v>0</v>
      </c>
      <c r="Y95" s="35" t="s">
        <v>91</v>
      </c>
      <c r="Z95" s="19">
        <f>IF(AD95=0,J95,0)</f>
        <v>0</v>
      </c>
      <c r="AA95" s="19">
        <f>IF(AD95=15,J95,0)</f>
        <v>0</v>
      </c>
      <c r="AB95" s="19">
        <f>IF(AD95=21,J95,0)</f>
        <v>0</v>
      </c>
      <c r="AD95" s="44">
        <v>21</v>
      </c>
      <c r="AE95" s="44">
        <f>G95*0.0031468587014182</f>
        <v>0</v>
      </c>
      <c r="AF95" s="44">
        <f>G95*(1-0.0031468587014182)</f>
        <v>0</v>
      </c>
      <c r="AG95" s="39" t="s">
        <v>13</v>
      </c>
      <c r="AM95" s="44">
        <f>F95*AE95</f>
        <v>0</v>
      </c>
      <c r="AN95" s="44">
        <f>F95*AF95</f>
        <v>0</v>
      </c>
      <c r="AO95" s="45" t="s">
        <v>364</v>
      </c>
      <c r="AP95" s="45" t="s">
        <v>380</v>
      </c>
      <c r="AQ95" s="35" t="s">
        <v>385</v>
      </c>
      <c r="AS95" s="44">
        <f>AM95+AN95</f>
        <v>0</v>
      </c>
      <c r="AT95" s="44">
        <f>G95/(100-AU95)*100</f>
        <v>0</v>
      </c>
      <c r="AU95" s="44">
        <v>0</v>
      </c>
      <c r="AV95" s="44">
        <f>L95</f>
        <v>0</v>
      </c>
    </row>
    <row r="96" spans="1:48" x14ac:dyDescent="0.25">
      <c r="A96" s="5" t="s">
        <v>66</v>
      </c>
      <c r="B96" s="5" t="s">
        <v>91</v>
      </c>
      <c r="C96" s="5" t="s">
        <v>160</v>
      </c>
      <c r="D96" s="5" t="s">
        <v>277</v>
      </c>
      <c r="E96" s="5" t="s">
        <v>319</v>
      </c>
      <c r="F96" s="19">
        <v>77.796999999999997</v>
      </c>
      <c r="G96" s="26">
        <v>0</v>
      </c>
      <c r="H96" s="19">
        <f>F96*AE96</f>
        <v>0</v>
      </c>
      <c r="I96" s="19">
        <f>J96-H96</f>
        <v>0</v>
      </c>
      <c r="J96" s="19">
        <f>F96*G96</f>
        <v>0</v>
      </c>
      <c r="K96" s="19">
        <v>2.0000000000000002E-5</v>
      </c>
      <c r="L96" s="19">
        <f>F96*K96</f>
        <v>1.55594E-3</v>
      </c>
      <c r="M96" s="39" t="s">
        <v>342</v>
      </c>
      <c r="P96" s="44">
        <f>IF(AG96="5",J96,0)</f>
        <v>0</v>
      </c>
      <c r="R96" s="44">
        <f>IF(AG96="1",H96,0)</f>
        <v>0</v>
      </c>
      <c r="S96" s="44">
        <f>IF(AG96="1",I96,0)</f>
        <v>0</v>
      </c>
      <c r="T96" s="44">
        <f>IF(AG96="7",H96,0)</f>
        <v>0</v>
      </c>
      <c r="U96" s="44">
        <f>IF(AG96="7",I96,0)</f>
        <v>0</v>
      </c>
      <c r="V96" s="44">
        <f>IF(AG96="2",H96,0)</f>
        <v>0</v>
      </c>
      <c r="W96" s="44">
        <f>IF(AG96="2",I96,0)</f>
        <v>0</v>
      </c>
      <c r="X96" s="44">
        <f>IF(AG96="0",J96,0)</f>
        <v>0</v>
      </c>
      <c r="Y96" s="35" t="s">
        <v>91</v>
      </c>
      <c r="Z96" s="19">
        <f>IF(AD96=0,J96,0)</f>
        <v>0</v>
      </c>
      <c r="AA96" s="19">
        <f>IF(AD96=15,J96,0)</f>
        <v>0</v>
      </c>
      <c r="AB96" s="19">
        <f>IF(AD96=21,J96,0)</f>
        <v>0</v>
      </c>
      <c r="AD96" s="44">
        <v>21</v>
      </c>
      <c r="AE96" s="44">
        <f>G96*0.296273779027783</f>
        <v>0</v>
      </c>
      <c r="AF96" s="44">
        <f>G96*(1-0.296273779027783)</f>
        <v>0</v>
      </c>
      <c r="AG96" s="39" t="s">
        <v>13</v>
      </c>
      <c r="AM96" s="44">
        <f>F96*AE96</f>
        <v>0</v>
      </c>
      <c r="AN96" s="44">
        <f>F96*AF96</f>
        <v>0</v>
      </c>
      <c r="AO96" s="45" t="s">
        <v>364</v>
      </c>
      <c r="AP96" s="45" t="s">
        <v>380</v>
      </c>
      <c r="AQ96" s="35" t="s">
        <v>385</v>
      </c>
      <c r="AS96" s="44">
        <f>AM96+AN96</f>
        <v>0</v>
      </c>
      <c r="AT96" s="44">
        <f>G96/(100-AU96)*100</f>
        <v>0</v>
      </c>
      <c r="AU96" s="44">
        <v>0</v>
      </c>
      <c r="AV96" s="44">
        <f>L96</f>
        <v>1.55594E-3</v>
      </c>
    </row>
    <row r="97" spans="1:48" x14ac:dyDescent="0.25">
      <c r="D97" s="17" t="s">
        <v>278</v>
      </c>
      <c r="G97" s="27"/>
    </row>
    <row r="98" spans="1:48" x14ac:dyDescent="0.25">
      <c r="A98" s="5" t="s">
        <v>67</v>
      </c>
      <c r="B98" s="5" t="s">
        <v>91</v>
      </c>
      <c r="C98" s="5" t="s">
        <v>161</v>
      </c>
      <c r="D98" s="5" t="s">
        <v>279</v>
      </c>
      <c r="E98" s="5" t="s">
        <v>319</v>
      </c>
      <c r="F98" s="19">
        <v>146.4316</v>
      </c>
      <c r="G98" s="26">
        <v>0</v>
      </c>
      <c r="H98" s="19">
        <f>F98*AE98</f>
        <v>0</v>
      </c>
      <c r="I98" s="19">
        <f>J98-H98</f>
        <v>0</v>
      </c>
      <c r="J98" s="19">
        <f>F98*G98</f>
        <v>0</v>
      </c>
      <c r="K98" s="19">
        <v>2.0000000000000001E-4</v>
      </c>
      <c r="L98" s="19">
        <f>F98*K98</f>
        <v>2.9286320000000001E-2</v>
      </c>
      <c r="M98" s="39" t="s">
        <v>342</v>
      </c>
      <c r="P98" s="44">
        <f>IF(AG98="5",J98,0)</f>
        <v>0</v>
      </c>
      <c r="R98" s="44">
        <f>IF(AG98="1",H98,0)</f>
        <v>0</v>
      </c>
      <c r="S98" s="44">
        <f>IF(AG98="1",I98,0)</f>
        <v>0</v>
      </c>
      <c r="T98" s="44">
        <f>IF(AG98="7",H98,0)</f>
        <v>0</v>
      </c>
      <c r="U98" s="44">
        <f>IF(AG98="7",I98,0)</f>
        <v>0</v>
      </c>
      <c r="V98" s="44">
        <f>IF(AG98="2",H98,0)</f>
        <v>0</v>
      </c>
      <c r="W98" s="44">
        <f>IF(AG98="2",I98,0)</f>
        <v>0</v>
      </c>
      <c r="X98" s="44">
        <f>IF(AG98="0",J98,0)</f>
        <v>0</v>
      </c>
      <c r="Y98" s="35" t="s">
        <v>91</v>
      </c>
      <c r="Z98" s="19">
        <f>IF(AD98=0,J98,0)</f>
        <v>0</v>
      </c>
      <c r="AA98" s="19">
        <f>IF(AD98=15,J98,0)</f>
        <v>0</v>
      </c>
      <c r="AB98" s="19">
        <f>IF(AD98=21,J98,0)</f>
        <v>0</v>
      </c>
      <c r="AD98" s="44">
        <v>21</v>
      </c>
      <c r="AE98" s="44">
        <f>G98*0.419651110554442</f>
        <v>0</v>
      </c>
      <c r="AF98" s="44">
        <f>G98*(1-0.419651110554442)</f>
        <v>0</v>
      </c>
      <c r="AG98" s="39" t="s">
        <v>13</v>
      </c>
      <c r="AM98" s="44">
        <f>F98*AE98</f>
        <v>0</v>
      </c>
      <c r="AN98" s="44">
        <f>F98*AF98</f>
        <v>0</v>
      </c>
      <c r="AO98" s="45" t="s">
        <v>364</v>
      </c>
      <c r="AP98" s="45" t="s">
        <v>380</v>
      </c>
      <c r="AQ98" s="35" t="s">
        <v>385</v>
      </c>
      <c r="AS98" s="44">
        <f>AM98+AN98</f>
        <v>0</v>
      </c>
      <c r="AT98" s="44">
        <f>G98/(100-AU98)*100</f>
        <v>0</v>
      </c>
      <c r="AU98" s="44">
        <v>0</v>
      </c>
      <c r="AV98" s="44">
        <f>L98</f>
        <v>2.9286320000000001E-2</v>
      </c>
    </row>
    <row r="99" spans="1:48" x14ac:dyDescent="0.25">
      <c r="A99" s="5" t="s">
        <v>68</v>
      </c>
      <c r="B99" s="5" t="s">
        <v>91</v>
      </c>
      <c r="C99" s="5" t="s">
        <v>162</v>
      </c>
      <c r="D99" s="5" t="s">
        <v>280</v>
      </c>
      <c r="E99" s="5" t="s">
        <v>319</v>
      </c>
      <c r="F99" s="19">
        <v>146.4316</v>
      </c>
      <c r="G99" s="26">
        <v>0</v>
      </c>
      <c r="H99" s="19">
        <f>F99*AE99</f>
        <v>0</v>
      </c>
      <c r="I99" s="19">
        <f>J99-H99</f>
        <v>0</v>
      </c>
      <c r="J99" s="19">
        <f>F99*G99</f>
        <v>0</v>
      </c>
      <c r="K99" s="19">
        <v>1.4999999999999999E-4</v>
      </c>
      <c r="L99" s="19">
        <f>F99*K99</f>
        <v>2.196474E-2</v>
      </c>
      <c r="M99" s="39" t="s">
        <v>342</v>
      </c>
      <c r="P99" s="44">
        <f>IF(AG99="5",J99,0)</f>
        <v>0</v>
      </c>
      <c r="R99" s="44">
        <f>IF(AG99="1",H99,0)</f>
        <v>0</v>
      </c>
      <c r="S99" s="44">
        <f>IF(AG99="1",I99,0)</f>
        <v>0</v>
      </c>
      <c r="T99" s="44">
        <f>IF(AG99="7",H99,0)</f>
        <v>0</v>
      </c>
      <c r="U99" s="44">
        <f>IF(AG99="7",I99,0)</f>
        <v>0</v>
      </c>
      <c r="V99" s="44">
        <f>IF(AG99="2",H99,0)</f>
        <v>0</v>
      </c>
      <c r="W99" s="44">
        <f>IF(AG99="2",I99,0)</f>
        <v>0</v>
      </c>
      <c r="X99" s="44">
        <f>IF(AG99="0",J99,0)</f>
        <v>0</v>
      </c>
      <c r="Y99" s="35" t="s">
        <v>91</v>
      </c>
      <c r="Z99" s="19">
        <f>IF(AD99=0,J99,0)</f>
        <v>0</v>
      </c>
      <c r="AA99" s="19">
        <f>IF(AD99=15,J99,0)</f>
        <v>0</v>
      </c>
      <c r="AB99" s="19">
        <f>IF(AD99=21,J99,0)</f>
        <v>0</v>
      </c>
      <c r="AD99" s="44">
        <v>21</v>
      </c>
      <c r="AE99" s="44">
        <f>G99*0.0897379548711189</f>
        <v>0</v>
      </c>
      <c r="AF99" s="44">
        <f>G99*(1-0.0897379548711189)</f>
        <v>0</v>
      </c>
      <c r="AG99" s="39" t="s">
        <v>13</v>
      </c>
      <c r="AM99" s="44">
        <f>F99*AE99</f>
        <v>0</v>
      </c>
      <c r="AN99" s="44">
        <f>F99*AF99</f>
        <v>0</v>
      </c>
      <c r="AO99" s="45" t="s">
        <v>364</v>
      </c>
      <c r="AP99" s="45" t="s">
        <v>380</v>
      </c>
      <c r="AQ99" s="35" t="s">
        <v>385</v>
      </c>
      <c r="AS99" s="44">
        <f>AM99+AN99</f>
        <v>0</v>
      </c>
      <c r="AT99" s="44">
        <f>G99/(100-AU99)*100</f>
        <v>0</v>
      </c>
      <c r="AU99" s="44">
        <v>0</v>
      </c>
      <c r="AV99" s="44">
        <f>L99</f>
        <v>2.196474E-2</v>
      </c>
    </row>
    <row r="100" spans="1:48" x14ac:dyDescent="0.25">
      <c r="A100" s="5" t="s">
        <v>69</v>
      </c>
      <c r="B100" s="5" t="s">
        <v>91</v>
      </c>
      <c r="C100" s="5" t="s">
        <v>163</v>
      </c>
      <c r="D100" s="5" t="s">
        <v>281</v>
      </c>
      <c r="E100" s="5" t="s">
        <v>322</v>
      </c>
      <c r="F100" s="19">
        <v>50.6</v>
      </c>
      <c r="G100" s="26">
        <v>0</v>
      </c>
      <c r="H100" s="19">
        <f>F100*AE100</f>
        <v>0</v>
      </c>
      <c r="I100" s="19">
        <f>J100-H100</f>
        <v>0</v>
      </c>
      <c r="J100" s="19">
        <f>F100*G100</f>
        <v>0</v>
      </c>
      <c r="K100" s="19">
        <v>1.0000000000000001E-5</v>
      </c>
      <c r="L100" s="19">
        <f>F100*K100</f>
        <v>5.0600000000000005E-4</v>
      </c>
      <c r="M100" s="39" t="s">
        <v>342</v>
      </c>
      <c r="P100" s="44">
        <f>IF(AG100="5",J100,0)</f>
        <v>0</v>
      </c>
      <c r="R100" s="44">
        <f>IF(AG100="1",H100,0)</f>
        <v>0</v>
      </c>
      <c r="S100" s="44">
        <f>IF(AG100="1",I100,0)</f>
        <v>0</v>
      </c>
      <c r="T100" s="44">
        <f>IF(AG100="7",H100,0)</f>
        <v>0</v>
      </c>
      <c r="U100" s="44">
        <f>IF(AG100="7",I100,0)</f>
        <v>0</v>
      </c>
      <c r="V100" s="44">
        <f>IF(AG100="2",H100,0)</f>
        <v>0</v>
      </c>
      <c r="W100" s="44">
        <f>IF(AG100="2",I100,0)</f>
        <v>0</v>
      </c>
      <c r="X100" s="44">
        <f>IF(AG100="0",J100,0)</f>
        <v>0</v>
      </c>
      <c r="Y100" s="35" t="s">
        <v>91</v>
      </c>
      <c r="Z100" s="19">
        <f>IF(AD100=0,J100,0)</f>
        <v>0</v>
      </c>
      <c r="AA100" s="19">
        <f>IF(AD100=15,J100,0)</f>
        <v>0</v>
      </c>
      <c r="AB100" s="19">
        <f>IF(AD100=21,J100,0)</f>
        <v>0</v>
      </c>
      <c r="AD100" s="44">
        <v>21</v>
      </c>
      <c r="AE100" s="44">
        <f>G100*0.0688118811881188</f>
        <v>0</v>
      </c>
      <c r="AF100" s="44">
        <f>G100*(1-0.0688118811881188)</f>
        <v>0</v>
      </c>
      <c r="AG100" s="39" t="s">
        <v>13</v>
      </c>
      <c r="AM100" s="44">
        <f>F100*AE100</f>
        <v>0</v>
      </c>
      <c r="AN100" s="44">
        <f>F100*AF100</f>
        <v>0</v>
      </c>
      <c r="AO100" s="45" t="s">
        <v>364</v>
      </c>
      <c r="AP100" s="45" t="s">
        <v>380</v>
      </c>
      <c r="AQ100" s="35" t="s">
        <v>385</v>
      </c>
      <c r="AS100" s="44">
        <f>AM100+AN100</f>
        <v>0</v>
      </c>
      <c r="AT100" s="44">
        <f>G100/(100-AU100)*100</f>
        <v>0</v>
      </c>
      <c r="AU100" s="44">
        <v>0</v>
      </c>
      <c r="AV100" s="44">
        <f>L100</f>
        <v>5.0600000000000005E-4</v>
      </c>
    </row>
    <row r="101" spans="1:48" x14ac:dyDescent="0.25">
      <c r="A101" s="4"/>
      <c r="B101" s="14" t="s">
        <v>91</v>
      </c>
      <c r="C101" s="14" t="s">
        <v>164</v>
      </c>
      <c r="D101" s="14" t="s">
        <v>282</v>
      </c>
      <c r="E101" s="4" t="s">
        <v>6</v>
      </c>
      <c r="F101" s="4" t="s">
        <v>6</v>
      </c>
      <c r="G101" s="25" t="s">
        <v>6</v>
      </c>
      <c r="H101" s="47">
        <f>SUM(H102:H102)</f>
        <v>0</v>
      </c>
      <c r="I101" s="47">
        <f>SUM(I102:I102)</f>
        <v>0</v>
      </c>
      <c r="J101" s="47">
        <f>H101+I101</f>
        <v>0</v>
      </c>
      <c r="K101" s="35"/>
      <c r="L101" s="47">
        <f>SUM(L102:L102)</f>
        <v>0</v>
      </c>
      <c r="M101" s="35"/>
      <c r="Y101" s="35" t="s">
        <v>91</v>
      </c>
      <c r="AI101" s="47">
        <f>SUM(Z102:Z102)</f>
        <v>0</v>
      </c>
      <c r="AJ101" s="47">
        <f>SUM(AA102:AA102)</f>
        <v>0</v>
      </c>
      <c r="AK101" s="47">
        <f>SUM(AB102:AB102)</f>
        <v>0</v>
      </c>
    </row>
    <row r="102" spans="1:48" x14ac:dyDescent="0.25">
      <c r="A102" s="5" t="s">
        <v>70</v>
      </c>
      <c r="B102" s="5" t="s">
        <v>91</v>
      </c>
      <c r="C102" s="5" t="s">
        <v>165</v>
      </c>
      <c r="D102" s="5" t="s">
        <v>283</v>
      </c>
      <c r="E102" s="5" t="s">
        <v>323</v>
      </c>
      <c r="F102" s="19">
        <v>24</v>
      </c>
      <c r="G102" s="26">
        <v>0</v>
      </c>
      <c r="H102" s="19">
        <f>F102*AE102</f>
        <v>0</v>
      </c>
      <c r="I102" s="19">
        <f>J102-H102</f>
        <v>0</v>
      </c>
      <c r="J102" s="19">
        <f>F102*G102</f>
        <v>0</v>
      </c>
      <c r="K102" s="19">
        <v>0</v>
      </c>
      <c r="L102" s="19">
        <f>F102*K102</f>
        <v>0</v>
      </c>
      <c r="M102" s="39" t="s">
        <v>342</v>
      </c>
      <c r="P102" s="44">
        <f>IF(AG102="5",J102,0)</f>
        <v>0</v>
      </c>
      <c r="R102" s="44">
        <f>IF(AG102="1",H102,0)</f>
        <v>0</v>
      </c>
      <c r="S102" s="44">
        <f>IF(AG102="1",I102,0)</f>
        <v>0</v>
      </c>
      <c r="T102" s="44">
        <f>IF(AG102="7",H102,0)</f>
        <v>0</v>
      </c>
      <c r="U102" s="44">
        <f>IF(AG102="7",I102,0)</f>
        <v>0</v>
      </c>
      <c r="V102" s="44">
        <f>IF(AG102="2",H102,0)</f>
        <v>0</v>
      </c>
      <c r="W102" s="44">
        <f>IF(AG102="2",I102,0)</f>
        <v>0</v>
      </c>
      <c r="X102" s="44">
        <f>IF(AG102="0",J102,0)</f>
        <v>0</v>
      </c>
      <c r="Y102" s="35" t="s">
        <v>91</v>
      </c>
      <c r="Z102" s="19">
        <f>IF(AD102=0,J102,0)</f>
        <v>0</v>
      </c>
      <c r="AA102" s="19">
        <f>IF(AD102=15,J102,0)</f>
        <v>0</v>
      </c>
      <c r="AB102" s="19">
        <f>IF(AD102=21,J102,0)</f>
        <v>0</v>
      </c>
      <c r="AD102" s="44">
        <v>21</v>
      </c>
      <c r="AE102" s="44">
        <f>G102*0</f>
        <v>0</v>
      </c>
      <c r="AF102" s="44">
        <f>G102*(1-0)</f>
        <v>0</v>
      </c>
      <c r="AG102" s="39" t="s">
        <v>7</v>
      </c>
      <c r="AM102" s="44">
        <f>F102*AE102</f>
        <v>0</v>
      </c>
      <c r="AN102" s="44">
        <f>F102*AF102</f>
        <v>0</v>
      </c>
      <c r="AO102" s="45" t="s">
        <v>365</v>
      </c>
      <c r="AP102" s="45" t="s">
        <v>381</v>
      </c>
      <c r="AQ102" s="35" t="s">
        <v>385</v>
      </c>
      <c r="AS102" s="44">
        <f>AM102+AN102</f>
        <v>0</v>
      </c>
      <c r="AT102" s="44">
        <f>G102/(100-AU102)*100</f>
        <v>0</v>
      </c>
      <c r="AU102" s="44">
        <v>0</v>
      </c>
      <c r="AV102" s="44">
        <f>L102</f>
        <v>0</v>
      </c>
    </row>
    <row r="103" spans="1:48" x14ac:dyDescent="0.25">
      <c r="A103" s="4"/>
      <c r="B103" s="14" t="s">
        <v>91</v>
      </c>
      <c r="C103" s="14" t="s">
        <v>166</v>
      </c>
      <c r="D103" s="14" t="s">
        <v>284</v>
      </c>
      <c r="E103" s="4" t="s">
        <v>6</v>
      </c>
      <c r="F103" s="4" t="s">
        <v>6</v>
      </c>
      <c r="G103" s="25" t="s">
        <v>6</v>
      </c>
      <c r="H103" s="47">
        <f>SUM(H104:H104)</f>
        <v>0</v>
      </c>
      <c r="I103" s="47">
        <f>SUM(I104:I104)</f>
        <v>0</v>
      </c>
      <c r="J103" s="47">
        <f>H103+I103</f>
        <v>0</v>
      </c>
      <c r="K103" s="35"/>
      <c r="L103" s="47">
        <f>SUM(L104:L104)</f>
        <v>0</v>
      </c>
      <c r="M103" s="35"/>
      <c r="Y103" s="35" t="s">
        <v>91</v>
      </c>
      <c r="AI103" s="47">
        <f>SUM(Z104:Z104)</f>
        <v>0</v>
      </c>
      <c r="AJ103" s="47">
        <f>SUM(AA104:AA104)</f>
        <v>0</v>
      </c>
      <c r="AK103" s="47">
        <f>SUM(AB104:AB104)</f>
        <v>0</v>
      </c>
    </row>
    <row r="104" spans="1:48" x14ac:dyDescent="0.25">
      <c r="A104" s="5" t="s">
        <v>71</v>
      </c>
      <c r="B104" s="5" t="s">
        <v>91</v>
      </c>
      <c r="C104" s="5" t="s">
        <v>167</v>
      </c>
      <c r="D104" s="5" t="s">
        <v>285</v>
      </c>
      <c r="E104" s="5" t="s">
        <v>321</v>
      </c>
      <c r="F104" s="19">
        <v>11.768000000000001</v>
      </c>
      <c r="G104" s="26">
        <v>0</v>
      </c>
      <c r="H104" s="19">
        <f>F104*AE104</f>
        <v>0</v>
      </c>
      <c r="I104" s="19">
        <f>J104-H104</f>
        <v>0</v>
      </c>
      <c r="J104" s="19">
        <f>F104*G104</f>
        <v>0</v>
      </c>
      <c r="K104" s="19">
        <v>0</v>
      </c>
      <c r="L104" s="19">
        <f>F104*K104</f>
        <v>0</v>
      </c>
      <c r="M104" s="39" t="s">
        <v>342</v>
      </c>
      <c r="P104" s="44">
        <f>IF(AG104="5",J104,0)</f>
        <v>0</v>
      </c>
      <c r="R104" s="44">
        <f>IF(AG104="1",H104,0)</f>
        <v>0</v>
      </c>
      <c r="S104" s="44">
        <f>IF(AG104="1",I104,0)</f>
        <v>0</v>
      </c>
      <c r="T104" s="44">
        <f>IF(AG104="7",H104,0)</f>
        <v>0</v>
      </c>
      <c r="U104" s="44">
        <f>IF(AG104="7",I104,0)</f>
        <v>0</v>
      </c>
      <c r="V104" s="44">
        <f>IF(AG104="2",H104,0)</f>
        <v>0</v>
      </c>
      <c r="W104" s="44">
        <f>IF(AG104="2",I104,0)</f>
        <v>0</v>
      </c>
      <c r="X104" s="44">
        <f>IF(AG104="0",J104,0)</f>
        <v>0</v>
      </c>
      <c r="Y104" s="35" t="s">
        <v>91</v>
      </c>
      <c r="Z104" s="19">
        <f>IF(AD104=0,J104,0)</f>
        <v>0</v>
      </c>
      <c r="AA104" s="19">
        <f>IF(AD104=15,J104,0)</f>
        <v>0</v>
      </c>
      <c r="AB104" s="19">
        <f>IF(AD104=21,J104,0)</f>
        <v>0</v>
      </c>
      <c r="AD104" s="44">
        <v>21</v>
      </c>
      <c r="AE104" s="44">
        <f>G104*0</f>
        <v>0</v>
      </c>
      <c r="AF104" s="44">
        <f>G104*(1-0)</f>
        <v>0</v>
      </c>
      <c r="AG104" s="39" t="s">
        <v>11</v>
      </c>
      <c r="AM104" s="44">
        <f>F104*AE104</f>
        <v>0</v>
      </c>
      <c r="AN104" s="44">
        <f>F104*AF104</f>
        <v>0</v>
      </c>
      <c r="AO104" s="45" t="s">
        <v>366</v>
      </c>
      <c r="AP104" s="45" t="s">
        <v>381</v>
      </c>
      <c r="AQ104" s="35" t="s">
        <v>385</v>
      </c>
      <c r="AS104" s="44">
        <f>AM104+AN104</f>
        <v>0</v>
      </c>
      <c r="AT104" s="44">
        <f>G104/(100-AU104)*100</f>
        <v>0</v>
      </c>
      <c r="AU104" s="44">
        <v>0</v>
      </c>
      <c r="AV104" s="44">
        <f>L104</f>
        <v>0</v>
      </c>
    </row>
    <row r="105" spans="1:48" x14ac:dyDescent="0.25">
      <c r="A105" s="4"/>
      <c r="B105" s="14" t="s">
        <v>91</v>
      </c>
      <c r="C105" s="14" t="s">
        <v>168</v>
      </c>
      <c r="D105" s="14" t="s">
        <v>286</v>
      </c>
      <c r="E105" s="4" t="s">
        <v>6</v>
      </c>
      <c r="F105" s="4" t="s">
        <v>6</v>
      </c>
      <c r="G105" s="25" t="s">
        <v>6</v>
      </c>
      <c r="H105" s="47">
        <f>SUM(H106:H106)</f>
        <v>0</v>
      </c>
      <c r="I105" s="47">
        <f>SUM(I106:I106)</f>
        <v>0</v>
      </c>
      <c r="J105" s="47">
        <f>H105+I105</f>
        <v>0</v>
      </c>
      <c r="K105" s="35"/>
      <c r="L105" s="47">
        <f>SUM(L106:L106)</f>
        <v>0.113681</v>
      </c>
      <c r="M105" s="35"/>
      <c r="Y105" s="35" t="s">
        <v>91</v>
      </c>
      <c r="AI105" s="47">
        <f>SUM(Z106:Z106)</f>
        <v>0</v>
      </c>
      <c r="AJ105" s="47">
        <f>SUM(AA106:AA106)</f>
        <v>0</v>
      </c>
      <c r="AK105" s="47">
        <f>SUM(AB106:AB106)</f>
        <v>0</v>
      </c>
    </row>
    <row r="106" spans="1:48" x14ac:dyDescent="0.25">
      <c r="A106" s="5" t="s">
        <v>72</v>
      </c>
      <c r="B106" s="5" t="s">
        <v>91</v>
      </c>
      <c r="C106" s="5" t="s">
        <v>169</v>
      </c>
      <c r="D106" s="5" t="s">
        <v>287</v>
      </c>
      <c r="E106" s="5" t="s">
        <v>319</v>
      </c>
      <c r="F106" s="19">
        <v>71.95</v>
      </c>
      <c r="G106" s="26">
        <v>0</v>
      </c>
      <c r="H106" s="19">
        <f>F106*AE106</f>
        <v>0</v>
      </c>
      <c r="I106" s="19">
        <f>J106-H106</f>
        <v>0</v>
      </c>
      <c r="J106" s="19">
        <f>F106*G106</f>
        <v>0</v>
      </c>
      <c r="K106" s="19">
        <v>1.58E-3</v>
      </c>
      <c r="L106" s="19">
        <f>F106*K106</f>
        <v>0.113681</v>
      </c>
      <c r="M106" s="39" t="s">
        <v>342</v>
      </c>
      <c r="P106" s="44">
        <f>IF(AG106="5",J106,0)</f>
        <v>0</v>
      </c>
      <c r="R106" s="44">
        <f>IF(AG106="1",H106,0)</f>
        <v>0</v>
      </c>
      <c r="S106" s="44">
        <f>IF(AG106="1",I106,0)</f>
        <v>0</v>
      </c>
      <c r="T106" s="44">
        <f>IF(AG106="7",H106,0)</f>
        <v>0</v>
      </c>
      <c r="U106" s="44">
        <f>IF(AG106="7",I106,0)</f>
        <v>0</v>
      </c>
      <c r="V106" s="44">
        <f>IF(AG106="2",H106,0)</f>
        <v>0</v>
      </c>
      <c r="W106" s="44">
        <f>IF(AG106="2",I106,0)</f>
        <v>0</v>
      </c>
      <c r="X106" s="44">
        <f>IF(AG106="0",J106,0)</f>
        <v>0</v>
      </c>
      <c r="Y106" s="35" t="s">
        <v>91</v>
      </c>
      <c r="Z106" s="19">
        <f>IF(AD106=0,J106,0)</f>
        <v>0</v>
      </c>
      <c r="AA106" s="19">
        <f>IF(AD106=15,J106,0)</f>
        <v>0</v>
      </c>
      <c r="AB106" s="19">
        <f>IF(AD106=21,J106,0)</f>
        <v>0</v>
      </c>
      <c r="AD106" s="44">
        <v>21</v>
      </c>
      <c r="AE106" s="44">
        <f>G106*0.392364918950217</f>
        <v>0</v>
      </c>
      <c r="AF106" s="44">
        <f>G106*(1-0.392364918950217)</f>
        <v>0</v>
      </c>
      <c r="AG106" s="39" t="s">
        <v>7</v>
      </c>
      <c r="AM106" s="44">
        <f>F106*AE106</f>
        <v>0</v>
      </c>
      <c r="AN106" s="44">
        <f>F106*AF106</f>
        <v>0</v>
      </c>
      <c r="AO106" s="45" t="s">
        <v>367</v>
      </c>
      <c r="AP106" s="45" t="s">
        <v>381</v>
      </c>
      <c r="AQ106" s="35" t="s">
        <v>385</v>
      </c>
      <c r="AS106" s="44">
        <f>AM106+AN106</f>
        <v>0</v>
      </c>
      <c r="AT106" s="44">
        <f>G106/(100-AU106)*100</f>
        <v>0</v>
      </c>
      <c r="AU106" s="44">
        <v>0</v>
      </c>
      <c r="AV106" s="44">
        <f>L106</f>
        <v>0.113681</v>
      </c>
    </row>
    <row r="107" spans="1:48" x14ac:dyDescent="0.25">
      <c r="A107" s="4"/>
      <c r="B107" s="14" t="s">
        <v>91</v>
      </c>
      <c r="C107" s="14" t="s">
        <v>170</v>
      </c>
      <c r="D107" s="14" t="s">
        <v>288</v>
      </c>
      <c r="E107" s="4" t="s">
        <v>6</v>
      </c>
      <c r="F107" s="4" t="s">
        <v>6</v>
      </c>
      <c r="G107" s="25" t="s">
        <v>6</v>
      </c>
      <c r="H107" s="47">
        <f>SUM(H108:H109)</f>
        <v>0</v>
      </c>
      <c r="I107" s="47">
        <f>SUM(I108:I109)</f>
        <v>0</v>
      </c>
      <c r="J107" s="47">
        <f>H107+I107</f>
        <v>0</v>
      </c>
      <c r="K107" s="35"/>
      <c r="L107" s="47">
        <f>SUM(L108:L109)</f>
        <v>2.8780000000000003E-3</v>
      </c>
      <c r="M107" s="35"/>
      <c r="Y107" s="35" t="s">
        <v>91</v>
      </c>
      <c r="AI107" s="47">
        <f>SUM(Z108:Z109)</f>
        <v>0</v>
      </c>
      <c r="AJ107" s="47">
        <f>SUM(AA108:AA109)</f>
        <v>0</v>
      </c>
      <c r="AK107" s="47">
        <f>SUM(AB108:AB109)</f>
        <v>0</v>
      </c>
    </row>
    <row r="108" spans="1:48" x14ac:dyDescent="0.25">
      <c r="A108" s="5" t="s">
        <v>73</v>
      </c>
      <c r="B108" s="5" t="s">
        <v>91</v>
      </c>
      <c r="C108" s="5" t="s">
        <v>171</v>
      </c>
      <c r="D108" s="5" t="s">
        <v>289</v>
      </c>
      <c r="E108" s="5" t="s">
        <v>319</v>
      </c>
      <c r="F108" s="19">
        <v>71.95</v>
      </c>
      <c r="G108" s="26">
        <v>0</v>
      </c>
      <c r="H108" s="19">
        <f>F108*AE108</f>
        <v>0</v>
      </c>
      <c r="I108" s="19">
        <f>J108-H108</f>
        <v>0</v>
      </c>
      <c r="J108" s="19">
        <f>F108*G108</f>
        <v>0</v>
      </c>
      <c r="K108" s="19">
        <v>4.0000000000000003E-5</v>
      </c>
      <c r="L108" s="19">
        <f>F108*K108</f>
        <v>2.8780000000000003E-3</v>
      </c>
      <c r="M108" s="39" t="s">
        <v>342</v>
      </c>
      <c r="P108" s="44">
        <f>IF(AG108="5",J108,0)</f>
        <v>0</v>
      </c>
      <c r="R108" s="44">
        <f>IF(AG108="1",H108,0)</f>
        <v>0</v>
      </c>
      <c r="S108" s="44">
        <f>IF(AG108="1",I108,0)</f>
        <v>0</v>
      </c>
      <c r="T108" s="44">
        <f>IF(AG108="7",H108,0)</f>
        <v>0</v>
      </c>
      <c r="U108" s="44">
        <f>IF(AG108="7",I108,0)</f>
        <v>0</v>
      </c>
      <c r="V108" s="44">
        <f>IF(AG108="2",H108,0)</f>
        <v>0</v>
      </c>
      <c r="W108" s="44">
        <f>IF(AG108="2",I108,0)</f>
        <v>0</v>
      </c>
      <c r="X108" s="44">
        <f>IF(AG108="0",J108,0)</f>
        <v>0</v>
      </c>
      <c r="Y108" s="35" t="s">
        <v>91</v>
      </c>
      <c r="Z108" s="19">
        <f>IF(AD108=0,J108,0)</f>
        <v>0</v>
      </c>
      <c r="AA108" s="19">
        <f>IF(AD108=15,J108,0)</f>
        <v>0</v>
      </c>
      <c r="AB108" s="19">
        <f>IF(AD108=21,J108,0)</f>
        <v>0</v>
      </c>
      <c r="AD108" s="44">
        <v>21</v>
      </c>
      <c r="AE108" s="44">
        <f>G108*0.0144264342083247</f>
        <v>0</v>
      </c>
      <c r="AF108" s="44">
        <f>G108*(1-0.0144264342083247)</f>
        <v>0</v>
      </c>
      <c r="AG108" s="39" t="s">
        <v>7</v>
      </c>
      <c r="AM108" s="44">
        <f>F108*AE108</f>
        <v>0</v>
      </c>
      <c r="AN108" s="44">
        <f>F108*AF108</f>
        <v>0</v>
      </c>
      <c r="AO108" s="45" t="s">
        <v>368</v>
      </c>
      <c r="AP108" s="45" t="s">
        <v>381</v>
      </c>
      <c r="AQ108" s="35" t="s">
        <v>385</v>
      </c>
      <c r="AS108" s="44">
        <f>AM108+AN108</f>
        <v>0</v>
      </c>
      <c r="AT108" s="44">
        <f>G108/(100-AU108)*100</f>
        <v>0</v>
      </c>
      <c r="AU108" s="44">
        <v>0</v>
      </c>
      <c r="AV108" s="44">
        <f>L108</f>
        <v>2.8780000000000003E-3</v>
      </c>
    </row>
    <row r="109" spans="1:48" x14ac:dyDescent="0.25">
      <c r="A109" s="5" t="s">
        <v>74</v>
      </c>
      <c r="B109" s="5" t="s">
        <v>91</v>
      </c>
      <c r="C109" s="5" t="s">
        <v>172</v>
      </c>
      <c r="D109" s="5" t="s">
        <v>290</v>
      </c>
      <c r="E109" s="5" t="s">
        <v>318</v>
      </c>
      <c r="F109" s="19">
        <v>1</v>
      </c>
      <c r="G109" s="26">
        <v>0</v>
      </c>
      <c r="H109" s="19">
        <f>F109*AE109</f>
        <v>0</v>
      </c>
      <c r="I109" s="19">
        <f>J109-H109</f>
        <v>0</v>
      </c>
      <c r="J109" s="19">
        <f>F109*G109</f>
        <v>0</v>
      </c>
      <c r="K109" s="19">
        <v>0</v>
      </c>
      <c r="L109" s="19">
        <f>F109*K109</f>
        <v>0</v>
      </c>
      <c r="M109" s="39"/>
      <c r="P109" s="44">
        <f>IF(AG109="5",J109,0)</f>
        <v>0</v>
      </c>
      <c r="R109" s="44">
        <f>IF(AG109="1",H109,0)</f>
        <v>0</v>
      </c>
      <c r="S109" s="44">
        <f>IF(AG109="1",I109,0)</f>
        <v>0</v>
      </c>
      <c r="T109" s="44">
        <f>IF(AG109="7",H109,0)</f>
        <v>0</v>
      </c>
      <c r="U109" s="44">
        <f>IF(AG109="7",I109,0)</f>
        <v>0</v>
      </c>
      <c r="V109" s="44">
        <f>IF(AG109="2",H109,0)</f>
        <v>0</v>
      </c>
      <c r="W109" s="44">
        <f>IF(AG109="2",I109,0)</f>
        <v>0</v>
      </c>
      <c r="X109" s="44">
        <f>IF(AG109="0",J109,0)</f>
        <v>0</v>
      </c>
      <c r="Y109" s="35" t="s">
        <v>91</v>
      </c>
      <c r="Z109" s="19">
        <f>IF(AD109=0,J109,0)</f>
        <v>0</v>
      </c>
      <c r="AA109" s="19">
        <f>IF(AD109=15,J109,0)</f>
        <v>0</v>
      </c>
      <c r="AB109" s="19">
        <f>IF(AD109=21,J109,0)</f>
        <v>0</v>
      </c>
      <c r="AD109" s="44">
        <v>21</v>
      </c>
      <c r="AE109" s="44">
        <f>G109*0</f>
        <v>0</v>
      </c>
      <c r="AF109" s="44">
        <f>G109*(1-0)</f>
        <v>0</v>
      </c>
      <c r="AG109" s="39" t="s">
        <v>7</v>
      </c>
      <c r="AM109" s="44">
        <f>F109*AE109</f>
        <v>0</v>
      </c>
      <c r="AN109" s="44">
        <f>F109*AF109</f>
        <v>0</v>
      </c>
      <c r="AO109" s="45" t="s">
        <v>368</v>
      </c>
      <c r="AP109" s="45" t="s">
        <v>381</v>
      </c>
      <c r="AQ109" s="35" t="s">
        <v>385</v>
      </c>
      <c r="AS109" s="44">
        <f>AM109+AN109</f>
        <v>0</v>
      </c>
      <c r="AT109" s="44">
        <f>G109/(100-AU109)*100</f>
        <v>0</v>
      </c>
      <c r="AU109" s="44">
        <v>0</v>
      </c>
      <c r="AV109" s="44">
        <f>L109</f>
        <v>0</v>
      </c>
    </row>
    <row r="110" spans="1:48" x14ac:dyDescent="0.25">
      <c r="A110" s="4"/>
      <c r="B110" s="14" t="s">
        <v>91</v>
      </c>
      <c r="C110" s="14" t="s">
        <v>173</v>
      </c>
      <c r="D110" s="14" t="s">
        <v>291</v>
      </c>
      <c r="E110" s="4" t="s">
        <v>6</v>
      </c>
      <c r="F110" s="4" t="s">
        <v>6</v>
      </c>
      <c r="G110" s="25" t="s">
        <v>6</v>
      </c>
      <c r="H110" s="47">
        <f>SUM(H111:H116)</f>
        <v>0</v>
      </c>
      <c r="I110" s="47">
        <f>SUM(I111:I116)</f>
        <v>0</v>
      </c>
      <c r="J110" s="47">
        <f>H110+I110</f>
        <v>0</v>
      </c>
      <c r="K110" s="35"/>
      <c r="L110" s="47">
        <f>SUM(L111:L116)</f>
        <v>4.9151660340000003</v>
      </c>
      <c r="M110" s="35"/>
      <c r="Y110" s="35" t="s">
        <v>91</v>
      </c>
      <c r="AI110" s="47">
        <f>SUM(Z111:Z116)</f>
        <v>0</v>
      </c>
      <c r="AJ110" s="47">
        <f>SUM(AA111:AA116)</f>
        <v>0</v>
      </c>
      <c r="AK110" s="47">
        <f>SUM(AB111:AB116)</f>
        <v>0</v>
      </c>
    </row>
    <row r="111" spans="1:48" x14ac:dyDescent="0.25">
      <c r="A111" s="5" t="s">
        <v>75</v>
      </c>
      <c r="B111" s="5" t="s">
        <v>91</v>
      </c>
      <c r="C111" s="5" t="s">
        <v>174</v>
      </c>
      <c r="D111" s="5" t="s">
        <v>292</v>
      </c>
      <c r="E111" s="5" t="s">
        <v>319</v>
      </c>
      <c r="F111" s="19">
        <v>52.13</v>
      </c>
      <c r="G111" s="26">
        <v>0</v>
      </c>
      <c r="H111" s="19">
        <f t="shared" ref="H111:H116" si="82">F111*AE111</f>
        <v>0</v>
      </c>
      <c r="I111" s="19">
        <f t="shared" ref="I111:I116" si="83">J111-H111</f>
        <v>0</v>
      </c>
      <c r="J111" s="19">
        <f t="shared" ref="J111:J116" si="84">F111*G111</f>
        <v>0</v>
      </c>
      <c r="K111" s="19">
        <v>0.02</v>
      </c>
      <c r="L111" s="19">
        <f t="shared" ref="L111:L116" si="85">F111*K111</f>
        <v>1.0426</v>
      </c>
      <c r="M111" s="39" t="s">
        <v>342</v>
      </c>
      <c r="P111" s="44">
        <f t="shared" ref="P111:P116" si="86">IF(AG111="5",J111,0)</f>
        <v>0</v>
      </c>
      <c r="R111" s="44">
        <f t="shared" ref="R111:R116" si="87">IF(AG111="1",H111,0)</f>
        <v>0</v>
      </c>
      <c r="S111" s="44">
        <f t="shared" ref="S111:S116" si="88">IF(AG111="1",I111,0)</f>
        <v>0</v>
      </c>
      <c r="T111" s="44">
        <f t="shared" ref="T111:T116" si="89">IF(AG111="7",H111,0)</f>
        <v>0</v>
      </c>
      <c r="U111" s="44">
        <f t="shared" ref="U111:U116" si="90">IF(AG111="7",I111,0)</f>
        <v>0</v>
      </c>
      <c r="V111" s="44">
        <f t="shared" ref="V111:V116" si="91">IF(AG111="2",H111,0)</f>
        <v>0</v>
      </c>
      <c r="W111" s="44">
        <f t="shared" ref="W111:W116" si="92">IF(AG111="2",I111,0)</f>
        <v>0</v>
      </c>
      <c r="X111" s="44">
        <f t="shared" ref="X111:X116" si="93">IF(AG111="0",J111,0)</f>
        <v>0</v>
      </c>
      <c r="Y111" s="35" t="s">
        <v>91</v>
      </c>
      <c r="Z111" s="19">
        <f t="shared" ref="Z111:Z116" si="94">IF(AD111=0,J111,0)</f>
        <v>0</v>
      </c>
      <c r="AA111" s="19">
        <f t="shared" ref="AA111:AA116" si="95">IF(AD111=15,J111,0)</f>
        <v>0</v>
      </c>
      <c r="AB111" s="19">
        <f t="shared" ref="AB111:AB116" si="96">IF(AD111=21,J111,0)</f>
        <v>0</v>
      </c>
      <c r="AD111" s="44">
        <v>21</v>
      </c>
      <c r="AE111" s="44">
        <f>G111*0</f>
        <v>0</v>
      </c>
      <c r="AF111" s="44">
        <f>G111*(1-0)</f>
        <v>0</v>
      </c>
      <c r="AG111" s="39" t="s">
        <v>7</v>
      </c>
      <c r="AM111" s="44">
        <f t="shared" ref="AM111:AM116" si="97">F111*AE111</f>
        <v>0</v>
      </c>
      <c r="AN111" s="44">
        <f t="shared" ref="AN111:AN116" si="98">F111*AF111</f>
        <v>0</v>
      </c>
      <c r="AO111" s="45" t="s">
        <v>369</v>
      </c>
      <c r="AP111" s="45" t="s">
        <v>381</v>
      </c>
      <c r="AQ111" s="35" t="s">
        <v>385</v>
      </c>
      <c r="AS111" s="44">
        <f t="shared" ref="AS111:AS116" si="99">AM111+AN111</f>
        <v>0</v>
      </c>
      <c r="AT111" s="44">
        <f t="shared" ref="AT111:AT116" si="100">G111/(100-AU111)*100</f>
        <v>0</v>
      </c>
      <c r="AU111" s="44">
        <v>0</v>
      </c>
      <c r="AV111" s="44">
        <f t="shared" ref="AV111:AV116" si="101">L111</f>
        <v>1.0426</v>
      </c>
    </row>
    <row r="112" spans="1:48" x14ac:dyDescent="0.25">
      <c r="A112" s="5" t="s">
        <v>76</v>
      </c>
      <c r="B112" s="5" t="s">
        <v>91</v>
      </c>
      <c r="C112" s="5" t="s">
        <v>175</v>
      </c>
      <c r="D112" s="5" t="s">
        <v>293</v>
      </c>
      <c r="E112" s="5" t="s">
        <v>319</v>
      </c>
      <c r="F112" s="19">
        <v>52.13</v>
      </c>
      <c r="G112" s="26">
        <v>0</v>
      </c>
      <c r="H112" s="19">
        <f t="shared" si="82"/>
        <v>0</v>
      </c>
      <c r="I112" s="19">
        <f t="shared" si="83"/>
        <v>0</v>
      </c>
      <c r="J112" s="19">
        <f t="shared" si="84"/>
        <v>0</v>
      </c>
      <c r="K112" s="19">
        <v>2.5510000000000001E-2</v>
      </c>
      <c r="L112" s="19">
        <f t="shared" si="85"/>
        <v>1.3298363000000002</v>
      </c>
      <c r="M112" s="39" t="s">
        <v>342</v>
      </c>
      <c r="P112" s="44">
        <f t="shared" si="86"/>
        <v>0</v>
      </c>
      <c r="R112" s="44">
        <f t="shared" si="87"/>
        <v>0</v>
      </c>
      <c r="S112" s="44">
        <f t="shared" si="88"/>
        <v>0</v>
      </c>
      <c r="T112" s="44">
        <f t="shared" si="89"/>
        <v>0</v>
      </c>
      <c r="U112" s="44">
        <f t="shared" si="90"/>
        <v>0</v>
      </c>
      <c r="V112" s="44">
        <f t="shared" si="91"/>
        <v>0</v>
      </c>
      <c r="W112" s="44">
        <f t="shared" si="92"/>
        <v>0</v>
      </c>
      <c r="X112" s="44">
        <f t="shared" si="93"/>
        <v>0</v>
      </c>
      <c r="Y112" s="35" t="s">
        <v>91</v>
      </c>
      <c r="Z112" s="19">
        <f t="shared" si="94"/>
        <v>0</v>
      </c>
      <c r="AA112" s="19">
        <f t="shared" si="95"/>
        <v>0</v>
      </c>
      <c r="AB112" s="19">
        <f t="shared" si="96"/>
        <v>0</v>
      </c>
      <c r="AD112" s="44">
        <v>21</v>
      </c>
      <c r="AE112" s="44">
        <f>G112*0</f>
        <v>0</v>
      </c>
      <c r="AF112" s="44">
        <f>G112*(1-0)</f>
        <v>0</v>
      </c>
      <c r="AG112" s="39" t="s">
        <v>7</v>
      </c>
      <c r="AM112" s="44">
        <f t="shared" si="97"/>
        <v>0</v>
      </c>
      <c r="AN112" s="44">
        <f t="shared" si="98"/>
        <v>0</v>
      </c>
      <c r="AO112" s="45" t="s">
        <v>369</v>
      </c>
      <c r="AP112" s="45" t="s">
        <v>381</v>
      </c>
      <c r="AQ112" s="35" t="s">
        <v>385</v>
      </c>
      <c r="AS112" s="44">
        <f t="shared" si="99"/>
        <v>0</v>
      </c>
      <c r="AT112" s="44">
        <f t="shared" si="100"/>
        <v>0</v>
      </c>
      <c r="AU112" s="44">
        <v>0</v>
      </c>
      <c r="AV112" s="44">
        <f t="shared" si="101"/>
        <v>1.3298363000000002</v>
      </c>
    </row>
    <row r="113" spans="1:48" x14ac:dyDescent="0.25">
      <c r="A113" s="5" t="s">
        <v>77</v>
      </c>
      <c r="B113" s="5" t="s">
        <v>91</v>
      </c>
      <c r="C113" s="5" t="s">
        <v>176</v>
      </c>
      <c r="D113" s="5" t="s">
        <v>294</v>
      </c>
      <c r="E113" s="5" t="s">
        <v>319</v>
      </c>
      <c r="F113" s="19">
        <v>13.9002</v>
      </c>
      <c r="G113" s="26">
        <v>0</v>
      </c>
      <c r="H113" s="19">
        <f t="shared" si="82"/>
        <v>0</v>
      </c>
      <c r="I113" s="19">
        <f t="shared" si="83"/>
        <v>0</v>
      </c>
      <c r="J113" s="19">
        <f t="shared" si="84"/>
        <v>0</v>
      </c>
      <c r="K113" s="19">
        <v>0.10767</v>
      </c>
      <c r="L113" s="19">
        <f t="shared" si="85"/>
        <v>1.496634534</v>
      </c>
      <c r="M113" s="39" t="s">
        <v>342</v>
      </c>
      <c r="P113" s="44">
        <f t="shared" si="86"/>
        <v>0</v>
      </c>
      <c r="R113" s="44">
        <f t="shared" si="87"/>
        <v>0</v>
      </c>
      <c r="S113" s="44">
        <f t="shared" si="88"/>
        <v>0</v>
      </c>
      <c r="T113" s="44">
        <f t="shared" si="89"/>
        <v>0</v>
      </c>
      <c r="U113" s="44">
        <f t="shared" si="90"/>
        <v>0</v>
      </c>
      <c r="V113" s="44">
        <f t="shared" si="91"/>
        <v>0</v>
      </c>
      <c r="W113" s="44">
        <f t="shared" si="92"/>
        <v>0</v>
      </c>
      <c r="X113" s="44">
        <f t="shared" si="93"/>
        <v>0</v>
      </c>
      <c r="Y113" s="35" t="s">
        <v>91</v>
      </c>
      <c r="Z113" s="19">
        <f t="shared" si="94"/>
        <v>0</v>
      </c>
      <c r="AA113" s="19">
        <f t="shared" si="95"/>
        <v>0</v>
      </c>
      <c r="AB113" s="19">
        <f t="shared" si="96"/>
        <v>0</v>
      </c>
      <c r="AD113" s="44">
        <v>21</v>
      </c>
      <c r="AE113" s="44">
        <f>G113*0.22153942003904</f>
        <v>0</v>
      </c>
      <c r="AF113" s="44">
        <f>G113*(1-0.22153942003904)</f>
        <v>0</v>
      </c>
      <c r="AG113" s="39" t="s">
        <v>7</v>
      </c>
      <c r="AM113" s="44">
        <f t="shared" si="97"/>
        <v>0</v>
      </c>
      <c r="AN113" s="44">
        <f t="shared" si="98"/>
        <v>0</v>
      </c>
      <c r="AO113" s="45" t="s">
        <v>369</v>
      </c>
      <c r="AP113" s="45" t="s">
        <v>381</v>
      </c>
      <c r="AQ113" s="35" t="s">
        <v>385</v>
      </c>
      <c r="AS113" s="44">
        <f t="shared" si="99"/>
        <v>0</v>
      </c>
      <c r="AT113" s="44">
        <f t="shared" si="100"/>
        <v>0</v>
      </c>
      <c r="AU113" s="44">
        <v>0</v>
      </c>
      <c r="AV113" s="44">
        <f t="shared" si="101"/>
        <v>1.496634534</v>
      </c>
    </row>
    <row r="114" spans="1:48" x14ac:dyDescent="0.25">
      <c r="A114" s="5" t="s">
        <v>78</v>
      </c>
      <c r="B114" s="5" t="s">
        <v>91</v>
      </c>
      <c r="C114" s="5" t="s">
        <v>177</v>
      </c>
      <c r="D114" s="5" t="s">
        <v>295</v>
      </c>
      <c r="E114" s="5" t="s">
        <v>319</v>
      </c>
      <c r="F114" s="19">
        <v>1.36</v>
      </c>
      <c r="G114" s="26">
        <v>0</v>
      </c>
      <c r="H114" s="19">
        <f t="shared" si="82"/>
        <v>0</v>
      </c>
      <c r="I114" s="19">
        <f t="shared" si="83"/>
        <v>0</v>
      </c>
      <c r="J114" s="19">
        <f t="shared" si="84"/>
        <v>0</v>
      </c>
      <c r="K114" s="19">
        <v>0.13367000000000001</v>
      </c>
      <c r="L114" s="19">
        <f t="shared" si="85"/>
        <v>0.18179120000000004</v>
      </c>
      <c r="M114" s="39" t="s">
        <v>342</v>
      </c>
      <c r="P114" s="44">
        <f t="shared" si="86"/>
        <v>0</v>
      </c>
      <c r="R114" s="44">
        <f t="shared" si="87"/>
        <v>0</v>
      </c>
      <c r="S114" s="44">
        <f t="shared" si="88"/>
        <v>0</v>
      </c>
      <c r="T114" s="44">
        <f t="shared" si="89"/>
        <v>0</v>
      </c>
      <c r="U114" s="44">
        <f t="shared" si="90"/>
        <v>0</v>
      </c>
      <c r="V114" s="44">
        <f t="shared" si="91"/>
        <v>0</v>
      </c>
      <c r="W114" s="44">
        <f t="shared" si="92"/>
        <v>0</v>
      </c>
      <c r="X114" s="44">
        <f t="shared" si="93"/>
        <v>0</v>
      </c>
      <c r="Y114" s="35" t="s">
        <v>91</v>
      </c>
      <c r="Z114" s="19">
        <f t="shared" si="94"/>
        <v>0</v>
      </c>
      <c r="AA114" s="19">
        <f t="shared" si="95"/>
        <v>0</v>
      </c>
      <c r="AB114" s="19">
        <f t="shared" si="96"/>
        <v>0</v>
      </c>
      <c r="AD114" s="44">
        <v>21</v>
      </c>
      <c r="AE114" s="44">
        <f>G114*0.1901527054462</f>
        <v>0</v>
      </c>
      <c r="AF114" s="44">
        <f>G114*(1-0.1901527054462)</f>
        <v>0</v>
      </c>
      <c r="AG114" s="39" t="s">
        <v>7</v>
      </c>
      <c r="AM114" s="44">
        <f t="shared" si="97"/>
        <v>0</v>
      </c>
      <c r="AN114" s="44">
        <f t="shared" si="98"/>
        <v>0</v>
      </c>
      <c r="AO114" s="45" t="s">
        <v>369</v>
      </c>
      <c r="AP114" s="45" t="s">
        <v>381</v>
      </c>
      <c r="AQ114" s="35" t="s">
        <v>385</v>
      </c>
      <c r="AS114" s="44">
        <f t="shared" si="99"/>
        <v>0</v>
      </c>
      <c r="AT114" s="44">
        <f t="shared" si="100"/>
        <v>0</v>
      </c>
      <c r="AU114" s="44">
        <v>0</v>
      </c>
      <c r="AV114" s="44">
        <f t="shared" si="101"/>
        <v>0.18179120000000004</v>
      </c>
    </row>
    <row r="115" spans="1:48" x14ac:dyDescent="0.25">
      <c r="A115" s="5" t="s">
        <v>79</v>
      </c>
      <c r="B115" s="5" t="s">
        <v>91</v>
      </c>
      <c r="C115" s="5" t="s">
        <v>178</v>
      </c>
      <c r="D115" s="5" t="s">
        <v>296</v>
      </c>
      <c r="E115" s="5" t="s">
        <v>319</v>
      </c>
      <c r="F115" s="19">
        <v>11.2</v>
      </c>
      <c r="G115" s="26">
        <v>0</v>
      </c>
      <c r="H115" s="19">
        <f t="shared" si="82"/>
        <v>0</v>
      </c>
      <c r="I115" s="19">
        <f t="shared" si="83"/>
        <v>0</v>
      </c>
      <c r="J115" s="19">
        <f t="shared" si="84"/>
        <v>0</v>
      </c>
      <c r="K115" s="19">
        <v>7.7170000000000002E-2</v>
      </c>
      <c r="L115" s="19">
        <f t="shared" si="85"/>
        <v>0.86430399999999996</v>
      </c>
      <c r="M115" s="39" t="s">
        <v>342</v>
      </c>
      <c r="P115" s="44">
        <f t="shared" si="86"/>
        <v>0</v>
      </c>
      <c r="R115" s="44">
        <f t="shared" si="87"/>
        <v>0</v>
      </c>
      <c r="S115" s="44">
        <f t="shared" si="88"/>
        <v>0</v>
      </c>
      <c r="T115" s="44">
        <f t="shared" si="89"/>
        <v>0</v>
      </c>
      <c r="U115" s="44">
        <f t="shared" si="90"/>
        <v>0</v>
      </c>
      <c r="V115" s="44">
        <f t="shared" si="91"/>
        <v>0</v>
      </c>
      <c r="W115" s="44">
        <f t="shared" si="92"/>
        <v>0</v>
      </c>
      <c r="X115" s="44">
        <f t="shared" si="93"/>
        <v>0</v>
      </c>
      <c r="Y115" s="35" t="s">
        <v>91</v>
      </c>
      <c r="Z115" s="19">
        <f t="shared" si="94"/>
        <v>0</v>
      </c>
      <c r="AA115" s="19">
        <f t="shared" si="95"/>
        <v>0</v>
      </c>
      <c r="AB115" s="19">
        <f t="shared" si="96"/>
        <v>0</v>
      </c>
      <c r="AD115" s="44">
        <v>21</v>
      </c>
      <c r="AE115" s="44">
        <f>G115*0.0874384340020912</f>
        <v>0</v>
      </c>
      <c r="AF115" s="44">
        <f>G115*(1-0.0874384340020912)</f>
        <v>0</v>
      </c>
      <c r="AG115" s="39" t="s">
        <v>7</v>
      </c>
      <c r="AM115" s="44">
        <f t="shared" si="97"/>
        <v>0</v>
      </c>
      <c r="AN115" s="44">
        <f t="shared" si="98"/>
        <v>0</v>
      </c>
      <c r="AO115" s="45" t="s">
        <v>369</v>
      </c>
      <c r="AP115" s="45" t="s">
        <v>381</v>
      </c>
      <c r="AQ115" s="35" t="s">
        <v>385</v>
      </c>
      <c r="AS115" s="44">
        <f t="shared" si="99"/>
        <v>0</v>
      </c>
      <c r="AT115" s="44">
        <f t="shared" si="100"/>
        <v>0</v>
      </c>
      <c r="AU115" s="44">
        <v>0</v>
      </c>
      <c r="AV115" s="44">
        <f t="shared" si="101"/>
        <v>0.86430399999999996</v>
      </c>
    </row>
    <row r="116" spans="1:48" x14ac:dyDescent="0.25">
      <c r="A116" s="5" t="s">
        <v>80</v>
      </c>
      <c r="B116" s="5" t="s">
        <v>91</v>
      </c>
      <c r="C116" s="5" t="s">
        <v>179</v>
      </c>
      <c r="D116" s="5" t="s">
        <v>297</v>
      </c>
      <c r="E116" s="5" t="s">
        <v>318</v>
      </c>
      <c r="F116" s="19">
        <v>12</v>
      </c>
      <c r="G116" s="26">
        <v>0</v>
      </c>
      <c r="H116" s="19">
        <f t="shared" si="82"/>
        <v>0</v>
      </c>
      <c r="I116" s="19">
        <f t="shared" si="83"/>
        <v>0</v>
      </c>
      <c r="J116" s="19">
        <f t="shared" si="84"/>
        <v>0</v>
      </c>
      <c r="K116" s="19">
        <v>0</v>
      </c>
      <c r="L116" s="19">
        <f t="shared" si="85"/>
        <v>0</v>
      </c>
      <c r="M116" s="39" t="s">
        <v>342</v>
      </c>
      <c r="P116" s="44">
        <f t="shared" si="86"/>
        <v>0</v>
      </c>
      <c r="R116" s="44">
        <f t="shared" si="87"/>
        <v>0</v>
      </c>
      <c r="S116" s="44">
        <f t="shared" si="88"/>
        <v>0</v>
      </c>
      <c r="T116" s="44">
        <f t="shared" si="89"/>
        <v>0</v>
      </c>
      <c r="U116" s="44">
        <f t="shared" si="90"/>
        <v>0</v>
      </c>
      <c r="V116" s="44">
        <f t="shared" si="91"/>
        <v>0</v>
      </c>
      <c r="W116" s="44">
        <f t="shared" si="92"/>
        <v>0</v>
      </c>
      <c r="X116" s="44">
        <f t="shared" si="93"/>
        <v>0</v>
      </c>
      <c r="Y116" s="35" t="s">
        <v>91</v>
      </c>
      <c r="Z116" s="19">
        <f t="shared" si="94"/>
        <v>0</v>
      </c>
      <c r="AA116" s="19">
        <f t="shared" si="95"/>
        <v>0</v>
      </c>
      <c r="AB116" s="19">
        <f t="shared" si="96"/>
        <v>0</v>
      </c>
      <c r="AD116" s="44">
        <v>21</v>
      </c>
      <c r="AE116" s="44">
        <f>G116*0</f>
        <v>0</v>
      </c>
      <c r="AF116" s="44">
        <f>G116*(1-0)</f>
        <v>0</v>
      </c>
      <c r="AG116" s="39" t="s">
        <v>7</v>
      </c>
      <c r="AM116" s="44">
        <f t="shared" si="97"/>
        <v>0</v>
      </c>
      <c r="AN116" s="44">
        <f t="shared" si="98"/>
        <v>0</v>
      </c>
      <c r="AO116" s="45" t="s">
        <v>369</v>
      </c>
      <c r="AP116" s="45" t="s">
        <v>381</v>
      </c>
      <c r="AQ116" s="35" t="s">
        <v>385</v>
      </c>
      <c r="AS116" s="44">
        <f t="shared" si="99"/>
        <v>0</v>
      </c>
      <c r="AT116" s="44">
        <f t="shared" si="100"/>
        <v>0</v>
      </c>
      <c r="AU116" s="44">
        <v>0</v>
      </c>
      <c r="AV116" s="44">
        <f t="shared" si="101"/>
        <v>0</v>
      </c>
    </row>
    <row r="117" spans="1:48" x14ac:dyDescent="0.25">
      <c r="A117" s="4"/>
      <c r="B117" s="14" t="s">
        <v>91</v>
      </c>
      <c r="C117" s="14" t="s">
        <v>180</v>
      </c>
      <c r="D117" s="14" t="s">
        <v>298</v>
      </c>
      <c r="E117" s="4" t="s">
        <v>6</v>
      </c>
      <c r="F117" s="4" t="s">
        <v>6</v>
      </c>
      <c r="G117" s="25" t="s">
        <v>6</v>
      </c>
      <c r="H117" s="47">
        <f>SUM(H118:H118)</f>
        <v>0</v>
      </c>
      <c r="I117" s="47">
        <f>SUM(I118:I118)</f>
        <v>0</v>
      </c>
      <c r="J117" s="47">
        <f>H117+I117</f>
        <v>0</v>
      </c>
      <c r="K117" s="35"/>
      <c r="L117" s="47">
        <f>SUM(L118:L118)</f>
        <v>0</v>
      </c>
      <c r="M117" s="35"/>
      <c r="Y117" s="35" t="s">
        <v>91</v>
      </c>
      <c r="AI117" s="47">
        <f>SUM(Z118:Z118)</f>
        <v>0</v>
      </c>
      <c r="AJ117" s="47">
        <f>SUM(AA118:AA118)</f>
        <v>0</v>
      </c>
      <c r="AK117" s="47">
        <f>SUM(AB118:AB118)</f>
        <v>0</v>
      </c>
    </row>
    <row r="118" spans="1:48" x14ac:dyDescent="0.25">
      <c r="A118" s="5" t="s">
        <v>81</v>
      </c>
      <c r="B118" s="5" t="s">
        <v>91</v>
      </c>
      <c r="C118" s="5" t="s">
        <v>181</v>
      </c>
      <c r="D118" s="5" t="s">
        <v>299</v>
      </c>
      <c r="E118" s="5" t="s">
        <v>318</v>
      </c>
      <c r="F118" s="19">
        <v>12</v>
      </c>
      <c r="G118" s="26">
        <v>0</v>
      </c>
      <c r="H118" s="19">
        <f>F118*AE118</f>
        <v>0</v>
      </c>
      <c r="I118" s="19">
        <f>J118-H118</f>
        <v>0</v>
      </c>
      <c r="J118" s="19">
        <f>F118*G118</f>
        <v>0</v>
      </c>
      <c r="K118" s="19">
        <v>0</v>
      </c>
      <c r="L118" s="19">
        <f>F118*K118</f>
        <v>0</v>
      </c>
      <c r="M118" s="39" t="s">
        <v>342</v>
      </c>
      <c r="P118" s="44">
        <f>IF(AG118="5",J118,0)</f>
        <v>0</v>
      </c>
      <c r="R118" s="44">
        <f>IF(AG118="1",H118,0)</f>
        <v>0</v>
      </c>
      <c r="S118" s="44">
        <f>IF(AG118="1",I118,0)</f>
        <v>0</v>
      </c>
      <c r="T118" s="44">
        <f>IF(AG118="7",H118,0)</f>
        <v>0</v>
      </c>
      <c r="U118" s="44">
        <f>IF(AG118="7",I118,0)</f>
        <v>0</v>
      </c>
      <c r="V118" s="44">
        <f>IF(AG118="2",H118,0)</f>
        <v>0</v>
      </c>
      <c r="W118" s="44">
        <f>IF(AG118="2",I118,0)</f>
        <v>0</v>
      </c>
      <c r="X118" s="44">
        <f>IF(AG118="0",J118,0)</f>
        <v>0</v>
      </c>
      <c r="Y118" s="35" t="s">
        <v>91</v>
      </c>
      <c r="Z118" s="19">
        <f>IF(AD118=0,J118,0)</f>
        <v>0</v>
      </c>
      <c r="AA118" s="19">
        <f>IF(AD118=15,J118,0)</f>
        <v>0</v>
      </c>
      <c r="AB118" s="19">
        <f>IF(AD118=21,J118,0)</f>
        <v>0</v>
      </c>
      <c r="AD118" s="44">
        <v>21</v>
      </c>
      <c r="AE118" s="44">
        <f>G118*0</f>
        <v>0</v>
      </c>
      <c r="AF118" s="44">
        <f>G118*(1-0)</f>
        <v>0</v>
      </c>
      <c r="AG118" s="39" t="s">
        <v>8</v>
      </c>
      <c r="AM118" s="44">
        <f>F118*AE118</f>
        <v>0</v>
      </c>
      <c r="AN118" s="44">
        <f>F118*AF118</f>
        <v>0</v>
      </c>
      <c r="AO118" s="45" t="s">
        <v>370</v>
      </c>
      <c r="AP118" s="45" t="s">
        <v>381</v>
      </c>
      <c r="AQ118" s="35" t="s">
        <v>385</v>
      </c>
      <c r="AS118" s="44">
        <f>AM118+AN118</f>
        <v>0</v>
      </c>
      <c r="AT118" s="44">
        <f>G118/(100-AU118)*100</f>
        <v>0</v>
      </c>
      <c r="AU118" s="44">
        <v>0</v>
      </c>
      <c r="AV118" s="44">
        <f>L118</f>
        <v>0</v>
      </c>
    </row>
    <row r="119" spans="1:48" x14ac:dyDescent="0.25">
      <c r="A119" s="4"/>
      <c r="B119" s="14" t="s">
        <v>91</v>
      </c>
      <c r="C119" s="14" t="s">
        <v>182</v>
      </c>
      <c r="D119" s="14" t="s">
        <v>300</v>
      </c>
      <c r="E119" s="4" t="s">
        <v>6</v>
      </c>
      <c r="F119" s="4" t="s">
        <v>6</v>
      </c>
      <c r="G119" s="25" t="s">
        <v>6</v>
      </c>
      <c r="H119" s="47">
        <f>SUM(H120:H123)</f>
        <v>0</v>
      </c>
      <c r="I119" s="47">
        <f>SUM(I120:I123)</f>
        <v>0</v>
      </c>
      <c r="J119" s="47">
        <f>H119+I119</f>
        <v>0</v>
      </c>
      <c r="K119" s="35"/>
      <c r="L119" s="47">
        <f>SUM(L120:L123)</f>
        <v>0</v>
      </c>
      <c r="M119" s="35"/>
      <c r="Y119" s="35" t="s">
        <v>91</v>
      </c>
      <c r="AI119" s="47">
        <f>SUM(Z120:Z123)</f>
        <v>0</v>
      </c>
      <c r="AJ119" s="47">
        <f>SUM(AA120:AA123)</f>
        <v>0</v>
      </c>
      <c r="AK119" s="47">
        <f>SUM(AB120:AB123)</f>
        <v>0</v>
      </c>
    </row>
    <row r="120" spans="1:48" x14ac:dyDescent="0.25">
      <c r="A120" s="5" t="s">
        <v>82</v>
      </c>
      <c r="B120" s="5" t="s">
        <v>91</v>
      </c>
      <c r="C120" s="5" t="s">
        <v>183</v>
      </c>
      <c r="D120" s="5" t="s">
        <v>301</v>
      </c>
      <c r="E120" s="5" t="s">
        <v>321</v>
      </c>
      <c r="F120" s="19">
        <v>10.141299999999999</v>
      </c>
      <c r="G120" s="26">
        <v>0</v>
      </c>
      <c r="H120" s="19">
        <f>F120*AE120</f>
        <v>0</v>
      </c>
      <c r="I120" s="19">
        <f>J120-H120</f>
        <v>0</v>
      </c>
      <c r="J120" s="19">
        <f>F120*G120</f>
        <v>0</v>
      </c>
      <c r="K120" s="19">
        <v>0</v>
      </c>
      <c r="L120" s="19">
        <f>F120*K120</f>
        <v>0</v>
      </c>
      <c r="M120" s="39" t="s">
        <v>342</v>
      </c>
      <c r="P120" s="44">
        <f>IF(AG120="5",J120,0)</f>
        <v>0</v>
      </c>
      <c r="R120" s="44">
        <f>IF(AG120="1",H120,0)</f>
        <v>0</v>
      </c>
      <c r="S120" s="44">
        <f>IF(AG120="1",I120,0)</f>
        <v>0</v>
      </c>
      <c r="T120" s="44">
        <f>IF(AG120="7",H120,0)</f>
        <v>0</v>
      </c>
      <c r="U120" s="44">
        <f>IF(AG120="7",I120,0)</f>
        <v>0</v>
      </c>
      <c r="V120" s="44">
        <f>IF(AG120="2",H120,0)</f>
        <v>0</v>
      </c>
      <c r="W120" s="44">
        <f>IF(AG120="2",I120,0)</f>
        <v>0</v>
      </c>
      <c r="X120" s="44">
        <f>IF(AG120="0",J120,0)</f>
        <v>0</v>
      </c>
      <c r="Y120" s="35" t="s">
        <v>91</v>
      </c>
      <c r="Z120" s="19">
        <f>IF(AD120=0,J120,0)</f>
        <v>0</v>
      </c>
      <c r="AA120" s="19">
        <f>IF(AD120=15,J120,0)</f>
        <v>0</v>
      </c>
      <c r="AB120" s="19">
        <f>IF(AD120=21,J120,0)</f>
        <v>0</v>
      </c>
      <c r="AD120" s="44">
        <v>21</v>
      </c>
      <c r="AE120" s="44">
        <f>G120*0</f>
        <v>0</v>
      </c>
      <c r="AF120" s="44">
        <f>G120*(1-0)</f>
        <v>0</v>
      </c>
      <c r="AG120" s="39" t="s">
        <v>11</v>
      </c>
      <c r="AM120" s="44">
        <f>F120*AE120</f>
        <v>0</v>
      </c>
      <c r="AN120" s="44">
        <f>F120*AF120</f>
        <v>0</v>
      </c>
      <c r="AO120" s="45" t="s">
        <v>371</v>
      </c>
      <c r="AP120" s="45" t="s">
        <v>381</v>
      </c>
      <c r="AQ120" s="35" t="s">
        <v>385</v>
      </c>
      <c r="AS120" s="44">
        <f>AM120+AN120</f>
        <v>0</v>
      </c>
      <c r="AT120" s="44">
        <f>G120/(100-AU120)*100</f>
        <v>0</v>
      </c>
      <c r="AU120" s="44">
        <v>0</v>
      </c>
      <c r="AV120" s="44">
        <f>L120</f>
        <v>0</v>
      </c>
    </row>
    <row r="121" spans="1:48" x14ac:dyDescent="0.25">
      <c r="A121" s="5" t="s">
        <v>83</v>
      </c>
      <c r="B121" s="5" t="s">
        <v>91</v>
      </c>
      <c r="C121" s="5" t="s">
        <v>184</v>
      </c>
      <c r="D121" s="5" t="s">
        <v>302</v>
      </c>
      <c r="E121" s="5" t="s">
        <v>321</v>
      </c>
      <c r="F121" s="19">
        <v>10.141299999999999</v>
      </c>
      <c r="G121" s="26">
        <v>0</v>
      </c>
      <c r="H121" s="19">
        <f>F121*AE121</f>
        <v>0</v>
      </c>
      <c r="I121" s="19">
        <f>J121-H121</f>
        <v>0</v>
      </c>
      <c r="J121" s="19">
        <f>F121*G121</f>
        <v>0</v>
      </c>
      <c r="K121" s="19">
        <v>0</v>
      </c>
      <c r="L121" s="19">
        <f>F121*K121</f>
        <v>0</v>
      </c>
      <c r="M121" s="39" t="s">
        <v>342</v>
      </c>
      <c r="P121" s="44">
        <f>IF(AG121="5",J121,0)</f>
        <v>0</v>
      </c>
      <c r="R121" s="44">
        <f>IF(AG121="1",H121,0)</f>
        <v>0</v>
      </c>
      <c r="S121" s="44">
        <f>IF(AG121="1",I121,0)</f>
        <v>0</v>
      </c>
      <c r="T121" s="44">
        <f>IF(AG121="7",H121,0)</f>
        <v>0</v>
      </c>
      <c r="U121" s="44">
        <f>IF(AG121="7",I121,0)</f>
        <v>0</v>
      </c>
      <c r="V121" s="44">
        <f>IF(AG121="2",H121,0)</f>
        <v>0</v>
      </c>
      <c r="W121" s="44">
        <f>IF(AG121="2",I121,0)</f>
        <v>0</v>
      </c>
      <c r="X121" s="44">
        <f>IF(AG121="0",J121,0)</f>
        <v>0</v>
      </c>
      <c r="Y121" s="35" t="s">
        <v>91</v>
      </c>
      <c r="Z121" s="19">
        <f>IF(AD121=0,J121,0)</f>
        <v>0</v>
      </c>
      <c r="AA121" s="19">
        <f>IF(AD121=15,J121,0)</f>
        <v>0</v>
      </c>
      <c r="AB121" s="19">
        <f>IF(AD121=21,J121,0)</f>
        <v>0</v>
      </c>
      <c r="AD121" s="44">
        <v>21</v>
      </c>
      <c r="AE121" s="44">
        <f>G121*0</f>
        <v>0</v>
      </c>
      <c r="AF121" s="44">
        <f>G121*(1-0)</f>
        <v>0</v>
      </c>
      <c r="AG121" s="39" t="s">
        <v>11</v>
      </c>
      <c r="AM121" s="44">
        <f>F121*AE121</f>
        <v>0</v>
      </c>
      <c r="AN121" s="44">
        <f>F121*AF121</f>
        <v>0</v>
      </c>
      <c r="AO121" s="45" t="s">
        <v>371</v>
      </c>
      <c r="AP121" s="45" t="s">
        <v>381</v>
      </c>
      <c r="AQ121" s="35" t="s">
        <v>385</v>
      </c>
      <c r="AS121" s="44">
        <f>AM121+AN121</f>
        <v>0</v>
      </c>
      <c r="AT121" s="44">
        <f>G121/(100-AU121)*100</f>
        <v>0</v>
      </c>
      <c r="AU121" s="44">
        <v>0</v>
      </c>
      <c r="AV121" s="44">
        <f>L121</f>
        <v>0</v>
      </c>
    </row>
    <row r="122" spans="1:48" x14ac:dyDescent="0.25">
      <c r="A122" s="5" t="s">
        <v>84</v>
      </c>
      <c r="B122" s="5" t="s">
        <v>91</v>
      </c>
      <c r="C122" s="5" t="s">
        <v>185</v>
      </c>
      <c r="D122" s="5" t="s">
        <v>303</v>
      </c>
      <c r="E122" s="5" t="s">
        <v>321</v>
      </c>
      <c r="F122" s="19">
        <v>10.141299999999999</v>
      </c>
      <c r="G122" s="26">
        <v>0</v>
      </c>
      <c r="H122" s="19">
        <f>F122*AE122</f>
        <v>0</v>
      </c>
      <c r="I122" s="19">
        <f>J122-H122</f>
        <v>0</v>
      </c>
      <c r="J122" s="19">
        <f>F122*G122</f>
        <v>0</v>
      </c>
      <c r="K122" s="19">
        <v>0</v>
      </c>
      <c r="L122" s="19">
        <f>F122*K122</f>
        <v>0</v>
      </c>
      <c r="M122" s="39" t="s">
        <v>342</v>
      </c>
      <c r="P122" s="44">
        <f>IF(AG122="5",J122,0)</f>
        <v>0</v>
      </c>
      <c r="R122" s="44">
        <f>IF(AG122="1",H122,0)</f>
        <v>0</v>
      </c>
      <c r="S122" s="44">
        <f>IF(AG122="1",I122,0)</f>
        <v>0</v>
      </c>
      <c r="T122" s="44">
        <f>IF(AG122="7",H122,0)</f>
        <v>0</v>
      </c>
      <c r="U122" s="44">
        <f>IF(AG122="7",I122,0)</f>
        <v>0</v>
      </c>
      <c r="V122" s="44">
        <f>IF(AG122="2",H122,0)</f>
        <v>0</v>
      </c>
      <c r="W122" s="44">
        <f>IF(AG122="2",I122,0)</f>
        <v>0</v>
      </c>
      <c r="X122" s="44">
        <f>IF(AG122="0",J122,0)</f>
        <v>0</v>
      </c>
      <c r="Y122" s="35" t="s">
        <v>91</v>
      </c>
      <c r="Z122" s="19">
        <f>IF(AD122=0,J122,0)</f>
        <v>0</v>
      </c>
      <c r="AA122" s="19">
        <f>IF(AD122=15,J122,0)</f>
        <v>0</v>
      </c>
      <c r="AB122" s="19">
        <f>IF(AD122=21,J122,0)</f>
        <v>0</v>
      </c>
      <c r="AD122" s="44">
        <v>21</v>
      </c>
      <c r="AE122" s="44">
        <f>G122*0</f>
        <v>0</v>
      </c>
      <c r="AF122" s="44">
        <f>G122*(1-0)</f>
        <v>0</v>
      </c>
      <c r="AG122" s="39" t="s">
        <v>11</v>
      </c>
      <c r="AM122" s="44">
        <f>F122*AE122</f>
        <v>0</v>
      </c>
      <c r="AN122" s="44">
        <f>F122*AF122</f>
        <v>0</v>
      </c>
      <c r="AO122" s="45" t="s">
        <v>371</v>
      </c>
      <c r="AP122" s="45" t="s">
        <v>381</v>
      </c>
      <c r="AQ122" s="35" t="s">
        <v>385</v>
      </c>
      <c r="AS122" s="44">
        <f>AM122+AN122</f>
        <v>0</v>
      </c>
      <c r="AT122" s="44">
        <f>G122/(100-AU122)*100</f>
        <v>0</v>
      </c>
      <c r="AU122" s="44">
        <v>0</v>
      </c>
      <c r="AV122" s="44">
        <f>L122</f>
        <v>0</v>
      </c>
    </row>
    <row r="123" spans="1:48" x14ac:dyDescent="0.25">
      <c r="A123" s="5" t="s">
        <v>85</v>
      </c>
      <c r="B123" s="5" t="s">
        <v>91</v>
      </c>
      <c r="C123" s="5" t="s">
        <v>186</v>
      </c>
      <c r="D123" s="5" t="s">
        <v>304</v>
      </c>
      <c r="E123" s="5" t="s">
        <v>321</v>
      </c>
      <c r="F123" s="19">
        <v>10.141299999999999</v>
      </c>
      <c r="G123" s="26">
        <v>0</v>
      </c>
      <c r="H123" s="19">
        <f>F123*AE123</f>
        <v>0</v>
      </c>
      <c r="I123" s="19">
        <f>J123-H123</f>
        <v>0</v>
      </c>
      <c r="J123" s="19">
        <f>F123*G123</f>
        <v>0</v>
      </c>
      <c r="K123" s="19">
        <v>0</v>
      </c>
      <c r="L123" s="19">
        <f>F123*K123</f>
        <v>0</v>
      </c>
      <c r="M123" s="39" t="s">
        <v>342</v>
      </c>
      <c r="P123" s="44">
        <f>IF(AG123="5",J123,0)</f>
        <v>0</v>
      </c>
      <c r="R123" s="44">
        <f>IF(AG123="1",H123,0)</f>
        <v>0</v>
      </c>
      <c r="S123" s="44">
        <f>IF(AG123="1",I123,0)</f>
        <v>0</v>
      </c>
      <c r="T123" s="44">
        <f>IF(AG123="7",H123,0)</f>
        <v>0</v>
      </c>
      <c r="U123" s="44">
        <f>IF(AG123="7",I123,0)</f>
        <v>0</v>
      </c>
      <c r="V123" s="44">
        <f>IF(AG123="2",H123,0)</f>
        <v>0</v>
      </c>
      <c r="W123" s="44">
        <f>IF(AG123="2",I123,0)</f>
        <v>0</v>
      </c>
      <c r="X123" s="44">
        <f>IF(AG123="0",J123,0)</f>
        <v>0</v>
      </c>
      <c r="Y123" s="35" t="s">
        <v>91</v>
      </c>
      <c r="Z123" s="19">
        <f>IF(AD123=0,J123,0)</f>
        <v>0</v>
      </c>
      <c r="AA123" s="19">
        <f>IF(AD123=15,J123,0)</f>
        <v>0</v>
      </c>
      <c r="AB123" s="19">
        <f>IF(AD123=21,J123,0)</f>
        <v>0</v>
      </c>
      <c r="AD123" s="44">
        <v>21</v>
      </c>
      <c r="AE123" s="44">
        <f>G123*0</f>
        <v>0</v>
      </c>
      <c r="AF123" s="44">
        <f>G123*(1-0)</f>
        <v>0</v>
      </c>
      <c r="AG123" s="39" t="s">
        <v>11</v>
      </c>
      <c r="AM123" s="44">
        <f>F123*AE123</f>
        <v>0</v>
      </c>
      <c r="AN123" s="44">
        <f>F123*AF123</f>
        <v>0</v>
      </c>
      <c r="AO123" s="45" t="s">
        <v>371</v>
      </c>
      <c r="AP123" s="45" t="s">
        <v>381</v>
      </c>
      <c r="AQ123" s="35" t="s">
        <v>385</v>
      </c>
      <c r="AS123" s="44">
        <f>AM123+AN123</f>
        <v>0</v>
      </c>
      <c r="AT123" s="44">
        <f>G123/(100-AU123)*100</f>
        <v>0</v>
      </c>
      <c r="AU123" s="44">
        <v>0</v>
      </c>
      <c r="AV123" s="44">
        <f>L123</f>
        <v>0</v>
      </c>
    </row>
    <row r="124" spans="1:48" x14ac:dyDescent="0.25">
      <c r="A124" s="4"/>
      <c r="B124" s="14" t="s">
        <v>91</v>
      </c>
      <c r="C124" s="14"/>
      <c r="D124" s="14" t="s">
        <v>305</v>
      </c>
      <c r="E124" s="4" t="s">
        <v>6</v>
      </c>
      <c r="F124" s="4" t="s">
        <v>6</v>
      </c>
      <c r="G124" s="25" t="s">
        <v>6</v>
      </c>
      <c r="H124" s="47">
        <f>SUM(H125:H125)</f>
        <v>0</v>
      </c>
      <c r="I124" s="47">
        <f>SUM(I125:I125)</f>
        <v>0</v>
      </c>
      <c r="J124" s="47">
        <f>H124+I124</f>
        <v>0</v>
      </c>
      <c r="K124" s="35"/>
      <c r="L124" s="47">
        <f>SUM(L125:L125)</f>
        <v>6.0000000000000001E-3</v>
      </c>
      <c r="M124" s="35"/>
      <c r="Y124" s="35" t="s">
        <v>91</v>
      </c>
      <c r="AI124" s="47">
        <f>SUM(Z125:Z125)</f>
        <v>0</v>
      </c>
      <c r="AJ124" s="47">
        <f>SUM(AA125:AA125)</f>
        <v>0</v>
      </c>
      <c r="AK124" s="47">
        <f>SUM(AB125:AB125)</f>
        <v>0</v>
      </c>
    </row>
    <row r="125" spans="1:48" x14ac:dyDescent="0.25">
      <c r="A125" s="6" t="s">
        <v>86</v>
      </c>
      <c r="B125" s="6" t="s">
        <v>91</v>
      </c>
      <c r="C125" s="6" t="s">
        <v>187</v>
      </c>
      <c r="D125" s="6" t="s">
        <v>306</v>
      </c>
      <c r="E125" s="6" t="s">
        <v>319</v>
      </c>
      <c r="F125" s="20">
        <v>0.8</v>
      </c>
      <c r="G125" s="28">
        <v>0</v>
      </c>
      <c r="H125" s="20">
        <f>F125*AE125</f>
        <v>0</v>
      </c>
      <c r="I125" s="20">
        <f>J125-H125</f>
        <v>0</v>
      </c>
      <c r="J125" s="20">
        <f>F125*G125</f>
        <v>0</v>
      </c>
      <c r="K125" s="20">
        <v>7.4999999999999997E-3</v>
      </c>
      <c r="L125" s="20">
        <f>F125*K125</f>
        <v>6.0000000000000001E-3</v>
      </c>
      <c r="M125" s="40" t="s">
        <v>342</v>
      </c>
      <c r="P125" s="44">
        <f>IF(AG125="5",J125,0)</f>
        <v>0</v>
      </c>
      <c r="R125" s="44">
        <f>IF(AG125="1",H125,0)</f>
        <v>0</v>
      </c>
      <c r="S125" s="44">
        <f>IF(AG125="1",I125,0)</f>
        <v>0</v>
      </c>
      <c r="T125" s="44">
        <f>IF(AG125="7",H125,0)</f>
        <v>0</v>
      </c>
      <c r="U125" s="44">
        <f>IF(AG125="7",I125,0)</f>
        <v>0</v>
      </c>
      <c r="V125" s="44">
        <f>IF(AG125="2",H125,0)</f>
        <v>0</v>
      </c>
      <c r="W125" s="44">
        <f>IF(AG125="2",I125,0)</f>
        <v>0</v>
      </c>
      <c r="X125" s="44">
        <f>IF(AG125="0",J125,0)</f>
        <v>0</v>
      </c>
      <c r="Y125" s="35" t="s">
        <v>91</v>
      </c>
      <c r="Z125" s="20">
        <f>IF(AD125=0,J125,0)</f>
        <v>0</v>
      </c>
      <c r="AA125" s="20">
        <f>IF(AD125=15,J125,0)</f>
        <v>0</v>
      </c>
      <c r="AB125" s="20">
        <f>IF(AD125=21,J125,0)</f>
        <v>0</v>
      </c>
      <c r="AD125" s="44">
        <v>21</v>
      </c>
      <c r="AE125" s="44">
        <f>G125*1</f>
        <v>0</v>
      </c>
      <c r="AF125" s="44">
        <f>G125*(1-1)</f>
        <v>0</v>
      </c>
      <c r="AG125" s="40" t="s">
        <v>352</v>
      </c>
      <c r="AM125" s="44">
        <f>F125*AE125</f>
        <v>0</v>
      </c>
      <c r="AN125" s="44">
        <f>F125*AF125</f>
        <v>0</v>
      </c>
      <c r="AO125" s="45" t="s">
        <v>372</v>
      </c>
      <c r="AP125" s="45" t="s">
        <v>382</v>
      </c>
      <c r="AQ125" s="35" t="s">
        <v>385</v>
      </c>
      <c r="AS125" s="44">
        <f>AM125+AN125</f>
        <v>0</v>
      </c>
      <c r="AT125" s="44">
        <f>G125/(100-AU125)*100</f>
        <v>0</v>
      </c>
      <c r="AU125" s="44">
        <v>0</v>
      </c>
      <c r="AV125" s="44">
        <f>L125</f>
        <v>6.0000000000000001E-3</v>
      </c>
    </row>
    <row r="126" spans="1:48" x14ac:dyDescent="0.25">
      <c r="A126" s="7"/>
      <c r="B126" s="15" t="s">
        <v>92</v>
      </c>
      <c r="C126" s="15"/>
      <c r="D126" s="15" t="s">
        <v>307</v>
      </c>
      <c r="E126" s="7" t="s">
        <v>6</v>
      </c>
      <c r="F126" s="7" t="s">
        <v>6</v>
      </c>
      <c r="G126" s="29" t="s">
        <v>6</v>
      </c>
      <c r="H126" s="48">
        <f>H127</f>
        <v>0</v>
      </c>
      <c r="I126" s="48">
        <f>I127</f>
        <v>0</v>
      </c>
      <c r="J126" s="48">
        <f>H126+I126</f>
        <v>0</v>
      </c>
      <c r="K126" s="36"/>
      <c r="L126" s="48">
        <f>L127</f>
        <v>0</v>
      </c>
      <c r="M126" s="36"/>
    </row>
    <row r="127" spans="1:48" x14ac:dyDescent="0.25">
      <c r="A127" s="4"/>
      <c r="B127" s="14" t="s">
        <v>92</v>
      </c>
      <c r="C127" s="14" t="s">
        <v>188</v>
      </c>
      <c r="D127" s="14" t="s">
        <v>308</v>
      </c>
      <c r="E127" s="4" t="s">
        <v>6</v>
      </c>
      <c r="F127" s="4" t="s">
        <v>6</v>
      </c>
      <c r="G127" s="25" t="s">
        <v>6</v>
      </c>
      <c r="H127" s="47">
        <f>SUM(H128:H128)</f>
        <v>0</v>
      </c>
      <c r="I127" s="47">
        <f>SUM(I128:I128)</f>
        <v>0</v>
      </c>
      <c r="J127" s="47">
        <f>H127+I127</f>
        <v>0</v>
      </c>
      <c r="K127" s="35"/>
      <c r="L127" s="47">
        <f>SUM(L128:L128)</f>
        <v>0</v>
      </c>
      <c r="M127" s="35"/>
      <c r="Y127" s="35" t="s">
        <v>92</v>
      </c>
      <c r="AI127" s="47">
        <f>SUM(Z128:Z128)</f>
        <v>0</v>
      </c>
      <c r="AJ127" s="47">
        <f>SUM(AA128:AA128)</f>
        <v>0</v>
      </c>
      <c r="AK127" s="47">
        <f>SUM(AB128:AB128)</f>
        <v>0</v>
      </c>
    </row>
    <row r="128" spans="1:48" x14ac:dyDescent="0.25">
      <c r="A128" s="5" t="s">
        <v>87</v>
      </c>
      <c r="B128" s="5" t="s">
        <v>92</v>
      </c>
      <c r="C128" s="5" t="s">
        <v>189</v>
      </c>
      <c r="D128" s="5" t="s">
        <v>309</v>
      </c>
      <c r="E128" s="5" t="s">
        <v>324</v>
      </c>
      <c r="F128" s="19">
        <v>1</v>
      </c>
      <c r="G128" s="26">
        <v>0</v>
      </c>
      <c r="H128" s="19">
        <f>F128*AE128</f>
        <v>0</v>
      </c>
      <c r="I128" s="19">
        <f>J128-H128</f>
        <v>0</v>
      </c>
      <c r="J128" s="19">
        <f>F128*G128</f>
        <v>0</v>
      </c>
      <c r="K128" s="19">
        <v>0</v>
      </c>
      <c r="L128" s="19">
        <f>F128*K128</f>
        <v>0</v>
      </c>
      <c r="M128" s="39"/>
      <c r="P128" s="44">
        <f>IF(AG128="5",J128,0)</f>
        <v>0</v>
      </c>
      <c r="R128" s="44">
        <f>IF(AG128="1",H128,0)</f>
        <v>0</v>
      </c>
      <c r="S128" s="44">
        <f>IF(AG128="1",I128,0)</f>
        <v>0</v>
      </c>
      <c r="T128" s="44">
        <f>IF(AG128="7",H128,0)</f>
        <v>0</v>
      </c>
      <c r="U128" s="44">
        <f>IF(AG128="7",I128,0)</f>
        <v>0</v>
      </c>
      <c r="V128" s="44">
        <f>IF(AG128="2",H128,0)</f>
        <v>0</v>
      </c>
      <c r="W128" s="44">
        <f>IF(AG128="2",I128,0)</f>
        <v>0</v>
      </c>
      <c r="X128" s="44">
        <f>IF(AG128="0",J128,0)</f>
        <v>0</v>
      </c>
      <c r="Y128" s="35" t="s">
        <v>92</v>
      </c>
      <c r="Z128" s="19">
        <f>IF(AD128=0,J128,0)</f>
        <v>0</v>
      </c>
      <c r="AA128" s="19">
        <f>IF(AD128=15,J128,0)</f>
        <v>0</v>
      </c>
      <c r="AB128" s="19">
        <f>IF(AD128=21,J128,0)</f>
        <v>0</v>
      </c>
      <c r="AD128" s="44">
        <v>21</v>
      </c>
      <c r="AE128" s="44">
        <f>G128*0</f>
        <v>0</v>
      </c>
      <c r="AF128" s="44">
        <f>G128*(1-0)</f>
        <v>0</v>
      </c>
      <c r="AG128" s="39" t="s">
        <v>7</v>
      </c>
      <c r="AM128" s="44">
        <f>F128*AE128</f>
        <v>0</v>
      </c>
      <c r="AN128" s="44">
        <f>F128*AF128</f>
        <v>0</v>
      </c>
      <c r="AO128" s="45" t="s">
        <v>373</v>
      </c>
      <c r="AP128" s="45" t="s">
        <v>383</v>
      </c>
      <c r="AQ128" s="35" t="s">
        <v>386</v>
      </c>
      <c r="AS128" s="44">
        <f>AM128+AN128</f>
        <v>0</v>
      </c>
      <c r="AT128" s="44">
        <f>G128/(100-AU128)*100</f>
        <v>0</v>
      </c>
      <c r="AU128" s="44">
        <v>0</v>
      </c>
      <c r="AV128" s="44">
        <f>L128</f>
        <v>0</v>
      </c>
    </row>
    <row r="129" spans="1:48" x14ac:dyDescent="0.25">
      <c r="A129" s="7"/>
      <c r="B129" s="15" t="s">
        <v>93</v>
      </c>
      <c r="C129" s="15"/>
      <c r="D129" s="15" t="s">
        <v>310</v>
      </c>
      <c r="E129" s="7" t="s">
        <v>6</v>
      </c>
      <c r="F129" s="7" t="s">
        <v>6</v>
      </c>
      <c r="G129" s="29" t="s">
        <v>6</v>
      </c>
      <c r="H129" s="48">
        <f>H130</f>
        <v>0</v>
      </c>
      <c r="I129" s="48">
        <f>I130</f>
        <v>0</v>
      </c>
      <c r="J129" s="48">
        <f>H129+I129</f>
        <v>0</v>
      </c>
      <c r="K129" s="36"/>
      <c r="L129" s="48">
        <f>L130</f>
        <v>0</v>
      </c>
      <c r="M129" s="36"/>
    </row>
    <row r="130" spans="1:48" x14ac:dyDescent="0.25">
      <c r="A130" s="4"/>
      <c r="B130" s="14" t="s">
        <v>93</v>
      </c>
      <c r="C130" s="14" t="s">
        <v>190</v>
      </c>
      <c r="D130" s="14" t="s">
        <v>311</v>
      </c>
      <c r="E130" s="4" t="s">
        <v>6</v>
      </c>
      <c r="F130" s="4" t="s">
        <v>6</v>
      </c>
      <c r="G130" s="25" t="s">
        <v>6</v>
      </c>
      <c r="H130" s="47">
        <f>SUM(H131:H131)</f>
        <v>0</v>
      </c>
      <c r="I130" s="47">
        <f>SUM(I131:I131)</f>
        <v>0</v>
      </c>
      <c r="J130" s="47">
        <f>H130+I130</f>
        <v>0</v>
      </c>
      <c r="K130" s="35"/>
      <c r="L130" s="47">
        <f>SUM(L131:L131)</f>
        <v>0</v>
      </c>
      <c r="M130" s="35"/>
      <c r="Y130" s="35" t="s">
        <v>93</v>
      </c>
      <c r="AI130" s="47">
        <f>SUM(Z131:Z131)</f>
        <v>0</v>
      </c>
      <c r="AJ130" s="47">
        <f>SUM(AA131:AA131)</f>
        <v>0</v>
      </c>
      <c r="AK130" s="47">
        <f>SUM(AB131:AB131)</f>
        <v>0</v>
      </c>
    </row>
    <row r="131" spans="1:48" x14ac:dyDescent="0.25">
      <c r="A131" s="8" t="s">
        <v>88</v>
      </c>
      <c r="B131" s="8" t="s">
        <v>93</v>
      </c>
      <c r="C131" s="8" t="s">
        <v>191</v>
      </c>
      <c r="D131" s="8" t="s">
        <v>312</v>
      </c>
      <c r="E131" s="8" t="s">
        <v>324</v>
      </c>
      <c r="F131" s="21">
        <v>1</v>
      </c>
      <c r="G131" s="30">
        <v>0</v>
      </c>
      <c r="H131" s="21">
        <f>F131*AE131</f>
        <v>0</v>
      </c>
      <c r="I131" s="21">
        <f>J131-H131</f>
        <v>0</v>
      </c>
      <c r="J131" s="21">
        <f>F131*G131</f>
        <v>0</v>
      </c>
      <c r="K131" s="21">
        <v>0</v>
      </c>
      <c r="L131" s="21">
        <f>F131*K131</f>
        <v>0</v>
      </c>
      <c r="M131" s="41"/>
      <c r="P131" s="44">
        <f>IF(AG131="5",J131,0)</f>
        <v>0</v>
      </c>
      <c r="R131" s="44">
        <f>IF(AG131="1",H131,0)</f>
        <v>0</v>
      </c>
      <c r="S131" s="44">
        <f>IF(AG131="1",I131,0)</f>
        <v>0</v>
      </c>
      <c r="T131" s="44">
        <f>IF(AG131="7",H131,0)</f>
        <v>0</v>
      </c>
      <c r="U131" s="44">
        <f>IF(AG131="7",I131,0)</f>
        <v>0</v>
      </c>
      <c r="V131" s="44">
        <f>IF(AG131="2",H131,0)</f>
        <v>0</v>
      </c>
      <c r="W131" s="44">
        <f>IF(AG131="2",I131,0)</f>
        <v>0</v>
      </c>
      <c r="X131" s="44">
        <f>IF(AG131="0",J131,0)</f>
        <v>0</v>
      </c>
      <c r="Y131" s="35" t="s">
        <v>93</v>
      </c>
      <c r="Z131" s="19">
        <f>IF(AD131=0,J131,0)</f>
        <v>0</v>
      </c>
      <c r="AA131" s="19">
        <f>IF(AD131=15,J131,0)</f>
        <v>0</v>
      </c>
      <c r="AB131" s="19">
        <f>IF(AD131=21,J131,0)</f>
        <v>0</v>
      </c>
      <c r="AD131" s="44">
        <v>21</v>
      </c>
      <c r="AE131" s="44">
        <f>G131*0</f>
        <v>0</v>
      </c>
      <c r="AF131" s="44">
        <f>G131*(1-0)</f>
        <v>0</v>
      </c>
      <c r="AG131" s="39" t="s">
        <v>7</v>
      </c>
      <c r="AM131" s="44">
        <f>F131*AE131</f>
        <v>0</v>
      </c>
      <c r="AN131" s="44">
        <f>F131*AF131</f>
        <v>0</v>
      </c>
      <c r="AO131" s="45" t="s">
        <v>374</v>
      </c>
      <c r="AP131" s="45" t="s">
        <v>384</v>
      </c>
      <c r="AQ131" s="35" t="s">
        <v>387</v>
      </c>
      <c r="AS131" s="44">
        <f>AM131+AN131</f>
        <v>0</v>
      </c>
      <c r="AT131" s="44">
        <f>G131/(100-AU131)*100</f>
        <v>0</v>
      </c>
      <c r="AU131" s="44">
        <v>0</v>
      </c>
      <c r="AV131" s="44">
        <f>L131</f>
        <v>0</v>
      </c>
    </row>
    <row r="132" spans="1:48" x14ac:dyDescent="0.25">
      <c r="A132" s="9"/>
      <c r="B132" s="9"/>
      <c r="C132" s="9"/>
      <c r="D132" s="9"/>
      <c r="E132" s="9"/>
      <c r="F132" s="9"/>
      <c r="G132" s="9"/>
      <c r="H132" s="108" t="s">
        <v>331</v>
      </c>
      <c r="I132" s="109"/>
      <c r="J132" s="49">
        <f>J13+J18+J22+J24+J31+J35+J40+J46+J67+J79+J91+J94+J101+J103+J105+J107+J110+J117+J119+J124+J127+J130</f>
        <v>0</v>
      </c>
      <c r="K132" s="9"/>
      <c r="L132" s="9"/>
      <c r="M132" s="9"/>
    </row>
    <row r="133" spans="1:48" ht="11.25" customHeight="1" x14ac:dyDescent="0.25">
      <c r="A133" s="10" t="s">
        <v>89</v>
      </c>
    </row>
    <row r="134" spans="1:48" x14ac:dyDescent="0.25">
      <c r="A134" s="100"/>
      <c r="B134" s="89"/>
      <c r="C134" s="89"/>
      <c r="D134" s="89"/>
      <c r="E134" s="89"/>
      <c r="F134" s="89"/>
      <c r="G134" s="89"/>
      <c r="H134" s="89"/>
      <c r="I134" s="89"/>
      <c r="J134" s="89"/>
      <c r="K134" s="89"/>
      <c r="L134" s="89"/>
      <c r="M134" s="89"/>
    </row>
  </sheetData>
  <sheetProtection sheet="1" objects="1" scenarios="1"/>
  <mergeCells count="29">
    <mergeCell ref="H10:J10"/>
    <mergeCell ref="K10:L10"/>
    <mergeCell ref="H132:I132"/>
    <mergeCell ref="A134:M134"/>
    <mergeCell ref="A8:C9"/>
    <mergeCell ref="D8:D9"/>
    <mergeCell ref="E8:F9"/>
    <mergeCell ref="G8:H9"/>
    <mergeCell ref="I8:I9"/>
    <mergeCell ref="J8:M9"/>
    <mergeCell ref="J4:M5"/>
    <mergeCell ref="A6:C7"/>
    <mergeCell ref="D6:D7"/>
    <mergeCell ref="E6:F7"/>
    <mergeCell ref="G6:H7"/>
    <mergeCell ref="I6:I7"/>
    <mergeCell ref="J6:M7"/>
    <mergeCell ref="A4:C5"/>
    <mergeCell ref="D4:D5"/>
    <mergeCell ref="E4:F5"/>
    <mergeCell ref="G4:H5"/>
    <mergeCell ref="I4:I5"/>
    <mergeCell ref="A1:M1"/>
    <mergeCell ref="A2:C3"/>
    <mergeCell ref="D2:D3"/>
    <mergeCell ref="E2:F3"/>
    <mergeCell ref="G2:H3"/>
    <mergeCell ref="I2:I3"/>
    <mergeCell ref="J2:M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/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10" ht="72.900000000000006" customHeight="1" x14ac:dyDescent="0.25">
      <c r="A1" s="83"/>
      <c r="B1" s="58"/>
      <c r="C1" s="115" t="s">
        <v>521</v>
      </c>
      <c r="D1" s="85"/>
      <c r="E1" s="85"/>
      <c r="F1" s="85"/>
      <c r="G1" s="85"/>
      <c r="H1" s="85"/>
      <c r="I1" s="85"/>
    </row>
    <row r="2" spans="1:10" x14ac:dyDescent="0.25">
      <c r="A2" s="86" t="s">
        <v>1</v>
      </c>
      <c r="B2" s="87"/>
      <c r="C2" s="90" t="str">
        <f>'Stavební rozpočet'!D2</f>
        <v>Rekonstrukce kuželny Zábřeh - III. etapa - sociální zázemí pro hospodu</v>
      </c>
      <c r="D2" s="109"/>
      <c r="E2" s="96" t="s">
        <v>332</v>
      </c>
      <c r="F2" s="96" t="str">
        <f>'Stavební rozpočet'!J2</f>
        <v>město Zábřeh</v>
      </c>
      <c r="G2" s="87"/>
      <c r="H2" s="96" t="s">
        <v>509</v>
      </c>
      <c r="I2" s="116"/>
      <c r="J2" s="42"/>
    </row>
    <row r="3" spans="1:10" ht="25.65" customHeight="1" x14ac:dyDescent="0.25">
      <c r="A3" s="88"/>
      <c r="B3" s="89"/>
      <c r="C3" s="91"/>
      <c r="D3" s="91"/>
      <c r="E3" s="89"/>
      <c r="F3" s="89"/>
      <c r="G3" s="89"/>
      <c r="H3" s="89"/>
      <c r="I3" s="98"/>
      <c r="J3" s="42"/>
    </row>
    <row r="4" spans="1:10" x14ac:dyDescent="0.25">
      <c r="A4" s="99" t="s">
        <v>2</v>
      </c>
      <c r="B4" s="89"/>
      <c r="C4" s="100" t="str">
        <f>'Stavební rozpočet'!D4</f>
        <v xml:space="preserve"> </v>
      </c>
      <c r="D4" s="89"/>
      <c r="E4" s="100" t="s">
        <v>333</v>
      </c>
      <c r="F4" s="100" t="str">
        <f>'Stavební rozpočet'!J4</f>
        <v xml:space="preserve"> </v>
      </c>
      <c r="G4" s="89"/>
      <c r="H4" s="100" t="s">
        <v>509</v>
      </c>
      <c r="I4" s="117"/>
      <c r="J4" s="42"/>
    </row>
    <row r="5" spans="1:10" x14ac:dyDescent="0.25">
      <c r="A5" s="88"/>
      <c r="B5" s="89"/>
      <c r="C5" s="89"/>
      <c r="D5" s="89"/>
      <c r="E5" s="89"/>
      <c r="F5" s="89"/>
      <c r="G5" s="89"/>
      <c r="H5" s="89"/>
      <c r="I5" s="98"/>
      <c r="J5" s="42"/>
    </row>
    <row r="6" spans="1:10" x14ac:dyDescent="0.25">
      <c r="A6" s="99" t="s">
        <v>3</v>
      </c>
      <c r="B6" s="89"/>
      <c r="C6" s="100" t="str">
        <f>'Stavební rozpočet'!D6</f>
        <v>Zábřeh</v>
      </c>
      <c r="D6" s="89"/>
      <c r="E6" s="100" t="s">
        <v>334</v>
      </c>
      <c r="F6" s="100" t="str">
        <f>'Stavební rozpočet'!J6</f>
        <v xml:space="preserve"> </v>
      </c>
      <c r="G6" s="89"/>
      <c r="H6" s="100" t="s">
        <v>509</v>
      </c>
      <c r="I6" s="117"/>
      <c r="J6" s="42"/>
    </row>
    <row r="7" spans="1:10" x14ac:dyDescent="0.25">
      <c r="A7" s="88"/>
      <c r="B7" s="89"/>
      <c r="C7" s="89"/>
      <c r="D7" s="89"/>
      <c r="E7" s="89"/>
      <c r="F7" s="89"/>
      <c r="G7" s="89"/>
      <c r="H7" s="89"/>
      <c r="I7" s="98"/>
      <c r="J7" s="42"/>
    </row>
    <row r="8" spans="1:10" x14ac:dyDescent="0.25">
      <c r="A8" s="99" t="s">
        <v>314</v>
      </c>
      <c r="B8" s="89"/>
      <c r="C8" s="100" t="str">
        <f>'Stavební rozpočet'!G4</f>
        <v xml:space="preserve"> </v>
      </c>
      <c r="D8" s="89"/>
      <c r="E8" s="100" t="s">
        <v>315</v>
      </c>
      <c r="F8" s="100" t="str">
        <f>'Stavební rozpočet'!G6</f>
        <v xml:space="preserve"> </v>
      </c>
      <c r="G8" s="89"/>
      <c r="H8" s="101" t="s">
        <v>510</v>
      </c>
      <c r="I8" s="117" t="s">
        <v>88</v>
      </c>
      <c r="J8" s="42"/>
    </row>
    <row r="9" spans="1:10" x14ac:dyDescent="0.25">
      <c r="A9" s="88"/>
      <c r="B9" s="89"/>
      <c r="C9" s="89"/>
      <c r="D9" s="89"/>
      <c r="E9" s="89"/>
      <c r="F9" s="89"/>
      <c r="G9" s="89"/>
      <c r="H9" s="89"/>
      <c r="I9" s="98"/>
      <c r="J9" s="42"/>
    </row>
    <row r="10" spans="1:10" x14ac:dyDescent="0.25">
      <c r="A10" s="99" t="s">
        <v>4</v>
      </c>
      <c r="B10" s="89"/>
      <c r="C10" s="100">
        <f>'Stavební rozpočet'!D8</f>
        <v>801</v>
      </c>
      <c r="D10" s="89"/>
      <c r="E10" s="100" t="s">
        <v>335</v>
      </c>
      <c r="F10" s="100" t="str">
        <f>'Stavební rozpočet'!J8</f>
        <v xml:space="preserve"> </v>
      </c>
      <c r="G10" s="89"/>
      <c r="H10" s="101" t="s">
        <v>511</v>
      </c>
      <c r="I10" s="120" t="str">
        <f>'Stavební rozpočet'!G8</f>
        <v>27.02.2019</v>
      </c>
      <c r="J10" s="42"/>
    </row>
    <row r="11" spans="1:10" x14ac:dyDescent="0.25">
      <c r="A11" s="118"/>
      <c r="B11" s="119"/>
      <c r="C11" s="119"/>
      <c r="D11" s="119"/>
      <c r="E11" s="119"/>
      <c r="F11" s="119"/>
      <c r="G11" s="119"/>
      <c r="H11" s="119"/>
      <c r="I11" s="121"/>
      <c r="J11" s="42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10" ht="15.15" customHeight="1" x14ac:dyDescent="0.25">
      <c r="A13" s="141" t="s">
        <v>513</v>
      </c>
      <c r="B13" s="142"/>
      <c r="C13" s="142"/>
      <c r="D13" s="142"/>
      <c r="E13" s="142"/>
      <c r="F13" s="74"/>
      <c r="G13" s="74"/>
      <c r="H13" s="74"/>
      <c r="I13" s="74"/>
    </row>
    <row r="14" spans="1:10" x14ac:dyDescent="0.25">
      <c r="A14" s="143" t="s">
        <v>514</v>
      </c>
      <c r="B14" s="144"/>
      <c r="C14" s="144"/>
      <c r="D14" s="144"/>
      <c r="E14" s="145"/>
      <c r="F14" s="75" t="s">
        <v>522</v>
      </c>
      <c r="G14" s="75" t="s">
        <v>523</v>
      </c>
      <c r="H14" s="75" t="s">
        <v>524</v>
      </c>
      <c r="I14" s="75" t="s">
        <v>522</v>
      </c>
      <c r="J14" s="43"/>
    </row>
    <row r="15" spans="1:10" x14ac:dyDescent="0.25">
      <c r="A15" s="146" t="s">
        <v>486</v>
      </c>
      <c r="B15" s="147"/>
      <c r="C15" s="147"/>
      <c r="D15" s="147"/>
      <c r="E15" s="148"/>
      <c r="F15" s="76">
        <v>0</v>
      </c>
      <c r="G15" s="79"/>
      <c r="H15" s="79"/>
      <c r="I15" s="76">
        <f>F15</f>
        <v>0</v>
      </c>
      <c r="J15" s="42"/>
    </row>
    <row r="16" spans="1:10" x14ac:dyDescent="0.25">
      <c r="A16" s="146" t="s">
        <v>487</v>
      </c>
      <c r="B16" s="147"/>
      <c r="C16" s="147"/>
      <c r="D16" s="147"/>
      <c r="E16" s="148"/>
      <c r="F16" s="76">
        <v>0</v>
      </c>
      <c r="G16" s="79"/>
      <c r="H16" s="79"/>
      <c r="I16" s="76">
        <f>F16</f>
        <v>0</v>
      </c>
      <c r="J16" s="42"/>
    </row>
    <row r="17" spans="1:10" x14ac:dyDescent="0.25">
      <c r="A17" s="146" t="s">
        <v>488</v>
      </c>
      <c r="B17" s="147"/>
      <c r="C17" s="147"/>
      <c r="D17" s="147"/>
      <c r="E17" s="148"/>
      <c r="F17" s="76">
        <v>0</v>
      </c>
      <c r="G17" s="79"/>
      <c r="H17" s="79"/>
      <c r="I17" s="76">
        <f>F17</f>
        <v>0</v>
      </c>
      <c r="J17" s="42"/>
    </row>
    <row r="18" spans="1:10" x14ac:dyDescent="0.25">
      <c r="A18" s="149" t="s">
        <v>489</v>
      </c>
      <c r="B18" s="150"/>
      <c r="C18" s="150"/>
      <c r="D18" s="150"/>
      <c r="E18" s="151"/>
      <c r="F18" s="77">
        <v>0</v>
      </c>
      <c r="G18" s="80"/>
      <c r="H18" s="80"/>
      <c r="I18" s="77">
        <f>F18</f>
        <v>0</v>
      </c>
      <c r="J18" s="42"/>
    </row>
    <row r="19" spans="1:10" x14ac:dyDescent="0.25">
      <c r="A19" s="155" t="s">
        <v>515</v>
      </c>
      <c r="B19" s="156"/>
      <c r="C19" s="156"/>
      <c r="D19" s="156"/>
      <c r="E19" s="157"/>
      <c r="F19" s="78"/>
      <c r="G19" s="81"/>
      <c r="H19" s="81"/>
      <c r="I19" s="82">
        <f>SUM(I15:I18)</f>
        <v>0</v>
      </c>
      <c r="J19" s="43"/>
    </row>
    <row r="20" spans="1:10" x14ac:dyDescent="0.25">
      <c r="A20" s="73"/>
      <c r="B20" s="73"/>
      <c r="C20" s="73"/>
      <c r="D20" s="73"/>
      <c r="E20" s="73"/>
      <c r="F20" s="73"/>
      <c r="G20" s="73"/>
      <c r="H20" s="73"/>
      <c r="I20" s="73"/>
    </row>
    <row r="21" spans="1:10" x14ac:dyDescent="0.25">
      <c r="A21" s="143" t="s">
        <v>512</v>
      </c>
      <c r="B21" s="144"/>
      <c r="C21" s="144"/>
      <c r="D21" s="144"/>
      <c r="E21" s="145"/>
      <c r="F21" s="75" t="s">
        <v>522</v>
      </c>
      <c r="G21" s="75" t="s">
        <v>523</v>
      </c>
      <c r="H21" s="75" t="s">
        <v>524</v>
      </c>
      <c r="I21" s="75" t="s">
        <v>522</v>
      </c>
      <c r="J21" s="43"/>
    </row>
    <row r="22" spans="1:10" x14ac:dyDescent="0.25">
      <c r="A22" s="146" t="s">
        <v>497</v>
      </c>
      <c r="B22" s="147"/>
      <c r="C22" s="147"/>
      <c r="D22" s="147"/>
      <c r="E22" s="148"/>
      <c r="F22" s="79"/>
      <c r="G22" s="76">
        <v>1</v>
      </c>
      <c r="H22" s="76">
        <f>'Krycí list rozpočtu'!C22</f>
        <v>0</v>
      </c>
      <c r="I22" s="76">
        <f>(G22/100)*H22</f>
        <v>0</v>
      </c>
      <c r="J22" s="42"/>
    </row>
    <row r="23" spans="1:10" x14ac:dyDescent="0.25">
      <c r="A23" s="146" t="s">
        <v>498</v>
      </c>
      <c r="B23" s="147"/>
      <c r="C23" s="147"/>
      <c r="D23" s="147"/>
      <c r="E23" s="148"/>
      <c r="F23" s="76">
        <v>0</v>
      </c>
      <c r="G23" s="79"/>
      <c r="H23" s="79"/>
      <c r="I23" s="76">
        <f>F23</f>
        <v>0</v>
      </c>
      <c r="J23" s="42"/>
    </row>
    <row r="24" spans="1:10" x14ac:dyDescent="0.25">
      <c r="A24" s="146" t="s">
        <v>499</v>
      </c>
      <c r="B24" s="147"/>
      <c r="C24" s="147"/>
      <c r="D24" s="147"/>
      <c r="E24" s="148"/>
      <c r="F24" s="76">
        <v>0</v>
      </c>
      <c r="G24" s="79"/>
      <c r="H24" s="79"/>
      <c r="I24" s="76">
        <f>F24</f>
        <v>0</v>
      </c>
      <c r="J24" s="42"/>
    </row>
    <row r="25" spans="1:10" x14ac:dyDescent="0.25">
      <c r="A25" s="146" t="s">
        <v>500</v>
      </c>
      <c r="B25" s="147"/>
      <c r="C25" s="147"/>
      <c r="D25" s="147"/>
      <c r="E25" s="148"/>
      <c r="F25" s="76">
        <v>0</v>
      </c>
      <c r="G25" s="79"/>
      <c r="H25" s="79"/>
      <c r="I25" s="76">
        <f>F25</f>
        <v>0</v>
      </c>
      <c r="J25" s="42"/>
    </row>
    <row r="26" spans="1:10" x14ac:dyDescent="0.25">
      <c r="A26" s="146" t="s">
        <v>311</v>
      </c>
      <c r="B26" s="147"/>
      <c r="C26" s="147"/>
      <c r="D26" s="147"/>
      <c r="E26" s="148"/>
      <c r="F26" s="76">
        <v>0</v>
      </c>
      <c r="G26" s="79"/>
      <c r="H26" s="79"/>
      <c r="I26" s="76">
        <f>F26</f>
        <v>0</v>
      </c>
      <c r="J26" s="42"/>
    </row>
    <row r="27" spans="1:10" x14ac:dyDescent="0.25">
      <c r="A27" s="149" t="s">
        <v>501</v>
      </c>
      <c r="B27" s="150"/>
      <c r="C27" s="150"/>
      <c r="D27" s="150"/>
      <c r="E27" s="151"/>
      <c r="F27" s="77">
        <v>0</v>
      </c>
      <c r="G27" s="80"/>
      <c r="H27" s="80"/>
      <c r="I27" s="77">
        <f>F27</f>
        <v>0</v>
      </c>
      <c r="J27" s="42"/>
    </row>
    <row r="28" spans="1:10" x14ac:dyDescent="0.25">
      <c r="A28" s="155" t="s">
        <v>516</v>
      </c>
      <c r="B28" s="156"/>
      <c r="C28" s="156"/>
      <c r="D28" s="156"/>
      <c r="E28" s="157"/>
      <c r="F28" s="78"/>
      <c r="G28" s="81"/>
      <c r="H28" s="81"/>
      <c r="I28" s="82">
        <f>SUM(I22:I27)</f>
        <v>0</v>
      </c>
      <c r="J28" s="43"/>
    </row>
    <row r="29" spans="1:10" x14ac:dyDescent="0.25">
      <c r="A29" s="73"/>
      <c r="B29" s="73"/>
      <c r="C29" s="73"/>
      <c r="D29" s="73"/>
      <c r="E29" s="73"/>
      <c r="F29" s="73"/>
      <c r="G29" s="73"/>
      <c r="H29" s="73"/>
      <c r="I29" s="73"/>
    </row>
    <row r="30" spans="1:10" ht="15.15" customHeight="1" x14ac:dyDescent="0.25">
      <c r="A30" s="158" t="s">
        <v>517</v>
      </c>
      <c r="B30" s="159"/>
      <c r="C30" s="159"/>
      <c r="D30" s="159"/>
      <c r="E30" s="160"/>
      <c r="F30" s="152">
        <f>I19+I28</f>
        <v>0</v>
      </c>
      <c r="G30" s="153"/>
      <c r="H30" s="153"/>
      <c r="I30" s="154"/>
      <c r="J30" s="43"/>
    </row>
    <row r="31" spans="1:10" x14ac:dyDescent="0.25">
      <c r="A31" s="53"/>
      <c r="B31" s="53"/>
      <c r="C31" s="53"/>
      <c r="D31" s="53"/>
      <c r="E31" s="53"/>
      <c r="F31" s="53"/>
      <c r="G31" s="53"/>
      <c r="H31" s="53"/>
      <c r="I31" s="53"/>
    </row>
    <row r="34" spans="1:10" ht="15.15" customHeight="1" x14ac:dyDescent="0.25">
      <c r="A34" s="141" t="s">
        <v>518</v>
      </c>
      <c r="B34" s="142"/>
      <c r="C34" s="142"/>
      <c r="D34" s="142"/>
      <c r="E34" s="142"/>
      <c r="F34" s="74"/>
      <c r="G34" s="74"/>
      <c r="H34" s="74"/>
      <c r="I34" s="74"/>
    </row>
    <row r="35" spans="1:10" x14ac:dyDescent="0.25">
      <c r="A35" s="143" t="s">
        <v>519</v>
      </c>
      <c r="B35" s="144"/>
      <c r="C35" s="144"/>
      <c r="D35" s="144"/>
      <c r="E35" s="145"/>
      <c r="F35" s="75" t="s">
        <v>522</v>
      </c>
      <c r="G35" s="75" t="s">
        <v>523</v>
      </c>
      <c r="H35" s="75" t="s">
        <v>524</v>
      </c>
      <c r="I35" s="75" t="s">
        <v>522</v>
      </c>
      <c r="J35" s="43"/>
    </row>
    <row r="36" spans="1:10" x14ac:dyDescent="0.25">
      <c r="A36" s="149"/>
      <c r="B36" s="150"/>
      <c r="C36" s="150"/>
      <c r="D36" s="150"/>
      <c r="E36" s="151"/>
      <c r="F36" s="77">
        <v>0</v>
      </c>
      <c r="G36" s="80"/>
      <c r="H36" s="80"/>
      <c r="I36" s="77">
        <f>F36</f>
        <v>0</v>
      </c>
      <c r="J36" s="42"/>
    </row>
    <row r="37" spans="1:10" x14ac:dyDescent="0.25">
      <c r="A37" s="155" t="s">
        <v>520</v>
      </c>
      <c r="B37" s="156"/>
      <c r="C37" s="156"/>
      <c r="D37" s="156"/>
      <c r="E37" s="157"/>
      <c r="F37" s="78"/>
      <c r="G37" s="81"/>
      <c r="H37" s="81"/>
      <c r="I37" s="82">
        <f>SUM(I36:I36)</f>
        <v>0</v>
      </c>
      <c r="J37" s="43"/>
    </row>
    <row r="38" spans="1:10" x14ac:dyDescent="0.25">
      <c r="A38" s="53"/>
      <c r="B38" s="53"/>
      <c r="C38" s="53"/>
      <c r="D38" s="53"/>
      <c r="E38" s="53"/>
      <c r="F38" s="53"/>
      <c r="G38" s="53"/>
      <c r="H38" s="53"/>
      <c r="I38" s="53"/>
    </row>
  </sheetData>
  <sheetProtection sheet="1" objects="1" scenarios="1"/>
  <mergeCells count="52">
    <mergeCell ref="A35:E35"/>
    <mergeCell ref="A36:E36"/>
    <mergeCell ref="A37:E37"/>
    <mergeCell ref="A26:E26"/>
    <mergeCell ref="A27:E27"/>
    <mergeCell ref="A28:E28"/>
    <mergeCell ref="A30:E30"/>
    <mergeCell ref="A18:E18"/>
    <mergeCell ref="F30:I30"/>
    <mergeCell ref="A34:E34"/>
    <mergeCell ref="A19:E19"/>
    <mergeCell ref="A21:E21"/>
    <mergeCell ref="A22:E22"/>
    <mergeCell ref="A23:E23"/>
    <mergeCell ref="A24:E24"/>
    <mergeCell ref="A25:E25"/>
    <mergeCell ref="A13:E13"/>
    <mergeCell ref="A14:E14"/>
    <mergeCell ref="A15:E15"/>
    <mergeCell ref="A16:E16"/>
    <mergeCell ref="A17:E17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C1:I1"/>
    <mergeCell ref="A2:B3"/>
    <mergeCell ref="C2:D3"/>
    <mergeCell ref="E2:E3"/>
    <mergeCell ref="F2:G3"/>
    <mergeCell ref="H2:H3"/>
    <mergeCell ref="I2:I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6"/>
  <sheetViews>
    <sheetView workbookViewId="0">
      <pane ySplit="10" topLeftCell="A11" activePane="bottomLeft" state="frozenSplit"/>
      <selection pane="bottomLeft" sqref="A1:H1"/>
    </sheetView>
  </sheetViews>
  <sheetFormatPr defaultColWidth="11.5546875" defaultRowHeight="13.2" x14ac:dyDescent="0.25"/>
  <cols>
    <col min="1" max="2" width="9.109375" customWidth="1"/>
    <col min="3" max="3" width="13.33203125" customWidth="1"/>
    <col min="4" max="4" width="70.44140625" customWidth="1"/>
    <col min="5" max="5" width="14.5546875" customWidth="1"/>
    <col min="6" max="6" width="24.109375" customWidth="1"/>
    <col min="7" max="7" width="20.44140625" customWidth="1"/>
    <col min="8" max="8" width="16.44140625" customWidth="1"/>
  </cols>
  <sheetData>
    <row r="1" spans="1:9" ht="72.900000000000006" customHeight="1" x14ac:dyDescent="0.4">
      <c r="A1" s="84" t="s">
        <v>388</v>
      </c>
      <c r="B1" s="85"/>
      <c r="C1" s="85"/>
      <c r="D1" s="85"/>
      <c r="E1" s="85"/>
      <c r="F1" s="85"/>
      <c r="G1" s="85"/>
      <c r="H1" s="85"/>
    </row>
    <row r="2" spans="1:9" x14ac:dyDescent="0.25">
      <c r="A2" s="86" t="s">
        <v>1</v>
      </c>
      <c r="B2" s="87"/>
      <c r="C2" s="90" t="str">
        <f>'Stavební rozpočet'!D2</f>
        <v>Rekonstrukce kuželny Zábřeh - III. etapa - sociální zázemí pro hospodu</v>
      </c>
      <c r="D2" s="109"/>
      <c r="E2" s="96" t="s">
        <v>332</v>
      </c>
      <c r="F2" s="96" t="str">
        <f>'Stavební rozpočet'!J2</f>
        <v>město Zábřeh</v>
      </c>
      <c r="G2" s="87"/>
      <c r="H2" s="97"/>
      <c r="I2" s="42"/>
    </row>
    <row r="3" spans="1:9" x14ac:dyDescent="0.25">
      <c r="A3" s="88"/>
      <c r="B3" s="89"/>
      <c r="C3" s="91"/>
      <c r="D3" s="91"/>
      <c r="E3" s="89"/>
      <c r="F3" s="89"/>
      <c r="G3" s="89"/>
      <c r="H3" s="98"/>
      <c r="I3" s="42"/>
    </row>
    <row r="4" spans="1:9" x14ac:dyDescent="0.25">
      <c r="A4" s="99" t="s">
        <v>2</v>
      </c>
      <c r="B4" s="89"/>
      <c r="C4" s="100" t="str">
        <f>'Stavební rozpočet'!D4</f>
        <v xml:space="preserve"> </v>
      </c>
      <c r="D4" s="89"/>
      <c r="E4" s="100" t="s">
        <v>333</v>
      </c>
      <c r="F4" s="100" t="str">
        <f>'Stavební rozpočet'!J4</f>
        <v xml:space="preserve"> </v>
      </c>
      <c r="G4" s="89"/>
      <c r="H4" s="98"/>
      <c r="I4" s="42"/>
    </row>
    <row r="5" spans="1:9" x14ac:dyDescent="0.25">
      <c r="A5" s="88"/>
      <c r="B5" s="89"/>
      <c r="C5" s="89"/>
      <c r="D5" s="89"/>
      <c r="E5" s="89"/>
      <c r="F5" s="89"/>
      <c r="G5" s="89"/>
      <c r="H5" s="98"/>
      <c r="I5" s="42"/>
    </row>
    <row r="6" spans="1:9" x14ac:dyDescent="0.25">
      <c r="A6" s="99" t="s">
        <v>3</v>
      </c>
      <c r="B6" s="89"/>
      <c r="C6" s="100" t="str">
        <f>'Stavební rozpočet'!D6</f>
        <v>Zábřeh</v>
      </c>
      <c r="D6" s="89"/>
      <c r="E6" s="100" t="s">
        <v>334</v>
      </c>
      <c r="F6" s="100" t="str">
        <f>'Stavební rozpočet'!J6</f>
        <v xml:space="preserve"> </v>
      </c>
      <c r="G6" s="89"/>
      <c r="H6" s="98"/>
      <c r="I6" s="42"/>
    </row>
    <row r="7" spans="1:9" x14ac:dyDescent="0.25">
      <c r="A7" s="88"/>
      <c r="B7" s="89"/>
      <c r="C7" s="89"/>
      <c r="D7" s="89"/>
      <c r="E7" s="89"/>
      <c r="F7" s="89"/>
      <c r="G7" s="89"/>
      <c r="H7" s="98"/>
      <c r="I7" s="42"/>
    </row>
    <row r="8" spans="1:9" x14ac:dyDescent="0.25">
      <c r="A8" s="99" t="s">
        <v>335</v>
      </c>
      <c r="B8" s="89"/>
      <c r="C8" s="100" t="str">
        <f>'Stavební rozpočet'!J8</f>
        <v xml:space="preserve"> </v>
      </c>
      <c r="D8" s="89"/>
      <c r="E8" s="100" t="s">
        <v>316</v>
      </c>
      <c r="F8" s="100" t="str">
        <f>'Stavební rozpočet'!G8</f>
        <v>27.02.2019</v>
      </c>
      <c r="G8" s="89"/>
      <c r="H8" s="98"/>
      <c r="I8" s="42"/>
    </row>
    <row r="9" spans="1:9" x14ac:dyDescent="0.25">
      <c r="A9" s="110"/>
      <c r="B9" s="111"/>
      <c r="C9" s="111"/>
      <c r="D9" s="111"/>
      <c r="E9" s="111"/>
      <c r="F9" s="111"/>
      <c r="G9" s="111"/>
      <c r="H9" s="114"/>
      <c r="I9" s="42"/>
    </row>
    <row r="10" spans="1:9" x14ac:dyDescent="0.25">
      <c r="A10" s="50" t="s">
        <v>5</v>
      </c>
      <c r="B10" s="52" t="s">
        <v>90</v>
      </c>
      <c r="C10" s="52" t="s">
        <v>94</v>
      </c>
      <c r="D10" s="52" t="s">
        <v>194</v>
      </c>
      <c r="E10" s="52" t="s">
        <v>317</v>
      </c>
      <c r="F10" s="52" t="s">
        <v>195</v>
      </c>
      <c r="G10" s="54" t="s">
        <v>325</v>
      </c>
      <c r="H10" s="56" t="s">
        <v>469</v>
      </c>
      <c r="I10" s="43"/>
    </row>
    <row r="11" spans="1:9" x14ac:dyDescent="0.25">
      <c r="A11" s="51" t="s">
        <v>7</v>
      </c>
      <c r="B11" s="51" t="s">
        <v>91</v>
      </c>
      <c r="C11" s="51" t="s">
        <v>95</v>
      </c>
      <c r="D11" s="51" t="s">
        <v>198</v>
      </c>
      <c r="E11" s="51" t="s">
        <v>318</v>
      </c>
      <c r="F11" s="53"/>
      <c r="G11" s="55">
        <v>1</v>
      </c>
      <c r="H11" s="57" t="s">
        <v>342</v>
      </c>
    </row>
    <row r="12" spans="1:9" x14ac:dyDescent="0.25">
      <c r="D12" s="17" t="s">
        <v>199</v>
      </c>
      <c r="G12" s="19">
        <v>0</v>
      </c>
    </row>
    <row r="13" spans="1:9" x14ac:dyDescent="0.25">
      <c r="A13" s="5" t="s">
        <v>8</v>
      </c>
      <c r="B13" s="5" t="s">
        <v>91</v>
      </c>
      <c r="C13" s="5" t="s">
        <v>96</v>
      </c>
      <c r="D13" s="5" t="s">
        <v>198</v>
      </c>
      <c r="E13" s="5" t="s">
        <v>318</v>
      </c>
      <c r="G13" s="19">
        <v>1</v>
      </c>
      <c r="H13" s="39" t="s">
        <v>342</v>
      </c>
    </row>
    <row r="14" spans="1:9" x14ac:dyDescent="0.25">
      <c r="D14" s="17" t="s">
        <v>200</v>
      </c>
      <c r="G14" s="19">
        <v>0</v>
      </c>
    </row>
    <row r="15" spans="1:9" x14ac:dyDescent="0.25">
      <c r="A15" s="5" t="s">
        <v>9</v>
      </c>
      <c r="B15" s="5" t="s">
        <v>91</v>
      </c>
      <c r="C15" s="5" t="s">
        <v>97</v>
      </c>
      <c r="D15" s="5" t="s">
        <v>202</v>
      </c>
      <c r="E15" s="5" t="s">
        <v>319</v>
      </c>
      <c r="G15" s="19">
        <v>5.6875</v>
      </c>
      <c r="H15" s="39" t="s">
        <v>342</v>
      </c>
    </row>
    <row r="16" spans="1:9" x14ac:dyDescent="0.25">
      <c r="F16" s="5" t="s">
        <v>389</v>
      </c>
      <c r="G16" s="19">
        <v>3.4375</v>
      </c>
    </row>
    <row r="17" spans="1:8" x14ac:dyDescent="0.25">
      <c r="A17" s="5"/>
      <c r="B17" s="5"/>
      <c r="C17" s="5"/>
      <c r="D17" s="5"/>
      <c r="E17" s="5"/>
      <c r="F17" s="5" t="s">
        <v>390</v>
      </c>
      <c r="G17" s="19">
        <v>2.25</v>
      </c>
    </row>
    <row r="18" spans="1:8" x14ac:dyDescent="0.25">
      <c r="A18" s="5" t="s">
        <v>10</v>
      </c>
      <c r="B18" s="5" t="s">
        <v>91</v>
      </c>
      <c r="C18" s="5" t="s">
        <v>98</v>
      </c>
      <c r="D18" s="5" t="s">
        <v>203</v>
      </c>
      <c r="E18" s="5" t="s">
        <v>319</v>
      </c>
      <c r="G18" s="19">
        <v>2.8391299999999999</v>
      </c>
      <c r="H18" s="39" t="s">
        <v>342</v>
      </c>
    </row>
    <row r="19" spans="1:8" x14ac:dyDescent="0.25">
      <c r="F19" s="5" t="s">
        <v>391</v>
      </c>
      <c r="G19" s="19">
        <v>1.99163</v>
      </c>
    </row>
    <row r="20" spans="1:8" x14ac:dyDescent="0.25">
      <c r="A20" s="5"/>
      <c r="B20" s="5"/>
      <c r="C20" s="5"/>
      <c r="D20" s="5"/>
      <c r="E20" s="5"/>
      <c r="F20" s="5" t="s">
        <v>392</v>
      </c>
      <c r="G20" s="19">
        <v>0.84750000000000003</v>
      </c>
    </row>
    <row r="21" spans="1:8" x14ac:dyDescent="0.25">
      <c r="A21" s="5" t="s">
        <v>11</v>
      </c>
      <c r="B21" s="5" t="s">
        <v>91</v>
      </c>
      <c r="C21" s="5" t="s">
        <v>99</v>
      </c>
      <c r="D21" s="5" t="s">
        <v>204</v>
      </c>
      <c r="E21" s="5" t="s">
        <v>318</v>
      </c>
      <c r="G21" s="19">
        <v>12</v>
      </c>
      <c r="H21" s="39" t="s">
        <v>342</v>
      </c>
    </row>
    <row r="22" spans="1:8" x14ac:dyDescent="0.25">
      <c r="A22" s="5" t="s">
        <v>12</v>
      </c>
      <c r="B22" s="5" t="s">
        <v>91</v>
      </c>
      <c r="C22" s="5" t="s">
        <v>100</v>
      </c>
      <c r="D22" s="5" t="s">
        <v>206</v>
      </c>
      <c r="E22" s="5" t="s">
        <v>319</v>
      </c>
      <c r="G22" s="19">
        <v>74.4816</v>
      </c>
      <c r="H22" s="39" t="s">
        <v>342</v>
      </c>
    </row>
    <row r="23" spans="1:8" x14ac:dyDescent="0.25">
      <c r="A23" s="5" t="s">
        <v>13</v>
      </c>
      <c r="B23" s="5" t="s">
        <v>91</v>
      </c>
      <c r="C23" s="5" t="s">
        <v>101</v>
      </c>
      <c r="D23" s="5" t="s">
        <v>208</v>
      </c>
      <c r="E23" s="5" t="s">
        <v>319</v>
      </c>
      <c r="G23" s="19">
        <v>26.79</v>
      </c>
      <c r="H23" s="39" t="s">
        <v>342</v>
      </c>
    </row>
    <row r="24" spans="1:8" x14ac:dyDescent="0.25">
      <c r="D24" s="17" t="s">
        <v>209</v>
      </c>
      <c r="F24" s="5" t="s">
        <v>393</v>
      </c>
      <c r="G24" s="19">
        <v>2.4449999999999998</v>
      </c>
    </row>
    <row r="25" spans="1:8" x14ac:dyDescent="0.25">
      <c r="A25" s="5"/>
      <c r="B25" s="5"/>
      <c r="C25" s="5"/>
      <c r="D25" s="5"/>
      <c r="E25" s="5"/>
      <c r="F25" s="5" t="s">
        <v>394</v>
      </c>
      <c r="G25" s="19">
        <v>1.8</v>
      </c>
    </row>
    <row r="26" spans="1:8" x14ac:dyDescent="0.25">
      <c r="A26" s="5"/>
      <c r="B26" s="5"/>
      <c r="C26" s="5"/>
      <c r="D26" s="5"/>
      <c r="E26" s="5"/>
      <c r="F26" s="5" t="s">
        <v>395</v>
      </c>
      <c r="G26" s="19">
        <v>0.87</v>
      </c>
    </row>
    <row r="27" spans="1:8" x14ac:dyDescent="0.25">
      <c r="A27" s="5"/>
      <c r="B27" s="5"/>
      <c r="C27" s="5"/>
      <c r="D27" s="5"/>
      <c r="E27" s="5"/>
      <c r="F27" s="5" t="s">
        <v>396</v>
      </c>
      <c r="G27" s="19">
        <v>1.575</v>
      </c>
    </row>
    <row r="28" spans="1:8" x14ac:dyDescent="0.25">
      <c r="A28" s="5"/>
      <c r="B28" s="5"/>
      <c r="C28" s="5"/>
      <c r="D28" s="5"/>
      <c r="E28" s="5"/>
      <c r="F28" s="5" t="s">
        <v>397</v>
      </c>
      <c r="G28" s="19">
        <v>6.42</v>
      </c>
    </row>
    <row r="29" spans="1:8" x14ac:dyDescent="0.25">
      <c r="A29" s="5"/>
      <c r="B29" s="5"/>
      <c r="C29" s="5"/>
      <c r="D29" s="5"/>
      <c r="E29" s="5"/>
      <c r="F29" s="5" t="s">
        <v>398</v>
      </c>
      <c r="G29" s="19">
        <v>3.68</v>
      </c>
    </row>
    <row r="30" spans="1:8" x14ac:dyDescent="0.25">
      <c r="A30" s="5"/>
      <c r="B30" s="5"/>
      <c r="C30" s="5"/>
      <c r="D30" s="5"/>
      <c r="E30" s="5"/>
      <c r="F30" s="5" t="s">
        <v>399</v>
      </c>
      <c r="G30" s="19">
        <v>10</v>
      </c>
    </row>
    <row r="31" spans="1:8" x14ac:dyDescent="0.25">
      <c r="A31" s="5" t="s">
        <v>14</v>
      </c>
      <c r="B31" s="5" t="s">
        <v>91</v>
      </c>
      <c r="C31" s="5" t="s">
        <v>102</v>
      </c>
      <c r="D31" s="5" t="s">
        <v>210</v>
      </c>
      <c r="E31" s="5" t="s">
        <v>319</v>
      </c>
      <c r="G31" s="19">
        <v>74.4816</v>
      </c>
      <c r="H31" s="39" t="s">
        <v>342</v>
      </c>
    </row>
    <row r="32" spans="1:8" x14ac:dyDescent="0.25">
      <c r="A32" s="5" t="s">
        <v>15</v>
      </c>
      <c r="B32" s="5" t="s">
        <v>91</v>
      </c>
      <c r="C32" s="5" t="s">
        <v>103</v>
      </c>
      <c r="D32" s="5" t="s">
        <v>211</v>
      </c>
      <c r="E32" s="5" t="s">
        <v>319</v>
      </c>
      <c r="G32" s="19">
        <v>74.4816</v>
      </c>
      <c r="H32" s="39" t="s">
        <v>342</v>
      </c>
    </row>
    <row r="33" spans="1:8" x14ac:dyDescent="0.25">
      <c r="A33" s="5" t="s">
        <v>16</v>
      </c>
      <c r="B33" s="5" t="s">
        <v>91</v>
      </c>
      <c r="C33" s="5" t="s">
        <v>104</v>
      </c>
      <c r="D33" s="5" t="s">
        <v>212</v>
      </c>
      <c r="E33" s="5" t="s">
        <v>319</v>
      </c>
      <c r="G33" s="19">
        <v>26.8</v>
      </c>
      <c r="H33" s="39" t="s">
        <v>342</v>
      </c>
    </row>
    <row r="34" spans="1:8" x14ac:dyDescent="0.25">
      <c r="D34" s="17" t="s">
        <v>209</v>
      </c>
      <c r="F34" s="5" t="s">
        <v>400</v>
      </c>
      <c r="G34" s="19">
        <v>9.7200000000000006</v>
      </c>
    </row>
    <row r="35" spans="1:8" x14ac:dyDescent="0.25">
      <c r="A35" s="5"/>
      <c r="B35" s="5"/>
      <c r="C35" s="5"/>
      <c r="D35" s="5"/>
      <c r="E35" s="5"/>
      <c r="F35" s="5" t="s">
        <v>401</v>
      </c>
      <c r="G35" s="19">
        <v>17.079999999999998</v>
      </c>
    </row>
    <row r="36" spans="1:8" x14ac:dyDescent="0.25">
      <c r="A36" s="5" t="s">
        <v>17</v>
      </c>
      <c r="B36" s="5" t="s">
        <v>91</v>
      </c>
      <c r="C36" s="5" t="s">
        <v>105</v>
      </c>
      <c r="D36" s="5" t="s">
        <v>214</v>
      </c>
      <c r="E36" s="5" t="s">
        <v>320</v>
      </c>
      <c r="G36" s="19">
        <v>1.7887999999999999</v>
      </c>
      <c r="H36" s="39" t="s">
        <v>342</v>
      </c>
    </row>
    <row r="37" spans="1:8" x14ac:dyDescent="0.25">
      <c r="D37" s="17" t="s">
        <v>215</v>
      </c>
      <c r="F37" s="5" t="s">
        <v>402</v>
      </c>
      <c r="G37" s="19">
        <v>1.3888</v>
      </c>
    </row>
    <row r="38" spans="1:8" x14ac:dyDescent="0.25">
      <c r="A38" s="5"/>
      <c r="B38" s="5"/>
      <c r="C38" s="5"/>
      <c r="D38" s="5"/>
      <c r="E38" s="5"/>
      <c r="F38" s="5" t="s">
        <v>403</v>
      </c>
      <c r="G38" s="19">
        <v>0.4</v>
      </c>
    </row>
    <row r="39" spans="1:8" x14ac:dyDescent="0.25">
      <c r="A39" s="5" t="s">
        <v>18</v>
      </c>
      <c r="B39" s="5" t="s">
        <v>91</v>
      </c>
      <c r="C39" s="5" t="s">
        <v>106</v>
      </c>
      <c r="D39" s="5" t="s">
        <v>216</v>
      </c>
      <c r="E39" s="5" t="s">
        <v>320</v>
      </c>
      <c r="G39" s="19">
        <v>3.8832</v>
      </c>
      <c r="H39" s="39" t="s">
        <v>342</v>
      </c>
    </row>
    <row r="40" spans="1:8" x14ac:dyDescent="0.25">
      <c r="F40" s="5" t="s">
        <v>404</v>
      </c>
      <c r="G40" s="19">
        <v>1.8</v>
      </c>
    </row>
    <row r="41" spans="1:8" x14ac:dyDescent="0.25">
      <c r="A41" s="5"/>
      <c r="B41" s="5"/>
      <c r="C41" s="5"/>
      <c r="D41" s="5"/>
      <c r="E41" s="5"/>
      <c r="F41" s="5" t="s">
        <v>405</v>
      </c>
      <c r="G41" s="19">
        <v>2.0832000000000002</v>
      </c>
    </row>
    <row r="42" spans="1:8" x14ac:dyDescent="0.25">
      <c r="A42" s="5" t="s">
        <v>19</v>
      </c>
      <c r="B42" s="5" t="s">
        <v>91</v>
      </c>
      <c r="C42" s="5" t="s">
        <v>107</v>
      </c>
      <c r="D42" s="5" t="s">
        <v>218</v>
      </c>
      <c r="E42" s="5" t="s">
        <v>318</v>
      </c>
      <c r="G42" s="19">
        <v>1</v>
      </c>
      <c r="H42" s="39" t="s">
        <v>342</v>
      </c>
    </row>
    <row r="43" spans="1:8" x14ac:dyDescent="0.25">
      <c r="D43" s="17" t="s">
        <v>219</v>
      </c>
      <c r="G43" s="19">
        <v>0</v>
      </c>
    </row>
    <row r="44" spans="1:8" x14ac:dyDescent="0.25">
      <c r="A44" s="5" t="s">
        <v>20</v>
      </c>
      <c r="B44" s="5" t="s">
        <v>91</v>
      </c>
      <c r="C44" s="5" t="s">
        <v>108</v>
      </c>
      <c r="D44" s="5" t="s">
        <v>218</v>
      </c>
      <c r="E44" s="5" t="s">
        <v>318</v>
      </c>
      <c r="G44" s="19">
        <v>2</v>
      </c>
      <c r="H44" s="39" t="s">
        <v>342</v>
      </c>
    </row>
    <row r="45" spans="1:8" x14ac:dyDescent="0.25">
      <c r="D45" s="17" t="s">
        <v>220</v>
      </c>
      <c r="G45" s="19">
        <v>0</v>
      </c>
    </row>
    <row r="46" spans="1:8" x14ac:dyDescent="0.25">
      <c r="A46" s="5" t="s">
        <v>21</v>
      </c>
      <c r="B46" s="5" t="s">
        <v>91</v>
      </c>
      <c r="C46" s="5" t="s">
        <v>110</v>
      </c>
      <c r="D46" s="5" t="s">
        <v>222</v>
      </c>
      <c r="E46" s="5" t="s">
        <v>319</v>
      </c>
      <c r="G46" s="19">
        <v>8.9440000000000008</v>
      </c>
      <c r="H46" s="39" t="s">
        <v>342</v>
      </c>
    </row>
    <row r="47" spans="1:8" x14ac:dyDescent="0.25">
      <c r="D47" s="17" t="s">
        <v>223</v>
      </c>
      <c r="F47" s="5" t="s">
        <v>406</v>
      </c>
      <c r="G47" s="19">
        <v>6.944</v>
      </c>
    </row>
    <row r="48" spans="1:8" x14ac:dyDescent="0.25">
      <c r="A48" s="5"/>
      <c r="B48" s="5"/>
      <c r="C48" s="5"/>
      <c r="D48" s="5"/>
      <c r="E48" s="5"/>
      <c r="F48" s="5" t="s">
        <v>407</v>
      </c>
      <c r="G48" s="19">
        <v>2</v>
      </c>
    </row>
    <row r="49" spans="1:8" x14ac:dyDescent="0.25">
      <c r="A49" s="5" t="s">
        <v>22</v>
      </c>
      <c r="B49" s="5" t="s">
        <v>91</v>
      </c>
      <c r="C49" s="5" t="s">
        <v>111</v>
      </c>
      <c r="D49" s="5" t="s">
        <v>224</v>
      </c>
      <c r="E49" s="5" t="s">
        <v>319</v>
      </c>
      <c r="G49" s="19">
        <v>8.9440000000000008</v>
      </c>
      <c r="H49" s="39" t="s">
        <v>342</v>
      </c>
    </row>
    <row r="50" spans="1:8" x14ac:dyDescent="0.25">
      <c r="D50" s="17" t="s">
        <v>225</v>
      </c>
      <c r="G50" s="19">
        <v>0</v>
      </c>
    </row>
    <row r="51" spans="1:8" x14ac:dyDescent="0.25">
      <c r="A51" s="5" t="s">
        <v>23</v>
      </c>
      <c r="B51" s="5" t="s">
        <v>91</v>
      </c>
      <c r="C51" s="5" t="s">
        <v>112</v>
      </c>
      <c r="D51" s="5" t="s">
        <v>226</v>
      </c>
      <c r="E51" s="5" t="s">
        <v>321</v>
      </c>
      <c r="G51" s="19">
        <v>5.2999999999999999E-2</v>
      </c>
      <c r="H51" s="39" t="s">
        <v>342</v>
      </c>
    </row>
    <row r="52" spans="1:8" x14ac:dyDescent="0.25">
      <c r="A52" s="5" t="s">
        <v>24</v>
      </c>
      <c r="B52" s="5" t="s">
        <v>91</v>
      </c>
      <c r="C52" s="5" t="s">
        <v>114</v>
      </c>
      <c r="D52" s="5" t="s">
        <v>228</v>
      </c>
      <c r="E52" s="5" t="s">
        <v>318</v>
      </c>
      <c r="G52" s="19">
        <v>4</v>
      </c>
      <c r="H52" s="39" t="s">
        <v>342</v>
      </c>
    </row>
    <row r="53" spans="1:8" x14ac:dyDescent="0.25">
      <c r="A53" s="5" t="s">
        <v>25</v>
      </c>
      <c r="B53" s="5" t="s">
        <v>91</v>
      </c>
      <c r="C53" s="5" t="s">
        <v>115</v>
      </c>
      <c r="D53" s="5" t="s">
        <v>229</v>
      </c>
      <c r="E53" s="5" t="s">
        <v>318</v>
      </c>
      <c r="G53" s="19">
        <v>2</v>
      </c>
      <c r="H53" s="39" t="s">
        <v>342</v>
      </c>
    </row>
    <row r="54" spans="1:8" x14ac:dyDescent="0.25">
      <c r="A54" s="5" t="s">
        <v>26</v>
      </c>
      <c r="B54" s="5" t="s">
        <v>91</v>
      </c>
      <c r="C54" s="5" t="s">
        <v>116</v>
      </c>
      <c r="D54" s="5" t="s">
        <v>230</v>
      </c>
      <c r="E54" s="5" t="s">
        <v>318</v>
      </c>
      <c r="F54" s="5" t="s">
        <v>408</v>
      </c>
      <c r="G54" s="19">
        <v>2</v>
      </c>
      <c r="H54" s="39" t="s">
        <v>342</v>
      </c>
    </row>
    <row r="55" spans="1:8" x14ac:dyDescent="0.25">
      <c r="A55" s="5" t="s">
        <v>27</v>
      </c>
      <c r="B55" s="5" t="s">
        <v>91</v>
      </c>
      <c r="C55" s="5" t="s">
        <v>117</v>
      </c>
      <c r="D55" s="5" t="s">
        <v>231</v>
      </c>
      <c r="E55" s="5" t="s">
        <v>318</v>
      </c>
      <c r="G55" s="19">
        <v>6</v>
      </c>
      <c r="H55" s="39" t="s">
        <v>342</v>
      </c>
    </row>
    <row r="56" spans="1:8" x14ac:dyDescent="0.25">
      <c r="A56" s="5" t="s">
        <v>28</v>
      </c>
      <c r="B56" s="5" t="s">
        <v>91</v>
      </c>
      <c r="C56" s="5" t="s">
        <v>118</v>
      </c>
      <c r="D56" s="5" t="s">
        <v>232</v>
      </c>
      <c r="E56" s="5" t="s">
        <v>318</v>
      </c>
      <c r="G56" s="19">
        <v>6</v>
      </c>
      <c r="H56" s="39" t="s">
        <v>342</v>
      </c>
    </row>
    <row r="57" spans="1:8" x14ac:dyDescent="0.25">
      <c r="A57" s="5" t="s">
        <v>29</v>
      </c>
      <c r="B57" s="5" t="s">
        <v>91</v>
      </c>
      <c r="C57" s="5" t="s">
        <v>119</v>
      </c>
      <c r="D57" s="5" t="s">
        <v>233</v>
      </c>
      <c r="E57" s="5" t="s">
        <v>318</v>
      </c>
      <c r="G57" s="19">
        <v>1</v>
      </c>
      <c r="H57" s="39"/>
    </row>
    <row r="58" spans="1:8" x14ac:dyDescent="0.25">
      <c r="A58" s="5" t="s">
        <v>30</v>
      </c>
      <c r="B58" s="5" t="s">
        <v>91</v>
      </c>
      <c r="C58" s="5" t="s">
        <v>120</v>
      </c>
      <c r="D58" s="5" t="s">
        <v>234</v>
      </c>
      <c r="E58" s="5" t="s">
        <v>318</v>
      </c>
      <c r="G58" s="19">
        <v>4</v>
      </c>
      <c r="H58" s="39"/>
    </row>
    <row r="59" spans="1:8" x14ac:dyDescent="0.25">
      <c r="D59" s="17" t="s">
        <v>235</v>
      </c>
      <c r="G59" s="19">
        <v>0</v>
      </c>
    </row>
    <row r="60" spans="1:8" x14ac:dyDescent="0.25">
      <c r="A60" s="5" t="s">
        <v>31</v>
      </c>
      <c r="B60" s="5" t="s">
        <v>91</v>
      </c>
      <c r="C60" s="5" t="s">
        <v>121</v>
      </c>
      <c r="D60" s="5" t="s">
        <v>236</v>
      </c>
      <c r="E60" s="5" t="s">
        <v>318</v>
      </c>
      <c r="G60" s="19">
        <v>6</v>
      </c>
      <c r="H60" s="39" t="s">
        <v>342</v>
      </c>
    </row>
    <row r="61" spans="1:8" x14ac:dyDescent="0.25">
      <c r="A61" s="6" t="s">
        <v>32</v>
      </c>
      <c r="B61" s="6" t="s">
        <v>91</v>
      </c>
      <c r="C61" s="6" t="s">
        <v>122</v>
      </c>
      <c r="D61" s="6" t="s">
        <v>237</v>
      </c>
      <c r="E61" s="6" t="s">
        <v>318</v>
      </c>
      <c r="G61" s="20">
        <v>3</v>
      </c>
      <c r="H61" s="40" t="s">
        <v>342</v>
      </c>
    </row>
    <row r="62" spans="1:8" x14ac:dyDescent="0.25">
      <c r="A62" s="6" t="s">
        <v>33</v>
      </c>
      <c r="B62" s="6" t="s">
        <v>91</v>
      </c>
      <c r="C62" s="6" t="s">
        <v>123</v>
      </c>
      <c r="D62" s="6" t="s">
        <v>238</v>
      </c>
      <c r="E62" s="6" t="s">
        <v>318</v>
      </c>
      <c r="G62" s="20">
        <v>3</v>
      </c>
      <c r="H62" s="40" t="s">
        <v>342</v>
      </c>
    </row>
    <row r="63" spans="1:8" x14ac:dyDescent="0.25">
      <c r="A63" s="6" t="s">
        <v>34</v>
      </c>
      <c r="B63" s="6" t="s">
        <v>91</v>
      </c>
      <c r="C63" s="6" t="s">
        <v>124</v>
      </c>
      <c r="D63" s="6" t="s">
        <v>239</v>
      </c>
      <c r="E63" s="6" t="s">
        <v>318</v>
      </c>
      <c r="G63" s="20">
        <v>1</v>
      </c>
      <c r="H63" s="40" t="s">
        <v>342</v>
      </c>
    </row>
    <row r="64" spans="1:8" x14ac:dyDescent="0.25">
      <c r="A64" s="6" t="s">
        <v>35</v>
      </c>
      <c r="B64" s="6" t="s">
        <v>91</v>
      </c>
      <c r="C64" s="6" t="s">
        <v>125</v>
      </c>
      <c r="D64" s="6" t="s">
        <v>240</v>
      </c>
      <c r="E64" s="6" t="s">
        <v>318</v>
      </c>
      <c r="G64" s="20">
        <v>2</v>
      </c>
      <c r="H64" s="40" t="s">
        <v>342</v>
      </c>
    </row>
    <row r="65" spans="1:8" x14ac:dyDescent="0.25">
      <c r="A65" s="5" t="s">
        <v>36</v>
      </c>
      <c r="B65" s="5" t="s">
        <v>91</v>
      </c>
      <c r="C65" s="5" t="s">
        <v>126</v>
      </c>
      <c r="D65" s="5" t="s">
        <v>241</v>
      </c>
      <c r="E65" s="5" t="s">
        <v>318</v>
      </c>
      <c r="G65" s="19">
        <v>1</v>
      </c>
      <c r="H65" s="39"/>
    </row>
    <row r="66" spans="1:8" x14ac:dyDescent="0.25">
      <c r="A66" s="6" t="s">
        <v>37</v>
      </c>
      <c r="B66" s="6" t="s">
        <v>91</v>
      </c>
      <c r="C66" s="6" t="s">
        <v>127</v>
      </c>
      <c r="D66" s="6" t="s">
        <v>242</v>
      </c>
      <c r="E66" s="6" t="s">
        <v>318</v>
      </c>
      <c r="G66" s="20">
        <v>1</v>
      </c>
      <c r="H66" s="40" t="s">
        <v>342</v>
      </c>
    </row>
    <row r="67" spans="1:8" x14ac:dyDescent="0.25">
      <c r="A67" s="6" t="s">
        <v>38</v>
      </c>
      <c r="B67" s="6" t="s">
        <v>91</v>
      </c>
      <c r="C67" s="6" t="s">
        <v>128</v>
      </c>
      <c r="D67" s="6" t="s">
        <v>243</v>
      </c>
      <c r="E67" s="6" t="s">
        <v>318</v>
      </c>
      <c r="G67" s="20">
        <v>3</v>
      </c>
      <c r="H67" s="40" t="s">
        <v>342</v>
      </c>
    </row>
    <row r="68" spans="1:8" x14ac:dyDescent="0.25">
      <c r="A68" s="6" t="s">
        <v>39</v>
      </c>
      <c r="B68" s="6" t="s">
        <v>91</v>
      </c>
      <c r="C68" s="6" t="s">
        <v>129</v>
      </c>
      <c r="D68" s="6" t="s">
        <v>244</v>
      </c>
      <c r="E68" s="6" t="s">
        <v>318</v>
      </c>
      <c r="G68" s="20">
        <v>2</v>
      </c>
      <c r="H68" s="40" t="s">
        <v>342</v>
      </c>
    </row>
    <row r="69" spans="1:8" x14ac:dyDescent="0.25">
      <c r="A69" s="5" t="s">
        <v>40</v>
      </c>
      <c r="B69" s="5" t="s">
        <v>91</v>
      </c>
      <c r="C69" s="5" t="s">
        <v>130</v>
      </c>
      <c r="D69" s="5" t="s">
        <v>245</v>
      </c>
      <c r="E69" s="5" t="s">
        <v>318</v>
      </c>
      <c r="G69" s="19">
        <v>1</v>
      </c>
      <c r="H69" s="39" t="s">
        <v>342</v>
      </c>
    </row>
    <row r="70" spans="1:8" x14ac:dyDescent="0.25">
      <c r="A70" s="5" t="s">
        <v>41</v>
      </c>
      <c r="B70" s="5" t="s">
        <v>91</v>
      </c>
      <c r="C70" s="5" t="s">
        <v>131</v>
      </c>
      <c r="D70" s="5" t="s">
        <v>246</v>
      </c>
      <c r="E70" s="5" t="s">
        <v>318</v>
      </c>
      <c r="G70" s="19">
        <v>1</v>
      </c>
      <c r="H70" s="39" t="s">
        <v>342</v>
      </c>
    </row>
    <row r="71" spans="1:8" x14ac:dyDescent="0.25">
      <c r="A71" s="5" t="s">
        <v>42</v>
      </c>
      <c r="B71" s="5" t="s">
        <v>91</v>
      </c>
      <c r="C71" s="5" t="s">
        <v>132</v>
      </c>
      <c r="D71" s="5" t="s">
        <v>247</v>
      </c>
      <c r="E71" s="5" t="s">
        <v>321</v>
      </c>
      <c r="G71" s="19">
        <v>0.21840000000000001</v>
      </c>
      <c r="H71" s="39" t="s">
        <v>342</v>
      </c>
    </row>
    <row r="72" spans="1:8" x14ac:dyDescent="0.25">
      <c r="A72" s="5" t="s">
        <v>43</v>
      </c>
      <c r="B72" s="5" t="s">
        <v>91</v>
      </c>
      <c r="C72" s="5" t="s">
        <v>134</v>
      </c>
      <c r="D72" s="5" t="s">
        <v>249</v>
      </c>
      <c r="E72" s="5" t="s">
        <v>319</v>
      </c>
      <c r="F72" s="5" t="s">
        <v>409</v>
      </c>
      <c r="G72" s="19">
        <v>53.98</v>
      </c>
      <c r="H72" s="39" t="s">
        <v>342</v>
      </c>
    </row>
    <row r="73" spans="1:8" x14ac:dyDescent="0.25">
      <c r="A73" s="5" t="s">
        <v>44</v>
      </c>
      <c r="B73" s="5" t="s">
        <v>91</v>
      </c>
      <c r="C73" s="5" t="s">
        <v>135</v>
      </c>
      <c r="D73" s="5" t="s">
        <v>250</v>
      </c>
      <c r="E73" s="5" t="s">
        <v>319</v>
      </c>
      <c r="G73" s="19">
        <v>53.98</v>
      </c>
      <c r="H73" s="39" t="s">
        <v>342</v>
      </c>
    </row>
    <row r="74" spans="1:8" x14ac:dyDescent="0.25">
      <c r="A74" s="5" t="s">
        <v>45</v>
      </c>
      <c r="B74" s="5" t="s">
        <v>91</v>
      </c>
      <c r="C74" s="5" t="s">
        <v>136</v>
      </c>
      <c r="D74" s="5" t="s">
        <v>251</v>
      </c>
      <c r="E74" s="5" t="s">
        <v>319</v>
      </c>
      <c r="G74" s="19">
        <v>53.98</v>
      </c>
      <c r="H74" s="39" t="s">
        <v>342</v>
      </c>
    </row>
    <row r="75" spans="1:8" x14ac:dyDescent="0.25">
      <c r="A75" s="5" t="s">
        <v>46</v>
      </c>
      <c r="B75" s="5" t="s">
        <v>91</v>
      </c>
      <c r="C75" s="5" t="s">
        <v>137</v>
      </c>
      <c r="D75" s="5" t="s">
        <v>252</v>
      </c>
      <c r="E75" s="5" t="s">
        <v>319</v>
      </c>
      <c r="G75" s="19">
        <v>53.98</v>
      </c>
      <c r="H75" s="39" t="s">
        <v>342</v>
      </c>
    </row>
    <row r="76" spans="1:8" x14ac:dyDescent="0.25">
      <c r="A76" s="5" t="s">
        <v>47</v>
      </c>
      <c r="B76" s="5" t="s">
        <v>91</v>
      </c>
      <c r="C76" s="5" t="s">
        <v>138</v>
      </c>
      <c r="D76" s="5" t="s">
        <v>253</v>
      </c>
      <c r="E76" s="5" t="s">
        <v>319</v>
      </c>
      <c r="G76" s="19">
        <v>53.98</v>
      </c>
      <c r="H76" s="39" t="s">
        <v>342</v>
      </c>
    </row>
    <row r="77" spans="1:8" x14ac:dyDescent="0.25">
      <c r="A77" s="5" t="s">
        <v>48</v>
      </c>
      <c r="B77" s="5" t="s">
        <v>91</v>
      </c>
      <c r="C77" s="5" t="s">
        <v>139</v>
      </c>
      <c r="D77" s="5" t="s">
        <v>254</v>
      </c>
      <c r="E77" s="5" t="s">
        <v>319</v>
      </c>
      <c r="F77" s="5" t="s">
        <v>410</v>
      </c>
      <c r="G77" s="19">
        <v>21.45</v>
      </c>
      <c r="H77" s="39" t="s">
        <v>342</v>
      </c>
    </row>
    <row r="78" spans="1:8" x14ac:dyDescent="0.25">
      <c r="A78" s="6" t="s">
        <v>49</v>
      </c>
      <c r="B78" s="6" t="s">
        <v>91</v>
      </c>
      <c r="C78" s="6" t="s">
        <v>140</v>
      </c>
      <c r="D78" s="6" t="s">
        <v>255</v>
      </c>
      <c r="E78" s="6" t="s">
        <v>319</v>
      </c>
      <c r="G78" s="20">
        <v>60</v>
      </c>
      <c r="H78" s="40" t="s">
        <v>342</v>
      </c>
    </row>
    <row r="79" spans="1:8" x14ac:dyDescent="0.25">
      <c r="F79" s="6" t="s">
        <v>411</v>
      </c>
      <c r="G79" s="20">
        <v>59.378</v>
      </c>
    </row>
    <row r="80" spans="1:8" x14ac:dyDescent="0.25">
      <c r="A80" s="6"/>
      <c r="B80" s="6"/>
      <c r="C80" s="6"/>
      <c r="D80" s="6"/>
      <c r="E80" s="6"/>
      <c r="F80" s="6" t="s">
        <v>412</v>
      </c>
      <c r="G80" s="20">
        <v>0.622</v>
      </c>
    </row>
    <row r="81" spans="1:8" x14ac:dyDescent="0.25">
      <c r="A81" s="5" t="s">
        <v>50</v>
      </c>
      <c r="B81" s="5" t="s">
        <v>91</v>
      </c>
      <c r="C81" s="5" t="s">
        <v>141</v>
      </c>
      <c r="D81" s="5" t="s">
        <v>256</v>
      </c>
      <c r="E81" s="5" t="s">
        <v>319</v>
      </c>
      <c r="G81" s="19">
        <v>64.900000000000006</v>
      </c>
      <c r="H81" s="39" t="s">
        <v>342</v>
      </c>
    </row>
    <row r="82" spans="1:8" x14ac:dyDescent="0.25">
      <c r="F82" s="5" t="s">
        <v>413</v>
      </c>
      <c r="G82" s="19">
        <v>53.98</v>
      </c>
    </row>
    <row r="83" spans="1:8" x14ac:dyDescent="0.25">
      <c r="A83" s="5"/>
      <c r="B83" s="5"/>
      <c r="C83" s="5"/>
      <c r="D83" s="5"/>
      <c r="E83" s="5"/>
      <c r="F83" s="5" t="s">
        <v>414</v>
      </c>
      <c r="G83" s="19">
        <v>10.92</v>
      </c>
    </row>
    <row r="84" spans="1:8" x14ac:dyDescent="0.25">
      <c r="A84" s="5" t="s">
        <v>51</v>
      </c>
      <c r="B84" s="5" t="s">
        <v>91</v>
      </c>
      <c r="C84" s="5" t="s">
        <v>142</v>
      </c>
      <c r="D84" s="5" t="s">
        <v>257</v>
      </c>
      <c r="E84" s="5" t="s">
        <v>322</v>
      </c>
      <c r="G84" s="19">
        <v>45.1</v>
      </c>
      <c r="H84" s="39" t="s">
        <v>342</v>
      </c>
    </row>
    <row r="85" spans="1:8" x14ac:dyDescent="0.25">
      <c r="D85" s="17" t="s">
        <v>258</v>
      </c>
      <c r="F85" s="5" t="s">
        <v>415</v>
      </c>
      <c r="G85" s="19">
        <v>36.4</v>
      </c>
    </row>
    <row r="86" spans="1:8" x14ac:dyDescent="0.25">
      <c r="A86" s="5"/>
      <c r="B86" s="5"/>
      <c r="C86" s="5"/>
      <c r="D86" s="5"/>
      <c r="E86" s="5"/>
      <c r="F86" s="5" t="s">
        <v>416</v>
      </c>
      <c r="G86" s="19">
        <v>8.6999999999999993</v>
      </c>
    </row>
    <row r="87" spans="1:8" x14ac:dyDescent="0.25">
      <c r="A87" s="5" t="s">
        <v>52</v>
      </c>
      <c r="B87" s="5" t="s">
        <v>91</v>
      </c>
      <c r="C87" s="5" t="s">
        <v>143</v>
      </c>
      <c r="D87" s="5" t="s">
        <v>259</v>
      </c>
      <c r="E87" s="5" t="s">
        <v>321</v>
      </c>
      <c r="G87" s="19">
        <v>1.4244000000000001</v>
      </c>
      <c r="H87" s="39" t="s">
        <v>342</v>
      </c>
    </row>
    <row r="88" spans="1:8" x14ac:dyDescent="0.25">
      <c r="A88" s="5" t="s">
        <v>53</v>
      </c>
      <c r="B88" s="5" t="s">
        <v>91</v>
      </c>
      <c r="C88" s="5" t="s">
        <v>145</v>
      </c>
      <c r="D88" s="5" t="s">
        <v>261</v>
      </c>
      <c r="E88" s="5" t="s">
        <v>319</v>
      </c>
      <c r="G88" s="19">
        <v>76.853750000000005</v>
      </c>
      <c r="H88" s="39" t="s">
        <v>342</v>
      </c>
    </row>
    <row r="89" spans="1:8" x14ac:dyDescent="0.25">
      <c r="F89" s="5" t="s">
        <v>417</v>
      </c>
      <c r="G89" s="19">
        <v>7.5237499999999997</v>
      </c>
    </row>
    <row r="90" spans="1:8" x14ac:dyDescent="0.25">
      <c r="A90" s="5"/>
      <c r="B90" s="5"/>
      <c r="C90" s="5"/>
      <c r="D90" s="5"/>
      <c r="E90" s="5"/>
      <c r="F90" s="5" t="s">
        <v>418</v>
      </c>
      <c r="G90" s="19">
        <v>18.559999999999999</v>
      </c>
    </row>
    <row r="91" spans="1:8" x14ac:dyDescent="0.25">
      <c r="A91" s="5"/>
      <c r="B91" s="5"/>
      <c r="C91" s="5"/>
      <c r="D91" s="5"/>
      <c r="E91" s="5"/>
      <c r="F91" s="5" t="s">
        <v>419</v>
      </c>
      <c r="G91" s="19">
        <v>10.63</v>
      </c>
    </row>
    <row r="92" spans="1:8" x14ac:dyDescent="0.25">
      <c r="A92" s="5"/>
      <c r="B92" s="5"/>
      <c r="C92" s="5"/>
      <c r="D92" s="5"/>
      <c r="E92" s="5"/>
      <c r="F92" s="5" t="s">
        <v>420</v>
      </c>
      <c r="G92" s="19">
        <v>23.82</v>
      </c>
    </row>
    <row r="93" spans="1:8" x14ac:dyDescent="0.25">
      <c r="A93" s="5"/>
      <c r="B93" s="5"/>
      <c r="C93" s="5"/>
      <c r="D93" s="5"/>
      <c r="E93" s="5"/>
      <c r="F93" s="5" t="s">
        <v>421</v>
      </c>
      <c r="G93" s="19">
        <v>14.12</v>
      </c>
    </row>
    <row r="94" spans="1:8" x14ac:dyDescent="0.25">
      <c r="A94" s="5"/>
      <c r="B94" s="5"/>
      <c r="C94" s="5"/>
      <c r="D94" s="5"/>
      <c r="E94" s="5"/>
      <c r="F94" s="5" t="s">
        <v>422</v>
      </c>
      <c r="G94" s="19">
        <v>2.2000000000000002</v>
      </c>
    </row>
    <row r="95" spans="1:8" x14ac:dyDescent="0.25">
      <c r="A95" s="5" t="s">
        <v>54</v>
      </c>
      <c r="B95" s="5" t="s">
        <v>91</v>
      </c>
      <c r="C95" s="5" t="s">
        <v>146</v>
      </c>
      <c r="D95" s="5" t="s">
        <v>262</v>
      </c>
      <c r="E95" s="5" t="s">
        <v>319</v>
      </c>
      <c r="G95" s="19">
        <v>76.853750000000005</v>
      </c>
      <c r="H95" s="39" t="s">
        <v>342</v>
      </c>
    </row>
    <row r="96" spans="1:8" x14ac:dyDescent="0.25">
      <c r="A96" s="5" t="s">
        <v>55</v>
      </c>
      <c r="B96" s="5" t="s">
        <v>91</v>
      </c>
      <c r="C96" s="5" t="s">
        <v>147</v>
      </c>
      <c r="D96" s="5" t="s">
        <v>263</v>
      </c>
      <c r="E96" s="5" t="s">
        <v>319</v>
      </c>
      <c r="G96" s="19">
        <v>57.526499999999999</v>
      </c>
      <c r="H96" s="39" t="s">
        <v>342</v>
      </c>
    </row>
    <row r="97" spans="1:8" x14ac:dyDescent="0.25">
      <c r="F97" s="5" t="s">
        <v>423</v>
      </c>
      <c r="G97" s="19">
        <v>13.284000000000001</v>
      </c>
    </row>
    <row r="98" spans="1:8" x14ac:dyDescent="0.25">
      <c r="A98" s="5"/>
      <c r="B98" s="5"/>
      <c r="C98" s="5"/>
      <c r="D98" s="5"/>
      <c r="E98" s="5"/>
      <c r="F98" s="5" t="s">
        <v>424</v>
      </c>
      <c r="G98" s="19">
        <v>-2.88</v>
      </c>
    </row>
    <row r="99" spans="1:8" x14ac:dyDescent="0.25">
      <c r="A99" s="5"/>
      <c r="B99" s="5"/>
      <c r="C99" s="5"/>
      <c r="D99" s="5"/>
      <c r="E99" s="5"/>
      <c r="F99" s="5" t="s">
        <v>425</v>
      </c>
      <c r="G99" s="19">
        <v>-1.8</v>
      </c>
    </row>
    <row r="100" spans="1:8" x14ac:dyDescent="0.25">
      <c r="A100" s="5"/>
      <c r="B100" s="5"/>
      <c r="C100" s="5"/>
      <c r="D100" s="5"/>
      <c r="E100" s="5"/>
      <c r="F100" s="5" t="s">
        <v>426</v>
      </c>
      <c r="G100" s="19">
        <v>22.5</v>
      </c>
    </row>
    <row r="101" spans="1:8" x14ac:dyDescent="0.25">
      <c r="A101" s="5"/>
      <c r="B101" s="5"/>
      <c r="C101" s="5"/>
      <c r="D101" s="5"/>
      <c r="E101" s="5"/>
      <c r="F101" s="5" t="s">
        <v>425</v>
      </c>
      <c r="G101" s="19">
        <v>-1.8</v>
      </c>
    </row>
    <row r="102" spans="1:8" x14ac:dyDescent="0.25">
      <c r="A102" s="5"/>
      <c r="B102" s="5"/>
      <c r="C102" s="5"/>
      <c r="D102" s="5"/>
      <c r="E102" s="5"/>
      <c r="F102" s="5" t="s">
        <v>427</v>
      </c>
      <c r="G102" s="19">
        <v>0.54</v>
      </c>
    </row>
    <row r="103" spans="1:8" x14ac:dyDescent="0.25">
      <c r="A103" s="5"/>
      <c r="B103" s="5"/>
      <c r="C103" s="5"/>
      <c r="D103" s="5"/>
      <c r="E103" s="5"/>
      <c r="F103" s="5" t="s">
        <v>428</v>
      </c>
      <c r="G103" s="19">
        <v>0.41249999999999998</v>
      </c>
    </row>
    <row r="104" spans="1:8" x14ac:dyDescent="0.25">
      <c r="A104" s="5"/>
      <c r="B104" s="5"/>
      <c r="C104" s="5"/>
      <c r="D104" s="5"/>
      <c r="E104" s="5"/>
      <c r="F104" s="5" t="s">
        <v>429</v>
      </c>
      <c r="G104" s="19">
        <v>9.4499999999999993</v>
      </c>
    </row>
    <row r="105" spans="1:8" x14ac:dyDescent="0.25">
      <c r="A105" s="5"/>
      <c r="B105" s="5"/>
      <c r="C105" s="5"/>
      <c r="D105" s="5"/>
      <c r="E105" s="5"/>
      <c r="F105" s="5" t="s">
        <v>430</v>
      </c>
      <c r="G105" s="19">
        <v>-1.08</v>
      </c>
    </row>
    <row r="106" spans="1:8" x14ac:dyDescent="0.25">
      <c r="A106" s="5"/>
      <c r="B106" s="5"/>
      <c r="C106" s="5"/>
      <c r="D106" s="5"/>
      <c r="E106" s="5"/>
      <c r="F106" s="5" t="s">
        <v>431</v>
      </c>
      <c r="G106" s="19">
        <v>20.34</v>
      </c>
    </row>
    <row r="107" spans="1:8" x14ac:dyDescent="0.25">
      <c r="A107" s="5"/>
      <c r="B107" s="5"/>
      <c r="C107" s="5"/>
      <c r="D107" s="5"/>
      <c r="E107" s="5"/>
      <c r="F107" s="5" t="s">
        <v>432</v>
      </c>
      <c r="G107" s="19">
        <v>-1.44</v>
      </c>
    </row>
    <row r="108" spans="1:8" x14ac:dyDescent="0.25">
      <c r="A108" s="5" t="s">
        <v>56</v>
      </c>
      <c r="B108" s="5" t="s">
        <v>91</v>
      </c>
      <c r="C108" s="5" t="s">
        <v>148</v>
      </c>
      <c r="D108" s="5" t="s">
        <v>264</v>
      </c>
      <c r="E108" s="5" t="s">
        <v>319</v>
      </c>
      <c r="G108" s="19">
        <v>57.526499999999999</v>
      </c>
      <c r="H108" s="39" t="s">
        <v>342</v>
      </c>
    </row>
    <row r="109" spans="1:8" x14ac:dyDescent="0.25">
      <c r="A109" s="5" t="s">
        <v>57</v>
      </c>
      <c r="B109" s="5" t="s">
        <v>91</v>
      </c>
      <c r="C109" s="5" t="s">
        <v>149</v>
      </c>
      <c r="D109" s="5" t="s">
        <v>265</v>
      </c>
      <c r="E109" s="5" t="s">
        <v>318</v>
      </c>
      <c r="F109" s="5" t="s">
        <v>10</v>
      </c>
      <c r="G109" s="19">
        <v>4</v>
      </c>
      <c r="H109" s="39" t="s">
        <v>342</v>
      </c>
    </row>
    <row r="110" spans="1:8" x14ac:dyDescent="0.25">
      <c r="A110" s="5" t="s">
        <v>58</v>
      </c>
      <c r="B110" s="5" t="s">
        <v>91</v>
      </c>
      <c r="C110" s="5" t="s">
        <v>150</v>
      </c>
      <c r="D110" s="5" t="s">
        <v>266</v>
      </c>
      <c r="E110" s="5" t="s">
        <v>319</v>
      </c>
      <c r="G110" s="19">
        <v>57.526499999999999</v>
      </c>
      <c r="H110" s="39" t="s">
        <v>342</v>
      </c>
    </row>
    <row r="111" spans="1:8" x14ac:dyDescent="0.25">
      <c r="A111" s="5" t="s">
        <v>59</v>
      </c>
      <c r="B111" s="5" t="s">
        <v>91</v>
      </c>
      <c r="C111" s="5" t="s">
        <v>151</v>
      </c>
      <c r="D111" s="5" t="s">
        <v>267</v>
      </c>
      <c r="E111" s="5" t="s">
        <v>319</v>
      </c>
      <c r="G111" s="19">
        <v>57.526499999999999</v>
      </c>
      <c r="H111" s="39" t="s">
        <v>342</v>
      </c>
    </row>
    <row r="112" spans="1:8" x14ac:dyDescent="0.25">
      <c r="A112" s="6" t="s">
        <v>60</v>
      </c>
      <c r="B112" s="6" t="s">
        <v>91</v>
      </c>
      <c r="C112" s="6" t="s">
        <v>152</v>
      </c>
      <c r="D112" s="6" t="s">
        <v>268</v>
      </c>
      <c r="E112" s="6" t="s">
        <v>319</v>
      </c>
      <c r="G112" s="20">
        <v>67</v>
      </c>
      <c r="H112" s="40" t="s">
        <v>342</v>
      </c>
    </row>
    <row r="113" spans="1:8" x14ac:dyDescent="0.25">
      <c r="F113" s="6" t="s">
        <v>433</v>
      </c>
      <c r="G113" s="20">
        <v>66.155479999999997</v>
      </c>
    </row>
    <row r="114" spans="1:8" x14ac:dyDescent="0.25">
      <c r="A114" s="6"/>
      <c r="B114" s="6"/>
      <c r="C114" s="6"/>
      <c r="D114" s="6"/>
      <c r="E114" s="6"/>
      <c r="F114" s="6" t="s">
        <v>434</v>
      </c>
      <c r="G114" s="20">
        <v>0.84452000000000005</v>
      </c>
    </row>
    <row r="115" spans="1:8" x14ac:dyDescent="0.25">
      <c r="A115" s="5" t="s">
        <v>61</v>
      </c>
      <c r="B115" s="5" t="s">
        <v>91</v>
      </c>
      <c r="C115" s="5" t="s">
        <v>153</v>
      </c>
      <c r="D115" s="5" t="s">
        <v>269</v>
      </c>
      <c r="E115" s="5" t="s">
        <v>322</v>
      </c>
      <c r="G115" s="19">
        <v>63</v>
      </c>
      <c r="H115" s="39" t="s">
        <v>342</v>
      </c>
    </row>
    <row r="116" spans="1:8" x14ac:dyDescent="0.25">
      <c r="D116" s="17" t="s">
        <v>270</v>
      </c>
      <c r="F116" s="5" t="s">
        <v>435</v>
      </c>
      <c r="G116" s="19">
        <v>19.8</v>
      </c>
    </row>
    <row r="117" spans="1:8" x14ac:dyDescent="0.25">
      <c r="A117" s="5"/>
      <c r="B117" s="5"/>
      <c r="C117" s="5"/>
      <c r="D117" s="5"/>
      <c r="E117" s="5"/>
      <c r="F117" s="5" t="s">
        <v>436</v>
      </c>
      <c r="G117" s="19">
        <v>4.55</v>
      </c>
    </row>
    <row r="118" spans="1:8" x14ac:dyDescent="0.25">
      <c r="A118" s="5"/>
      <c r="B118" s="5"/>
      <c r="C118" s="5"/>
      <c r="D118" s="5"/>
      <c r="E118" s="5"/>
      <c r="F118" s="5" t="s">
        <v>415</v>
      </c>
      <c r="G118" s="19">
        <v>36.4</v>
      </c>
    </row>
    <row r="119" spans="1:8" x14ac:dyDescent="0.25">
      <c r="A119" s="5"/>
      <c r="B119" s="5"/>
      <c r="C119" s="5"/>
      <c r="D119" s="5"/>
      <c r="E119" s="5"/>
      <c r="F119" s="5" t="s">
        <v>437</v>
      </c>
      <c r="G119" s="19">
        <v>2.25</v>
      </c>
    </row>
    <row r="120" spans="1:8" x14ac:dyDescent="0.25">
      <c r="A120" s="5" t="s">
        <v>62</v>
      </c>
      <c r="B120" s="5" t="s">
        <v>91</v>
      </c>
      <c r="C120" s="5" t="s">
        <v>154</v>
      </c>
      <c r="D120" s="5" t="s">
        <v>271</v>
      </c>
      <c r="E120" s="5" t="s">
        <v>321</v>
      </c>
      <c r="G120" s="19">
        <v>6.3011999999999997</v>
      </c>
      <c r="H120" s="39" t="s">
        <v>342</v>
      </c>
    </row>
    <row r="121" spans="1:8" x14ac:dyDescent="0.25">
      <c r="A121" s="5" t="s">
        <v>63</v>
      </c>
      <c r="B121" s="5" t="s">
        <v>91</v>
      </c>
      <c r="C121" s="5" t="s">
        <v>156</v>
      </c>
      <c r="D121" s="5" t="s">
        <v>273</v>
      </c>
      <c r="E121" s="5" t="s">
        <v>319</v>
      </c>
      <c r="G121" s="19">
        <v>7.6</v>
      </c>
      <c r="H121" s="39" t="s">
        <v>342</v>
      </c>
    </row>
    <row r="122" spans="1:8" x14ac:dyDescent="0.25">
      <c r="F122" s="5" t="s">
        <v>438</v>
      </c>
      <c r="G122" s="19">
        <v>6.4</v>
      </c>
    </row>
    <row r="123" spans="1:8" x14ac:dyDescent="0.25">
      <c r="A123" s="5"/>
      <c r="B123" s="5"/>
      <c r="C123" s="5"/>
      <c r="D123" s="5"/>
      <c r="E123" s="5"/>
      <c r="F123" s="5" t="s">
        <v>439</v>
      </c>
      <c r="G123" s="19">
        <v>1.2</v>
      </c>
    </row>
    <row r="124" spans="1:8" x14ac:dyDescent="0.25">
      <c r="A124" s="5" t="s">
        <v>64</v>
      </c>
      <c r="B124" s="5" t="s">
        <v>91</v>
      </c>
      <c r="C124" s="5" t="s">
        <v>157</v>
      </c>
      <c r="D124" s="5" t="s">
        <v>274</v>
      </c>
      <c r="E124" s="5" t="s">
        <v>319</v>
      </c>
      <c r="G124" s="19">
        <v>7.6</v>
      </c>
      <c r="H124" s="39" t="s">
        <v>342</v>
      </c>
    </row>
    <row r="125" spans="1:8" x14ac:dyDescent="0.25">
      <c r="A125" s="5" t="s">
        <v>65</v>
      </c>
      <c r="B125" s="5" t="s">
        <v>91</v>
      </c>
      <c r="C125" s="5" t="s">
        <v>159</v>
      </c>
      <c r="D125" s="5" t="s">
        <v>276</v>
      </c>
      <c r="E125" s="5" t="s">
        <v>319</v>
      </c>
      <c r="G125" s="19">
        <v>74.4816</v>
      </c>
      <c r="H125" s="39" t="s">
        <v>342</v>
      </c>
    </row>
    <row r="126" spans="1:8" x14ac:dyDescent="0.25">
      <c r="F126" s="5" t="s">
        <v>440</v>
      </c>
      <c r="G126" s="19">
        <v>16.236999999999998</v>
      </c>
    </row>
    <row r="127" spans="1:8" x14ac:dyDescent="0.25">
      <c r="A127" s="5"/>
      <c r="B127" s="5"/>
      <c r="C127" s="5"/>
      <c r="D127" s="5"/>
      <c r="E127" s="5"/>
      <c r="F127" s="5" t="s">
        <v>441</v>
      </c>
      <c r="G127" s="19">
        <v>14.666600000000001</v>
      </c>
    </row>
    <row r="128" spans="1:8" x14ac:dyDescent="0.25">
      <c r="A128" s="5"/>
      <c r="B128" s="5"/>
      <c r="C128" s="5"/>
      <c r="D128" s="5"/>
      <c r="E128" s="5"/>
      <c r="F128" s="5" t="s">
        <v>442</v>
      </c>
      <c r="G128" s="19">
        <v>6.8639999999999999</v>
      </c>
    </row>
    <row r="129" spans="1:8" x14ac:dyDescent="0.25">
      <c r="A129" s="5"/>
      <c r="B129" s="5"/>
      <c r="C129" s="5"/>
      <c r="D129" s="5"/>
      <c r="E129" s="5"/>
      <c r="F129" s="5" t="s">
        <v>443</v>
      </c>
      <c r="G129" s="19">
        <v>9.7759999999999998</v>
      </c>
    </row>
    <row r="130" spans="1:8" x14ac:dyDescent="0.25">
      <c r="A130" s="5"/>
      <c r="B130" s="5"/>
      <c r="C130" s="5"/>
      <c r="D130" s="5"/>
      <c r="E130" s="5"/>
      <c r="F130" s="5" t="s">
        <v>444</v>
      </c>
      <c r="G130" s="19">
        <v>10.868</v>
      </c>
    </row>
    <row r="131" spans="1:8" x14ac:dyDescent="0.25">
      <c r="A131" s="5"/>
      <c r="B131" s="5"/>
      <c r="C131" s="5"/>
      <c r="D131" s="5"/>
      <c r="E131" s="5"/>
      <c r="F131" s="5" t="s">
        <v>445</v>
      </c>
      <c r="G131" s="19">
        <v>17.670000000000002</v>
      </c>
    </row>
    <row r="132" spans="1:8" x14ac:dyDescent="0.25">
      <c r="A132" s="5"/>
      <c r="B132" s="5"/>
      <c r="C132" s="5"/>
      <c r="D132" s="5"/>
      <c r="E132" s="5"/>
      <c r="F132" s="5" t="s">
        <v>446</v>
      </c>
      <c r="G132" s="19">
        <v>-1.6</v>
      </c>
    </row>
    <row r="133" spans="1:8" x14ac:dyDescent="0.25">
      <c r="A133" s="5" t="s">
        <v>66</v>
      </c>
      <c r="B133" s="5" t="s">
        <v>91</v>
      </c>
      <c r="C133" s="5" t="s">
        <v>160</v>
      </c>
      <c r="D133" s="5" t="s">
        <v>277</v>
      </c>
      <c r="E133" s="5" t="s">
        <v>319</v>
      </c>
      <c r="G133" s="19">
        <v>77.796999999999997</v>
      </c>
      <c r="H133" s="39" t="s">
        <v>342</v>
      </c>
    </row>
    <row r="134" spans="1:8" x14ac:dyDescent="0.25">
      <c r="D134" s="17" t="s">
        <v>278</v>
      </c>
      <c r="F134" s="5" t="s">
        <v>447</v>
      </c>
      <c r="G134" s="19">
        <v>2.9670000000000001</v>
      </c>
    </row>
    <row r="135" spans="1:8" x14ac:dyDescent="0.25">
      <c r="A135" s="5"/>
      <c r="B135" s="5"/>
      <c r="C135" s="5"/>
      <c r="D135" s="5"/>
      <c r="E135" s="5"/>
      <c r="F135" s="5" t="s">
        <v>448</v>
      </c>
      <c r="G135" s="19">
        <v>71.95</v>
      </c>
    </row>
    <row r="136" spans="1:8" x14ac:dyDescent="0.25">
      <c r="A136" s="5"/>
      <c r="B136" s="5"/>
      <c r="C136" s="5"/>
      <c r="D136" s="5"/>
      <c r="E136" s="5"/>
      <c r="F136" s="5" t="s">
        <v>449</v>
      </c>
      <c r="G136" s="19">
        <v>2.88</v>
      </c>
    </row>
    <row r="137" spans="1:8" x14ac:dyDescent="0.25">
      <c r="A137" s="5" t="s">
        <v>67</v>
      </c>
      <c r="B137" s="5" t="s">
        <v>91</v>
      </c>
      <c r="C137" s="5" t="s">
        <v>161</v>
      </c>
      <c r="D137" s="5" t="s">
        <v>279</v>
      </c>
      <c r="E137" s="5" t="s">
        <v>319</v>
      </c>
      <c r="G137" s="19">
        <v>146.4316</v>
      </c>
      <c r="H137" s="39" t="s">
        <v>342</v>
      </c>
    </row>
    <row r="138" spans="1:8" x14ac:dyDescent="0.25">
      <c r="F138" s="5" t="s">
        <v>450</v>
      </c>
      <c r="G138" s="19">
        <v>47.543599999999998</v>
      </c>
    </row>
    <row r="139" spans="1:8" x14ac:dyDescent="0.25">
      <c r="A139" s="5"/>
      <c r="B139" s="5"/>
      <c r="C139" s="5"/>
      <c r="D139" s="5"/>
      <c r="E139" s="5"/>
      <c r="F139" s="5" t="s">
        <v>448</v>
      </c>
      <c r="G139" s="19">
        <v>71.95</v>
      </c>
    </row>
    <row r="140" spans="1:8" x14ac:dyDescent="0.25">
      <c r="A140" s="5"/>
      <c r="B140" s="5"/>
      <c r="C140" s="5"/>
      <c r="D140" s="5"/>
      <c r="E140" s="5"/>
      <c r="F140" s="5" t="s">
        <v>444</v>
      </c>
      <c r="G140" s="19">
        <v>10.868</v>
      </c>
    </row>
    <row r="141" spans="1:8" x14ac:dyDescent="0.25">
      <c r="A141" s="5"/>
      <c r="B141" s="5"/>
      <c r="C141" s="5"/>
      <c r="D141" s="5"/>
      <c r="E141" s="5"/>
      <c r="F141" s="5" t="s">
        <v>445</v>
      </c>
      <c r="G141" s="19">
        <v>17.670000000000002</v>
      </c>
    </row>
    <row r="142" spans="1:8" x14ac:dyDescent="0.25">
      <c r="A142" s="5"/>
      <c r="B142" s="5"/>
      <c r="C142" s="5"/>
      <c r="D142" s="5"/>
      <c r="E142" s="5"/>
      <c r="F142" s="5" t="s">
        <v>446</v>
      </c>
      <c r="G142" s="19">
        <v>-1.6</v>
      </c>
    </row>
    <row r="143" spans="1:8" x14ac:dyDescent="0.25">
      <c r="A143" s="5" t="s">
        <v>68</v>
      </c>
      <c r="B143" s="5" t="s">
        <v>91</v>
      </c>
      <c r="C143" s="5" t="s">
        <v>162</v>
      </c>
      <c r="D143" s="5" t="s">
        <v>280</v>
      </c>
      <c r="E143" s="5" t="s">
        <v>319</v>
      </c>
      <c r="G143" s="19">
        <v>146.4316</v>
      </c>
      <c r="H143" s="39" t="s">
        <v>342</v>
      </c>
    </row>
    <row r="144" spans="1:8" x14ac:dyDescent="0.25">
      <c r="A144" s="5" t="s">
        <v>69</v>
      </c>
      <c r="B144" s="5" t="s">
        <v>91</v>
      </c>
      <c r="C144" s="5" t="s">
        <v>163</v>
      </c>
      <c r="D144" s="5" t="s">
        <v>281</v>
      </c>
      <c r="E144" s="5" t="s">
        <v>322</v>
      </c>
      <c r="F144" s="5" t="s">
        <v>451</v>
      </c>
      <c r="G144" s="19">
        <v>50.6</v>
      </c>
      <c r="H144" s="39" t="s">
        <v>342</v>
      </c>
    </row>
    <row r="145" spans="1:8" x14ac:dyDescent="0.25">
      <c r="A145" s="5" t="s">
        <v>70</v>
      </c>
      <c r="B145" s="5" t="s">
        <v>91</v>
      </c>
      <c r="C145" s="5" t="s">
        <v>165</v>
      </c>
      <c r="D145" s="5" t="s">
        <v>283</v>
      </c>
      <c r="E145" s="5" t="s">
        <v>323</v>
      </c>
      <c r="F145" s="5" t="s">
        <v>452</v>
      </c>
      <c r="G145" s="19">
        <v>24</v>
      </c>
      <c r="H145" s="39" t="s">
        <v>342</v>
      </c>
    </row>
    <row r="146" spans="1:8" x14ac:dyDescent="0.25">
      <c r="A146" s="5" t="s">
        <v>71</v>
      </c>
      <c r="B146" s="5" t="s">
        <v>91</v>
      </c>
      <c r="C146" s="5" t="s">
        <v>167</v>
      </c>
      <c r="D146" s="5" t="s">
        <v>285</v>
      </c>
      <c r="E146" s="5" t="s">
        <v>321</v>
      </c>
      <c r="F146" s="5" t="s">
        <v>453</v>
      </c>
      <c r="G146" s="19">
        <v>11.768000000000001</v>
      </c>
      <c r="H146" s="39" t="s">
        <v>342</v>
      </c>
    </row>
    <row r="147" spans="1:8" x14ac:dyDescent="0.25">
      <c r="A147" s="5" t="s">
        <v>72</v>
      </c>
      <c r="B147" s="5" t="s">
        <v>91</v>
      </c>
      <c r="C147" s="5" t="s">
        <v>169</v>
      </c>
      <c r="D147" s="5" t="s">
        <v>287</v>
      </c>
      <c r="E147" s="5" t="s">
        <v>319</v>
      </c>
      <c r="G147" s="19">
        <v>71.95</v>
      </c>
      <c r="H147" s="39" t="s">
        <v>342</v>
      </c>
    </row>
    <row r="148" spans="1:8" x14ac:dyDescent="0.25">
      <c r="A148" s="5" t="s">
        <v>73</v>
      </c>
      <c r="B148" s="5" t="s">
        <v>91</v>
      </c>
      <c r="C148" s="5" t="s">
        <v>171</v>
      </c>
      <c r="D148" s="5" t="s">
        <v>289</v>
      </c>
      <c r="E148" s="5" t="s">
        <v>319</v>
      </c>
      <c r="F148" s="5" t="s">
        <v>448</v>
      </c>
      <c r="G148" s="19">
        <v>71.95</v>
      </c>
      <c r="H148" s="39" t="s">
        <v>342</v>
      </c>
    </row>
    <row r="149" spans="1:8" x14ac:dyDescent="0.25">
      <c r="A149" s="5" t="s">
        <v>74</v>
      </c>
      <c r="B149" s="5" t="s">
        <v>91</v>
      </c>
      <c r="C149" s="5" t="s">
        <v>172</v>
      </c>
      <c r="D149" s="5" t="s">
        <v>290</v>
      </c>
      <c r="E149" s="5" t="s">
        <v>318</v>
      </c>
      <c r="G149" s="19">
        <v>1</v>
      </c>
      <c r="H149" s="39"/>
    </row>
    <row r="150" spans="1:8" x14ac:dyDescent="0.25">
      <c r="A150" s="5" t="s">
        <v>75</v>
      </c>
      <c r="B150" s="5" t="s">
        <v>91</v>
      </c>
      <c r="C150" s="5" t="s">
        <v>174</v>
      </c>
      <c r="D150" s="5" t="s">
        <v>292</v>
      </c>
      <c r="E150" s="5" t="s">
        <v>319</v>
      </c>
      <c r="F150" s="5" t="s">
        <v>454</v>
      </c>
      <c r="G150" s="19">
        <v>52.13</v>
      </c>
      <c r="H150" s="39" t="s">
        <v>342</v>
      </c>
    </row>
    <row r="151" spans="1:8" x14ac:dyDescent="0.25">
      <c r="A151" s="5" t="s">
        <v>76</v>
      </c>
      <c r="B151" s="5" t="s">
        <v>91</v>
      </c>
      <c r="C151" s="5" t="s">
        <v>175</v>
      </c>
      <c r="D151" s="5" t="s">
        <v>293</v>
      </c>
      <c r="E151" s="5" t="s">
        <v>319</v>
      </c>
      <c r="G151" s="19">
        <v>52.13</v>
      </c>
      <c r="H151" s="39" t="s">
        <v>342</v>
      </c>
    </row>
    <row r="152" spans="1:8" x14ac:dyDescent="0.25">
      <c r="A152" s="5" t="s">
        <v>77</v>
      </c>
      <c r="B152" s="5" t="s">
        <v>91</v>
      </c>
      <c r="C152" s="5" t="s">
        <v>176</v>
      </c>
      <c r="D152" s="5" t="s">
        <v>294</v>
      </c>
      <c r="E152" s="5" t="s">
        <v>319</v>
      </c>
      <c r="G152" s="19">
        <v>13.9002</v>
      </c>
      <c r="H152" s="39" t="s">
        <v>342</v>
      </c>
    </row>
    <row r="153" spans="1:8" x14ac:dyDescent="0.25">
      <c r="F153" s="5" t="s">
        <v>455</v>
      </c>
      <c r="G153" s="19">
        <v>7.9032</v>
      </c>
    </row>
    <row r="154" spans="1:8" x14ac:dyDescent="0.25">
      <c r="A154" s="5"/>
      <c r="B154" s="5"/>
      <c r="C154" s="5"/>
      <c r="D154" s="5"/>
      <c r="E154" s="5"/>
      <c r="F154" s="5" t="s">
        <v>456</v>
      </c>
      <c r="G154" s="19">
        <v>-2.4</v>
      </c>
    </row>
    <row r="155" spans="1:8" x14ac:dyDescent="0.25">
      <c r="A155" s="5"/>
      <c r="B155" s="5"/>
      <c r="C155" s="5"/>
      <c r="D155" s="5"/>
      <c r="E155" s="5"/>
      <c r="F155" s="5" t="s">
        <v>457</v>
      </c>
      <c r="G155" s="19">
        <v>11.997</v>
      </c>
    </row>
    <row r="156" spans="1:8" x14ac:dyDescent="0.25">
      <c r="A156" s="5"/>
      <c r="B156" s="5"/>
      <c r="C156" s="5"/>
      <c r="D156" s="5"/>
      <c r="E156" s="5"/>
      <c r="F156" s="5" t="s">
        <v>458</v>
      </c>
      <c r="G156" s="19">
        <v>-3.6</v>
      </c>
    </row>
    <row r="157" spans="1:8" x14ac:dyDescent="0.25">
      <c r="A157" s="5" t="s">
        <v>78</v>
      </c>
      <c r="B157" s="5" t="s">
        <v>91</v>
      </c>
      <c r="C157" s="5" t="s">
        <v>177</v>
      </c>
      <c r="D157" s="5" t="s">
        <v>295</v>
      </c>
      <c r="E157" s="5" t="s">
        <v>319</v>
      </c>
      <c r="G157" s="19">
        <v>1.36</v>
      </c>
      <c r="H157" s="39" t="s">
        <v>342</v>
      </c>
    </row>
    <row r="158" spans="1:8" x14ac:dyDescent="0.25">
      <c r="F158" s="5" t="s">
        <v>459</v>
      </c>
      <c r="G158" s="19">
        <v>0.4</v>
      </c>
    </row>
    <row r="159" spans="1:8" x14ac:dyDescent="0.25">
      <c r="A159" s="5"/>
      <c r="B159" s="5"/>
      <c r="C159" s="5"/>
      <c r="D159" s="5"/>
      <c r="E159" s="5"/>
      <c r="F159" s="5" t="s">
        <v>460</v>
      </c>
      <c r="G159" s="19">
        <v>0.66</v>
      </c>
    </row>
    <row r="160" spans="1:8" x14ac:dyDescent="0.25">
      <c r="A160" s="5"/>
      <c r="B160" s="5"/>
      <c r="C160" s="5"/>
      <c r="D160" s="5"/>
      <c r="E160" s="5"/>
      <c r="F160" s="5" t="s">
        <v>461</v>
      </c>
      <c r="G160" s="19">
        <v>0.3</v>
      </c>
    </row>
    <row r="161" spans="1:8" x14ac:dyDescent="0.25">
      <c r="A161" s="5" t="s">
        <v>79</v>
      </c>
      <c r="B161" s="5" t="s">
        <v>91</v>
      </c>
      <c r="C161" s="5" t="s">
        <v>178</v>
      </c>
      <c r="D161" s="5" t="s">
        <v>296</v>
      </c>
      <c r="E161" s="5" t="s">
        <v>319</v>
      </c>
      <c r="G161" s="19">
        <v>11.2</v>
      </c>
      <c r="H161" s="39" t="s">
        <v>342</v>
      </c>
    </row>
    <row r="162" spans="1:8" x14ac:dyDescent="0.25">
      <c r="F162" s="5" t="s">
        <v>462</v>
      </c>
      <c r="G162" s="19">
        <v>9.6</v>
      </c>
    </row>
    <row r="163" spans="1:8" x14ac:dyDescent="0.25">
      <c r="A163" s="5"/>
      <c r="B163" s="5"/>
      <c r="C163" s="5"/>
      <c r="D163" s="5"/>
      <c r="E163" s="5"/>
      <c r="F163" s="5" t="s">
        <v>463</v>
      </c>
      <c r="G163" s="19">
        <v>1.6</v>
      </c>
    </row>
    <row r="164" spans="1:8" x14ac:dyDescent="0.25">
      <c r="A164" s="5" t="s">
        <v>80</v>
      </c>
      <c r="B164" s="5" t="s">
        <v>91</v>
      </c>
      <c r="C164" s="5" t="s">
        <v>179</v>
      </c>
      <c r="D164" s="5" t="s">
        <v>297</v>
      </c>
      <c r="E164" s="5" t="s">
        <v>318</v>
      </c>
      <c r="F164" s="5" t="s">
        <v>18</v>
      </c>
      <c r="G164" s="19">
        <v>12</v>
      </c>
      <c r="H164" s="39" t="s">
        <v>342</v>
      </c>
    </row>
    <row r="165" spans="1:8" x14ac:dyDescent="0.25">
      <c r="A165" s="5" t="s">
        <v>81</v>
      </c>
      <c r="B165" s="5" t="s">
        <v>91</v>
      </c>
      <c r="C165" s="5" t="s">
        <v>181</v>
      </c>
      <c r="D165" s="5" t="s">
        <v>299</v>
      </c>
      <c r="E165" s="5" t="s">
        <v>318</v>
      </c>
      <c r="G165" s="19">
        <v>12</v>
      </c>
      <c r="H165" s="39" t="s">
        <v>342</v>
      </c>
    </row>
    <row r="166" spans="1:8" x14ac:dyDescent="0.25">
      <c r="F166" s="5" t="s">
        <v>464</v>
      </c>
      <c r="G166" s="19">
        <v>3</v>
      </c>
    </row>
    <row r="167" spans="1:8" x14ac:dyDescent="0.25">
      <c r="A167" s="5"/>
      <c r="B167" s="5"/>
      <c r="C167" s="5"/>
      <c r="D167" s="5"/>
      <c r="E167" s="5"/>
      <c r="F167" s="5" t="s">
        <v>465</v>
      </c>
      <c r="G167" s="19">
        <v>5</v>
      </c>
    </row>
    <row r="168" spans="1:8" x14ac:dyDescent="0.25">
      <c r="A168" s="5"/>
      <c r="B168" s="5"/>
      <c r="C168" s="5"/>
      <c r="D168" s="5"/>
      <c r="E168" s="5"/>
      <c r="F168" s="5" t="s">
        <v>466</v>
      </c>
      <c r="G168" s="19">
        <v>4</v>
      </c>
    </row>
    <row r="169" spans="1:8" x14ac:dyDescent="0.25">
      <c r="A169" s="5" t="s">
        <v>82</v>
      </c>
      <c r="B169" s="5" t="s">
        <v>91</v>
      </c>
      <c r="C169" s="5" t="s">
        <v>183</v>
      </c>
      <c r="D169" s="5" t="s">
        <v>301</v>
      </c>
      <c r="E169" s="5" t="s">
        <v>321</v>
      </c>
      <c r="F169" s="5" t="s">
        <v>467</v>
      </c>
      <c r="G169" s="19">
        <v>10.141299999999999</v>
      </c>
      <c r="H169" s="39" t="s">
        <v>342</v>
      </c>
    </row>
    <row r="170" spans="1:8" x14ac:dyDescent="0.25">
      <c r="A170" s="5" t="s">
        <v>83</v>
      </c>
      <c r="B170" s="5" t="s">
        <v>91</v>
      </c>
      <c r="C170" s="5" t="s">
        <v>184</v>
      </c>
      <c r="D170" s="5" t="s">
        <v>302</v>
      </c>
      <c r="E170" s="5" t="s">
        <v>321</v>
      </c>
      <c r="G170" s="19">
        <v>10.141299999999999</v>
      </c>
      <c r="H170" s="39" t="s">
        <v>342</v>
      </c>
    </row>
    <row r="171" spans="1:8" x14ac:dyDescent="0.25">
      <c r="A171" s="5" t="s">
        <v>84</v>
      </c>
      <c r="B171" s="5" t="s">
        <v>91</v>
      </c>
      <c r="C171" s="5" t="s">
        <v>185</v>
      </c>
      <c r="D171" s="5" t="s">
        <v>303</v>
      </c>
      <c r="E171" s="5" t="s">
        <v>321</v>
      </c>
      <c r="G171" s="19">
        <v>10.141299999999999</v>
      </c>
      <c r="H171" s="39" t="s">
        <v>342</v>
      </c>
    </row>
    <row r="172" spans="1:8" x14ac:dyDescent="0.25">
      <c r="A172" s="5" t="s">
        <v>85</v>
      </c>
      <c r="B172" s="5" t="s">
        <v>91</v>
      </c>
      <c r="C172" s="5" t="s">
        <v>186</v>
      </c>
      <c r="D172" s="5" t="s">
        <v>304</v>
      </c>
      <c r="E172" s="5" t="s">
        <v>321</v>
      </c>
      <c r="G172" s="19">
        <v>10.141299999999999</v>
      </c>
      <c r="H172" s="39" t="s">
        <v>342</v>
      </c>
    </row>
    <row r="173" spans="1:8" x14ac:dyDescent="0.25">
      <c r="A173" s="6" t="s">
        <v>86</v>
      </c>
      <c r="B173" s="6" t="s">
        <v>91</v>
      </c>
      <c r="C173" s="6" t="s">
        <v>187</v>
      </c>
      <c r="D173" s="6" t="s">
        <v>306</v>
      </c>
      <c r="E173" s="6" t="s">
        <v>319</v>
      </c>
      <c r="F173" s="6" t="s">
        <v>468</v>
      </c>
      <c r="G173" s="20">
        <v>0.8</v>
      </c>
      <c r="H173" s="40" t="s">
        <v>342</v>
      </c>
    </row>
    <row r="175" spans="1:8" ht="11.25" customHeight="1" x14ac:dyDescent="0.25">
      <c r="A175" s="10" t="s">
        <v>89</v>
      </c>
    </row>
    <row r="176" spans="1:8" x14ac:dyDescent="0.25">
      <c r="A176" s="100"/>
      <c r="B176" s="89"/>
      <c r="C176" s="89"/>
      <c r="D176" s="89"/>
      <c r="E176" s="89"/>
      <c r="F176" s="89"/>
      <c r="G176" s="89"/>
    </row>
  </sheetData>
  <sheetProtection sheet="1" objects="1" scenarios="1"/>
  <mergeCells count="18">
    <mergeCell ref="A4:B5"/>
    <mergeCell ref="C4:D5"/>
    <mergeCell ref="E4:E5"/>
    <mergeCell ref="F4:H5"/>
    <mergeCell ref="A176:G176"/>
    <mergeCell ref="A6:B7"/>
    <mergeCell ref="C6:D7"/>
    <mergeCell ref="E6:E7"/>
    <mergeCell ref="F6:H7"/>
    <mergeCell ref="A8:B9"/>
    <mergeCell ref="C8:D9"/>
    <mergeCell ref="E8:E9"/>
    <mergeCell ref="F8:H9"/>
    <mergeCell ref="A1:H1"/>
    <mergeCell ref="A2:B3"/>
    <mergeCell ref="C2:D3"/>
    <mergeCell ref="E2:E3"/>
    <mergeCell ref="F2:H3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VORN</vt:lpstr>
      <vt:lpstr>Výkaz výměr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</dc:creator>
  <cp:lastModifiedBy>Bartoň Dalibor, Ing.</cp:lastModifiedBy>
  <dcterms:created xsi:type="dcterms:W3CDTF">2019-03-13T06:48:46Z</dcterms:created>
  <dcterms:modified xsi:type="dcterms:W3CDTF">2019-04-11T11:44:47Z</dcterms:modified>
</cp:coreProperties>
</file>