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Odbor rozvoje\Oddělení RSP\společné\VZ\2019\16_Rekonstrukce kuželny Zábřeh_hospoda WC\2019_04_15_výzva\P4_výkazy výměr\hospoda\"/>
    </mc:Choice>
  </mc:AlternateContent>
  <bookViews>
    <workbookView xWindow="0" yWindow="0" windowWidth="9660" windowHeight="5496"/>
  </bookViews>
  <sheets>
    <sheet name="Krycí list rozpočtu" sheetId="3" r:id="rId1"/>
    <sheet name="Stavební rozpočet" sheetId="1" r:id="rId2"/>
    <sheet name="VORN" sheetId="4" r:id="rId3"/>
    <sheet name="Výkaz výměr" sheetId="2" r:id="rId4"/>
  </sheets>
  <definedNames>
    <definedName name="vorn_sum">VORN!$I$37:$I$37</definedName>
  </definedNames>
  <calcPr calcId="152511"/>
</workbook>
</file>

<file path=xl/calcChain.xml><?xml version="1.0" encoding="utf-8"?>
<calcChain xmlns="http://schemas.openxmlformats.org/spreadsheetml/2006/main">
  <c r="C2" i="3" l="1"/>
  <c r="F2" i="3"/>
  <c r="C4" i="3"/>
  <c r="F4" i="3"/>
  <c r="C6" i="3"/>
  <c r="F6" i="3"/>
  <c r="C8" i="3"/>
  <c r="F8" i="3"/>
  <c r="C10" i="3"/>
  <c r="F10" i="3"/>
  <c r="I10" i="3"/>
  <c r="AI13" i="1"/>
  <c r="AK13" i="1"/>
  <c r="J14" i="1"/>
  <c r="L14" i="1"/>
  <c r="P14" i="1"/>
  <c r="T14" i="1"/>
  <c r="U14" i="1"/>
  <c r="V14" i="1"/>
  <c r="W14" i="1"/>
  <c r="X14" i="1"/>
  <c r="Z14" i="1"/>
  <c r="AA14" i="1"/>
  <c r="AB14" i="1"/>
  <c r="AE14" i="1"/>
  <c r="H14" i="1" s="1"/>
  <c r="AF14" i="1"/>
  <c r="AM14" i="1"/>
  <c r="AN14" i="1"/>
  <c r="AS14" i="1"/>
  <c r="AT14" i="1"/>
  <c r="AV14" i="1"/>
  <c r="J15" i="1"/>
  <c r="L15" i="1"/>
  <c r="P15" i="1"/>
  <c r="T15" i="1"/>
  <c r="U15" i="1"/>
  <c r="V15" i="1"/>
  <c r="W15" i="1"/>
  <c r="X15" i="1"/>
  <c r="Z15" i="1"/>
  <c r="AA15" i="1"/>
  <c r="AB15" i="1"/>
  <c r="AE15" i="1"/>
  <c r="H15" i="1" s="1"/>
  <c r="AF15" i="1"/>
  <c r="AM15" i="1"/>
  <c r="AN15" i="1"/>
  <c r="AS15" i="1"/>
  <c r="AT15" i="1"/>
  <c r="AV15" i="1"/>
  <c r="J16" i="1"/>
  <c r="L16" i="1"/>
  <c r="P16" i="1"/>
  <c r="T16" i="1"/>
  <c r="U16" i="1"/>
  <c r="V16" i="1"/>
  <c r="W16" i="1"/>
  <c r="X16" i="1"/>
  <c r="Z16" i="1"/>
  <c r="AA16" i="1"/>
  <c r="AB16" i="1"/>
  <c r="AE16" i="1"/>
  <c r="H16" i="1" s="1"/>
  <c r="AF16" i="1"/>
  <c r="AM16" i="1"/>
  <c r="AN16" i="1"/>
  <c r="AS16" i="1"/>
  <c r="AT16" i="1"/>
  <c r="AV16" i="1"/>
  <c r="L17" i="1"/>
  <c r="AJ17" i="1"/>
  <c r="H18" i="1"/>
  <c r="J18" i="1"/>
  <c r="L18" i="1"/>
  <c r="P18" i="1"/>
  <c r="T18" i="1"/>
  <c r="U18" i="1"/>
  <c r="V18" i="1"/>
  <c r="W18" i="1"/>
  <c r="X18" i="1"/>
  <c r="Z18" i="1"/>
  <c r="AI17" i="1" s="1"/>
  <c r="AA18" i="1"/>
  <c r="AB18" i="1"/>
  <c r="AE18" i="1"/>
  <c r="AF18" i="1"/>
  <c r="AM18" i="1"/>
  <c r="AN18" i="1"/>
  <c r="AS18" i="1" s="1"/>
  <c r="AT18" i="1"/>
  <c r="AV18" i="1"/>
  <c r="H19" i="1"/>
  <c r="R19" i="1" s="1"/>
  <c r="J19" i="1"/>
  <c r="L19" i="1"/>
  <c r="P19" i="1"/>
  <c r="C21" i="3" s="1"/>
  <c r="T19" i="1"/>
  <c r="U19" i="1"/>
  <c r="V19" i="1"/>
  <c r="W19" i="1"/>
  <c r="X19" i="1"/>
  <c r="Z19" i="1"/>
  <c r="AA19" i="1"/>
  <c r="AE19" i="1"/>
  <c r="AF19" i="1"/>
  <c r="AM19" i="1"/>
  <c r="AN19" i="1"/>
  <c r="AS19" i="1" s="1"/>
  <c r="AT19" i="1"/>
  <c r="AV19" i="1"/>
  <c r="H20" i="1"/>
  <c r="AI20" i="1"/>
  <c r="AK20" i="1"/>
  <c r="I21" i="1"/>
  <c r="J21" i="1"/>
  <c r="L21" i="1"/>
  <c r="P21" i="1"/>
  <c r="R21" i="1"/>
  <c r="T21" i="1"/>
  <c r="U21" i="1"/>
  <c r="V21" i="1"/>
  <c r="W21" i="1"/>
  <c r="X21" i="1"/>
  <c r="Z21" i="1"/>
  <c r="AA21" i="1"/>
  <c r="AB21" i="1"/>
  <c r="AE21" i="1"/>
  <c r="H21" i="1" s="1"/>
  <c r="AF21" i="1"/>
  <c r="AM21" i="1"/>
  <c r="AN21" i="1"/>
  <c r="AS21" i="1"/>
  <c r="AT21" i="1"/>
  <c r="I22" i="1"/>
  <c r="S22" i="1" s="1"/>
  <c r="J22" i="1"/>
  <c r="L22" i="1"/>
  <c r="AV22" i="1" s="1"/>
  <c r="P22" i="1"/>
  <c r="R22" i="1"/>
  <c r="T22" i="1"/>
  <c r="U22" i="1"/>
  <c r="V22" i="1"/>
  <c r="W22" i="1"/>
  <c r="X22" i="1"/>
  <c r="Z22" i="1"/>
  <c r="AA22" i="1"/>
  <c r="AB22" i="1"/>
  <c r="AE22" i="1"/>
  <c r="H22" i="1" s="1"/>
  <c r="AF22" i="1"/>
  <c r="AM22" i="1"/>
  <c r="AN22" i="1"/>
  <c r="AS22" i="1"/>
  <c r="AT22" i="1"/>
  <c r="I23" i="1"/>
  <c r="S23" i="1" s="1"/>
  <c r="J23" i="1"/>
  <c r="L23" i="1"/>
  <c r="AV23" i="1" s="1"/>
  <c r="P23" i="1"/>
  <c r="R23" i="1"/>
  <c r="T23" i="1"/>
  <c r="U23" i="1"/>
  <c r="V23" i="1"/>
  <c r="W23" i="1"/>
  <c r="X23" i="1"/>
  <c r="Z23" i="1"/>
  <c r="AA23" i="1"/>
  <c r="AB23" i="1"/>
  <c r="AE23" i="1"/>
  <c r="H23" i="1" s="1"/>
  <c r="AF23" i="1"/>
  <c r="AM23" i="1"/>
  <c r="AN23" i="1"/>
  <c r="AS23" i="1"/>
  <c r="AT23" i="1"/>
  <c r="I24" i="1"/>
  <c r="S24" i="1" s="1"/>
  <c r="J24" i="1"/>
  <c r="L24" i="1"/>
  <c r="AV24" i="1" s="1"/>
  <c r="P24" i="1"/>
  <c r="R24" i="1"/>
  <c r="T24" i="1"/>
  <c r="U24" i="1"/>
  <c r="V24" i="1"/>
  <c r="W24" i="1"/>
  <c r="X24" i="1"/>
  <c r="Z24" i="1"/>
  <c r="AA24" i="1"/>
  <c r="AB24" i="1"/>
  <c r="AE24" i="1"/>
  <c r="H24" i="1" s="1"/>
  <c r="AF24" i="1"/>
  <c r="AM24" i="1"/>
  <c r="AN24" i="1"/>
  <c r="AS24" i="1"/>
  <c r="AT24" i="1"/>
  <c r="I26" i="1"/>
  <c r="S26" i="1" s="1"/>
  <c r="J26" i="1"/>
  <c r="L26" i="1"/>
  <c r="AV26" i="1" s="1"/>
  <c r="P26" i="1"/>
  <c r="R26" i="1"/>
  <c r="T26" i="1"/>
  <c r="U26" i="1"/>
  <c r="V26" i="1"/>
  <c r="W26" i="1"/>
  <c r="X26" i="1"/>
  <c r="Z26" i="1"/>
  <c r="AA26" i="1"/>
  <c r="AB26" i="1"/>
  <c r="AE26" i="1"/>
  <c r="H26" i="1" s="1"/>
  <c r="AF26" i="1"/>
  <c r="AM26" i="1"/>
  <c r="AN26" i="1"/>
  <c r="AS26" i="1"/>
  <c r="AT26" i="1"/>
  <c r="I28" i="1"/>
  <c r="S28" i="1" s="1"/>
  <c r="J28" i="1"/>
  <c r="L28" i="1"/>
  <c r="AV28" i="1" s="1"/>
  <c r="P28" i="1"/>
  <c r="R28" i="1"/>
  <c r="T28" i="1"/>
  <c r="U28" i="1"/>
  <c r="V28" i="1"/>
  <c r="W28" i="1"/>
  <c r="X28" i="1"/>
  <c r="Z28" i="1"/>
  <c r="AA28" i="1"/>
  <c r="AB28" i="1"/>
  <c r="AE28" i="1"/>
  <c r="H28" i="1" s="1"/>
  <c r="AF28" i="1"/>
  <c r="AM28" i="1"/>
  <c r="AN28" i="1"/>
  <c r="AS28" i="1"/>
  <c r="AT28" i="1"/>
  <c r="L29" i="1"/>
  <c r="AJ29" i="1"/>
  <c r="H30" i="1"/>
  <c r="J30" i="1"/>
  <c r="L30" i="1"/>
  <c r="P30" i="1"/>
  <c r="T30" i="1"/>
  <c r="U30" i="1"/>
  <c r="V30" i="1"/>
  <c r="W30" i="1"/>
  <c r="X30" i="1"/>
  <c r="Z30" i="1"/>
  <c r="AI29" i="1" s="1"/>
  <c r="AA30" i="1"/>
  <c r="AE30" i="1"/>
  <c r="AF30" i="1"/>
  <c r="AM30" i="1"/>
  <c r="AN30" i="1"/>
  <c r="AS30" i="1" s="1"/>
  <c r="AT30" i="1"/>
  <c r="AV30" i="1"/>
  <c r="H31" i="1"/>
  <c r="AI31" i="1"/>
  <c r="AK31" i="1"/>
  <c r="I32" i="1"/>
  <c r="J32" i="1"/>
  <c r="L32" i="1"/>
  <c r="P32" i="1"/>
  <c r="R32" i="1"/>
  <c r="T32" i="1"/>
  <c r="U32" i="1"/>
  <c r="V32" i="1"/>
  <c r="W32" i="1"/>
  <c r="X32" i="1"/>
  <c r="Z32" i="1"/>
  <c r="AA32" i="1"/>
  <c r="AB32" i="1"/>
  <c r="AE32" i="1"/>
  <c r="H32" i="1" s="1"/>
  <c r="AF32" i="1"/>
  <c r="AM32" i="1"/>
  <c r="AN32" i="1"/>
  <c r="AS32" i="1"/>
  <c r="AT32" i="1"/>
  <c r="I34" i="1"/>
  <c r="S34" i="1" s="1"/>
  <c r="J34" i="1"/>
  <c r="L34" i="1"/>
  <c r="AV34" i="1" s="1"/>
  <c r="P34" i="1"/>
  <c r="R34" i="1"/>
  <c r="T34" i="1"/>
  <c r="U34" i="1"/>
  <c r="V34" i="1"/>
  <c r="W34" i="1"/>
  <c r="X34" i="1"/>
  <c r="Z34" i="1"/>
  <c r="AA34" i="1"/>
  <c r="AB34" i="1"/>
  <c r="AE34" i="1"/>
  <c r="H34" i="1" s="1"/>
  <c r="AF34" i="1"/>
  <c r="AM34" i="1"/>
  <c r="AN34" i="1"/>
  <c r="AS34" i="1"/>
  <c r="AT34" i="1"/>
  <c r="I35" i="1"/>
  <c r="S35" i="1" s="1"/>
  <c r="J35" i="1"/>
  <c r="L35" i="1"/>
  <c r="AV35" i="1" s="1"/>
  <c r="P35" i="1"/>
  <c r="R35" i="1"/>
  <c r="T35" i="1"/>
  <c r="U35" i="1"/>
  <c r="V35" i="1"/>
  <c r="W35" i="1"/>
  <c r="X35" i="1"/>
  <c r="Z35" i="1"/>
  <c r="AA35" i="1"/>
  <c r="AB35" i="1"/>
  <c r="AE35" i="1"/>
  <c r="H35" i="1" s="1"/>
  <c r="AF35" i="1"/>
  <c r="AM35" i="1"/>
  <c r="AN35" i="1"/>
  <c r="AS35" i="1"/>
  <c r="AT35" i="1"/>
  <c r="I36" i="1"/>
  <c r="S36" i="1" s="1"/>
  <c r="J36" i="1"/>
  <c r="L36" i="1"/>
  <c r="AV36" i="1" s="1"/>
  <c r="P36" i="1"/>
  <c r="R36" i="1"/>
  <c r="T36" i="1"/>
  <c r="U36" i="1"/>
  <c r="V36" i="1"/>
  <c r="W36" i="1"/>
  <c r="X36" i="1"/>
  <c r="Z36" i="1"/>
  <c r="AA36" i="1"/>
  <c r="AB36" i="1"/>
  <c r="AE36" i="1"/>
  <c r="H36" i="1" s="1"/>
  <c r="AF36" i="1"/>
  <c r="AM36" i="1"/>
  <c r="AN36" i="1"/>
  <c r="AS36" i="1"/>
  <c r="AT36" i="1"/>
  <c r="I38" i="1"/>
  <c r="S38" i="1" s="1"/>
  <c r="J38" i="1"/>
  <c r="L38" i="1"/>
  <c r="AV38" i="1" s="1"/>
  <c r="P38" i="1"/>
  <c r="R38" i="1"/>
  <c r="T38" i="1"/>
  <c r="U38" i="1"/>
  <c r="V38" i="1"/>
  <c r="W38" i="1"/>
  <c r="X38" i="1"/>
  <c r="Z38" i="1"/>
  <c r="AA38" i="1"/>
  <c r="AB38" i="1"/>
  <c r="AE38" i="1"/>
  <c r="H38" i="1" s="1"/>
  <c r="AF38" i="1"/>
  <c r="AM38" i="1"/>
  <c r="AN38" i="1"/>
  <c r="AS38" i="1"/>
  <c r="AT38" i="1"/>
  <c r="I39" i="1"/>
  <c r="S39" i="1" s="1"/>
  <c r="J39" i="1"/>
  <c r="L39" i="1"/>
  <c r="AV39" i="1" s="1"/>
  <c r="P39" i="1"/>
  <c r="R39" i="1"/>
  <c r="T39" i="1"/>
  <c r="U39" i="1"/>
  <c r="V39" i="1"/>
  <c r="W39" i="1"/>
  <c r="X39" i="1"/>
  <c r="Z39" i="1"/>
  <c r="AA39" i="1"/>
  <c r="AB39" i="1"/>
  <c r="AE39" i="1"/>
  <c r="H39" i="1" s="1"/>
  <c r="AF39" i="1"/>
  <c r="AM39" i="1"/>
  <c r="AN39" i="1"/>
  <c r="AS39" i="1"/>
  <c r="AT39" i="1"/>
  <c r="L40" i="1"/>
  <c r="AJ40" i="1"/>
  <c r="H41" i="1"/>
  <c r="J41" i="1"/>
  <c r="L41" i="1"/>
  <c r="P41" i="1"/>
  <c r="T41" i="1"/>
  <c r="U41" i="1"/>
  <c r="V41" i="1"/>
  <c r="W41" i="1"/>
  <c r="X41" i="1"/>
  <c r="Z41" i="1"/>
  <c r="AA41" i="1"/>
  <c r="AE41" i="1"/>
  <c r="AF41" i="1"/>
  <c r="AM41" i="1"/>
  <c r="AN41" i="1"/>
  <c r="AS41" i="1" s="1"/>
  <c r="AT41" i="1"/>
  <c r="AV41" i="1"/>
  <c r="H43" i="1"/>
  <c r="R43" i="1" s="1"/>
  <c r="J43" i="1"/>
  <c r="L43" i="1"/>
  <c r="P43" i="1"/>
  <c r="T43" i="1"/>
  <c r="U43" i="1"/>
  <c r="V43" i="1"/>
  <c r="W43" i="1"/>
  <c r="X43" i="1"/>
  <c r="Z43" i="1"/>
  <c r="AA43" i="1"/>
  <c r="AB43" i="1"/>
  <c r="AE43" i="1"/>
  <c r="AF43" i="1"/>
  <c r="AM43" i="1"/>
  <c r="AN43" i="1"/>
  <c r="AS43" i="1" s="1"/>
  <c r="AT43" i="1"/>
  <c r="AV43" i="1"/>
  <c r="H44" i="1"/>
  <c r="R44" i="1" s="1"/>
  <c r="J44" i="1"/>
  <c r="L44" i="1"/>
  <c r="P44" i="1"/>
  <c r="T44" i="1"/>
  <c r="U44" i="1"/>
  <c r="V44" i="1"/>
  <c r="W44" i="1"/>
  <c r="X44" i="1"/>
  <c r="Z44" i="1"/>
  <c r="AA44" i="1"/>
  <c r="AE44" i="1"/>
  <c r="AF44" i="1"/>
  <c r="AM44" i="1"/>
  <c r="AN44" i="1"/>
  <c r="AS44" i="1" s="1"/>
  <c r="AT44" i="1"/>
  <c r="AV44" i="1"/>
  <c r="H46" i="1"/>
  <c r="R46" i="1" s="1"/>
  <c r="J46" i="1"/>
  <c r="L46" i="1"/>
  <c r="P46" i="1"/>
  <c r="T46" i="1"/>
  <c r="U46" i="1"/>
  <c r="V46" i="1"/>
  <c r="W46" i="1"/>
  <c r="X46" i="1"/>
  <c r="Z46" i="1"/>
  <c r="AA46" i="1"/>
  <c r="AB46" i="1"/>
  <c r="AE46" i="1"/>
  <c r="AF46" i="1"/>
  <c r="AM46" i="1"/>
  <c r="AN46" i="1"/>
  <c r="AS46" i="1" s="1"/>
  <c r="AT46" i="1"/>
  <c r="AV46" i="1"/>
  <c r="L47" i="1"/>
  <c r="AJ47" i="1"/>
  <c r="H48" i="1"/>
  <c r="J48" i="1"/>
  <c r="L48" i="1"/>
  <c r="P48" i="1"/>
  <c r="T48" i="1"/>
  <c r="U48" i="1"/>
  <c r="V48" i="1"/>
  <c r="W48" i="1"/>
  <c r="X48" i="1"/>
  <c r="Z48" i="1"/>
  <c r="AA48" i="1"/>
  <c r="AB48" i="1"/>
  <c r="AE48" i="1"/>
  <c r="AF48" i="1"/>
  <c r="AM48" i="1"/>
  <c r="AN48" i="1"/>
  <c r="AS48" i="1" s="1"/>
  <c r="AT48" i="1"/>
  <c r="AV48" i="1"/>
  <c r="H50" i="1"/>
  <c r="R50" i="1" s="1"/>
  <c r="J50" i="1"/>
  <c r="I50" i="1" s="1"/>
  <c r="S50" i="1" s="1"/>
  <c r="L50" i="1"/>
  <c r="P50" i="1"/>
  <c r="T50" i="1"/>
  <c r="U50" i="1"/>
  <c r="V50" i="1"/>
  <c r="W50" i="1"/>
  <c r="X50" i="1"/>
  <c r="Z50" i="1"/>
  <c r="AA50" i="1"/>
  <c r="AE50" i="1"/>
  <c r="AF50" i="1"/>
  <c r="AM50" i="1"/>
  <c r="AN50" i="1"/>
  <c r="AS50" i="1" s="1"/>
  <c r="AT50" i="1"/>
  <c r="AV50" i="1"/>
  <c r="H51" i="1"/>
  <c r="R51" i="1" s="1"/>
  <c r="J51" i="1"/>
  <c r="L51" i="1"/>
  <c r="P51" i="1"/>
  <c r="T51" i="1"/>
  <c r="U51" i="1"/>
  <c r="V51" i="1"/>
  <c r="W51" i="1"/>
  <c r="X51" i="1"/>
  <c r="Z51" i="1"/>
  <c r="AA51" i="1"/>
  <c r="AB51" i="1"/>
  <c r="AE51" i="1"/>
  <c r="AF51" i="1"/>
  <c r="AM51" i="1"/>
  <c r="AN51" i="1"/>
  <c r="AS51" i="1" s="1"/>
  <c r="AT51" i="1"/>
  <c r="AV51" i="1"/>
  <c r="AI52" i="1"/>
  <c r="AK52" i="1"/>
  <c r="J53" i="1"/>
  <c r="L53" i="1"/>
  <c r="P53" i="1"/>
  <c r="R53" i="1"/>
  <c r="S53" i="1"/>
  <c r="V53" i="1"/>
  <c r="W53" i="1"/>
  <c r="X53" i="1"/>
  <c r="Z53" i="1"/>
  <c r="AA53" i="1"/>
  <c r="AB53" i="1"/>
  <c r="AE53" i="1"/>
  <c r="H53" i="1" s="1"/>
  <c r="H52" i="1" s="1"/>
  <c r="AF53" i="1"/>
  <c r="AM53" i="1"/>
  <c r="AN53" i="1"/>
  <c r="AS53" i="1"/>
  <c r="AT53" i="1"/>
  <c r="AV53" i="1"/>
  <c r="J55" i="1"/>
  <c r="L55" i="1"/>
  <c r="P55" i="1"/>
  <c r="R55" i="1"/>
  <c r="S55" i="1"/>
  <c r="V55" i="1"/>
  <c r="W55" i="1"/>
  <c r="X55" i="1"/>
  <c r="Z55" i="1"/>
  <c r="AA55" i="1"/>
  <c r="AB55" i="1"/>
  <c r="AE55" i="1"/>
  <c r="H55" i="1" s="1"/>
  <c r="I55" i="1" s="1"/>
  <c r="U55" i="1" s="1"/>
  <c r="AF55" i="1"/>
  <c r="AM55" i="1"/>
  <c r="AN55" i="1"/>
  <c r="AS55" i="1"/>
  <c r="AT55" i="1"/>
  <c r="AV55" i="1"/>
  <c r="J57" i="1"/>
  <c r="L57" i="1"/>
  <c r="P57" i="1"/>
  <c r="R57" i="1"/>
  <c r="S57" i="1"/>
  <c r="T57" i="1"/>
  <c r="U57" i="1"/>
  <c r="V57" i="1"/>
  <c r="W57" i="1"/>
  <c r="X57" i="1"/>
  <c r="Z57" i="1"/>
  <c r="AA57" i="1"/>
  <c r="AB57" i="1"/>
  <c r="AE57" i="1"/>
  <c r="H57" i="1" s="1"/>
  <c r="I57" i="1" s="1"/>
  <c r="AF57" i="1"/>
  <c r="AM57" i="1"/>
  <c r="AN57" i="1"/>
  <c r="AS57" i="1"/>
  <c r="AT57" i="1"/>
  <c r="AV57" i="1"/>
  <c r="L58" i="1"/>
  <c r="AJ58" i="1"/>
  <c r="H59" i="1"/>
  <c r="J59" i="1"/>
  <c r="I59" i="1" s="1"/>
  <c r="U59" i="1" s="1"/>
  <c r="L59" i="1"/>
  <c r="P59" i="1"/>
  <c r="R59" i="1"/>
  <c r="S59" i="1"/>
  <c r="V59" i="1"/>
  <c r="W59" i="1"/>
  <c r="X59" i="1"/>
  <c r="Z59" i="1"/>
  <c r="AI58" i="1" s="1"/>
  <c r="AA59" i="1"/>
  <c r="AE59" i="1"/>
  <c r="AF59" i="1"/>
  <c r="AM59" i="1"/>
  <c r="AN59" i="1"/>
  <c r="AS59" i="1" s="1"/>
  <c r="AT59" i="1"/>
  <c r="AV59" i="1"/>
  <c r="AI61" i="1"/>
  <c r="AK61" i="1"/>
  <c r="I62" i="1"/>
  <c r="J62" i="1"/>
  <c r="L62" i="1"/>
  <c r="P62" i="1"/>
  <c r="R62" i="1"/>
  <c r="S62" i="1"/>
  <c r="T62" i="1"/>
  <c r="V62" i="1"/>
  <c r="W62" i="1"/>
  <c r="X62" i="1"/>
  <c r="Z62" i="1"/>
  <c r="AA62" i="1"/>
  <c r="AB62" i="1"/>
  <c r="AE62" i="1"/>
  <c r="H62" i="1" s="1"/>
  <c r="AF62" i="1"/>
  <c r="AM62" i="1"/>
  <c r="AN62" i="1"/>
  <c r="AS62" i="1"/>
  <c r="AT62" i="1"/>
  <c r="I63" i="1"/>
  <c r="U63" i="1" s="1"/>
  <c r="J63" i="1"/>
  <c r="L63" i="1"/>
  <c r="AV63" i="1" s="1"/>
  <c r="P63" i="1"/>
  <c r="R63" i="1"/>
  <c r="S63" i="1"/>
  <c r="T63" i="1"/>
  <c r="V63" i="1"/>
  <c r="W63" i="1"/>
  <c r="X63" i="1"/>
  <c r="Z63" i="1"/>
  <c r="AA63" i="1"/>
  <c r="AB63" i="1"/>
  <c r="AE63" i="1"/>
  <c r="H63" i="1" s="1"/>
  <c r="AF63" i="1"/>
  <c r="AM63" i="1"/>
  <c r="AN63" i="1"/>
  <c r="AS63" i="1"/>
  <c r="AT63" i="1"/>
  <c r="I64" i="1"/>
  <c r="U64" i="1" s="1"/>
  <c r="J64" i="1"/>
  <c r="L64" i="1"/>
  <c r="AV64" i="1" s="1"/>
  <c r="P64" i="1"/>
  <c r="R64" i="1"/>
  <c r="S64" i="1"/>
  <c r="T64" i="1"/>
  <c r="V64" i="1"/>
  <c r="W64" i="1"/>
  <c r="X64" i="1"/>
  <c r="Z64" i="1"/>
  <c r="AA64" i="1"/>
  <c r="AB64" i="1"/>
  <c r="AE64" i="1"/>
  <c r="H64" i="1" s="1"/>
  <c r="AF64" i="1"/>
  <c r="AM64" i="1"/>
  <c r="AN64" i="1"/>
  <c r="AS64" i="1"/>
  <c r="AT64" i="1"/>
  <c r="I65" i="1"/>
  <c r="U65" i="1" s="1"/>
  <c r="J65" i="1"/>
  <c r="L65" i="1"/>
  <c r="AV65" i="1" s="1"/>
  <c r="P65" i="1"/>
  <c r="R65" i="1"/>
  <c r="S65" i="1"/>
  <c r="T65" i="1"/>
  <c r="V65" i="1"/>
  <c r="W65" i="1"/>
  <c r="X65" i="1"/>
  <c r="Z65" i="1"/>
  <c r="AA65" i="1"/>
  <c r="AB65" i="1"/>
  <c r="AE65" i="1"/>
  <c r="H65" i="1" s="1"/>
  <c r="AF65" i="1"/>
  <c r="AM65" i="1"/>
  <c r="AN65" i="1"/>
  <c r="AS65" i="1"/>
  <c r="AT65" i="1"/>
  <c r="I66" i="1"/>
  <c r="U66" i="1" s="1"/>
  <c r="J66" i="1"/>
  <c r="L66" i="1"/>
  <c r="AV66" i="1" s="1"/>
  <c r="P66" i="1"/>
  <c r="R66" i="1"/>
  <c r="S66" i="1"/>
  <c r="T66" i="1"/>
  <c r="V66" i="1"/>
  <c r="W66" i="1"/>
  <c r="X66" i="1"/>
  <c r="Z66" i="1"/>
  <c r="AA66" i="1"/>
  <c r="AB66" i="1"/>
  <c r="AE66" i="1"/>
  <c r="H66" i="1" s="1"/>
  <c r="AF66" i="1"/>
  <c r="AM66" i="1"/>
  <c r="AN66" i="1"/>
  <c r="AS66" i="1"/>
  <c r="AT66" i="1"/>
  <c r="I68" i="1"/>
  <c r="U68" i="1" s="1"/>
  <c r="J68" i="1"/>
  <c r="L68" i="1"/>
  <c r="AV68" i="1" s="1"/>
  <c r="P68" i="1"/>
  <c r="R68" i="1"/>
  <c r="S68" i="1"/>
  <c r="T68" i="1"/>
  <c r="V68" i="1"/>
  <c r="W68" i="1"/>
  <c r="X68" i="1"/>
  <c r="Z68" i="1"/>
  <c r="AA68" i="1"/>
  <c r="AB68" i="1"/>
  <c r="AE68" i="1"/>
  <c r="H68" i="1" s="1"/>
  <c r="AF68" i="1"/>
  <c r="AM68" i="1"/>
  <c r="AN68" i="1"/>
  <c r="AS68" i="1"/>
  <c r="AT68" i="1"/>
  <c r="I69" i="1"/>
  <c r="U69" i="1" s="1"/>
  <c r="J69" i="1"/>
  <c r="L69" i="1"/>
  <c r="AV69" i="1" s="1"/>
  <c r="P69" i="1"/>
  <c r="R69" i="1"/>
  <c r="S69" i="1"/>
  <c r="T69" i="1"/>
  <c r="V69" i="1"/>
  <c r="W69" i="1"/>
  <c r="X69" i="1"/>
  <c r="Z69" i="1"/>
  <c r="AA69" i="1"/>
  <c r="AB69" i="1"/>
  <c r="AE69" i="1"/>
  <c r="H69" i="1" s="1"/>
  <c r="AF69" i="1"/>
  <c r="AM69" i="1"/>
  <c r="AN69" i="1"/>
  <c r="AS69" i="1"/>
  <c r="AT69" i="1"/>
  <c r="I70" i="1"/>
  <c r="U70" i="1" s="1"/>
  <c r="J70" i="1"/>
  <c r="L70" i="1"/>
  <c r="AV70" i="1" s="1"/>
  <c r="P70" i="1"/>
  <c r="R70" i="1"/>
  <c r="S70" i="1"/>
  <c r="T70" i="1"/>
  <c r="V70" i="1"/>
  <c r="W70" i="1"/>
  <c r="X70" i="1"/>
  <c r="Z70" i="1"/>
  <c r="AA70" i="1"/>
  <c r="AB70" i="1"/>
  <c r="AE70" i="1"/>
  <c r="H70" i="1" s="1"/>
  <c r="AF70" i="1"/>
  <c r="AM70" i="1"/>
  <c r="AN70" i="1"/>
  <c r="AS70" i="1"/>
  <c r="AT70" i="1"/>
  <c r="I71" i="1"/>
  <c r="U71" i="1" s="1"/>
  <c r="J71" i="1"/>
  <c r="L71" i="1"/>
  <c r="AV71" i="1" s="1"/>
  <c r="P71" i="1"/>
  <c r="R71" i="1"/>
  <c r="S71" i="1"/>
  <c r="T71" i="1"/>
  <c r="V71" i="1"/>
  <c r="W71" i="1"/>
  <c r="X71" i="1"/>
  <c r="Z71" i="1"/>
  <c r="AA71" i="1"/>
  <c r="AB71" i="1"/>
  <c r="AE71" i="1"/>
  <c r="H71" i="1" s="1"/>
  <c r="AF71" i="1"/>
  <c r="AM71" i="1"/>
  <c r="AN71" i="1"/>
  <c r="AS71" i="1"/>
  <c r="AT71" i="1"/>
  <c r="I72" i="1"/>
  <c r="U72" i="1" s="1"/>
  <c r="J72" i="1"/>
  <c r="L72" i="1"/>
  <c r="AV72" i="1" s="1"/>
  <c r="P72" i="1"/>
  <c r="R72" i="1"/>
  <c r="S72" i="1"/>
  <c r="T72" i="1"/>
  <c r="V72" i="1"/>
  <c r="W72" i="1"/>
  <c r="X72" i="1"/>
  <c r="Z72" i="1"/>
  <c r="AA72" i="1"/>
  <c r="AB72" i="1"/>
  <c r="AE72" i="1"/>
  <c r="H72" i="1" s="1"/>
  <c r="AF72" i="1"/>
  <c r="AM72" i="1"/>
  <c r="AN72" i="1"/>
  <c r="AS72" i="1"/>
  <c r="AT72" i="1"/>
  <c r="I73" i="1"/>
  <c r="U73" i="1" s="1"/>
  <c r="J73" i="1"/>
  <c r="L73" i="1"/>
  <c r="AV73" i="1" s="1"/>
  <c r="P73" i="1"/>
  <c r="R73" i="1"/>
  <c r="S73" i="1"/>
  <c r="T73" i="1"/>
  <c r="V73" i="1"/>
  <c r="W73" i="1"/>
  <c r="X73" i="1"/>
  <c r="Z73" i="1"/>
  <c r="AA73" i="1"/>
  <c r="AB73" i="1"/>
  <c r="AE73" i="1"/>
  <c r="H73" i="1" s="1"/>
  <c r="AF73" i="1"/>
  <c r="AM73" i="1"/>
  <c r="AN73" i="1"/>
  <c r="AS73" i="1"/>
  <c r="AT73" i="1"/>
  <c r="I74" i="1"/>
  <c r="U74" i="1" s="1"/>
  <c r="J74" i="1"/>
  <c r="L74" i="1"/>
  <c r="AV74" i="1" s="1"/>
  <c r="P74" i="1"/>
  <c r="R74" i="1"/>
  <c r="S74" i="1"/>
  <c r="T74" i="1"/>
  <c r="V74" i="1"/>
  <c r="W74" i="1"/>
  <c r="X74" i="1"/>
  <c r="Z74" i="1"/>
  <c r="AA74" i="1"/>
  <c r="AB74" i="1"/>
  <c r="AE74" i="1"/>
  <c r="H74" i="1" s="1"/>
  <c r="AF74" i="1"/>
  <c r="AM74" i="1"/>
  <c r="AN74" i="1"/>
  <c r="AS74" i="1"/>
  <c r="AT74" i="1"/>
  <c r="I75" i="1"/>
  <c r="U75" i="1" s="1"/>
  <c r="J75" i="1"/>
  <c r="L75" i="1"/>
  <c r="AV75" i="1" s="1"/>
  <c r="P75" i="1"/>
  <c r="R75" i="1"/>
  <c r="S75" i="1"/>
  <c r="T75" i="1"/>
  <c r="V75" i="1"/>
  <c r="W75" i="1"/>
  <c r="X75" i="1"/>
  <c r="Z75" i="1"/>
  <c r="AA75" i="1"/>
  <c r="AB75" i="1"/>
  <c r="AE75" i="1"/>
  <c r="H75" i="1" s="1"/>
  <c r="AF75" i="1"/>
  <c r="AM75" i="1"/>
  <c r="AN75" i="1"/>
  <c r="AS75" i="1"/>
  <c r="AT75" i="1"/>
  <c r="I76" i="1"/>
  <c r="U76" i="1" s="1"/>
  <c r="J76" i="1"/>
  <c r="L76" i="1"/>
  <c r="AV76" i="1" s="1"/>
  <c r="P76" i="1"/>
  <c r="R76" i="1"/>
  <c r="S76" i="1"/>
  <c r="T76" i="1"/>
  <c r="V76" i="1"/>
  <c r="W76" i="1"/>
  <c r="X76" i="1"/>
  <c r="Z76" i="1"/>
  <c r="AA76" i="1"/>
  <c r="AB76" i="1"/>
  <c r="AE76" i="1"/>
  <c r="H76" i="1" s="1"/>
  <c r="AF76" i="1"/>
  <c r="AM76" i="1"/>
  <c r="AN76" i="1"/>
  <c r="AS76" i="1"/>
  <c r="AT76" i="1"/>
  <c r="I77" i="1"/>
  <c r="U77" i="1" s="1"/>
  <c r="J77" i="1"/>
  <c r="L77" i="1"/>
  <c r="AV77" i="1" s="1"/>
  <c r="P77" i="1"/>
  <c r="R77" i="1"/>
  <c r="S77" i="1"/>
  <c r="T77" i="1"/>
  <c r="V77" i="1"/>
  <c r="W77" i="1"/>
  <c r="X77" i="1"/>
  <c r="Z77" i="1"/>
  <c r="AA77" i="1"/>
  <c r="AB77" i="1"/>
  <c r="AE77" i="1"/>
  <c r="H77" i="1" s="1"/>
  <c r="AF77" i="1"/>
  <c r="AM77" i="1"/>
  <c r="AN77" i="1"/>
  <c r="AS77" i="1"/>
  <c r="AT77" i="1"/>
  <c r="J78" i="1"/>
  <c r="L78" i="1"/>
  <c r="P78" i="1"/>
  <c r="R78" i="1"/>
  <c r="S78" i="1"/>
  <c r="T78" i="1"/>
  <c r="U78" i="1"/>
  <c r="V78" i="1"/>
  <c r="W78" i="1"/>
  <c r="X78" i="1"/>
  <c r="Z78" i="1"/>
  <c r="AA78" i="1"/>
  <c r="AB78" i="1"/>
  <c r="AE78" i="1"/>
  <c r="H78" i="1" s="1"/>
  <c r="H61" i="1" s="1"/>
  <c r="AF78" i="1"/>
  <c r="AM78" i="1"/>
  <c r="AN78" i="1"/>
  <c r="AS78" i="1"/>
  <c r="AT78" i="1"/>
  <c r="AV78" i="1"/>
  <c r="L79" i="1"/>
  <c r="AJ79" i="1"/>
  <c r="H80" i="1"/>
  <c r="J80" i="1"/>
  <c r="L80" i="1"/>
  <c r="P80" i="1"/>
  <c r="R80" i="1"/>
  <c r="S80" i="1"/>
  <c r="V80" i="1"/>
  <c r="W80" i="1"/>
  <c r="X80" i="1"/>
  <c r="Z80" i="1"/>
  <c r="AA80" i="1"/>
  <c r="AB80" i="1"/>
  <c r="AE80" i="1"/>
  <c r="AF80" i="1"/>
  <c r="AN80" i="1" s="1"/>
  <c r="AS80" i="1" s="1"/>
  <c r="AM80" i="1"/>
  <c r="AT80" i="1"/>
  <c r="AV80" i="1"/>
  <c r="H81" i="1"/>
  <c r="T81" i="1" s="1"/>
  <c r="J81" i="1"/>
  <c r="I81" i="1" s="1"/>
  <c r="U81" i="1" s="1"/>
  <c r="L81" i="1"/>
  <c r="P81" i="1"/>
  <c r="R81" i="1"/>
  <c r="S81" i="1"/>
  <c r="V81" i="1"/>
  <c r="W81" i="1"/>
  <c r="X81" i="1"/>
  <c r="Z81" i="1"/>
  <c r="AA81" i="1"/>
  <c r="AE81" i="1"/>
  <c r="AF81" i="1"/>
  <c r="AM81" i="1"/>
  <c r="AN81" i="1"/>
  <c r="AS81" i="1" s="1"/>
  <c r="AT81" i="1"/>
  <c r="AV81" i="1"/>
  <c r="H82" i="1"/>
  <c r="T82" i="1" s="1"/>
  <c r="J82" i="1"/>
  <c r="L82" i="1"/>
  <c r="P82" i="1"/>
  <c r="R82" i="1"/>
  <c r="S82" i="1"/>
  <c r="V82" i="1"/>
  <c r="W82" i="1"/>
  <c r="X82" i="1"/>
  <c r="Z82" i="1"/>
  <c r="AA82" i="1"/>
  <c r="AB82" i="1"/>
  <c r="AE82" i="1"/>
  <c r="AF82" i="1"/>
  <c r="AM82" i="1"/>
  <c r="AN82" i="1"/>
  <c r="AS82" i="1" s="1"/>
  <c r="AT82" i="1"/>
  <c r="AV82" i="1"/>
  <c r="H83" i="1"/>
  <c r="T83" i="1" s="1"/>
  <c r="J83" i="1"/>
  <c r="I83" i="1" s="1"/>
  <c r="U83" i="1" s="1"/>
  <c r="L83" i="1"/>
  <c r="P83" i="1"/>
  <c r="R83" i="1"/>
  <c r="S83" i="1"/>
  <c r="V83" i="1"/>
  <c r="W83" i="1"/>
  <c r="X83" i="1"/>
  <c r="Z83" i="1"/>
  <c r="AA83" i="1"/>
  <c r="AE83" i="1"/>
  <c r="AF83" i="1"/>
  <c r="AM83" i="1"/>
  <c r="AN83" i="1"/>
  <c r="AS83" i="1" s="1"/>
  <c r="AT83" i="1"/>
  <c r="AV83" i="1"/>
  <c r="H84" i="1"/>
  <c r="T84" i="1" s="1"/>
  <c r="J84" i="1"/>
  <c r="L84" i="1"/>
  <c r="P84" i="1"/>
  <c r="R84" i="1"/>
  <c r="S84" i="1"/>
  <c r="V84" i="1"/>
  <c r="W84" i="1"/>
  <c r="X84" i="1"/>
  <c r="Z84" i="1"/>
  <c r="AA84" i="1"/>
  <c r="AB84" i="1"/>
  <c r="AE84" i="1"/>
  <c r="AF84" i="1"/>
  <c r="AN84" i="1" s="1"/>
  <c r="AS84" i="1" s="1"/>
  <c r="AM84" i="1"/>
  <c r="AT84" i="1"/>
  <c r="AV84" i="1"/>
  <c r="H85" i="1"/>
  <c r="T85" i="1" s="1"/>
  <c r="J85" i="1"/>
  <c r="I85" i="1" s="1"/>
  <c r="U85" i="1" s="1"/>
  <c r="L85" i="1"/>
  <c r="P85" i="1"/>
  <c r="R85" i="1"/>
  <c r="S85" i="1"/>
  <c r="V85" i="1"/>
  <c r="W85" i="1"/>
  <c r="X85" i="1"/>
  <c r="Z85" i="1"/>
  <c r="AA85" i="1"/>
  <c r="AE85" i="1"/>
  <c r="AF85" i="1"/>
  <c r="AM85" i="1"/>
  <c r="AN85" i="1"/>
  <c r="AS85" i="1" s="1"/>
  <c r="AT85" i="1"/>
  <c r="AV85" i="1"/>
  <c r="H86" i="1"/>
  <c r="T86" i="1" s="1"/>
  <c r="J86" i="1"/>
  <c r="L86" i="1"/>
  <c r="P86" i="1"/>
  <c r="R86" i="1"/>
  <c r="S86" i="1"/>
  <c r="V86" i="1"/>
  <c r="W86" i="1"/>
  <c r="X86" i="1"/>
  <c r="Z86" i="1"/>
  <c r="AA86" i="1"/>
  <c r="AB86" i="1"/>
  <c r="AE86" i="1"/>
  <c r="AF86" i="1"/>
  <c r="AM86" i="1"/>
  <c r="AN86" i="1"/>
  <c r="AS86" i="1" s="1"/>
  <c r="AT86" i="1"/>
  <c r="AV86" i="1"/>
  <c r="H87" i="1"/>
  <c r="J87" i="1"/>
  <c r="I87" i="1" s="1"/>
  <c r="L87" i="1"/>
  <c r="P87" i="1"/>
  <c r="R87" i="1"/>
  <c r="S87" i="1"/>
  <c r="T87" i="1"/>
  <c r="U87" i="1"/>
  <c r="V87" i="1"/>
  <c r="W87" i="1"/>
  <c r="X87" i="1"/>
  <c r="Z87" i="1"/>
  <c r="AA87" i="1"/>
  <c r="AB87" i="1"/>
  <c r="AE87" i="1"/>
  <c r="AF87" i="1"/>
  <c r="AM87" i="1"/>
  <c r="AN87" i="1"/>
  <c r="AS87" i="1" s="1"/>
  <c r="AT87" i="1"/>
  <c r="AV87" i="1"/>
  <c r="AI88" i="1"/>
  <c r="AK88" i="1"/>
  <c r="J89" i="1"/>
  <c r="L89" i="1"/>
  <c r="P89" i="1"/>
  <c r="R89" i="1"/>
  <c r="S89" i="1"/>
  <c r="V89" i="1"/>
  <c r="W89" i="1"/>
  <c r="X89" i="1"/>
  <c r="Z89" i="1"/>
  <c r="AA89" i="1"/>
  <c r="AB89" i="1"/>
  <c r="AE89" i="1"/>
  <c r="H89" i="1" s="1"/>
  <c r="H88" i="1" s="1"/>
  <c r="AF89" i="1"/>
  <c r="AM89" i="1"/>
  <c r="AN89" i="1"/>
  <c r="AS89" i="1"/>
  <c r="AT89" i="1"/>
  <c r="AV89" i="1"/>
  <c r="J90" i="1"/>
  <c r="L90" i="1"/>
  <c r="P90" i="1"/>
  <c r="R90" i="1"/>
  <c r="S90" i="1"/>
  <c r="V90" i="1"/>
  <c r="W90" i="1"/>
  <c r="X90" i="1"/>
  <c r="Z90" i="1"/>
  <c r="AA90" i="1"/>
  <c r="AB90" i="1"/>
  <c r="AE90" i="1"/>
  <c r="H90" i="1" s="1"/>
  <c r="I90" i="1" s="1"/>
  <c r="U90" i="1" s="1"/>
  <c r="AF90" i="1"/>
  <c r="AM90" i="1"/>
  <c r="AN90" i="1"/>
  <c r="AS90" i="1"/>
  <c r="AT90" i="1"/>
  <c r="AV90" i="1"/>
  <c r="J91" i="1"/>
  <c r="L91" i="1"/>
  <c r="P91" i="1"/>
  <c r="R91" i="1"/>
  <c r="S91" i="1"/>
  <c r="V91" i="1"/>
  <c r="W91" i="1"/>
  <c r="X91" i="1"/>
  <c r="Z91" i="1"/>
  <c r="AA91" i="1"/>
  <c r="AB91" i="1"/>
  <c r="AE91" i="1"/>
  <c r="H91" i="1" s="1"/>
  <c r="I91" i="1" s="1"/>
  <c r="U91" i="1" s="1"/>
  <c r="AF91" i="1"/>
  <c r="AM91" i="1"/>
  <c r="AN91" i="1"/>
  <c r="AS91" i="1"/>
  <c r="AT91" i="1"/>
  <c r="AV91" i="1"/>
  <c r="J92" i="1"/>
  <c r="L92" i="1"/>
  <c r="P92" i="1"/>
  <c r="R92" i="1"/>
  <c r="S92" i="1"/>
  <c r="V92" i="1"/>
  <c r="W92" i="1"/>
  <c r="X92" i="1"/>
  <c r="Z92" i="1"/>
  <c r="AA92" i="1"/>
  <c r="AB92" i="1"/>
  <c r="AE92" i="1"/>
  <c r="H92" i="1" s="1"/>
  <c r="I92" i="1" s="1"/>
  <c r="U92" i="1" s="1"/>
  <c r="AF92" i="1"/>
  <c r="AM92" i="1"/>
  <c r="AN92" i="1"/>
  <c r="AS92" i="1"/>
  <c r="AT92" i="1"/>
  <c r="AV92" i="1"/>
  <c r="J93" i="1"/>
  <c r="L93" i="1"/>
  <c r="P93" i="1"/>
  <c r="R93" i="1"/>
  <c r="S93" i="1"/>
  <c r="V93" i="1"/>
  <c r="W93" i="1"/>
  <c r="X93" i="1"/>
  <c r="Z93" i="1"/>
  <c r="AA93" i="1"/>
  <c r="AB93" i="1"/>
  <c r="AE93" i="1"/>
  <c r="H93" i="1" s="1"/>
  <c r="I93" i="1" s="1"/>
  <c r="U93" i="1" s="1"/>
  <c r="AF93" i="1"/>
  <c r="AM93" i="1"/>
  <c r="AN93" i="1"/>
  <c r="AS93" i="1"/>
  <c r="AT93" i="1"/>
  <c r="AV93" i="1"/>
  <c r="J94" i="1"/>
  <c r="L94" i="1"/>
  <c r="P94" i="1"/>
  <c r="R94" i="1"/>
  <c r="S94" i="1"/>
  <c r="V94" i="1"/>
  <c r="W94" i="1"/>
  <c r="X94" i="1"/>
  <c r="Z94" i="1"/>
  <c r="AA94" i="1"/>
  <c r="AB94" i="1"/>
  <c r="AE94" i="1"/>
  <c r="H94" i="1" s="1"/>
  <c r="I94" i="1" s="1"/>
  <c r="U94" i="1" s="1"/>
  <c r="AF94" i="1"/>
  <c r="AM94" i="1"/>
  <c r="AN94" i="1"/>
  <c r="AS94" i="1"/>
  <c r="AT94" i="1"/>
  <c r="AV94" i="1"/>
  <c r="J95" i="1"/>
  <c r="L95" i="1"/>
  <c r="P95" i="1"/>
  <c r="R95" i="1"/>
  <c r="S95" i="1"/>
  <c r="V95" i="1"/>
  <c r="W95" i="1"/>
  <c r="X95" i="1"/>
  <c r="Z95" i="1"/>
  <c r="AA95" i="1"/>
  <c r="AB95" i="1"/>
  <c r="AE95" i="1"/>
  <c r="H95" i="1" s="1"/>
  <c r="I95" i="1" s="1"/>
  <c r="U95" i="1" s="1"/>
  <c r="AF95" i="1"/>
  <c r="AM95" i="1"/>
  <c r="AN95" i="1"/>
  <c r="AS95" i="1"/>
  <c r="AT95" i="1"/>
  <c r="AV95" i="1"/>
  <c r="J96" i="1"/>
  <c r="L96" i="1"/>
  <c r="P96" i="1"/>
  <c r="R96" i="1"/>
  <c r="S96" i="1"/>
  <c r="V96" i="1"/>
  <c r="W96" i="1"/>
  <c r="X96" i="1"/>
  <c r="Z96" i="1"/>
  <c r="AA96" i="1"/>
  <c r="AB96" i="1"/>
  <c r="AE96" i="1"/>
  <c r="H96" i="1" s="1"/>
  <c r="I96" i="1" s="1"/>
  <c r="U96" i="1" s="1"/>
  <c r="AF96" i="1"/>
  <c r="AN96" i="1"/>
  <c r="AT96" i="1"/>
  <c r="AV96" i="1"/>
  <c r="J97" i="1"/>
  <c r="L97" i="1"/>
  <c r="P97" i="1"/>
  <c r="R97" i="1"/>
  <c r="S97" i="1"/>
  <c r="V97" i="1"/>
  <c r="W97" i="1"/>
  <c r="X97" i="1"/>
  <c r="Z97" i="1"/>
  <c r="AA97" i="1"/>
  <c r="AB97" i="1"/>
  <c r="AE97" i="1"/>
  <c r="H97" i="1" s="1"/>
  <c r="I97" i="1" s="1"/>
  <c r="U97" i="1" s="1"/>
  <c r="AF97" i="1"/>
  <c r="AN97" i="1"/>
  <c r="AT97" i="1"/>
  <c r="AV97" i="1"/>
  <c r="J99" i="1"/>
  <c r="L99" i="1"/>
  <c r="P99" i="1"/>
  <c r="R99" i="1"/>
  <c r="S99" i="1"/>
  <c r="V99" i="1"/>
  <c r="W99" i="1"/>
  <c r="X99" i="1"/>
  <c r="Z99" i="1"/>
  <c r="AA99" i="1"/>
  <c r="AB99" i="1"/>
  <c r="AE99" i="1"/>
  <c r="H99" i="1" s="1"/>
  <c r="I99" i="1" s="1"/>
  <c r="U99" i="1" s="1"/>
  <c r="AF99" i="1"/>
  <c r="AN99" i="1"/>
  <c r="AT99" i="1"/>
  <c r="AV99" i="1"/>
  <c r="J100" i="1"/>
  <c r="L100" i="1"/>
  <c r="P100" i="1"/>
  <c r="R100" i="1"/>
  <c r="S100" i="1"/>
  <c r="V100" i="1"/>
  <c r="W100" i="1"/>
  <c r="X100" i="1"/>
  <c r="Z100" i="1"/>
  <c r="AA100" i="1"/>
  <c r="AB100" i="1"/>
  <c r="AE100" i="1"/>
  <c r="H100" i="1" s="1"/>
  <c r="I100" i="1" s="1"/>
  <c r="U100" i="1" s="1"/>
  <c r="AF100" i="1"/>
  <c r="AM100" i="1"/>
  <c r="AN100" i="1"/>
  <c r="AS100" i="1"/>
  <c r="AT100" i="1"/>
  <c r="AV100" i="1"/>
  <c r="J102" i="1"/>
  <c r="L102" i="1"/>
  <c r="P102" i="1"/>
  <c r="R102" i="1"/>
  <c r="S102" i="1"/>
  <c r="V102" i="1"/>
  <c r="W102" i="1"/>
  <c r="X102" i="1"/>
  <c r="Z102" i="1"/>
  <c r="AA102" i="1"/>
  <c r="AB102" i="1"/>
  <c r="AE102" i="1"/>
  <c r="H102" i="1" s="1"/>
  <c r="I102" i="1" s="1"/>
  <c r="U102" i="1" s="1"/>
  <c r="AF102" i="1"/>
  <c r="AM102" i="1"/>
  <c r="AN102" i="1"/>
  <c r="AS102" i="1"/>
  <c r="AT102" i="1"/>
  <c r="AV102" i="1"/>
  <c r="J103" i="1"/>
  <c r="L103" i="1"/>
  <c r="P103" i="1"/>
  <c r="R103" i="1"/>
  <c r="S103" i="1"/>
  <c r="T103" i="1"/>
  <c r="U103" i="1"/>
  <c r="V103" i="1"/>
  <c r="W103" i="1"/>
  <c r="X103" i="1"/>
  <c r="Z103" i="1"/>
  <c r="AA103" i="1"/>
  <c r="AB103" i="1"/>
  <c r="AE103" i="1"/>
  <c r="H103" i="1" s="1"/>
  <c r="I103" i="1" s="1"/>
  <c r="AF103" i="1"/>
  <c r="AM103" i="1"/>
  <c r="AN103" i="1"/>
  <c r="AS103" i="1"/>
  <c r="AT103" i="1"/>
  <c r="AV103" i="1"/>
  <c r="H105" i="1"/>
  <c r="J105" i="1"/>
  <c r="I105" i="1" s="1"/>
  <c r="U105" i="1" s="1"/>
  <c r="L105" i="1"/>
  <c r="P105" i="1"/>
  <c r="R105" i="1"/>
  <c r="S105" i="1"/>
  <c r="V105" i="1"/>
  <c r="W105" i="1"/>
  <c r="X105" i="1"/>
  <c r="Z105" i="1"/>
  <c r="AA105" i="1"/>
  <c r="AE105" i="1"/>
  <c r="AF105" i="1"/>
  <c r="AM105" i="1"/>
  <c r="AN105" i="1"/>
  <c r="AS105" i="1" s="1"/>
  <c r="AT105" i="1"/>
  <c r="AV105" i="1"/>
  <c r="J106" i="1"/>
  <c r="L106" i="1"/>
  <c r="L104" i="1" s="1"/>
  <c r="P106" i="1"/>
  <c r="R106" i="1"/>
  <c r="S106" i="1"/>
  <c r="V106" i="1"/>
  <c r="W106" i="1"/>
  <c r="X106" i="1"/>
  <c r="Z106" i="1"/>
  <c r="AA106" i="1"/>
  <c r="AJ104" i="1" s="1"/>
  <c r="AB106" i="1"/>
  <c r="AE106" i="1"/>
  <c r="H106" i="1" s="1"/>
  <c r="T106" i="1" s="1"/>
  <c r="AF106" i="1"/>
  <c r="AM106" i="1"/>
  <c r="AS106" i="1" s="1"/>
  <c r="AN106" i="1"/>
  <c r="AT106" i="1"/>
  <c r="AV106" i="1"/>
  <c r="J107" i="1"/>
  <c r="L107" i="1"/>
  <c r="P107" i="1"/>
  <c r="R107" i="1"/>
  <c r="S107" i="1"/>
  <c r="V107" i="1"/>
  <c r="W107" i="1"/>
  <c r="X107" i="1"/>
  <c r="Z107" i="1"/>
  <c r="AA107" i="1"/>
  <c r="AB107" i="1"/>
  <c r="AE107" i="1"/>
  <c r="H107" i="1" s="1"/>
  <c r="AF107" i="1"/>
  <c r="AM107" i="1"/>
  <c r="AS107" i="1" s="1"/>
  <c r="AN107" i="1"/>
  <c r="AT107" i="1"/>
  <c r="AV107" i="1"/>
  <c r="J108" i="1"/>
  <c r="L108" i="1"/>
  <c r="P108" i="1"/>
  <c r="R108" i="1"/>
  <c r="S108" i="1"/>
  <c r="V108" i="1"/>
  <c r="W108" i="1"/>
  <c r="X108" i="1"/>
  <c r="Z108" i="1"/>
  <c r="AA108" i="1"/>
  <c r="AB108" i="1"/>
  <c r="AE108" i="1"/>
  <c r="H108" i="1" s="1"/>
  <c r="AF108" i="1"/>
  <c r="AM108" i="1"/>
  <c r="AN108" i="1"/>
  <c r="AS108" i="1"/>
  <c r="AT108" i="1"/>
  <c r="AV108" i="1"/>
  <c r="J109" i="1"/>
  <c r="L109" i="1"/>
  <c r="P109" i="1"/>
  <c r="R109" i="1"/>
  <c r="S109" i="1"/>
  <c r="V109" i="1"/>
  <c r="W109" i="1"/>
  <c r="X109" i="1"/>
  <c r="Z109" i="1"/>
  <c r="AA109" i="1"/>
  <c r="AB109" i="1"/>
  <c r="AE109" i="1"/>
  <c r="H109" i="1" s="1"/>
  <c r="AF109" i="1"/>
  <c r="AM109" i="1"/>
  <c r="AN109" i="1"/>
  <c r="AS109" i="1"/>
  <c r="AT109" i="1"/>
  <c r="AV109" i="1"/>
  <c r="J110" i="1"/>
  <c r="L110" i="1"/>
  <c r="P110" i="1"/>
  <c r="R110" i="1"/>
  <c r="S110" i="1"/>
  <c r="V110" i="1"/>
  <c r="W110" i="1"/>
  <c r="X110" i="1"/>
  <c r="Z110" i="1"/>
  <c r="AA110" i="1"/>
  <c r="AB110" i="1"/>
  <c r="AE110" i="1"/>
  <c r="H110" i="1" s="1"/>
  <c r="AF110" i="1"/>
  <c r="AM110" i="1"/>
  <c r="AN110" i="1"/>
  <c r="AS110" i="1"/>
  <c r="AT110" i="1"/>
  <c r="AV110" i="1"/>
  <c r="J111" i="1"/>
  <c r="L111" i="1"/>
  <c r="P111" i="1"/>
  <c r="R111" i="1"/>
  <c r="S111" i="1"/>
  <c r="V111" i="1"/>
  <c r="W111" i="1"/>
  <c r="X111" i="1"/>
  <c r="Z111" i="1"/>
  <c r="AA111" i="1"/>
  <c r="AB111" i="1"/>
  <c r="AE111" i="1"/>
  <c r="H111" i="1" s="1"/>
  <c r="AF111" i="1"/>
  <c r="AN111" i="1"/>
  <c r="AT111" i="1"/>
  <c r="AV111" i="1"/>
  <c r="J112" i="1"/>
  <c r="L112" i="1"/>
  <c r="P112" i="1"/>
  <c r="R112" i="1"/>
  <c r="S112" i="1"/>
  <c r="V112" i="1"/>
  <c r="W112" i="1"/>
  <c r="X112" i="1"/>
  <c r="Z112" i="1"/>
  <c r="AA112" i="1"/>
  <c r="AB112" i="1"/>
  <c r="AE112" i="1"/>
  <c r="H112" i="1" s="1"/>
  <c r="AF112" i="1"/>
  <c r="AM112" i="1"/>
  <c r="AS112" i="1" s="1"/>
  <c r="AN112" i="1"/>
  <c r="AT112" i="1"/>
  <c r="AV112" i="1"/>
  <c r="J114" i="1"/>
  <c r="L114" i="1"/>
  <c r="P114" i="1"/>
  <c r="R114" i="1"/>
  <c r="S114" i="1"/>
  <c r="V114" i="1"/>
  <c r="W114" i="1"/>
  <c r="X114" i="1"/>
  <c r="Z114" i="1"/>
  <c r="AA114" i="1"/>
  <c r="AB114" i="1"/>
  <c r="AE114" i="1"/>
  <c r="H114" i="1" s="1"/>
  <c r="AF114" i="1"/>
  <c r="AM114" i="1"/>
  <c r="AS114" i="1" s="1"/>
  <c r="AN114" i="1"/>
  <c r="AT114" i="1"/>
  <c r="AV114" i="1"/>
  <c r="J115" i="1"/>
  <c r="L115" i="1"/>
  <c r="P115" i="1"/>
  <c r="R115" i="1"/>
  <c r="S115" i="1"/>
  <c r="T115" i="1"/>
  <c r="U115" i="1"/>
  <c r="V115" i="1"/>
  <c r="W115" i="1"/>
  <c r="X115" i="1"/>
  <c r="Z115" i="1"/>
  <c r="AA115" i="1"/>
  <c r="AB115" i="1"/>
  <c r="AE115" i="1"/>
  <c r="H115" i="1" s="1"/>
  <c r="I115" i="1" s="1"/>
  <c r="AF115" i="1"/>
  <c r="AM115" i="1"/>
  <c r="AS115" i="1" s="1"/>
  <c r="AN115" i="1"/>
  <c r="AT115" i="1"/>
  <c r="AV115" i="1"/>
  <c r="L116" i="1"/>
  <c r="AJ116" i="1"/>
  <c r="H117" i="1"/>
  <c r="H116" i="1" s="1"/>
  <c r="J117" i="1"/>
  <c r="I117" i="1" s="1"/>
  <c r="L117" i="1"/>
  <c r="P117" i="1"/>
  <c r="R117" i="1"/>
  <c r="S117" i="1"/>
  <c r="V117" i="1"/>
  <c r="W117" i="1"/>
  <c r="X117" i="1"/>
  <c r="Z117" i="1"/>
  <c r="AI116" i="1" s="1"/>
  <c r="AA117" i="1"/>
  <c r="AB117" i="1"/>
  <c r="AK116" i="1" s="1"/>
  <c r="AE117" i="1"/>
  <c r="AF117" i="1"/>
  <c r="AM117" i="1"/>
  <c r="AN117" i="1"/>
  <c r="AS117" i="1" s="1"/>
  <c r="AT117" i="1"/>
  <c r="AV117" i="1"/>
  <c r="H118" i="1"/>
  <c r="T118" i="1" s="1"/>
  <c r="J118" i="1"/>
  <c r="I118" i="1" s="1"/>
  <c r="U118" i="1" s="1"/>
  <c r="L118" i="1"/>
  <c r="P118" i="1"/>
  <c r="R118" i="1"/>
  <c r="S118" i="1"/>
  <c r="V118" i="1"/>
  <c r="W118" i="1"/>
  <c r="X118" i="1"/>
  <c r="Z118" i="1"/>
  <c r="AA118" i="1"/>
  <c r="AB118" i="1"/>
  <c r="AE118" i="1"/>
  <c r="AF118" i="1"/>
  <c r="AM118" i="1"/>
  <c r="AN118" i="1"/>
  <c r="AS118" i="1" s="1"/>
  <c r="AT118" i="1"/>
  <c r="AV118" i="1"/>
  <c r="H119" i="1"/>
  <c r="T119" i="1" s="1"/>
  <c r="J119" i="1"/>
  <c r="I119" i="1" s="1"/>
  <c r="U119" i="1" s="1"/>
  <c r="L119" i="1"/>
  <c r="P119" i="1"/>
  <c r="R119" i="1"/>
  <c r="S119" i="1"/>
  <c r="V119" i="1"/>
  <c r="W119" i="1"/>
  <c r="X119" i="1"/>
  <c r="Z119" i="1"/>
  <c r="AA119" i="1"/>
  <c r="AB119" i="1"/>
  <c r="AE119" i="1"/>
  <c r="AF119" i="1"/>
  <c r="AM119" i="1"/>
  <c r="AN119" i="1"/>
  <c r="AS119" i="1" s="1"/>
  <c r="AT119" i="1"/>
  <c r="AV119" i="1"/>
  <c r="H120" i="1"/>
  <c r="T120" i="1" s="1"/>
  <c r="J120" i="1"/>
  <c r="I120" i="1" s="1"/>
  <c r="U120" i="1" s="1"/>
  <c r="L120" i="1"/>
  <c r="P120" i="1"/>
  <c r="R120" i="1"/>
  <c r="S120" i="1"/>
  <c r="V120" i="1"/>
  <c r="W120" i="1"/>
  <c r="X120" i="1"/>
  <c r="Z120" i="1"/>
  <c r="AA120" i="1"/>
  <c r="AB120" i="1"/>
  <c r="AE120" i="1"/>
  <c r="AF120" i="1"/>
  <c r="AM120" i="1"/>
  <c r="AN120" i="1"/>
  <c r="AS120" i="1" s="1"/>
  <c r="AT120" i="1"/>
  <c r="AV120" i="1"/>
  <c r="H121" i="1"/>
  <c r="T121" i="1" s="1"/>
  <c r="J121" i="1"/>
  <c r="I121" i="1" s="1"/>
  <c r="U121" i="1" s="1"/>
  <c r="L121" i="1"/>
  <c r="P121" i="1"/>
  <c r="R121" i="1"/>
  <c r="S121" i="1"/>
  <c r="V121" i="1"/>
  <c r="W121" i="1"/>
  <c r="X121" i="1"/>
  <c r="Z121" i="1"/>
  <c r="AA121" i="1"/>
  <c r="AB121" i="1"/>
  <c r="AE121" i="1"/>
  <c r="AF121" i="1"/>
  <c r="AM121" i="1"/>
  <c r="AN121" i="1"/>
  <c r="AS121" i="1" s="1"/>
  <c r="AT121" i="1"/>
  <c r="AV121" i="1"/>
  <c r="H122" i="1"/>
  <c r="T122" i="1" s="1"/>
  <c r="J122" i="1"/>
  <c r="I122" i="1" s="1"/>
  <c r="U122" i="1" s="1"/>
  <c r="L122" i="1"/>
  <c r="P122" i="1"/>
  <c r="R122" i="1"/>
  <c r="S122" i="1"/>
  <c r="V122" i="1"/>
  <c r="W122" i="1"/>
  <c r="X122" i="1"/>
  <c r="Z122" i="1"/>
  <c r="AA122" i="1"/>
  <c r="AB122" i="1"/>
  <c r="AE122" i="1"/>
  <c r="AF122" i="1"/>
  <c r="AM122" i="1"/>
  <c r="AN122" i="1"/>
  <c r="AS122" i="1" s="1"/>
  <c r="AT122" i="1"/>
  <c r="AV122" i="1"/>
  <c r="AI123" i="1"/>
  <c r="AK123" i="1"/>
  <c r="J124" i="1"/>
  <c r="L124" i="1"/>
  <c r="L123" i="1" s="1"/>
  <c r="P124" i="1"/>
  <c r="R124" i="1"/>
  <c r="S124" i="1"/>
  <c r="V124" i="1"/>
  <c r="W124" i="1"/>
  <c r="X124" i="1"/>
  <c r="Z124" i="1"/>
  <c r="AA124" i="1"/>
  <c r="AJ123" i="1" s="1"/>
  <c r="AB124" i="1"/>
  <c r="AE124" i="1"/>
  <c r="H124" i="1" s="1"/>
  <c r="AF124" i="1"/>
  <c r="AM124" i="1"/>
  <c r="AS124" i="1" s="1"/>
  <c r="AN124" i="1"/>
  <c r="AT124" i="1"/>
  <c r="AV124" i="1"/>
  <c r="J125" i="1"/>
  <c r="L125" i="1"/>
  <c r="P125" i="1"/>
  <c r="R125" i="1"/>
  <c r="S125" i="1"/>
  <c r="V125" i="1"/>
  <c r="W125" i="1"/>
  <c r="X125" i="1"/>
  <c r="Z125" i="1"/>
  <c r="AA125" i="1"/>
  <c r="AB125" i="1"/>
  <c r="AE125" i="1"/>
  <c r="H125" i="1" s="1"/>
  <c r="AF125" i="1"/>
  <c r="AM125" i="1"/>
  <c r="AS125" i="1" s="1"/>
  <c r="AN125" i="1"/>
  <c r="AT125" i="1"/>
  <c r="AV125" i="1"/>
  <c r="J127" i="1"/>
  <c r="L127" i="1"/>
  <c r="P127" i="1"/>
  <c r="R127" i="1"/>
  <c r="S127" i="1"/>
  <c r="V127" i="1"/>
  <c r="W127" i="1"/>
  <c r="X127" i="1"/>
  <c r="Z127" i="1"/>
  <c r="AA127" i="1"/>
  <c r="AB127" i="1"/>
  <c r="AE127" i="1"/>
  <c r="H127" i="1" s="1"/>
  <c r="AF127" i="1"/>
  <c r="AM127" i="1"/>
  <c r="AN127" i="1"/>
  <c r="AS127" i="1"/>
  <c r="AT127" i="1"/>
  <c r="AV127" i="1"/>
  <c r="J128" i="1"/>
  <c r="L128" i="1"/>
  <c r="P128" i="1"/>
  <c r="R128" i="1"/>
  <c r="S128" i="1"/>
  <c r="V128" i="1"/>
  <c r="W128" i="1"/>
  <c r="X128" i="1"/>
  <c r="Z128" i="1"/>
  <c r="AA128" i="1"/>
  <c r="AB128" i="1"/>
  <c r="AE128" i="1"/>
  <c r="H128" i="1" s="1"/>
  <c r="AF128" i="1"/>
  <c r="AM128" i="1"/>
  <c r="AS128" i="1" s="1"/>
  <c r="AN128" i="1"/>
  <c r="AT128" i="1"/>
  <c r="AV128" i="1"/>
  <c r="J129" i="1"/>
  <c r="L129" i="1"/>
  <c r="P129" i="1"/>
  <c r="R129" i="1"/>
  <c r="S129" i="1"/>
  <c r="V129" i="1"/>
  <c r="W129" i="1"/>
  <c r="X129" i="1"/>
  <c r="Z129" i="1"/>
  <c r="AA129" i="1"/>
  <c r="AB129" i="1"/>
  <c r="AE129" i="1"/>
  <c r="H129" i="1" s="1"/>
  <c r="AF129" i="1"/>
  <c r="AM129" i="1"/>
  <c r="AS129" i="1" s="1"/>
  <c r="AN129" i="1"/>
  <c r="AT129" i="1"/>
  <c r="AV129" i="1"/>
  <c r="L130" i="1"/>
  <c r="AJ130" i="1"/>
  <c r="H131" i="1"/>
  <c r="H130" i="1" s="1"/>
  <c r="J131" i="1"/>
  <c r="I131" i="1" s="1"/>
  <c r="L131" i="1"/>
  <c r="P131" i="1"/>
  <c r="T131" i="1"/>
  <c r="U131" i="1"/>
  <c r="V131" i="1"/>
  <c r="W131" i="1"/>
  <c r="X131" i="1"/>
  <c r="Z131" i="1"/>
  <c r="AI130" i="1" s="1"/>
  <c r="AA131" i="1"/>
  <c r="AB131" i="1"/>
  <c r="AK130" i="1" s="1"/>
  <c r="AE131" i="1"/>
  <c r="AF131" i="1"/>
  <c r="AM131" i="1"/>
  <c r="AN131" i="1"/>
  <c r="AS131" i="1" s="1"/>
  <c r="AT131" i="1"/>
  <c r="AV131" i="1"/>
  <c r="AI132" i="1"/>
  <c r="AK132" i="1"/>
  <c r="J133" i="1"/>
  <c r="L133" i="1"/>
  <c r="L132" i="1" s="1"/>
  <c r="P133" i="1"/>
  <c r="R133" i="1"/>
  <c r="S133" i="1"/>
  <c r="T133" i="1"/>
  <c r="U133" i="1"/>
  <c r="V133" i="1"/>
  <c r="W133" i="1"/>
  <c r="X133" i="1"/>
  <c r="Z133" i="1"/>
  <c r="AA133" i="1"/>
  <c r="AJ132" i="1" s="1"/>
  <c r="AB133" i="1"/>
  <c r="AE133" i="1"/>
  <c r="H133" i="1" s="1"/>
  <c r="AF133" i="1"/>
  <c r="AM133" i="1"/>
  <c r="AS133" i="1" s="1"/>
  <c r="AN133" i="1"/>
  <c r="AT133" i="1"/>
  <c r="AV133" i="1"/>
  <c r="L134" i="1"/>
  <c r="AJ134" i="1"/>
  <c r="H135" i="1"/>
  <c r="H134" i="1" s="1"/>
  <c r="J135" i="1"/>
  <c r="I135" i="1" s="1"/>
  <c r="L135" i="1"/>
  <c r="P135" i="1"/>
  <c r="T135" i="1"/>
  <c r="U135" i="1"/>
  <c r="V135" i="1"/>
  <c r="W135" i="1"/>
  <c r="X135" i="1"/>
  <c r="Z135" i="1"/>
  <c r="AI134" i="1" s="1"/>
  <c r="AA135" i="1"/>
  <c r="AB135" i="1"/>
  <c r="AK134" i="1" s="1"/>
  <c r="AE135" i="1"/>
  <c r="AF135" i="1"/>
  <c r="AN135" i="1" s="1"/>
  <c r="AS135" i="1" s="1"/>
  <c r="AM135" i="1"/>
  <c r="AT135" i="1"/>
  <c r="AV135" i="1"/>
  <c r="AI136" i="1"/>
  <c r="AK136" i="1"/>
  <c r="J137" i="1"/>
  <c r="L137" i="1"/>
  <c r="L136" i="1" s="1"/>
  <c r="P137" i="1"/>
  <c r="T137" i="1"/>
  <c r="U137" i="1"/>
  <c r="V137" i="1"/>
  <c r="W137" i="1"/>
  <c r="X137" i="1"/>
  <c r="Z137" i="1"/>
  <c r="AA137" i="1"/>
  <c r="AJ136" i="1" s="1"/>
  <c r="AB137" i="1"/>
  <c r="AE137" i="1"/>
  <c r="H137" i="1" s="1"/>
  <c r="AF137" i="1"/>
  <c r="AN137" i="1"/>
  <c r="AT137" i="1"/>
  <c r="AV137" i="1"/>
  <c r="J138" i="1"/>
  <c r="L138" i="1"/>
  <c r="P138" i="1"/>
  <c r="T138" i="1"/>
  <c r="U138" i="1"/>
  <c r="V138" i="1"/>
  <c r="W138" i="1"/>
  <c r="X138" i="1"/>
  <c r="Z138" i="1"/>
  <c r="AA138" i="1"/>
  <c r="AB138" i="1"/>
  <c r="AE138" i="1"/>
  <c r="H138" i="1" s="1"/>
  <c r="AF138" i="1"/>
  <c r="AM138" i="1"/>
  <c r="AS138" i="1" s="1"/>
  <c r="AN138" i="1"/>
  <c r="AT138" i="1"/>
  <c r="AV138" i="1"/>
  <c r="L139" i="1"/>
  <c r="AJ139" i="1"/>
  <c r="H140" i="1"/>
  <c r="H139" i="1" s="1"/>
  <c r="J140" i="1"/>
  <c r="I140" i="1" s="1"/>
  <c r="L140" i="1"/>
  <c r="P140" i="1"/>
  <c r="T140" i="1"/>
  <c r="U140" i="1"/>
  <c r="V140" i="1"/>
  <c r="W140" i="1"/>
  <c r="X140" i="1"/>
  <c r="Z140" i="1"/>
  <c r="AI139" i="1" s="1"/>
  <c r="AA140" i="1"/>
  <c r="AB140" i="1"/>
  <c r="AK139" i="1" s="1"/>
  <c r="AE140" i="1"/>
  <c r="AF140" i="1"/>
  <c r="AM140" i="1"/>
  <c r="AN140" i="1"/>
  <c r="AS140" i="1" s="1"/>
  <c r="AT140" i="1"/>
  <c r="AV140" i="1"/>
  <c r="H141" i="1"/>
  <c r="R141" i="1" s="1"/>
  <c r="J141" i="1"/>
  <c r="I141" i="1" s="1"/>
  <c r="S141" i="1" s="1"/>
  <c r="L141" i="1"/>
  <c r="P141" i="1"/>
  <c r="T141" i="1"/>
  <c r="U141" i="1"/>
  <c r="V141" i="1"/>
  <c r="W141" i="1"/>
  <c r="X141" i="1"/>
  <c r="Z141" i="1"/>
  <c r="AA141" i="1"/>
  <c r="AB141" i="1"/>
  <c r="AE141" i="1"/>
  <c r="AF141" i="1"/>
  <c r="AM141" i="1"/>
  <c r="AN141" i="1"/>
  <c r="AS141" i="1" s="1"/>
  <c r="AT141" i="1"/>
  <c r="AV141" i="1"/>
  <c r="H142" i="1"/>
  <c r="R142" i="1" s="1"/>
  <c r="J142" i="1"/>
  <c r="I142" i="1" s="1"/>
  <c r="S142" i="1" s="1"/>
  <c r="L142" i="1"/>
  <c r="P142" i="1"/>
  <c r="T142" i="1"/>
  <c r="U142" i="1"/>
  <c r="V142" i="1"/>
  <c r="W142" i="1"/>
  <c r="X142" i="1"/>
  <c r="Z142" i="1"/>
  <c r="AA142" i="1"/>
  <c r="AB142" i="1"/>
  <c r="AE142" i="1"/>
  <c r="AF142" i="1"/>
  <c r="AM142" i="1"/>
  <c r="AN142" i="1"/>
  <c r="AS142" i="1" s="1"/>
  <c r="AT142" i="1"/>
  <c r="AV142" i="1"/>
  <c r="H143" i="1"/>
  <c r="R143" i="1" s="1"/>
  <c r="J143" i="1"/>
  <c r="I143" i="1" s="1"/>
  <c r="S143" i="1" s="1"/>
  <c r="L143" i="1"/>
  <c r="P143" i="1"/>
  <c r="T143" i="1"/>
  <c r="U143" i="1"/>
  <c r="V143" i="1"/>
  <c r="W143" i="1"/>
  <c r="X143" i="1"/>
  <c r="Z143" i="1"/>
  <c r="AA143" i="1"/>
  <c r="AB143" i="1"/>
  <c r="AE143" i="1"/>
  <c r="AF143" i="1"/>
  <c r="AM143" i="1"/>
  <c r="AN143" i="1"/>
  <c r="AS143" i="1" s="1"/>
  <c r="AT143" i="1"/>
  <c r="AV143" i="1"/>
  <c r="H144" i="1"/>
  <c r="R144" i="1" s="1"/>
  <c r="J144" i="1"/>
  <c r="I144" i="1" s="1"/>
  <c r="S144" i="1" s="1"/>
  <c r="L144" i="1"/>
  <c r="P144" i="1"/>
  <c r="T144" i="1"/>
  <c r="U144" i="1"/>
  <c r="V144" i="1"/>
  <c r="W144" i="1"/>
  <c r="X144" i="1"/>
  <c r="Z144" i="1"/>
  <c r="AA144" i="1"/>
  <c r="AB144" i="1"/>
  <c r="AE144" i="1"/>
  <c r="AF144" i="1"/>
  <c r="AM144" i="1"/>
  <c r="AN144" i="1"/>
  <c r="AS144" i="1" s="1"/>
  <c r="AT144" i="1"/>
  <c r="AV144" i="1"/>
  <c r="H145" i="1"/>
  <c r="R145" i="1" s="1"/>
  <c r="J145" i="1"/>
  <c r="I145" i="1" s="1"/>
  <c r="S145" i="1" s="1"/>
  <c r="L145" i="1"/>
  <c r="P145" i="1"/>
  <c r="T145" i="1"/>
  <c r="U145" i="1"/>
  <c r="V145" i="1"/>
  <c r="W145" i="1"/>
  <c r="X145" i="1"/>
  <c r="Z145" i="1"/>
  <c r="AA145" i="1"/>
  <c r="AB145" i="1"/>
  <c r="AE145" i="1"/>
  <c r="AF145" i="1"/>
  <c r="AN145" i="1" s="1"/>
  <c r="AS145" i="1" s="1"/>
  <c r="AM145" i="1"/>
  <c r="AT145" i="1"/>
  <c r="AV145" i="1"/>
  <c r="H146" i="1"/>
  <c r="R146" i="1" s="1"/>
  <c r="J146" i="1"/>
  <c r="I146" i="1" s="1"/>
  <c r="S146" i="1" s="1"/>
  <c r="L146" i="1"/>
  <c r="P146" i="1"/>
  <c r="T146" i="1"/>
  <c r="U146" i="1"/>
  <c r="V146" i="1"/>
  <c r="W146" i="1"/>
  <c r="X146" i="1"/>
  <c r="Z146" i="1"/>
  <c r="AA146" i="1"/>
  <c r="AB146" i="1"/>
  <c r="AE146" i="1"/>
  <c r="AF146" i="1"/>
  <c r="AN146" i="1" s="1"/>
  <c r="AS146" i="1" s="1"/>
  <c r="AM146" i="1"/>
  <c r="AT146" i="1"/>
  <c r="AV146" i="1"/>
  <c r="H147" i="1"/>
  <c r="R147" i="1" s="1"/>
  <c r="J147" i="1"/>
  <c r="I147" i="1" s="1"/>
  <c r="S147" i="1" s="1"/>
  <c r="L147" i="1"/>
  <c r="P147" i="1"/>
  <c r="T147" i="1"/>
  <c r="U147" i="1"/>
  <c r="V147" i="1"/>
  <c r="W147" i="1"/>
  <c r="X147" i="1"/>
  <c r="Z147" i="1"/>
  <c r="AA147" i="1"/>
  <c r="AB147" i="1"/>
  <c r="AE147" i="1"/>
  <c r="AF147" i="1"/>
  <c r="AM147" i="1"/>
  <c r="AN147" i="1"/>
  <c r="AS147" i="1" s="1"/>
  <c r="AT147" i="1"/>
  <c r="AV147" i="1"/>
  <c r="AI148" i="1"/>
  <c r="AK148" i="1"/>
  <c r="J149" i="1"/>
  <c r="L149" i="1"/>
  <c r="L148" i="1" s="1"/>
  <c r="P149" i="1"/>
  <c r="R149" i="1"/>
  <c r="S149" i="1"/>
  <c r="T149" i="1"/>
  <c r="U149" i="1"/>
  <c r="X149" i="1"/>
  <c r="Z149" i="1"/>
  <c r="AA149" i="1"/>
  <c r="AJ148" i="1" s="1"/>
  <c r="AB149" i="1"/>
  <c r="AE149" i="1"/>
  <c r="H149" i="1" s="1"/>
  <c r="AF149" i="1"/>
  <c r="AM149" i="1"/>
  <c r="AS149" i="1" s="1"/>
  <c r="AN149" i="1"/>
  <c r="AT149" i="1"/>
  <c r="AV149" i="1"/>
  <c r="L150" i="1"/>
  <c r="AJ150" i="1"/>
  <c r="H151" i="1"/>
  <c r="H150" i="1" s="1"/>
  <c r="J151" i="1"/>
  <c r="I151" i="1" s="1"/>
  <c r="L151" i="1"/>
  <c r="P151" i="1"/>
  <c r="R151" i="1"/>
  <c r="S151" i="1"/>
  <c r="T151" i="1"/>
  <c r="U151" i="1"/>
  <c r="V151" i="1"/>
  <c r="W151" i="1"/>
  <c r="X151" i="1"/>
  <c r="Z151" i="1"/>
  <c r="AI150" i="1" s="1"/>
  <c r="AA151" i="1"/>
  <c r="AB151" i="1"/>
  <c r="AK150" i="1" s="1"/>
  <c r="AE151" i="1"/>
  <c r="AF151" i="1"/>
  <c r="AM151" i="1"/>
  <c r="AN151" i="1"/>
  <c r="AS151" i="1" s="1"/>
  <c r="AT151" i="1"/>
  <c r="AV151" i="1"/>
  <c r="H152" i="1"/>
  <c r="J152" i="1"/>
  <c r="I152" i="1" s="1"/>
  <c r="L152" i="1"/>
  <c r="P152" i="1"/>
  <c r="R152" i="1"/>
  <c r="S152" i="1"/>
  <c r="T152" i="1"/>
  <c r="U152" i="1"/>
  <c r="V152" i="1"/>
  <c r="W152" i="1"/>
  <c r="X152" i="1"/>
  <c r="Z152" i="1"/>
  <c r="AA152" i="1"/>
  <c r="AB152" i="1"/>
  <c r="AE152" i="1"/>
  <c r="AF152" i="1"/>
  <c r="AM152" i="1"/>
  <c r="AN152" i="1"/>
  <c r="AS152" i="1" s="1"/>
  <c r="AT152" i="1"/>
  <c r="AV152" i="1"/>
  <c r="H153" i="1"/>
  <c r="J153" i="1"/>
  <c r="I153" i="1" s="1"/>
  <c r="L153" i="1"/>
  <c r="P153" i="1"/>
  <c r="R153" i="1"/>
  <c r="S153" i="1"/>
  <c r="T153" i="1"/>
  <c r="U153" i="1"/>
  <c r="V153" i="1"/>
  <c r="W153" i="1"/>
  <c r="X153" i="1"/>
  <c r="Z153" i="1"/>
  <c r="AA153" i="1"/>
  <c r="AB153" i="1"/>
  <c r="AE153" i="1"/>
  <c r="AF153" i="1"/>
  <c r="AM153" i="1"/>
  <c r="AN153" i="1"/>
  <c r="AS153" i="1" s="1"/>
  <c r="AT153" i="1"/>
  <c r="AV153" i="1"/>
  <c r="H154" i="1"/>
  <c r="J154" i="1"/>
  <c r="I154" i="1" s="1"/>
  <c r="L154" i="1"/>
  <c r="P154" i="1"/>
  <c r="R154" i="1"/>
  <c r="S154" i="1"/>
  <c r="T154" i="1"/>
  <c r="U154" i="1"/>
  <c r="V154" i="1"/>
  <c r="W154" i="1"/>
  <c r="X154" i="1"/>
  <c r="Z154" i="1"/>
  <c r="AA154" i="1"/>
  <c r="AB154" i="1"/>
  <c r="AE154" i="1"/>
  <c r="AF154" i="1"/>
  <c r="AN154" i="1" s="1"/>
  <c r="AS154" i="1" s="1"/>
  <c r="AM154" i="1"/>
  <c r="AT154" i="1"/>
  <c r="AV154" i="1"/>
  <c r="H155" i="1"/>
  <c r="J155" i="1"/>
  <c r="I155" i="1" s="1"/>
  <c r="L155" i="1"/>
  <c r="P155" i="1"/>
  <c r="R155" i="1"/>
  <c r="S155" i="1"/>
  <c r="T155" i="1"/>
  <c r="U155" i="1"/>
  <c r="V155" i="1"/>
  <c r="W155" i="1"/>
  <c r="X155" i="1"/>
  <c r="Z155" i="1"/>
  <c r="AA155" i="1"/>
  <c r="AB155" i="1"/>
  <c r="AE155" i="1"/>
  <c r="AF155" i="1"/>
  <c r="AM155" i="1"/>
  <c r="AN155" i="1"/>
  <c r="AS155" i="1" s="1"/>
  <c r="AT155" i="1"/>
  <c r="AV155" i="1"/>
  <c r="H156" i="1"/>
  <c r="J156" i="1"/>
  <c r="I156" i="1" s="1"/>
  <c r="L156" i="1"/>
  <c r="P156" i="1"/>
  <c r="R156" i="1"/>
  <c r="S156" i="1"/>
  <c r="T156" i="1"/>
  <c r="U156" i="1"/>
  <c r="V156" i="1"/>
  <c r="W156" i="1"/>
  <c r="X156" i="1"/>
  <c r="Z156" i="1"/>
  <c r="AA156" i="1"/>
  <c r="AB156" i="1"/>
  <c r="AE156" i="1"/>
  <c r="AF156" i="1"/>
  <c r="AM156" i="1"/>
  <c r="AN156" i="1"/>
  <c r="AS156" i="1" s="1"/>
  <c r="AT156" i="1"/>
  <c r="AV156" i="1"/>
  <c r="AI158" i="1"/>
  <c r="AK158" i="1"/>
  <c r="J159" i="1"/>
  <c r="L159" i="1"/>
  <c r="L158" i="1" s="1"/>
  <c r="L157" i="1" s="1"/>
  <c r="P159" i="1"/>
  <c r="T159" i="1"/>
  <c r="U159" i="1"/>
  <c r="V159" i="1"/>
  <c r="W159" i="1"/>
  <c r="X159" i="1"/>
  <c r="Z159" i="1"/>
  <c r="AA159" i="1"/>
  <c r="AJ158" i="1" s="1"/>
  <c r="AB159" i="1"/>
  <c r="AE159" i="1"/>
  <c r="H159" i="1" s="1"/>
  <c r="AF159" i="1"/>
  <c r="AM159" i="1"/>
  <c r="AN159" i="1"/>
  <c r="AS159" i="1"/>
  <c r="AT159" i="1"/>
  <c r="AV159" i="1"/>
  <c r="L161" i="1"/>
  <c r="L160" i="1" s="1"/>
  <c r="AJ161" i="1"/>
  <c r="H162" i="1"/>
  <c r="H161" i="1" s="1"/>
  <c r="J162" i="1"/>
  <c r="I162" i="1" s="1"/>
  <c r="L162" i="1"/>
  <c r="P162" i="1"/>
  <c r="T162" i="1"/>
  <c r="U162" i="1"/>
  <c r="V162" i="1"/>
  <c r="W162" i="1"/>
  <c r="X162" i="1"/>
  <c r="Z162" i="1"/>
  <c r="AI161" i="1" s="1"/>
  <c r="AA162" i="1"/>
  <c r="AB162" i="1"/>
  <c r="AK161" i="1" s="1"/>
  <c r="AE162" i="1"/>
  <c r="AF162" i="1"/>
  <c r="AM162" i="1"/>
  <c r="AN162" i="1"/>
  <c r="AS162" i="1" s="1"/>
  <c r="AT162" i="1"/>
  <c r="AV162" i="1"/>
  <c r="C2" i="4"/>
  <c r="F2" i="4"/>
  <c r="C4" i="4"/>
  <c r="F4" i="4"/>
  <c r="C6" i="4"/>
  <c r="F6" i="4"/>
  <c r="C8" i="4"/>
  <c r="F8" i="4"/>
  <c r="C10" i="4"/>
  <c r="F10" i="4"/>
  <c r="I10" i="4"/>
  <c r="I15" i="4"/>
  <c r="F14" i="3" s="1"/>
  <c r="I16" i="4"/>
  <c r="F15" i="3" s="1"/>
  <c r="I17" i="4"/>
  <c r="F16" i="3" s="1"/>
  <c r="I18" i="4"/>
  <c r="F17" i="3" s="1"/>
  <c r="I19" i="4"/>
  <c r="I23" i="4"/>
  <c r="I15" i="3" s="1"/>
  <c r="I24" i="4"/>
  <c r="I16" i="3" s="1"/>
  <c r="I25" i="4"/>
  <c r="I17" i="3" s="1"/>
  <c r="I26" i="4"/>
  <c r="I18" i="3" s="1"/>
  <c r="I27" i="4"/>
  <c r="I19" i="3" s="1"/>
  <c r="I36" i="4"/>
  <c r="I37" i="4" s="1"/>
  <c r="I24" i="3" s="1"/>
  <c r="C2" i="2"/>
  <c r="F2" i="2"/>
  <c r="C4" i="2"/>
  <c r="F4" i="2"/>
  <c r="C6" i="2"/>
  <c r="F6" i="2"/>
  <c r="C8" i="2"/>
  <c r="F8" i="2"/>
  <c r="I150" i="1" l="1"/>
  <c r="I161" i="1"/>
  <c r="I160" i="1" s="1"/>
  <c r="S162" i="1"/>
  <c r="H158" i="1"/>
  <c r="I159" i="1"/>
  <c r="R159" i="1"/>
  <c r="J150" i="1"/>
  <c r="H148" i="1"/>
  <c r="V149" i="1"/>
  <c r="I149" i="1"/>
  <c r="I139" i="1"/>
  <c r="S140" i="1"/>
  <c r="I134" i="1"/>
  <c r="S135" i="1"/>
  <c r="J130" i="1"/>
  <c r="T129" i="1"/>
  <c r="I129" i="1"/>
  <c r="U129" i="1" s="1"/>
  <c r="I125" i="1"/>
  <c r="U125" i="1" s="1"/>
  <c r="T125" i="1"/>
  <c r="I112" i="1"/>
  <c r="U112" i="1" s="1"/>
  <c r="T112" i="1"/>
  <c r="I111" i="1"/>
  <c r="U111" i="1" s="1"/>
  <c r="T111" i="1"/>
  <c r="T110" i="1"/>
  <c r="I110" i="1"/>
  <c r="U110" i="1" s="1"/>
  <c r="I109" i="1"/>
  <c r="U109" i="1" s="1"/>
  <c r="T109" i="1"/>
  <c r="T108" i="1"/>
  <c r="I108" i="1"/>
  <c r="U108" i="1" s="1"/>
  <c r="H160" i="1"/>
  <c r="J160" i="1" s="1"/>
  <c r="J161" i="1"/>
  <c r="J139" i="1"/>
  <c r="I138" i="1"/>
  <c r="S138" i="1" s="1"/>
  <c r="R138" i="1"/>
  <c r="H136" i="1"/>
  <c r="I137" i="1"/>
  <c r="R137" i="1"/>
  <c r="J134" i="1"/>
  <c r="I133" i="1"/>
  <c r="I132" i="1" s="1"/>
  <c r="H132" i="1"/>
  <c r="J132" i="1" s="1"/>
  <c r="I130" i="1"/>
  <c r="S131" i="1"/>
  <c r="I128" i="1"/>
  <c r="U128" i="1" s="1"/>
  <c r="T128" i="1"/>
  <c r="T127" i="1"/>
  <c r="I127" i="1"/>
  <c r="U127" i="1" s="1"/>
  <c r="I124" i="1"/>
  <c r="T124" i="1"/>
  <c r="H123" i="1"/>
  <c r="I116" i="1"/>
  <c r="J116" i="1" s="1"/>
  <c r="U117" i="1"/>
  <c r="T114" i="1"/>
  <c r="I114" i="1"/>
  <c r="U114" i="1" s="1"/>
  <c r="I107" i="1"/>
  <c r="U107" i="1" s="1"/>
  <c r="T107" i="1"/>
  <c r="AJ88" i="1"/>
  <c r="AI79" i="1"/>
  <c r="H79" i="1"/>
  <c r="T80" i="1"/>
  <c r="I78" i="1"/>
  <c r="I61" i="1" s="1"/>
  <c r="J61" i="1" s="1"/>
  <c r="AJ52" i="1"/>
  <c r="AI47" i="1"/>
  <c r="H47" i="1"/>
  <c r="R48" i="1"/>
  <c r="I44" i="1"/>
  <c r="S44" i="1" s="1"/>
  <c r="AB44" i="1"/>
  <c r="I41" i="1"/>
  <c r="AB41" i="1"/>
  <c r="AK40" i="1" s="1"/>
  <c r="L31" i="1"/>
  <c r="AV32" i="1"/>
  <c r="I31" i="1"/>
  <c r="S32" i="1"/>
  <c r="I19" i="1"/>
  <c r="S19" i="1" s="1"/>
  <c r="AB19" i="1"/>
  <c r="AK17" i="1" s="1"/>
  <c r="H17" i="1"/>
  <c r="R18" i="1"/>
  <c r="F22" i="3"/>
  <c r="AM137" i="1"/>
  <c r="AS137" i="1" s="1"/>
  <c r="AM111" i="1"/>
  <c r="AS111" i="1" s="1"/>
  <c r="AM99" i="1"/>
  <c r="AS99" i="1" s="1"/>
  <c r="AM97" i="1"/>
  <c r="AS97" i="1" s="1"/>
  <c r="AM96" i="1"/>
  <c r="AS96" i="1" s="1"/>
  <c r="L61" i="1"/>
  <c r="U62" i="1"/>
  <c r="I58" i="1"/>
  <c r="R162" i="1"/>
  <c r="R140" i="1"/>
  <c r="R135" i="1"/>
  <c r="R131" i="1"/>
  <c r="T117" i="1"/>
  <c r="I106" i="1"/>
  <c r="U106" i="1" s="1"/>
  <c r="AB105" i="1"/>
  <c r="AK104" i="1" s="1"/>
  <c r="AI104" i="1"/>
  <c r="H104" i="1"/>
  <c r="T105" i="1"/>
  <c r="T102" i="1"/>
  <c r="T100" i="1"/>
  <c r="T99" i="1"/>
  <c r="T97" i="1"/>
  <c r="T96" i="1"/>
  <c r="T95" i="1"/>
  <c r="T94" i="1"/>
  <c r="T93" i="1"/>
  <c r="T92" i="1"/>
  <c r="T91" i="1"/>
  <c r="T90" i="1"/>
  <c r="T89" i="1"/>
  <c r="L88" i="1"/>
  <c r="I89" i="1"/>
  <c r="I86" i="1"/>
  <c r="U86" i="1" s="1"/>
  <c r="AB85" i="1"/>
  <c r="I84" i="1"/>
  <c r="U84" i="1" s="1"/>
  <c r="AB83" i="1"/>
  <c r="I82" i="1"/>
  <c r="U82" i="1" s="1"/>
  <c r="AB81" i="1"/>
  <c r="AK79" i="1" s="1"/>
  <c r="I80" i="1"/>
  <c r="AV62" i="1"/>
  <c r="AJ61" i="1"/>
  <c r="AB59" i="1"/>
  <c r="AK58" i="1" s="1"/>
  <c r="H58" i="1"/>
  <c r="J58" i="1" s="1"/>
  <c r="T59" i="1"/>
  <c r="T55" i="1"/>
  <c r="T53" i="1"/>
  <c r="L52" i="1"/>
  <c r="I53" i="1"/>
  <c r="I51" i="1"/>
  <c r="S51" i="1" s="1"/>
  <c r="AB50" i="1"/>
  <c r="AK47" i="1" s="1"/>
  <c r="I48" i="1"/>
  <c r="J31" i="1"/>
  <c r="I30" i="1"/>
  <c r="AB30" i="1"/>
  <c r="AK29" i="1" s="1"/>
  <c r="L20" i="1"/>
  <c r="AV21" i="1"/>
  <c r="I20" i="1"/>
  <c r="J20" i="1" s="1"/>
  <c r="S21" i="1"/>
  <c r="I16" i="1"/>
  <c r="S16" i="1" s="1"/>
  <c r="R16" i="1"/>
  <c r="I15" i="1"/>
  <c r="S15" i="1" s="1"/>
  <c r="R15" i="1"/>
  <c r="H13" i="1"/>
  <c r="I14" i="1"/>
  <c r="R14" i="1"/>
  <c r="AJ13" i="1"/>
  <c r="C20" i="3"/>
  <c r="C18" i="3"/>
  <c r="C16" i="3"/>
  <c r="C28" i="3"/>
  <c r="F28" i="3" s="1"/>
  <c r="I46" i="1"/>
  <c r="S46" i="1" s="1"/>
  <c r="I43" i="1"/>
  <c r="S43" i="1" s="1"/>
  <c r="AI40" i="1"/>
  <c r="H40" i="1"/>
  <c r="R41" i="1"/>
  <c r="AJ31" i="1"/>
  <c r="H29" i="1"/>
  <c r="R30" i="1"/>
  <c r="AJ20" i="1"/>
  <c r="I18" i="1"/>
  <c r="C27" i="3"/>
  <c r="L13" i="1"/>
  <c r="L12" i="1" s="1"/>
  <c r="I17" i="1" l="1"/>
  <c r="S18" i="1"/>
  <c r="I13" i="1"/>
  <c r="S14" i="1"/>
  <c r="I52" i="1"/>
  <c r="J52" i="1" s="1"/>
  <c r="U53" i="1"/>
  <c r="I88" i="1"/>
  <c r="J88" i="1" s="1"/>
  <c r="U89" i="1"/>
  <c r="I104" i="1"/>
  <c r="J123" i="1"/>
  <c r="I123" i="1"/>
  <c r="U124" i="1"/>
  <c r="I148" i="1"/>
  <c r="W149" i="1"/>
  <c r="C19" i="3" s="1"/>
  <c r="J148" i="1"/>
  <c r="H157" i="1"/>
  <c r="C14" i="3"/>
  <c r="H12" i="1"/>
  <c r="J13" i="1"/>
  <c r="S30" i="1"/>
  <c r="I29" i="1"/>
  <c r="J29" i="1" s="1"/>
  <c r="I47" i="1"/>
  <c r="S48" i="1"/>
  <c r="I79" i="1"/>
  <c r="J79" i="1" s="1"/>
  <c r="U80" i="1"/>
  <c r="J104" i="1"/>
  <c r="J17" i="1"/>
  <c r="S41" i="1"/>
  <c r="I40" i="1"/>
  <c r="J40" i="1" s="1"/>
  <c r="J47" i="1"/>
  <c r="I136" i="1"/>
  <c r="J136" i="1" s="1"/>
  <c r="S137" i="1"/>
  <c r="I158" i="1"/>
  <c r="I157" i="1" s="1"/>
  <c r="S159" i="1"/>
  <c r="J158" i="1" l="1"/>
  <c r="C17" i="3"/>
  <c r="C22" i="3" s="1"/>
  <c r="H22" i="4" s="1"/>
  <c r="I22" i="4" s="1"/>
  <c r="C15" i="3"/>
  <c r="J163" i="1"/>
  <c r="J157" i="1"/>
  <c r="I12" i="1"/>
  <c r="J12" i="1" s="1"/>
  <c r="I28" i="4" l="1"/>
  <c r="F30" i="4" s="1"/>
  <c r="I14" i="3"/>
  <c r="I22" i="3" s="1"/>
  <c r="C29" i="3" s="1"/>
  <c r="I28" i="3" l="1"/>
  <c r="I29" i="3" s="1"/>
  <c r="F29" i="3"/>
</calcChain>
</file>

<file path=xl/sharedStrings.xml><?xml version="1.0" encoding="utf-8"?>
<sst xmlns="http://schemas.openxmlformats.org/spreadsheetml/2006/main" count="2360" uniqueCount="623">
  <si>
    <t>Slepý stavební rozpočet</t>
  </si>
  <si>
    <t>Název stavby:</t>
  </si>
  <si>
    <t>Druh stavby:</t>
  </si>
  <si>
    <t>Lokalita:</t>
  </si>
  <si>
    <t>JKSO:</t>
  </si>
  <si>
    <t>Č</t>
  </si>
  <si>
    <t xml:space="preserve"> 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</si>
  <si>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</si>
  <si>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</si>
  <si>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</si>
  <si>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</si>
  <si>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</si>
  <si>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</si>
  <si>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</si>
  <si>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</si>
  <si>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</si>
  <si>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</si>
  <si>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</si>
  <si>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</si>
  <si>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</si>
  <si>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</si>
  <si>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</si>
  <si>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</si>
  <si>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</si>
  <si>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</si>
  <si>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</si>
  <si>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</si>
  <si>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</si>
  <si>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</si>
  <si>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</si>
  <si>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</si>
  <si>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</si>
  <si>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</si>
  <si>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</si>
  <si>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</si>
  <si>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</si>
  <si>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</si>
  <si>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</si>
  <si>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</si>
  <si>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</si>
  <si>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</si>
  <si>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</si>
  <si>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</si>
  <si>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</si>
  <si>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</si>
  <si>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</si>
  <si>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</si>
  <si>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</si>
  <si>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</si>
  <si>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</si>
  <si>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</si>
  <si>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</si>
  <si>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</si>
  <si>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</si>
  <si>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</si>
  <si>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</si>
  <si>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</si>
  <si>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</si>
  <si>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</si>
  <si>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</si>
  <si>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</si>
  <si>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</si>
  <si>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</si>
  <si>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</si>
  <si>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</si>
  <si>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</si>
  <si>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</si>
  <si>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</si>
  <si>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</si>
  <si>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</si>
  <si>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</si>
  <si>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</si>
  <si>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</si>
  <si>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</si>
  <si>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</si>
  <si>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</si>
  <si>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</si>
  <si>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</si>
  <si>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</si>
  <si>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</si>
  <si>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</si>
  <si>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</si>
  <si>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</si>
  <si>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</si>
  <si>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</si>
  <si>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</si>
  <si>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</si>
  <si>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</si>
  <si>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</si>
  <si>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</si>
  <si>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</si>
  <si>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</si>
  <si>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</si>
  <si>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</si>
  <si>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</si>
  <si>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</si>
  <si>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</si>
  <si>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</si>
  <si>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</si>
  <si>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</si>
  <si>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</si>
  <si>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</si>
  <si>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</si>
  <si>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</si>
  <si>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</si>
  <si>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</si>
  <si>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</si>
  <si>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</si>
  <si>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</si>
  <si>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</si>
  <si>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</si>
  <si>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</si>
  <si>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</si>
  <si>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</si>
  <si>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</si>
  <si>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</si>
  <si>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Poznámka:</t>
  </si>
  <si>
    <t>Objekt</t>
  </si>
  <si>
    <t>SO_01</t>
  </si>
  <si>
    <t>SO_02</t>
  </si>
  <si>
    <t>SO_03</t>
  </si>
  <si>
    <t>Kód</t>
  </si>
  <si>
    <t>174100010RA0</t>
  </si>
  <si>
    <t>121Z12VD</t>
  </si>
  <si>
    <t>182001121R00</t>
  </si>
  <si>
    <t>317940010RA0</t>
  </si>
  <si>
    <t>13380515</t>
  </si>
  <si>
    <t>342256255R00</t>
  </si>
  <si>
    <t>342256252R00</t>
  </si>
  <si>
    <t>340235211R00</t>
  </si>
  <si>
    <t>342264051RT3</t>
  </si>
  <si>
    <t>713111221RK3</t>
  </si>
  <si>
    <t>342264098R00</t>
  </si>
  <si>
    <t>602011141R00</t>
  </si>
  <si>
    <t>612403399RT2</t>
  </si>
  <si>
    <t>784221101R00</t>
  </si>
  <si>
    <t>612481211R00</t>
  </si>
  <si>
    <t>612421331RT2</t>
  </si>
  <si>
    <t>283502845</t>
  </si>
  <si>
    <t>612421615R00</t>
  </si>
  <si>
    <t>631416211R00</t>
  </si>
  <si>
    <t>631571111R00</t>
  </si>
  <si>
    <t>713121118RU1</t>
  </si>
  <si>
    <t>632411904R00</t>
  </si>
  <si>
    <t>642944121RU4</t>
  </si>
  <si>
    <t>642952110R00</t>
  </si>
  <si>
    <t>611813105</t>
  </si>
  <si>
    <t>711</t>
  </si>
  <si>
    <t>711141559RY2</t>
  </si>
  <si>
    <t>711111001RZ1</t>
  </si>
  <si>
    <t>998711101R00</t>
  </si>
  <si>
    <t>762</t>
  </si>
  <si>
    <t>762411101RT2</t>
  </si>
  <si>
    <t>766</t>
  </si>
  <si>
    <t>766661112R00</t>
  </si>
  <si>
    <t>766664911R00</t>
  </si>
  <si>
    <t>766664915R00</t>
  </si>
  <si>
    <t>766665921R00</t>
  </si>
  <si>
    <t>333x8VDVD</t>
  </si>
  <si>
    <t>611601203</t>
  </si>
  <si>
    <t>54914621</t>
  </si>
  <si>
    <t>766411821R00</t>
  </si>
  <si>
    <t>766411822R00</t>
  </si>
  <si>
    <t>766662122R00</t>
  </si>
  <si>
    <t>61110394</t>
  </si>
  <si>
    <t>54914622</t>
  </si>
  <si>
    <t>766812830R00</t>
  </si>
  <si>
    <t>766812114R00</t>
  </si>
  <si>
    <t>61581623.A</t>
  </si>
  <si>
    <t>998766101R00</t>
  </si>
  <si>
    <t>771</t>
  </si>
  <si>
    <t>771101116R00</t>
  </si>
  <si>
    <t>771101210RT1</t>
  </si>
  <si>
    <t>771101210R00</t>
  </si>
  <si>
    <t>771575111R00</t>
  </si>
  <si>
    <t>771579793R00</t>
  </si>
  <si>
    <t>597623142</t>
  </si>
  <si>
    <t>771471014R00</t>
  </si>
  <si>
    <t>998771101R00</t>
  </si>
  <si>
    <t>776</t>
  </si>
  <si>
    <t>776101115R00</t>
  </si>
  <si>
    <t>776101121R00</t>
  </si>
  <si>
    <t>965048515R00</t>
  </si>
  <si>
    <t>952902110R00</t>
  </si>
  <si>
    <t>776521200R00</t>
  </si>
  <si>
    <t>776981101R00</t>
  </si>
  <si>
    <t>776981113R00</t>
  </si>
  <si>
    <t>776421100RU1</t>
  </si>
  <si>
    <t>611942192</t>
  </si>
  <si>
    <t>776510010RA0</t>
  </si>
  <si>
    <t>776401800R00</t>
  </si>
  <si>
    <t>998776101R00</t>
  </si>
  <si>
    <t>781</t>
  </si>
  <si>
    <t>781900010RA0</t>
  </si>
  <si>
    <t>100001500R00</t>
  </si>
  <si>
    <t>781101111R00</t>
  </si>
  <si>
    <t>781101210R00</t>
  </si>
  <si>
    <t>781111116R00</t>
  </si>
  <si>
    <t>781475120R00</t>
  </si>
  <si>
    <t>781479705R00</t>
  </si>
  <si>
    <t>781111121R00</t>
  </si>
  <si>
    <t>597813551</t>
  </si>
  <si>
    <t>998781102R00</t>
  </si>
  <si>
    <t>783</t>
  </si>
  <si>
    <t>783226100R00</t>
  </si>
  <si>
    <t>783225600R00</t>
  </si>
  <si>
    <t>783896210R00</t>
  </si>
  <si>
    <t>783896211R00</t>
  </si>
  <si>
    <t>783626001R00</t>
  </si>
  <si>
    <t>783626200R00</t>
  </si>
  <si>
    <t>784</t>
  </si>
  <si>
    <t>784402801R00</t>
  </si>
  <si>
    <t>784011221RT2</t>
  </si>
  <si>
    <t>784111101R00</t>
  </si>
  <si>
    <t>784195212R00</t>
  </si>
  <si>
    <t>784498931R00</t>
  </si>
  <si>
    <t>909      R00</t>
  </si>
  <si>
    <t>900</t>
  </si>
  <si>
    <t>998011002R00</t>
  </si>
  <si>
    <t>941955002R00</t>
  </si>
  <si>
    <t>952901111R00</t>
  </si>
  <si>
    <t>121PCVD</t>
  </si>
  <si>
    <t>965081713R00</t>
  </si>
  <si>
    <t>965048250R00</t>
  </si>
  <si>
    <t>962031143R00</t>
  </si>
  <si>
    <t>962031145R00</t>
  </si>
  <si>
    <t>968072455R00</t>
  </si>
  <si>
    <t>968061125R00</t>
  </si>
  <si>
    <t>968062456R00</t>
  </si>
  <si>
    <t>965081813R00</t>
  </si>
  <si>
    <t>M23</t>
  </si>
  <si>
    <t>230120092R00</t>
  </si>
  <si>
    <t>S</t>
  </si>
  <si>
    <t>979082111R00</t>
  </si>
  <si>
    <t>979082317R00</t>
  </si>
  <si>
    <t>979093111R00</t>
  </si>
  <si>
    <t>979990001R00</t>
  </si>
  <si>
    <t>979990161R00</t>
  </si>
  <si>
    <t>979990182R00</t>
  </si>
  <si>
    <t>111VD</t>
  </si>
  <si>
    <t>112xVD</t>
  </si>
  <si>
    <t>121VD</t>
  </si>
  <si>
    <t>121VZT1VD</t>
  </si>
  <si>
    <t>Rekonstrukce kuželny Zábřeh - III. etapa - hospoda</t>
  </si>
  <si>
    <t>Zkrácený popis / Varianta</t>
  </si>
  <si>
    <t>Rozměry</t>
  </si>
  <si>
    <t>Stavební práce</t>
  </si>
  <si>
    <t>Konstrukce ze zemin</t>
  </si>
  <si>
    <t>Zásyp jam, rýh a šachet sypaninou</t>
  </si>
  <si>
    <t>Demontáž a zpětná montáž okapového chodníku</t>
  </si>
  <si>
    <t>Plošná úprava terénu, nerovnosti do 15 cm v rovině</t>
  </si>
  <si>
    <t>Zdi podpěrné a volné</t>
  </si>
  <si>
    <t>Osazení válcovaných profilů do č.12</t>
  </si>
  <si>
    <t>Tyč průřezu I 100</t>
  </si>
  <si>
    <t>Stěny a příčky</t>
  </si>
  <si>
    <t>Příčka z tvárnic pórobetonových tl. 150 mm</t>
  </si>
  <si>
    <t>Příčka z tvárnic pórobetonových tl.  75 mm</t>
  </si>
  <si>
    <t>Zazdívka otvorů cihlami</t>
  </si>
  <si>
    <t>Podhled sádrokartonový na zavěšenou ocel. konstr.</t>
  </si>
  <si>
    <t>desky standard impreg. tl. 12,5 mm, bez izolace</t>
  </si>
  <si>
    <t>Montáž parozábrany, zavěšené podhl., přelep. spojů</t>
  </si>
  <si>
    <t>vč. parozábrany</t>
  </si>
  <si>
    <t>Příplatek k podhledu sádrokart. za plochu do 10 m2</t>
  </si>
  <si>
    <t>Omítky ze suchých směsí</t>
  </si>
  <si>
    <t>Štuk na stěnách vnitřní, ručně</t>
  </si>
  <si>
    <t>Úprava povrchů vnitřní</t>
  </si>
  <si>
    <t>Hrubá výplň rýh ve stěnách maltou</t>
  </si>
  <si>
    <t>s použitím suché maltové směsi</t>
  </si>
  <si>
    <t>Penetrace podkladu</t>
  </si>
  <si>
    <t>Montáž výztužné sítě(perlinky)do stěrky-vnit.stěny</t>
  </si>
  <si>
    <t>Oprava vápen.omítek stěn do 30 % pl. - štukových</t>
  </si>
  <si>
    <t>D+M okenní profil začišťovací s tkaninou</t>
  </si>
  <si>
    <t>Omítka vnitřní zdiva, MVC, hrubá</t>
  </si>
  <si>
    <t>Podlahy a podlahové konstrukce</t>
  </si>
  <si>
    <t>Mazanina betonová, tloušťka do 100 mm</t>
  </si>
  <si>
    <t>s použitím pytlovaných směsí</t>
  </si>
  <si>
    <t>Doplnění násypů pískem</t>
  </si>
  <si>
    <t>Montáž dilatačního pásku podél stěn</t>
  </si>
  <si>
    <t>včetně dodávky pásku</t>
  </si>
  <si>
    <t>Penetrace podkladů</t>
  </si>
  <si>
    <t>Výplně otvorů</t>
  </si>
  <si>
    <t>Osazení ocelových zárubní dodatečně do 2,5 m2</t>
  </si>
  <si>
    <t>včetně dodávky zárubně  80x197x16 cm</t>
  </si>
  <si>
    <t>Osazení zárubní dveřních dřevěných, pl. do 2,5 m2</t>
  </si>
  <si>
    <t>Zárubeň trámková, euro hranoly tl. 40 mm</t>
  </si>
  <si>
    <t>Izolace proti vodě</t>
  </si>
  <si>
    <t>Izolace proti vlhk. vodorovná pásy přitavením</t>
  </si>
  <si>
    <t>1 vrstva - včetně dod. Glastek 40 special mineral</t>
  </si>
  <si>
    <t>Izolace proti vlhkosti vodor. nátěr ALP za studena</t>
  </si>
  <si>
    <t>1x nátěr - včetně dodávky penetračního laku ALP</t>
  </si>
  <si>
    <t>Přesun hmot pro izolace proti vodě, výšky do 6 m</t>
  </si>
  <si>
    <t>Konstrukce tesařské</t>
  </si>
  <si>
    <t>Montáž olištování spár stropů</t>
  </si>
  <si>
    <t>včetně dodávky lišty a nátěru</t>
  </si>
  <si>
    <t>Konstrukce truhlářské</t>
  </si>
  <si>
    <t>Montáž dveří do zárubně,otevíravých 1kř.do 0,8 m</t>
  </si>
  <si>
    <t>Vyřezání otvoru v dveřních křídlech kompletizovan.</t>
  </si>
  <si>
    <t>Seříznutí dveřních křídel  kompletizovaných</t>
  </si>
  <si>
    <t>Zakování dveří 1křídlých kompletizovaných</t>
  </si>
  <si>
    <t>D+M větrací mřížka do dveří</t>
  </si>
  <si>
    <t>baŕva šedá</t>
  </si>
  <si>
    <t>Dveře vnitřní CPL plné 1kř. 80x197 cm - bílé - viz. výpis truhlářských výrobků</t>
  </si>
  <si>
    <t>Dveřní kování - dozický klíč</t>
  </si>
  <si>
    <t>Demontáž obložení stěn palubkami</t>
  </si>
  <si>
    <t>Demontáž podkladových roštů obložení stěn</t>
  </si>
  <si>
    <t>Montáž dveří do rám.zárubně 1kříd. š.nad 80 cm</t>
  </si>
  <si>
    <t>Dveře z borovicového dřeva, kazety tl. 26 mm, částečně prosklené 1křídl. 900x1970</t>
  </si>
  <si>
    <t>Dveřní kování - cylindrická vložka</t>
  </si>
  <si>
    <t>Demontáž kuchyňských linek do 1,8 m</t>
  </si>
  <si>
    <t>Montáž kuchyňských linek dřevěných linek š.do 2,1m</t>
  </si>
  <si>
    <t>Linka kuchyňská atypická 190 cm - viz. výpis truhlářských výrobků, vč. dřezu a baterie</t>
  </si>
  <si>
    <t>Přesun hmot pro truhlářské konstr., výšky do 6 m</t>
  </si>
  <si>
    <t>Podlahy z dlaždic</t>
  </si>
  <si>
    <t>Vyrovnání podkladů samonivel. hmotou tl. do 30 mm</t>
  </si>
  <si>
    <t>Penetrace podkladu pod stěrku</t>
  </si>
  <si>
    <t>Penetrace podkladu pod dlažby</t>
  </si>
  <si>
    <t>Montáž podlah keram.,hladké, tmel, 30x30 cm</t>
  </si>
  <si>
    <t>Příplatek za spárovací hmotu - plošně,keram.dlažba</t>
  </si>
  <si>
    <t>Dlaždice 300/300/8, R10</t>
  </si>
  <si>
    <t>Obklad soklíků keram.rovných H 10 cm</t>
  </si>
  <si>
    <t>Přesun hmot pro podlahy z dlaždic, výšky do 6 m</t>
  </si>
  <si>
    <t>Podlahy povlakové</t>
  </si>
  <si>
    <t>Vyrovnání podkladů samonivelační hmotou</t>
  </si>
  <si>
    <t>Provedení penetrace podkladu pod.povlak.podlahy</t>
  </si>
  <si>
    <t>Broušení betonových povrchů do tl. 5 mm</t>
  </si>
  <si>
    <t>Čištění vysátí v místnostech a chodbách</t>
  </si>
  <si>
    <t>Lepení povlakových podlah z dílců PVC a CV (vinyl)</t>
  </si>
  <si>
    <t>Montáž přechodové, podlahové lišty samolepicí</t>
  </si>
  <si>
    <t>Lišta hliníková přechodová,různá výška povl.podlah</t>
  </si>
  <si>
    <t>Čištění zametáním v místnostech a chodbách</t>
  </si>
  <si>
    <t>Lepení podlahových soklíků z PVC a vinylu</t>
  </si>
  <si>
    <t>včetně dodávky soklíku PVC a rohů</t>
  </si>
  <si>
    <t>Podlaha vinylová - lamely 184/1231, tl. 2,5 mm, zátěř 33</t>
  </si>
  <si>
    <t>Demontáž povlakových podlah z nášlapné plochy</t>
  </si>
  <si>
    <t>lepený koberec</t>
  </si>
  <si>
    <t>Demontáž soklíků nebo lišt, pryžových nebo z textílií</t>
  </si>
  <si>
    <t>Přesun hmot pro podlahy povlakové, výšky do 6 m</t>
  </si>
  <si>
    <t>Obklady (keramické)</t>
  </si>
  <si>
    <t>Odsekání obkladů vnitřních</t>
  </si>
  <si>
    <t>Dočištění stěny od lepidel</t>
  </si>
  <si>
    <t>Vyrovnání podkladu maltou ze SMS tl. do 7 mm</t>
  </si>
  <si>
    <t>Penetrace podkladu pod obklady</t>
  </si>
  <si>
    <t>Otvor v obkladačce diamant.korunkou prům.do 90 mm</t>
  </si>
  <si>
    <t>Obklad vnitřní stěn keramický, do tmele</t>
  </si>
  <si>
    <t>Přípl.za spárovací hmotu-plošně,keram.vnitř.obklad</t>
  </si>
  <si>
    <t>Montáž lišt rohových, vanových a dilatačních</t>
  </si>
  <si>
    <t>vč. lišty</t>
  </si>
  <si>
    <t>Obkládačka dle stavebníka</t>
  </si>
  <si>
    <t>Přesun hmot pro obklady keramické, výšky do 12 m</t>
  </si>
  <si>
    <t>Nátěry</t>
  </si>
  <si>
    <t>Nátěr syntetický kovových konstrukcí základní</t>
  </si>
  <si>
    <t>Nátěr syntetický kovových konstrukcí 2x</t>
  </si>
  <si>
    <t>Penetrace betonových podkladů</t>
  </si>
  <si>
    <t>Nátěr betonových povrchů</t>
  </si>
  <si>
    <t>Nátěr truhlářských výrobků impregnační</t>
  </si>
  <si>
    <t>Nátěr lazurovací truhlářských výrobků 2x lakování</t>
  </si>
  <si>
    <t>Malby</t>
  </si>
  <si>
    <t>Odstranění malby oškrábáním v místnosti H do 3,8 m</t>
  </si>
  <si>
    <t>Zakrytí předmětů</t>
  </si>
  <si>
    <t>včetně dodávky fólie tl. 0,04 mm</t>
  </si>
  <si>
    <t>Penetrace podkladu nátěrem 1 x</t>
  </si>
  <si>
    <t>Malba (např.Primalex Plus), bílá, bez penetrace, 2 x</t>
  </si>
  <si>
    <t>Tmelení spoje mezi stěnou a podhledem akryl. tmelem</t>
  </si>
  <si>
    <t>Hodinové zúčtovací sazby (HZS)</t>
  </si>
  <si>
    <t>Hzs-nezmeritelne stavebni prace</t>
  </si>
  <si>
    <t>Přesun hmot</t>
  </si>
  <si>
    <t>Přesun hmot pro budovy zděné výšky do 12 m</t>
  </si>
  <si>
    <t>Lešení a stavební výtahy</t>
  </si>
  <si>
    <t>Lešení lehké pomocné, výška podlahy do 1,9 m</t>
  </si>
  <si>
    <t>Různé dokončovací konstrukce a práce na pozemních stavbách</t>
  </si>
  <si>
    <t>Vyčištění budov o výšce podlaží do 4 m</t>
  </si>
  <si>
    <t>Dokumentace skutečného provedení stavby, 3 paré</t>
  </si>
  <si>
    <t>Bourání konstrukcí</t>
  </si>
  <si>
    <t>Bourání dlažeb keramických tl.10 mm, nad 1 m2</t>
  </si>
  <si>
    <t>Dočištění povrchu po vybourání dlažeb, MC do 50%</t>
  </si>
  <si>
    <t>Bourání příček tl. 100 mm</t>
  </si>
  <si>
    <t>Bourání příček tl. 150 mm</t>
  </si>
  <si>
    <t>Vybourání kovových dveřních zárubní pl. do 2 m2</t>
  </si>
  <si>
    <t>Vyvěšení dřevěných dveřních křídel pl. do 2 m2</t>
  </si>
  <si>
    <t>Vybourání dřevěných dveřních zárubní pl. nad 2 m2</t>
  </si>
  <si>
    <t>Bourání dlažeb tl.do 30 mm, nad 1 m2</t>
  </si>
  <si>
    <t>Montáže potrubí</t>
  </si>
  <si>
    <t>Zhotovení prostupů pro vedení</t>
  </si>
  <si>
    <t>Přesuny sutí</t>
  </si>
  <si>
    <t>Vnitrostaveništní doprava suti do 10 m</t>
  </si>
  <si>
    <t>Vodorovná doprava suti a hmot po suchu do 5000 m</t>
  </si>
  <si>
    <t>Uložení suti na skládku bez zhutnění</t>
  </si>
  <si>
    <t>Poplatek za skládku stavební suti</t>
  </si>
  <si>
    <t>Poplatek za skládku suti - dřevo</t>
  </si>
  <si>
    <t>Poplatek za skládku suti - koberce</t>
  </si>
  <si>
    <t>ZTI, UT, VZT</t>
  </si>
  <si>
    <t>ZTI</t>
  </si>
  <si>
    <t>ZTI, kanalizace, zařizovací předměty, - dle samostatného rozpočtu</t>
  </si>
  <si>
    <t>Elektroinstalace</t>
  </si>
  <si>
    <t>Ostatní</t>
  </si>
  <si>
    <t>Elektroinstalace - dle samostatného rozpočtu</t>
  </si>
  <si>
    <t>Doba výstavby:</t>
  </si>
  <si>
    <t>Začátek výstavby:</t>
  </si>
  <si>
    <t>Konec výstavby:</t>
  </si>
  <si>
    <t>Zpracováno dne:</t>
  </si>
  <si>
    <t>M.j.</t>
  </si>
  <si>
    <t>m3</t>
  </si>
  <si>
    <t>m</t>
  </si>
  <si>
    <t>m2</t>
  </si>
  <si>
    <t>t</t>
  </si>
  <si>
    <t>kus</t>
  </si>
  <si>
    <t>soubor</t>
  </si>
  <si>
    <t>h</t>
  </si>
  <si>
    <t>Množství</t>
  </si>
  <si>
    <t>02.03.2019</t>
  </si>
  <si>
    <t>Jednot.</t>
  </si>
  <si>
    <t>cena (Kč)</t>
  </si>
  <si>
    <t>Náklady (Kč)</t>
  </si>
  <si>
    <t>Dodávka</t>
  </si>
  <si>
    <t>Celkem:</t>
  </si>
  <si>
    <t>Objednatel:</t>
  </si>
  <si>
    <t>Projektant:</t>
  </si>
  <si>
    <t>Zhotovitel:</t>
  </si>
  <si>
    <t>Zpracoval:</t>
  </si>
  <si>
    <t>Montáž</t>
  </si>
  <si>
    <t>město Zábřeh</t>
  </si>
  <si>
    <t>Celkem</t>
  </si>
  <si>
    <t>Hmotnost (t)</t>
  </si>
  <si>
    <t>Cenová</t>
  </si>
  <si>
    <t>soustava</t>
  </si>
  <si>
    <t>RTS I / 2018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</si>
  <si>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</si>
  <si>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</si>
  <si>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</si>
  <si>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</si>
  <si>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</si>
  <si>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</si>
  <si>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</si>
  <si>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</si>
  <si>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</si>
  <si>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17_</t>
  </si>
  <si>
    <t>31_</t>
  </si>
  <si>
    <t>34_</t>
  </si>
  <si>
    <t>60_</t>
  </si>
  <si>
    <t>61_</t>
  </si>
  <si>
    <t>63_</t>
  </si>
  <si>
    <t>64_</t>
  </si>
  <si>
    <t>711_</t>
  </si>
  <si>
    <t>762_</t>
  </si>
  <si>
    <t>766_</t>
  </si>
  <si>
    <t>771_</t>
  </si>
  <si>
    <t>776_</t>
  </si>
  <si>
    <t>781_</t>
  </si>
  <si>
    <t>783_</t>
  </si>
  <si>
    <t>784_</t>
  </si>
  <si>
    <t>90_</t>
  </si>
  <si>
    <t>900_</t>
  </si>
  <si>
    <t>94_</t>
  </si>
  <si>
    <t>95_</t>
  </si>
  <si>
    <t>96_</t>
  </si>
  <si>
    <t>M23_</t>
  </si>
  <si>
    <t>S_</t>
  </si>
  <si>
    <t>111VD_</t>
  </si>
  <si>
    <t>121VD_</t>
  </si>
  <si>
    <t>SO_01_1_</t>
  </si>
  <si>
    <t>SO_01_3_</t>
  </si>
  <si>
    <t>SO_01_6_</t>
  </si>
  <si>
    <t>SO_01_71_</t>
  </si>
  <si>
    <t>SO_01_76_</t>
  </si>
  <si>
    <t>SO_01_77_</t>
  </si>
  <si>
    <t>SO_01_78_</t>
  </si>
  <si>
    <t>SO_01_9_</t>
  </si>
  <si>
    <t>SO_02_1_</t>
  </si>
  <si>
    <t>SO_03_1_</t>
  </si>
  <si>
    <t>SO_01_</t>
  </si>
  <si>
    <t>SO_02_</t>
  </si>
  <si>
    <t>SO_03_</t>
  </si>
  <si>
    <t>Výkaz výměr</t>
  </si>
  <si>
    <t>1,5*1*1,1</t>
  </si>
  <si>
    <t>2*1,5</t>
  </si>
  <si>
    <t>0,3*2,1</t>
  </si>
  <si>
    <t>0,2*2,1</t>
  </si>
  <si>
    <t>5,04+3,33</t>
  </si>
  <si>
    <t>(5,04+3,33)*1,1</t>
  </si>
  <si>
    <t>(1+1+1+1)*0,3</t>
  </si>
  <si>
    <t>(1+1+1)*0,3   kanal</t>
  </si>
  <si>
    <t>(35)*0,2   el.</t>
  </si>
  <si>
    <t>10   rez</t>
  </si>
  <si>
    <t>199,55195-9,975</t>
  </si>
  <si>
    <t>2,535*3   chodba</t>
  </si>
  <si>
    <t>-0,9*2</t>
  </si>
  <si>
    <t>1,5*3</t>
  </si>
  <si>
    <t>2,1*10</t>
  </si>
  <si>
    <t>1*2</t>
  </si>
  <si>
    <t>0,5*2,1*2</t>
  </si>
  <si>
    <t>2,1*3</t>
  </si>
  <si>
    <t>(3,5+1,8+1,6+1,9)*0,1*0,5*2   kanalizace</t>
  </si>
  <si>
    <t>1*1*0,1*2   napojení kanalizace</t>
  </si>
  <si>
    <t>3,5*0,1*0,5*2   chránička</t>
  </si>
  <si>
    <t>(3,5+1,8+1,6+1)*0,1*0,5*2   voda</t>
  </si>
  <si>
    <t>(73,19+5,48)*0,04   podlaha hospody</t>
  </si>
  <si>
    <t>1*1*0,9</t>
  </si>
  <si>
    <t>(3,5+1,8+1,6+1,9)*0,3*0,5</t>
  </si>
  <si>
    <t>(3,5+1,8+1,6+1+3,5)*0,3*0,5</t>
  </si>
  <si>
    <t>45,7-0,7-0,9-0,8</t>
  </si>
  <si>
    <t>73,19+5,48</t>
  </si>
  <si>
    <t>(3,5+1,8+1,6+1,9)*0,5</t>
  </si>
  <si>
    <t>1*1</t>
  </si>
  <si>
    <t>(3,5+1,8+1,6+1+3,5)*0,5</t>
  </si>
  <si>
    <t>48,3+0,9+0,9+0,8</t>
  </si>
  <si>
    <t>2   sklad</t>
  </si>
  <si>
    <t>(1,8+1,2+0,7+1,2+1,2+0,4+2)*1,51</t>
  </si>
  <si>
    <t>(0,95+0,95+0,15+0,15+0,95+0,95+1,3+1,3+0,15)*1,5</t>
  </si>
  <si>
    <t>6,85+5,04+3,33</t>
  </si>
  <si>
    <t>6,85+5,04</t>
  </si>
  <si>
    <t>11,89*1,1</t>
  </si>
  <si>
    <t>0,0872</t>
  </si>
  <si>
    <t>7,58*0,1*1,1</t>
  </si>
  <si>
    <t>2+2+2,54+2,54-0,8-0,7</t>
  </si>
  <si>
    <t>2,3+0,3+0,3</t>
  </si>
  <si>
    <t>5,48+73,19</t>
  </si>
  <si>
    <t>0,9+0,8</t>
  </si>
  <si>
    <t>5   rez</t>
  </si>
  <si>
    <t>78,67*1,1</t>
  </si>
  <si>
    <t>(1,4+0,6+2,3+0,75)*1,65</t>
  </si>
  <si>
    <t>2,1*2,9</t>
  </si>
  <si>
    <t>(4,9+0,8)*1,75</t>
  </si>
  <si>
    <t>1,75*4</t>
  </si>
  <si>
    <t>4,9+0,8</t>
  </si>
  <si>
    <t>1,3</t>
  </si>
  <si>
    <t>9,975*1,15</t>
  </si>
  <si>
    <t>0,52875</t>
  </si>
  <si>
    <t>0,8*2</t>
  </si>
  <si>
    <t>0,7*2</t>
  </si>
  <si>
    <t>3,33</t>
  </si>
  <si>
    <t>(1,31+1,31+2,54+2,54-0,7)*0,2</t>
  </si>
  <si>
    <t>0,9*2*2</t>
  </si>
  <si>
    <t>(2+2+0,9)*0,3</t>
  </si>
  <si>
    <t>(10,985+2,655+1,585+3,495+12,57+6,15)*2,9</t>
  </si>
  <si>
    <t>-1,685*2,275</t>
  </si>
  <si>
    <t>-0,8*2,1</t>
  </si>
  <si>
    <t>-1,465*2,04*3</t>
  </si>
  <si>
    <t>-0,76*2,045</t>
  </si>
  <si>
    <t>(1,465+2,04+2,04)*0,3*3</t>
  </si>
  <si>
    <t>(0,76+2,1+2,1)*0,3</t>
  </si>
  <si>
    <t>(1,685+2,275+2,275)*0,18</t>
  </si>
  <si>
    <t>(2,015+2,015+2,75+2,75)*2,93</t>
  </si>
  <si>
    <t>2,015*2,75</t>
  </si>
  <si>
    <t>(2,54+2,54+1,985+1,985)*2,95</t>
  </si>
  <si>
    <t>-0,8*2</t>
  </si>
  <si>
    <t>-0,7*2</t>
  </si>
  <si>
    <t>(2,54+2,54+1,31+1,31)*2,98</t>
  </si>
  <si>
    <t>(3,495+3,495+1,854+1,854)*2,77</t>
  </si>
  <si>
    <t>-0,8*2*2</t>
  </si>
  <si>
    <t>(0,76+2,045+2,045)*0,3</t>
  </si>
  <si>
    <t>0,8*2*2*2</t>
  </si>
  <si>
    <t>0,7*2*2</t>
  </si>
  <si>
    <t>1,5*2,1*3</t>
  </si>
  <si>
    <t>0,8*2,1*2</t>
  </si>
  <si>
    <t>189,57695</t>
  </si>
  <si>
    <t>5,805</t>
  </si>
  <si>
    <t>9,1+7,7+10,9+10,2</t>
  </si>
  <si>
    <t>3*8</t>
  </si>
  <si>
    <t>0,0231+0,216+0,4739+1,4035+15,0502+0,0968+0,0055+0,0726+0,1326</t>
  </si>
  <si>
    <t>83,89</t>
  </si>
  <si>
    <t>11,89+78,67</t>
  </si>
  <si>
    <t>(0,95+0,95+1,25)*1,5</t>
  </si>
  <si>
    <t>1,4*2,1</t>
  </si>
  <si>
    <t>11,3732+0,8066+0,08</t>
  </si>
  <si>
    <t>0,9807+10,3925</t>
  </si>
  <si>
    <t>0,2538+0,1849+0,166+0,1999+0,002</t>
  </si>
  <si>
    <t>Cenová soustava</t>
  </si>
  <si>
    <t>Rozpočtové náklady v Kč</t>
  </si>
  <si>
    <t>A</t>
  </si>
  <si>
    <t>HSV</t>
  </si>
  <si>
    <t>PSV</t>
  </si>
  <si>
    <t>"M"</t>
  </si>
  <si>
    <t>Ostatní materiál</t>
  </si>
  <si>
    <t>Přesun hmot a sutí</t>
  </si>
  <si>
    <t>ZRN celkem</t>
  </si>
  <si>
    <t>Základ 0%</t>
  </si>
  <si>
    <t>Základ 15%</t>
  </si>
  <si>
    <t>Základ 21%</t>
  </si>
  <si>
    <t>Projektant</t>
  </si>
  <si>
    <t>Datum, razítko a podpis</t>
  </si>
  <si>
    <t>Základní rozpočtové náklady</t>
  </si>
  <si>
    <t>Dodávky</t>
  </si>
  <si>
    <t>Krycí list slepého rozpočtu</t>
  </si>
  <si>
    <t>B</t>
  </si>
  <si>
    <t>Práce přesčas</t>
  </si>
  <si>
    <t>Bez pevné podl.</t>
  </si>
  <si>
    <t>Kulturní památka</t>
  </si>
  <si>
    <t>Koordinace</t>
  </si>
  <si>
    <t>DN celkem</t>
  </si>
  <si>
    <t>DN celkem z obj.</t>
  </si>
  <si>
    <t>DPH 15%</t>
  </si>
  <si>
    <t>DPH 21%</t>
  </si>
  <si>
    <t>Objednatel</t>
  </si>
  <si>
    <t>Doplňkové náklady</t>
  </si>
  <si>
    <t>C</t>
  </si>
  <si>
    <t>Zařízení staveniště</t>
  </si>
  <si>
    <t>Mimostav. doprava</t>
  </si>
  <si>
    <t>Územní vlivy</t>
  </si>
  <si>
    <t>Provozní vlivy</t>
  </si>
  <si>
    <t>NUS z rozpočtu</t>
  </si>
  <si>
    <t>NUS celkem</t>
  </si>
  <si>
    <t>NUS celkem z obj.</t>
  </si>
  <si>
    <t>ORN celkem</t>
  </si>
  <si>
    <t>ORN celkem z obj.</t>
  </si>
  <si>
    <t>Celkem bez DPH</t>
  </si>
  <si>
    <t>Celkem včetně DPH</t>
  </si>
  <si>
    <t>Zhotovitel</t>
  </si>
  <si>
    <t>IČ/DIČ:</t>
  </si>
  <si>
    <t>Položek:</t>
  </si>
  <si>
    <t>Datum:</t>
  </si>
  <si>
    <t>Náklady na umístění stavby (NUS)</t>
  </si>
  <si>
    <t>Vedlejší rozpočtové náklady VRN</t>
  </si>
  <si>
    <t>Doplňkové náklady DN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</si>
  <si>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</si>
  <si>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</si>
  <si>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</si>
  <si>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</si>
  <si>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</si>
  <si>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</si>
  <si>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>Vedlejší a ostatní rozpočtové náklady</t>
  </si>
  <si>
    <t>Kč</t>
  </si>
  <si>
    <t>%</t>
  </si>
  <si>
    <t>Základna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</si>
</sst>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0"/>
      <color indexed="8"/>
      <name val="Arial"/>
      <charset val="238"/>
    </font>
    <font>
      <sz val="18"/>
      <color indexed="8"/>
      <name val="Arial"/>
      <charset val="238"/>
    </font>
    <font>
      <b/>
      <sz val="10"/>
      <color indexed="8"/>
      <name val="Arial"/>
      <charset val="238"/>
    </font>
    <font>
      <sz val="10"/>
      <color indexed="54"/>
      <name val="Arial"/>
      <charset val="238"/>
    </font>
    <font>
      <sz val="10"/>
      <color indexed="56"/>
      <name val="Arial"/>
      <charset val="238"/>
    </font>
    <font>
      <sz val="10"/>
      <color indexed="61"/>
      <name val="Arial"/>
      <charset val="238"/>
    </font>
    <font>
      <sz val="10"/>
      <color indexed="62"/>
      <name val="Arial"/>
      <charset val="238"/>
    </font>
    <font>
      <i/>
      <sz val="8"/>
      <color indexed="8"/>
      <name val="Arial"/>
      <charset val="238"/>
    </font>
    <font>
      <b/>
      <sz val="10"/>
      <color indexed="54"/>
      <name val="Arial"/>
      <charset val="238"/>
    </font>
    <font>
      <b/>
      <sz val="10"/>
      <color indexed="56"/>
      <name val="Arial"/>
      <charset val="238"/>
    </font>
    <font>
      <sz val="10"/>
      <color indexed="59"/>
      <name val="Arial"/>
      <charset val="238"/>
    </font>
    <font>
      <b/>
      <sz val="18"/>
      <color indexed="8"/>
      <name val="Arial"/>
      <charset val="238"/>
    </font>
    <font>
      <b/>
      <sz val="20"/>
      <color indexed="8"/>
      <name val="Arial"/>
      <charset val="238"/>
    </font>
    <font>
      <b/>
      <sz val="12"/>
      <color indexed="8"/>
      <name val="Arial"/>
      <charset val="238"/>
    </font>
    <font>
      <sz val="12"/>
      <color indexed="8"/>
      <name val="Arial"/>
      <charset val="238"/>
    </font>
    <font>
      <b/>
      <sz val="11"/>
      <color indexed="8"/>
      <name val="Arial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9"/>
      </patternFill>
    </fill>
    <fill>
      <patternFill patternType="solid">
        <fgColor indexed="57"/>
        <bgColor indexed="9"/>
      </patternFill>
    </fill>
    <fill>
      <patternFill patternType="solid">
        <fgColor indexed="41"/>
      </patternFill>
    </fill>
    <fill>
      <patternFill patternType="solid">
        <fgColor indexed="22"/>
        <bgColor indexed="9"/>
      </patternFill>
    </fill>
  </fills>
  <borders count="5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1">
    <xf numFmtId="0" fontId="1" fillId="0" borderId="0" xfId="0" applyFont="1" applyAlignment="1">
      <alignment vertical="center"/>
    </xf>
    <xf numFmtId="49" fontId="3" fillId="0" borderId="1" xfId="0" applyNumberFormat="1" applyFont="1" applyFill="1" applyBorder="1" applyAlignment="1" applyProtection="1">
      <alignment horizontal="left" vertical="center"/>
    </xf>
    <xf numFmtId="49" fontId="1" fillId="0" borderId="2" xfId="0" applyNumberFormat="1" applyFont="1" applyFill="1" applyBorder="1" applyAlignment="1" applyProtection="1">
      <alignment horizontal="left" vertical="center"/>
    </xf>
    <xf numFmtId="49" fontId="4" fillId="2" borderId="3" xfId="0" applyNumberFormat="1" applyFont="1" applyFill="1" applyBorder="1" applyAlignment="1" applyProtection="1">
      <alignment horizontal="left" vertical="center"/>
    </xf>
    <xf numFmtId="49" fontId="5" fillId="3" borderId="0" xfId="0" applyNumberFormat="1" applyFont="1" applyFill="1" applyBorder="1" applyAlignment="1" applyProtection="1">
      <alignment horizontal="left" vertical="center"/>
    </xf>
    <xf numFmtId="49" fontId="6" fillId="0" borderId="0" xfId="0" applyNumberFormat="1" applyFont="1" applyFill="1" applyBorder="1" applyAlignment="1" applyProtection="1">
      <alignment horizontal="left" vertical="center"/>
    </xf>
    <xf numFmtId="49" fontId="7" fillId="0" borderId="0" xfId="0" applyNumberFormat="1" applyFont="1" applyFill="1" applyBorder="1" applyAlignment="1" applyProtection="1">
      <alignment horizontal="left" vertical="center"/>
    </xf>
    <xf numFmtId="49" fontId="4" fillId="2" borderId="0" xfId="0" applyNumberFormat="1" applyFont="1" applyFill="1" applyBorder="1" applyAlignment="1" applyProtection="1">
      <alignment horizontal="left" vertical="center"/>
    </xf>
    <xf numFmtId="49" fontId="6" fillId="0" borderId="4" xfId="0" applyNumberFormat="1" applyFont="1" applyFill="1" applyBorder="1" applyAlignment="1" applyProtection="1">
      <alignment horizontal="left" vertical="center"/>
    </xf>
    <xf numFmtId="0" fontId="1" fillId="0" borderId="5" xfId="0" applyNumberFormat="1" applyFont="1" applyFill="1" applyBorder="1" applyAlignment="1" applyProtection="1">
      <alignment vertical="center"/>
    </xf>
    <xf numFmtId="49" fontId="8" fillId="0" borderId="0" xfId="0" applyNumberFormat="1" applyFont="1" applyFill="1" applyBorder="1" applyAlignment="1" applyProtection="1">
      <alignment horizontal="left" vertical="center"/>
    </xf>
    <xf numFmtId="49" fontId="3" fillId="0" borderId="6" xfId="0" applyNumberFormat="1" applyFont="1" applyFill="1" applyBorder="1" applyAlignment="1" applyProtection="1">
      <alignment horizontal="left" vertical="center"/>
    </xf>
    <xf numFmtId="49" fontId="1" fillId="0" borderId="7" xfId="0" applyNumberFormat="1" applyFont="1" applyFill="1" applyBorder="1" applyAlignment="1" applyProtection="1">
      <alignment horizontal="left" vertical="center"/>
    </xf>
    <xf numFmtId="49" fontId="9" fillId="2" borderId="3" xfId="0" applyNumberFormat="1" applyFont="1" applyFill="1" applyBorder="1" applyAlignment="1" applyProtection="1">
      <alignment horizontal="left" vertical="center"/>
    </xf>
    <xf numFmtId="49" fontId="10" fillId="3" borderId="0" xfId="0" applyNumberFormat="1" applyFont="1" applyFill="1" applyBorder="1" applyAlignment="1" applyProtection="1">
      <alignment horizontal="left" vertical="center"/>
    </xf>
    <xf numFmtId="49" fontId="9" fillId="2" borderId="0" xfId="0" applyNumberFormat="1" applyFont="1" applyFill="1" applyBorder="1" applyAlignment="1" applyProtection="1">
      <alignment horizontal="left" vertical="center"/>
    </xf>
    <xf numFmtId="49" fontId="3" fillId="0" borderId="7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left" vertical="center" wrapText="1"/>
    </xf>
    <xf numFmtId="49" fontId="3" fillId="0" borderId="6" xfId="0" applyNumberFormat="1" applyFont="1" applyFill="1" applyBorder="1" applyAlignment="1" applyProtection="1">
      <alignment horizontal="center"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4" fontId="7" fillId="0" borderId="0" xfId="0" applyNumberFormat="1" applyFont="1" applyFill="1" applyBorder="1" applyAlignment="1" applyProtection="1">
      <alignment horizontal="right" vertical="center"/>
    </xf>
    <xf numFmtId="4" fontId="6" fillId="0" borderId="4" xfId="0" applyNumberFormat="1" applyFont="1" applyFill="1" applyBorder="1" applyAlignment="1" applyProtection="1">
      <alignment horizontal="right" vertical="center"/>
    </xf>
    <xf numFmtId="49" fontId="3" fillId="0" borderId="8" xfId="0" applyNumberFormat="1" applyFont="1" applyFill="1" applyBorder="1" applyAlignment="1" applyProtection="1">
      <alignment horizontal="center" vertical="center"/>
    </xf>
    <xf numFmtId="49" fontId="3" fillId="0" borderId="9" xfId="0" applyNumberFormat="1" applyFont="1" applyFill="1" applyBorder="1" applyAlignment="1" applyProtection="1">
      <alignment horizontal="center" vertical="center"/>
    </xf>
    <xf numFmtId="49" fontId="4" fillId="2" borderId="3" xfId="0" applyNumberFormat="1" applyFont="1" applyFill="1" applyBorder="1" applyAlignment="1" applyProtection="1">
      <alignment horizontal="left" vertical="center"/>
      <protection locked="0"/>
    </xf>
    <xf numFmtId="49" fontId="5" fillId="3" borderId="0" xfId="0" applyNumberFormat="1" applyFont="1" applyFill="1" applyBorder="1" applyAlignment="1" applyProtection="1">
      <alignment horizontal="left" vertical="center"/>
      <protection locked="0"/>
    </xf>
    <xf numFmtId="4" fontId="6" fillId="4" borderId="0" xfId="0" applyNumberFormat="1" applyFont="1" applyFill="1" applyBorder="1" applyAlignment="1" applyProtection="1">
      <alignment horizontal="right" vertical="center"/>
      <protection locked="0"/>
    </xf>
    <xf numFmtId="4" fontId="7" fillId="4" borderId="0" xfId="0" applyNumberFormat="1" applyFont="1" applyFill="1" applyBorder="1" applyAlignment="1" applyProtection="1">
      <alignment horizontal="right" vertical="center"/>
      <protection locked="0"/>
    </xf>
    <xf numFmtId="0" fontId="1" fillId="4" borderId="0" xfId="0" applyNumberFormat="1" applyFont="1" applyFill="1" applyBorder="1" applyAlignment="1" applyProtection="1">
      <alignment vertical="center"/>
      <protection locked="0"/>
    </xf>
    <xf numFmtId="49" fontId="4" fillId="2" borderId="0" xfId="0" applyNumberFormat="1" applyFont="1" applyFill="1" applyBorder="1" applyAlignment="1" applyProtection="1">
      <alignment horizontal="left" vertical="center"/>
      <protection locked="0"/>
    </xf>
    <xf numFmtId="4" fontId="6" fillId="4" borderId="4" xfId="0" applyNumberFormat="1" applyFont="1" applyFill="1" applyBorder="1" applyAlignment="1" applyProtection="1">
      <alignment horizontal="right" vertical="center"/>
      <protection locked="0"/>
    </xf>
    <xf numFmtId="49" fontId="3" fillId="0" borderId="10" xfId="0" applyNumberFormat="1" applyFont="1" applyFill="1" applyBorder="1" applyAlignment="1" applyProtection="1">
      <alignment horizontal="center" vertical="center"/>
    </xf>
    <xf numFmtId="49" fontId="3" fillId="0" borderId="11" xfId="0" applyNumberFormat="1" applyFont="1" applyFill="1" applyBorder="1" applyAlignment="1" applyProtection="1">
      <alignment horizontal="center" vertical="center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9" fillId="2" borderId="3" xfId="0" applyNumberFormat="1" applyFont="1" applyFill="1" applyBorder="1" applyAlignment="1" applyProtection="1">
      <alignment horizontal="right" vertical="center"/>
    </xf>
    <xf numFmtId="49" fontId="10" fillId="3" borderId="0" xfId="0" applyNumberFormat="1" applyFont="1" applyFill="1" applyBorder="1" applyAlignment="1" applyProtection="1">
      <alignment horizontal="right" vertical="center"/>
    </xf>
    <xf numFmtId="49" fontId="9" fillId="2" borderId="0" xfId="0" applyNumberFormat="1" applyFont="1" applyFill="1" applyBorder="1" applyAlignment="1" applyProtection="1">
      <alignment horizontal="right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14" xfId="0" applyNumberFormat="1" applyFont="1" applyFill="1" applyBorder="1" applyAlignment="1" applyProtection="1">
      <alignment horizontal="center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49" fontId="7" fillId="0" borderId="0" xfId="0" applyNumberFormat="1" applyFont="1" applyFill="1" applyBorder="1" applyAlignment="1" applyProtection="1">
      <alignment horizontal="right" vertical="center"/>
    </xf>
    <xf numFmtId="49" fontId="6" fillId="0" borderId="4" xfId="0" applyNumberFormat="1" applyFont="1" applyFill="1" applyBorder="1" applyAlignment="1" applyProtection="1">
      <alignment horizontal="right" vertical="center"/>
    </xf>
    <xf numFmtId="0" fontId="1" fillId="0" borderId="15" xfId="0" applyNumberFormat="1" applyFont="1" applyFill="1" applyBorder="1" applyAlignment="1" applyProtection="1">
      <alignment vertical="center"/>
    </xf>
    <xf numFmtId="0" fontId="1" fillId="0" borderId="16" xfId="0" applyNumberFormat="1" applyFont="1" applyFill="1" applyBorder="1" applyAlignment="1" applyProtection="1">
      <alignment vertical="center"/>
    </xf>
    <xf numFmtId="4" fontId="1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horizontal="right" vertical="center"/>
    </xf>
    <xf numFmtId="4" fontId="9" fillId="2" borderId="3" xfId="0" applyNumberFormat="1" applyFont="1" applyFill="1" applyBorder="1" applyAlignment="1" applyProtection="1">
      <alignment horizontal="right" vertical="center"/>
    </xf>
    <xf numFmtId="4" fontId="10" fillId="3" borderId="0" xfId="0" applyNumberFormat="1" applyFont="1" applyFill="1" applyBorder="1" applyAlignment="1" applyProtection="1">
      <alignment horizontal="right" vertical="center"/>
    </xf>
    <xf numFmtId="4" fontId="9" fillId="2" borderId="0" xfId="0" applyNumberFormat="1" applyFont="1" applyFill="1" applyBorder="1" applyAlignment="1" applyProtection="1">
      <alignment horizontal="right" vertical="center"/>
    </xf>
    <xf numFmtId="4" fontId="3" fillId="0" borderId="5" xfId="0" applyNumberFormat="1" applyFont="1" applyFill="1" applyBorder="1" applyAlignment="1" applyProtection="1">
      <alignment horizontal="right" vertical="center"/>
    </xf>
    <xf numFmtId="49" fontId="3" fillId="0" borderId="17" xfId="0" applyNumberFormat="1" applyFont="1" applyFill="1" applyBorder="1" applyAlignment="1" applyProtection="1">
      <alignment horizontal="left" vertical="center"/>
    </xf>
    <xf numFmtId="49" fontId="6" fillId="0" borderId="3" xfId="0" applyNumberFormat="1" applyFont="1" applyFill="1" applyBorder="1" applyAlignment="1" applyProtection="1">
      <alignment horizontal="left" vertical="center"/>
    </xf>
    <xf numFmtId="49" fontId="3" fillId="0" borderId="18" xfId="0" applyNumberFormat="1" applyFont="1" applyFill="1" applyBorder="1" applyAlignment="1" applyProtection="1">
      <alignment horizontal="left" vertical="center"/>
    </xf>
    <xf numFmtId="49" fontId="3" fillId="0" borderId="18" xfId="0" applyNumberFormat="1" applyFont="1" applyFill="1" applyBorder="1" applyAlignment="1" applyProtection="1">
      <alignment horizontal="right" vertical="center"/>
    </xf>
    <xf numFmtId="4" fontId="6" fillId="0" borderId="3" xfId="0" applyNumberFormat="1" applyFont="1" applyFill="1" applyBorder="1" applyAlignment="1" applyProtection="1">
      <alignment horizontal="right" vertical="center"/>
    </xf>
    <xf numFmtId="49" fontId="3" fillId="0" borderId="19" xfId="0" applyNumberFormat="1" applyFont="1" applyFill="1" applyBorder="1" applyAlignment="1" applyProtection="1">
      <alignment horizontal="left" vertical="center"/>
    </xf>
    <xf numFmtId="49" fontId="6" fillId="0" borderId="3" xfId="0" applyNumberFormat="1" applyFont="1" applyFill="1" applyBorder="1" applyAlignment="1" applyProtection="1">
      <alignment horizontal="right" vertical="center"/>
    </xf>
    <xf numFmtId="0" fontId="1" fillId="0" borderId="4" xfId="0" applyNumberFormat="1" applyFont="1" applyFill="1" applyBorder="1" applyAlignment="1" applyProtection="1">
      <alignment vertical="center"/>
    </xf>
    <xf numFmtId="49" fontId="13" fillId="5" borderId="20" xfId="0" applyNumberFormat="1" applyFont="1" applyFill="1" applyBorder="1" applyAlignment="1" applyProtection="1">
      <alignment horizontal="center" vertical="center"/>
    </xf>
    <xf numFmtId="49" fontId="14" fillId="0" borderId="21" xfId="0" applyNumberFormat="1" applyFont="1" applyFill="1" applyBorder="1" applyAlignment="1" applyProtection="1">
      <alignment horizontal="left" vertical="center"/>
    </xf>
    <xf numFmtId="49" fontId="14" fillId="0" borderId="22" xfId="0" applyNumberFormat="1" applyFont="1" applyFill="1" applyBorder="1" applyAlignment="1" applyProtection="1">
      <alignment horizontal="left" vertical="center"/>
    </xf>
    <xf numFmtId="0" fontId="1" fillId="0" borderId="23" xfId="0" applyNumberFormat="1" applyFont="1" applyFill="1" applyBorder="1" applyAlignment="1" applyProtection="1">
      <alignment vertical="center"/>
    </xf>
    <xf numFmtId="49" fontId="8" fillId="0" borderId="3" xfId="0" applyNumberFormat="1" applyFont="1" applyFill="1" applyBorder="1" applyAlignment="1" applyProtection="1">
      <alignment horizontal="left" vertical="center"/>
    </xf>
    <xf numFmtId="49" fontId="15" fillId="0" borderId="20" xfId="0" applyNumberFormat="1" applyFont="1" applyFill="1" applyBorder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vertical="center"/>
    </xf>
    <xf numFmtId="0" fontId="1" fillId="0" borderId="24" xfId="0" applyNumberFormat="1" applyFont="1" applyFill="1" applyBorder="1" applyAlignment="1" applyProtection="1">
      <alignment vertical="center"/>
    </xf>
    <xf numFmtId="0" fontId="1" fillId="0" borderId="25" xfId="0" applyNumberFormat="1" applyFont="1" applyFill="1" applyBorder="1" applyAlignment="1" applyProtection="1">
      <alignment vertical="center"/>
    </xf>
    <xf numFmtId="4" fontId="15" fillId="0" borderId="20" xfId="0" applyNumberFormat="1" applyFont="1" applyFill="1" applyBorder="1" applyAlignment="1" applyProtection="1">
      <alignment horizontal="right" vertical="center"/>
    </xf>
    <xf numFmtId="49" fontId="15" fillId="0" borderId="20" xfId="0" applyNumberFormat="1" applyFont="1" applyFill="1" applyBorder="1" applyAlignment="1" applyProtection="1">
      <alignment horizontal="right" vertical="center"/>
    </xf>
    <xf numFmtId="4" fontId="15" fillId="0" borderId="11" xfId="0" applyNumberFormat="1" applyFont="1" applyFill="1" applyBorder="1" applyAlignment="1" applyProtection="1">
      <alignment horizontal="right" vertical="center"/>
    </xf>
    <xf numFmtId="0" fontId="1" fillId="0" borderId="26" xfId="0" applyNumberFormat="1" applyFont="1" applyFill="1" applyBorder="1" applyAlignment="1" applyProtection="1">
      <alignment vertical="center"/>
    </xf>
    <xf numFmtId="0" fontId="1" fillId="0" borderId="27" xfId="0" applyNumberFormat="1" applyFont="1" applyFill="1" applyBorder="1" applyAlignment="1" applyProtection="1">
      <alignment vertical="center"/>
    </xf>
    <xf numFmtId="4" fontId="14" fillId="5" borderId="28" xfId="0" applyNumberFormat="1" applyFont="1" applyFill="1" applyBorder="1" applyAlignment="1" applyProtection="1">
      <alignment horizontal="right" vertical="center"/>
    </xf>
    <xf numFmtId="0" fontId="1" fillId="0" borderId="29" xfId="0" applyNumberFormat="1" applyFont="1" applyFill="1" applyBorder="1" applyAlignment="1" applyProtection="1">
      <alignment vertical="center"/>
    </xf>
    <xf numFmtId="0" fontId="1" fillId="0" borderId="30" xfId="0" applyNumberFormat="1" applyFont="1" applyFill="1" applyBorder="1" applyAlignment="1" applyProtection="1">
      <alignment vertical="center"/>
    </xf>
    <xf numFmtId="49" fontId="3" fillId="0" borderId="31" xfId="0" applyNumberFormat="1" applyFont="1" applyFill="1" applyBorder="1" applyAlignment="1" applyProtection="1">
      <alignment horizontal="right" vertical="center"/>
    </xf>
    <xf numFmtId="4" fontId="1" fillId="0" borderId="20" xfId="0" applyNumberFormat="1" applyFont="1" applyFill="1" applyBorder="1" applyAlignment="1" applyProtection="1">
      <alignment horizontal="right" vertical="center"/>
    </xf>
    <xf numFmtId="4" fontId="1" fillId="0" borderId="11" xfId="0" applyNumberFormat="1" applyFont="1" applyFill="1" applyBorder="1" applyAlignment="1" applyProtection="1">
      <alignment horizontal="right" vertical="center"/>
    </xf>
    <xf numFmtId="49" fontId="3" fillId="0" borderId="32" xfId="0" applyNumberFormat="1" applyFont="1" applyFill="1" applyBorder="1" applyAlignment="1" applyProtection="1">
      <alignment horizontal="left" vertical="center"/>
    </xf>
    <xf numFmtId="49" fontId="1" fillId="0" borderId="20" xfId="0" applyNumberFormat="1" applyFont="1" applyFill="1" applyBorder="1" applyAlignment="1" applyProtection="1">
      <alignment horizontal="left" vertical="center"/>
    </xf>
    <xf numFmtId="49" fontId="1" fillId="0" borderId="11" xfId="0" applyNumberFormat="1" applyFont="1" applyFill="1" applyBorder="1" applyAlignment="1" applyProtection="1">
      <alignment horizontal="left" vertical="center"/>
    </xf>
    <xf numFmtId="49" fontId="3" fillId="0" borderId="32" xfId="0" applyNumberFormat="1" applyFont="1" applyFill="1" applyBorder="1" applyAlignment="1" applyProtection="1">
      <alignment horizontal="right" vertical="center"/>
    </xf>
    <xf numFmtId="4" fontId="3" fillId="0" borderId="32" xfId="0" applyNumberFormat="1" applyFont="1" applyFill="1" applyBorder="1" applyAlignment="1" applyProtection="1">
      <alignment horizontal="right" vertical="center"/>
    </xf>
    <xf numFmtId="0" fontId="1" fillId="0" borderId="4" xfId="0" applyNumberFormat="1" applyFont="1" applyFill="1" applyBorder="1" applyAlignment="1" applyProtection="1"/>
    <xf numFmtId="49" fontId="15" fillId="0" borderId="16" xfId="0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15" fillId="0" borderId="44" xfId="0" applyNumberFormat="1" applyFont="1" applyFill="1" applyBorder="1" applyAlignment="1" applyProtection="1">
      <alignment horizontal="left" vertical="center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49" fontId="15" fillId="0" borderId="45" xfId="0" applyNumberFormat="1" applyFont="1" applyFill="1" applyBorder="1" applyAlignment="1" applyProtection="1">
      <alignment horizontal="left" vertical="center"/>
    </xf>
    <xf numFmtId="0" fontId="15" fillId="0" borderId="30" xfId="0" applyNumberFormat="1" applyFont="1" applyFill="1" applyBorder="1" applyAlignment="1" applyProtection="1">
      <alignment horizontal="left" vertical="center"/>
    </xf>
    <xf numFmtId="0" fontId="15" fillId="0" borderId="46" xfId="0" applyNumberFormat="1" applyFont="1" applyFill="1" applyBorder="1" applyAlignment="1" applyProtection="1">
      <alignment horizontal="left" vertical="center"/>
    </xf>
    <xf numFmtId="49" fontId="15" fillId="0" borderId="42" xfId="0" applyNumberFormat="1" applyFont="1" applyFill="1" applyBorder="1" applyAlignment="1" applyProtection="1">
      <alignment horizontal="left" vertical="center"/>
    </xf>
    <xf numFmtId="0" fontId="15" fillId="0" borderId="3" xfId="0" applyNumberFormat="1" applyFont="1" applyFill="1" applyBorder="1" applyAlignment="1" applyProtection="1">
      <alignment horizontal="left" vertical="center"/>
    </xf>
    <xf numFmtId="0" fontId="15" fillId="0" borderId="43" xfId="0" applyNumberFormat="1" applyFont="1" applyFill="1" applyBorder="1" applyAlignment="1" applyProtection="1">
      <alignment horizontal="left" vertical="center"/>
    </xf>
    <xf numFmtId="49" fontId="14" fillId="5" borderId="41" xfId="0" applyNumberFormat="1" applyFont="1" applyFill="1" applyBorder="1" applyAlignment="1" applyProtection="1">
      <alignment horizontal="left" vertical="center"/>
    </xf>
    <xf numFmtId="0" fontId="14" fillId="5" borderId="40" xfId="0" applyNumberFormat="1" applyFont="1" applyFill="1" applyBorder="1" applyAlignment="1" applyProtection="1">
      <alignment horizontal="left" vertical="center"/>
    </xf>
    <xf numFmtId="49" fontId="14" fillId="0" borderId="41" xfId="0" applyNumberFormat="1" applyFont="1" applyFill="1" applyBorder="1" applyAlignment="1" applyProtection="1">
      <alignment horizontal="left" vertical="center"/>
    </xf>
    <xf numFmtId="0" fontId="14" fillId="0" borderId="28" xfId="0" applyNumberFormat="1" applyFont="1" applyFill="1" applyBorder="1" applyAlignment="1" applyProtection="1">
      <alignment horizontal="left" vertical="center"/>
    </xf>
    <xf numFmtId="49" fontId="15" fillId="0" borderId="41" xfId="0" applyNumberFormat="1" applyFont="1" applyFill="1" applyBorder="1" applyAlignment="1" applyProtection="1">
      <alignment horizontal="left" vertical="center"/>
    </xf>
    <xf numFmtId="0" fontId="15" fillId="0" borderId="28" xfId="0" applyNumberFormat="1" applyFont="1" applyFill="1" applyBorder="1" applyAlignment="1" applyProtection="1">
      <alignment horizontal="left" vertical="center"/>
    </xf>
    <xf numFmtId="49" fontId="12" fillId="0" borderId="40" xfId="0" applyNumberFormat="1" applyFont="1" applyFill="1" applyBorder="1" applyAlignment="1" applyProtection="1">
      <alignment horizontal="center" vertical="center"/>
    </xf>
    <xf numFmtId="0" fontId="12" fillId="0" borderId="40" xfId="0" applyNumberFormat="1" applyFont="1" applyFill="1" applyBorder="1" applyAlignment="1" applyProtection="1">
      <alignment horizontal="center" vertical="center"/>
    </xf>
    <xf numFmtId="49" fontId="16" fillId="0" borderId="41" xfId="0" applyNumberFormat="1" applyFont="1" applyFill="1" applyBorder="1" applyAlignment="1" applyProtection="1">
      <alignment horizontal="left" vertical="center"/>
    </xf>
    <xf numFmtId="0" fontId="16" fillId="0" borderId="28" xfId="0" applyNumberFormat="1" applyFont="1" applyFill="1" applyBorder="1" applyAlignment="1" applyProtection="1">
      <alignment horizontal="left" vertical="center"/>
    </xf>
    <xf numFmtId="49" fontId="1" fillId="0" borderId="27" xfId="0" applyNumberFormat="1" applyFont="1" applyFill="1" applyBorder="1" applyAlignment="1" applyProtection="1">
      <alignment horizontal="left" vertical="center"/>
    </xf>
    <xf numFmtId="0" fontId="1" fillId="0" borderId="27" xfId="0" applyNumberFormat="1" applyFont="1" applyFill="1" applyBorder="1" applyAlignment="1" applyProtection="1">
      <alignment horizontal="left" vertical="center"/>
    </xf>
    <xf numFmtId="0" fontId="1" fillId="0" borderId="15" xfId="0" applyNumberFormat="1" applyFont="1" applyFill="1" applyBorder="1" applyAlignment="1" applyProtection="1">
      <alignment horizontal="left" vertical="center" wrapText="1"/>
    </xf>
    <xf numFmtId="0" fontId="1" fillId="0" borderId="25" xfId="0" applyNumberFormat="1" applyFont="1" applyFill="1" applyBorder="1" applyAlignment="1" applyProtection="1">
      <alignment horizontal="left" vertical="center"/>
    </xf>
    <xf numFmtId="0" fontId="1" fillId="0" borderId="4" xfId="0" applyNumberFormat="1" applyFont="1" applyFill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1" fillId="0" borderId="27" xfId="0" applyNumberFormat="1" applyFont="1" applyFill="1" applyBorder="1" applyAlignment="1" applyProtection="1">
      <alignment horizontal="left" vertical="center" wrapText="1"/>
    </xf>
    <xf numFmtId="0" fontId="1" fillId="0" borderId="39" xfId="0" applyNumberFormat="1" applyFont="1" applyFill="1" applyBorder="1" applyAlignment="1" applyProtection="1">
      <alignment horizontal="left" vertical="center"/>
    </xf>
    <xf numFmtId="0" fontId="1" fillId="0" borderId="15" xfId="0" applyNumberFormat="1" applyFont="1" applyFill="1" applyBorder="1" applyAlignment="1" applyProtection="1">
      <alignment horizontal="left" vertical="center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1" fillId="0" borderId="33" xfId="0" applyNumberFormat="1" applyFont="1" applyFill="1" applyBorder="1" applyAlignment="1" applyProtection="1">
      <alignment horizontal="left" vertical="center" wrapText="1"/>
    </xf>
    <xf numFmtId="0" fontId="1" fillId="0" borderId="5" xfId="0" applyNumberFormat="1" applyFont="1" applyFill="1" applyBorder="1" applyAlignment="1" applyProtection="1">
      <alignment horizontal="left" vertical="center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1" fillId="0" borderId="5" xfId="0" applyNumberFormat="1" applyFont="1" applyFill="1" applyBorder="1" applyAlignment="1" applyProtection="1">
      <alignment horizontal="left" vertical="center" wrapText="1"/>
    </xf>
    <xf numFmtId="49" fontId="1" fillId="0" borderId="24" xfId="0" applyNumberFormat="1" applyFont="1" applyFill="1" applyBorder="1" applyAlignment="1" applyProtection="1">
      <alignment horizontal="left" vertical="center"/>
    </xf>
    <xf numFmtId="49" fontId="3" fillId="0" borderId="36" xfId="0" applyNumberFormat="1" applyFont="1" applyFill="1" applyBorder="1" applyAlignment="1" applyProtection="1">
      <alignment horizontal="center" vertical="center"/>
    </xf>
    <xf numFmtId="0" fontId="3" fillId="0" borderId="37" xfId="0" applyNumberFormat="1" applyFont="1" applyFill="1" applyBorder="1" applyAlignment="1" applyProtection="1">
      <alignment horizontal="center" vertical="center"/>
    </xf>
    <xf numFmtId="0" fontId="3" fillId="0" borderId="38" xfId="0" applyNumberFormat="1" applyFont="1" applyFill="1" applyBorder="1" applyAlignment="1" applyProtection="1">
      <alignment horizontal="center" vertical="center"/>
    </xf>
    <xf numFmtId="49" fontId="3" fillId="0" borderId="5" xfId="0" applyNumberFormat="1" applyFont="1" applyFill="1" applyBorder="1" applyAlignment="1" applyProtection="1">
      <alignment horizontal="left" vertical="center"/>
    </xf>
    <xf numFmtId="0" fontId="1" fillId="0" borderId="34" xfId="0" applyNumberFormat="1" applyFont="1" applyFill="1" applyBorder="1" applyAlignment="1" applyProtection="1">
      <alignment horizontal="left" vertical="center"/>
    </xf>
    <xf numFmtId="0" fontId="1" fillId="0" borderId="30" xfId="0" applyNumberFormat="1" applyFont="1" applyFill="1" applyBorder="1" applyAlignment="1" applyProtection="1">
      <alignment horizontal="left" vertical="center"/>
    </xf>
    <xf numFmtId="49" fontId="1" fillId="4" borderId="0" xfId="0" applyNumberFormat="1" applyFont="1" applyFill="1" applyBorder="1" applyAlignment="1" applyProtection="1">
      <alignment horizontal="left" vertical="center"/>
      <protection locked="0"/>
    </xf>
    <xf numFmtId="0" fontId="1" fillId="4" borderId="0" xfId="0" applyNumberFormat="1" applyFont="1" applyFill="1" applyBorder="1" applyAlignment="1" applyProtection="1">
      <alignment horizontal="left" vertical="center"/>
      <protection locked="0"/>
    </xf>
    <xf numFmtId="0" fontId="1" fillId="4" borderId="30" xfId="0" applyNumberFormat="1" applyFont="1" applyFill="1" applyBorder="1" applyAlignment="1" applyProtection="1">
      <alignment horizontal="left" vertical="center"/>
      <protection locked="0"/>
    </xf>
    <xf numFmtId="0" fontId="1" fillId="4" borderId="0" xfId="0" applyNumberFormat="1" applyFont="1" applyFill="1" applyBorder="1" applyAlignment="1" applyProtection="1">
      <alignment horizontal="left" vertical="center" wrapText="1"/>
      <protection locked="0"/>
    </xf>
    <xf numFmtId="0" fontId="1" fillId="4" borderId="27" xfId="0" applyNumberFormat="1" applyFont="1" applyFill="1" applyBorder="1" applyAlignment="1" applyProtection="1">
      <alignment horizontal="left" vertical="center"/>
      <protection locked="0"/>
    </xf>
    <xf numFmtId="0" fontId="1" fillId="4" borderId="35" xfId="0" applyNumberFormat="1" applyFont="1" applyFill="1" applyBorder="1" applyAlignment="1" applyProtection="1">
      <alignment horizontal="left" vertical="center"/>
      <protection locked="0"/>
    </xf>
    <xf numFmtId="49" fontId="2" fillId="0" borderId="4" xfId="0" applyNumberFormat="1" applyFont="1" applyFill="1" applyBorder="1" applyAlignment="1" applyProtection="1">
      <alignment horizontal="center"/>
    </xf>
    <xf numFmtId="49" fontId="1" fillId="0" borderId="5" xfId="0" applyNumberFormat="1" applyFont="1" applyFill="1" applyBorder="1" applyAlignment="1" applyProtection="1">
      <alignment horizontal="left" vertical="center"/>
    </xf>
    <xf numFmtId="49" fontId="1" fillId="4" borderId="5" xfId="0" applyNumberFormat="1" applyFont="1" applyFill="1" applyBorder="1" applyAlignment="1" applyProtection="1">
      <alignment horizontal="left" vertical="center"/>
      <protection locked="0"/>
    </xf>
    <xf numFmtId="0" fontId="1" fillId="4" borderId="5" xfId="0" applyNumberFormat="1" applyFont="1" applyFill="1" applyBorder="1" applyAlignment="1" applyProtection="1">
      <alignment horizontal="left" vertical="center"/>
      <protection locked="0"/>
    </xf>
    <xf numFmtId="0" fontId="1" fillId="0" borderId="24" xfId="0" applyNumberFormat="1" applyFont="1" applyFill="1" applyBorder="1" applyAlignment="1" applyProtection="1">
      <alignment horizontal="left" vertical="center"/>
    </xf>
    <xf numFmtId="49" fontId="3" fillId="0" borderId="36" xfId="0" applyNumberFormat="1" applyFont="1" applyFill="1" applyBorder="1" applyAlignment="1" applyProtection="1">
      <alignment horizontal="left" vertical="center"/>
    </xf>
    <xf numFmtId="0" fontId="3" fillId="0" borderId="37" xfId="0" applyNumberFormat="1" applyFont="1" applyFill="1" applyBorder="1" applyAlignment="1" applyProtection="1">
      <alignment horizontal="left" vertical="center"/>
    </xf>
    <xf numFmtId="0" fontId="3" fillId="0" borderId="38" xfId="0" applyNumberFormat="1" applyFont="1" applyFill="1" applyBorder="1" applyAlignment="1" applyProtection="1">
      <alignment horizontal="left" vertical="center"/>
    </xf>
    <xf numFmtId="49" fontId="1" fillId="0" borderId="47" xfId="0" applyNumberFormat="1" applyFont="1" applyFill="1" applyBorder="1" applyAlignment="1" applyProtection="1">
      <alignment horizontal="left" vertical="center"/>
    </xf>
    <xf numFmtId="0" fontId="1" fillId="0" borderId="23" xfId="0" applyNumberFormat="1" applyFont="1" applyFill="1" applyBorder="1" applyAlignment="1" applyProtection="1">
      <alignment horizontal="left" vertical="center"/>
    </xf>
    <xf numFmtId="0" fontId="1" fillId="0" borderId="48" xfId="0" applyNumberFormat="1" applyFont="1" applyFill="1" applyBorder="1" applyAlignment="1" applyProtection="1">
      <alignment horizontal="left" vertical="center"/>
    </xf>
    <xf numFmtId="49" fontId="3" fillId="0" borderId="49" xfId="0" applyNumberFormat="1" applyFont="1" applyFill="1" applyBorder="1" applyAlignment="1" applyProtection="1">
      <alignment horizontal="left" vertical="center"/>
    </xf>
    <xf numFmtId="0" fontId="3" fillId="0" borderId="29" xfId="0" applyNumberFormat="1" applyFont="1" applyFill="1" applyBorder="1" applyAlignment="1" applyProtection="1">
      <alignment horizontal="left" vertical="center"/>
    </xf>
    <xf numFmtId="0" fontId="3" fillId="0" borderId="50" xfId="0" applyNumberFormat="1" applyFont="1" applyFill="1" applyBorder="1" applyAlignment="1" applyProtection="1">
      <alignment horizontal="left" vertical="center"/>
    </xf>
    <xf numFmtId="49" fontId="1" fillId="0" borderId="41" xfId="0" applyNumberFormat="1" applyFont="1" applyFill="1" applyBorder="1" applyAlignment="1" applyProtection="1">
      <alignment horizontal="left" vertical="center"/>
    </xf>
    <xf numFmtId="0" fontId="1" fillId="0" borderId="40" xfId="0" applyNumberFormat="1" applyFont="1" applyFill="1" applyBorder="1" applyAlignment="1" applyProtection="1">
      <alignment horizontal="left" vertical="center"/>
    </xf>
    <xf numFmtId="0" fontId="1" fillId="0" borderId="28" xfId="0" applyNumberFormat="1" applyFont="1" applyFill="1" applyBorder="1" applyAlignment="1" applyProtection="1">
      <alignment horizontal="left" vertical="center"/>
    </xf>
    <xf numFmtId="49" fontId="14" fillId="0" borderId="49" xfId="0" applyNumberFormat="1" applyFont="1" applyFill="1" applyBorder="1" applyAlignment="1" applyProtection="1">
      <alignment horizontal="left" vertical="center"/>
    </xf>
    <xf numFmtId="0" fontId="14" fillId="0" borderId="29" xfId="0" applyNumberFormat="1" applyFont="1" applyFill="1" applyBorder="1" applyAlignment="1" applyProtection="1">
      <alignment horizontal="left" vertical="center"/>
    </xf>
    <xf numFmtId="0" fontId="14" fillId="0" borderId="50" xfId="0" applyNumberFormat="1" applyFont="1" applyFill="1" applyBorder="1" applyAlignment="1" applyProtection="1">
      <alignment horizontal="left" vertical="center"/>
    </xf>
    <xf numFmtId="4" fontId="14" fillId="0" borderId="49" xfId="0" applyNumberFormat="1" applyFont="1" applyFill="1" applyBorder="1" applyAlignment="1" applyProtection="1">
      <alignment horizontal="right" vertical="center"/>
    </xf>
    <xf numFmtId="0" fontId="14" fillId="0" borderId="29" xfId="0" applyNumberFormat="1" applyFont="1" applyFill="1" applyBorder="1" applyAlignment="1" applyProtection="1">
      <alignment horizontal="right" vertical="center"/>
    </xf>
    <xf numFmtId="0" fontId="14" fillId="0" borderId="50" xfId="0" applyNumberFormat="1" applyFont="1" applyFill="1" applyBorder="1" applyAlignment="1" applyProtection="1">
      <alignment horizontal="right" vertical="center"/>
    </xf>
    <xf numFmtId="49" fontId="14" fillId="0" borderId="30" xfId="0" applyNumberFormat="1" applyFont="1" applyFill="1" applyBorder="1" applyAlignment="1" applyProtection="1">
      <alignment horizontal="left" vertical="center"/>
    </xf>
    <xf numFmtId="0" fontId="14" fillId="0" borderId="30" xfId="0" applyNumberFormat="1" applyFont="1" applyFill="1" applyBorder="1" applyAlignment="1" applyProtection="1">
      <alignment horizontal="left" vertical="center"/>
    </xf>
    <xf numFmtId="0" fontId="1" fillId="0" borderId="35" xfId="0" applyNumberFormat="1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000000"/>
      <rgbColor rgb="00DBDBDB"/>
      <rgbColor rgb="00000000"/>
      <rgbColor rgb="00C0C0C0"/>
      <rgbColor rgb="00000000"/>
      <rgbColor rgb="0000FFFF"/>
      <rgbColor rgb="00000000"/>
      <rgbColor rgb="00000000"/>
      <rgbColor rgb="00000000"/>
      <rgbColor rgb="00000000"/>
      <rgbColor rgb="00000000"/>
      <rgbColor rgb="000000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workbookViewId="0"/>
  </sheetViews>
  <sheetFormatPr defaultColWidth="11.5546875" defaultRowHeight="13.2" x14ac:dyDescent="0.25"/>
  <cols>
    <col min="1" max="1" width="9.109375" customWidth="1"/>
    <col min="2" max="2" width="12.88671875" customWidth="1"/>
    <col min="3" max="3" width="22.88671875" customWidth="1"/>
    <col min="4" max="4" width="10" customWidth="1"/>
    <col min="5" max="5" width="14" customWidth="1"/>
    <col min="6" max="6" width="22.88671875" customWidth="1"/>
    <col min="7" max="7" width="9.109375" customWidth="1"/>
    <col min="8" max="8" width="12.88671875" customWidth="1"/>
    <col min="9" max="9" width="22.88671875" customWidth="1"/>
  </cols>
  <sheetData>
    <row r="1" spans="1:10" ht="72.900000000000006" customHeight="1" x14ac:dyDescent="0.25">
      <c r="A1" s="83"/>
      <c r="B1" s="57"/>
      <c r="C1" s="114" t="s">
        <v>582</v>
      </c>
      <c r="D1" s="115"/>
      <c r="E1" s="115"/>
      <c r="F1" s="115"/>
      <c r="G1" s="115"/>
      <c r="H1" s="115"/>
      <c r="I1" s="115"/>
    </row>
    <row r="2" spans="1:10" x14ac:dyDescent="0.25">
      <c r="A2" s="116" t="s">
        <v>1</v>
      </c>
      <c r="B2" s="117"/>
      <c r="C2" s="118" t="str">
        <f>'Stavební rozpočet'!D2</f>
        <v>Rekonstrukce kuželny Zábřeh - III. etapa - hospoda</v>
      </c>
      <c r="D2" s="119"/>
      <c r="E2" s="121" t="s">
        <v>415</v>
      </c>
      <c r="F2" s="121" t="str">
        <f>'Stavební rozpočet'!J2</f>
        <v>město Zábřeh</v>
      </c>
      <c r="G2" s="117"/>
      <c r="H2" s="121" t="s">
        <v>607</v>
      </c>
      <c r="I2" s="122"/>
      <c r="J2" s="42"/>
    </row>
    <row r="3" spans="1:10" x14ac:dyDescent="0.25">
      <c r="A3" s="113"/>
      <c r="B3" s="88"/>
      <c r="C3" s="120"/>
      <c r="D3" s="120"/>
      <c r="E3" s="88"/>
      <c r="F3" s="88"/>
      <c r="G3" s="88"/>
      <c r="H3" s="88"/>
      <c r="I3" s="106"/>
      <c r="J3" s="42"/>
    </row>
    <row r="4" spans="1:10" x14ac:dyDescent="0.25">
      <c r="A4" s="107" t="s">
        <v>2</v>
      </c>
      <c r="B4" s="88"/>
      <c r="C4" s="87" t="str">
        <f>'Stavební rozpočet'!D4</f>
        <v xml:space="preserve"> </v>
      </c>
      <c r="D4" s="88"/>
      <c r="E4" s="87" t="s">
        <v>416</v>
      </c>
      <c r="F4" s="87" t="str">
        <f>'Stavební rozpočet'!J4</f>
        <v xml:space="preserve"> </v>
      </c>
      <c r="G4" s="88"/>
      <c r="H4" s="87" t="s">
        <v>607</v>
      </c>
      <c r="I4" s="105"/>
      <c r="J4" s="42"/>
    </row>
    <row r="5" spans="1:10" x14ac:dyDescent="0.25">
      <c r="A5" s="113"/>
      <c r="B5" s="88"/>
      <c r="C5" s="88"/>
      <c r="D5" s="88"/>
      <c r="E5" s="88"/>
      <c r="F5" s="88"/>
      <c r="G5" s="88"/>
      <c r="H5" s="88"/>
      <c r="I5" s="106"/>
      <c r="J5" s="42"/>
    </row>
    <row r="6" spans="1:10" x14ac:dyDescent="0.25">
      <c r="A6" s="107" t="s">
        <v>3</v>
      </c>
      <c r="B6" s="88"/>
      <c r="C6" s="87" t="str">
        <f>'Stavební rozpočet'!D6</f>
        <v xml:space="preserve"> </v>
      </c>
      <c r="D6" s="88"/>
      <c r="E6" s="87" t="s">
        <v>417</v>
      </c>
      <c r="F6" s="87" t="str">
        <f>'Stavební rozpočet'!J6</f>
        <v xml:space="preserve"> </v>
      </c>
      <c r="G6" s="88"/>
      <c r="H6" s="87" t="s">
        <v>607</v>
      </c>
      <c r="I6" s="105"/>
      <c r="J6" s="42"/>
    </row>
    <row r="7" spans="1:10" x14ac:dyDescent="0.25">
      <c r="A7" s="113"/>
      <c r="B7" s="88"/>
      <c r="C7" s="88"/>
      <c r="D7" s="88"/>
      <c r="E7" s="88"/>
      <c r="F7" s="88"/>
      <c r="G7" s="88"/>
      <c r="H7" s="88"/>
      <c r="I7" s="106"/>
      <c r="J7" s="42"/>
    </row>
    <row r="8" spans="1:10" x14ac:dyDescent="0.25">
      <c r="A8" s="107" t="s">
        <v>397</v>
      </c>
      <c r="B8" s="88"/>
      <c r="C8" s="87" t="str">
        <f>'Stavební rozpočet'!G4</f>
        <v xml:space="preserve"> </v>
      </c>
      <c r="D8" s="88"/>
      <c r="E8" s="87" t="s">
        <v>398</v>
      </c>
      <c r="F8" s="87" t="str">
        <f>'Stavební rozpočet'!G6</f>
        <v xml:space="preserve"> </v>
      </c>
      <c r="G8" s="88"/>
      <c r="H8" s="110" t="s">
        <v>608</v>
      </c>
      <c r="I8" s="105" t="s">
        <v>115</v>
      </c>
      <c r="J8" s="42"/>
    </row>
    <row r="9" spans="1:10" x14ac:dyDescent="0.25">
      <c r="A9" s="113"/>
      <c r="B9" s="88"/>
      <c r="C9" s="88"/>
      <c r="D9" s="88"/>
      <c r="E9" s="88"/>
      <c r="F9" s="88"/>
      <c r="G9" s="88"/>
      <c r="H9" s="88"/>
      <c r="I9" s="106"/>
      <c r="J9" s="42"/>
    </row>
    <row r="10" spans="1:10" x14ac:dyDescent="0.25">
      <c r="A10" s="107" t="s">
        <v>4</v>
      </c>
      <c r="B10" s="88"/>
      <c r="C10" s="87" t="str">
        <f>'Stavební rozpočet'!D8</f>
        <v xml:space="preserve"> </v>
      </c>
      <c r="D10" s="88"/>
      <c r="E10" s="87" t="s">
        <v>418</v>
      </c>
      <c r="F10" s="87" t="str">
        <f>'Stavební rozpočet'!J8</f>
        <v xml:space="preserve"> </v>
      </c>
      <c r="G10" s="88"/>
      <c r="H10" s="110" t="s">
        <v>609</v>
      </c>
      <c r="I10" s="111" t="str">
        <f>'Stavební rozpočet'!G8</f>
        <v>02.03.2019</v>
      </c>
      <c r="J10" s="42"/>
    </row>
    <row r="11" spans="1:10" x14ac:dyDescent="0.25">
      <c r="A11" s="108"/>
      <c r="B11" s="109"/>
      <c r="C11" s="109"/>
      <c r="D11" s="109"/>
      <c r="E11" s="109"/>
      <c r="F11" s="109"/>
      <c r="G11" s="109"/>
      <c r="H11" s="109"/>
      <c r="I11" s="112"/>
      <c r="J11" s="42"/>
    </row>
    <row r="12" spans="1:10" ht="23.4" customHeight="1" x14ac:dyDescent="0.25">
      <c r="A12" s="101" t="s">
        <v>567</v>
      </c>
      <c r="B12" s="102"/>
      <c r="C12" s="102"/>
      <c r="D12" s="102"/>
      <c r="E12" s="102"/>
      <c r="F12" s="102"/>
      <c r="G12" s="102"/>
      <c r="H12" s="102"/>
      <c r="I12" s="102"/>
    </row>
    <row r="13" spans="1:10" ht="26.4" customHeight="1" x14ac:dyDescent="0.25">
      <c r="A13" s="58" t="s">
        <v>568</v>
      </c>
      <c r="B13" s="103" t="s">
        <v>580</v>
      </c>
      <c r="C13" s="104"/>
      <c r="D13" s="58" t="s">
        <v>583</v>
      </c>
      <c r="E13" s="103" t="s">
        <v>593</v>
      </c>
      <c r="F13" s="104"/>
      <c r="G13" s="58" t="s">
        <v>594</v>
      </c>
      <c r="H13" s="103" t="s">
        <v>610</v>
      </c>
      <c r="I13" s="104"/>
      <c r="J13" s="42"/>
    </row>
    <row r="14" spans="1:10" ht="15.15" customHeight="1" x14ac:dyDescent="0.25">
      <c r="A14" s="59" t="s">
        <v>569</v>
      </c>
      <c r="B14" s="63" t="s">
        <v>581</v>
      </c>
      <c r="C14" s="67">
        <f>SUM('Stavební rozpočet'!R12:R162)</f>
        <v>0</v>
      </c>
      <c r="D14" s="99" t="s">
        <v>584</v>
      </c>
      <c r="E14" s="100"/>
      <c r="F14" s="67">
        <f>VORN!I15</f>
        <v>0</v>
      </c>
      <c r="G14" s="99" t="s">
        <v>595</v>
      </c>
      <c r="H14" s="100"/>
      <c r="I14" s="67">
        <f>VORN!I22</f>
        <v>0</v>
      </c>
      <c r="J14" s="42"/>
    </row>
    <row r="15" spans="1:10" ht="15.15" customHeight="1" x14ac:dyDescent="0.25">
      <c r="A15" s="60"/>
      <c r="B15" s="63" t="s">
        <v>419</v>
      </c>
      <c r="C15" s="67">
        <f>SUM('Stavební rozpočet'!S12:S162)</f>
        <v>0</v>
      </c>
      <c r="D15" s="99" t="s">
        <v>585</v>
      </c>
      <c r="E15" s="100"/>
      <c r="F15" s="67">
        <f>VORN!I16</f>
        <v>0</v>
      </c>
      <c r="G15" s="99" t="s">
        <v>596</v>
      </c>
      <c r="H15" s="100"/>
      <c r="I15" s="67">
        <f>VORN!I23</f>
        <v>0</v>
      </c>
      <c r="J15" s="42"/>
    </row>
    <row r="16" spans="1:10" ht="15.15" customHeight="1" x14ac:dyDescent="0.25">
      <c r="A16" s="59" t="s">
        <v>570</v>
      </c>
      <c r="B16" s="63" t="s">
        <v>581</v>
      </c>
      <c r="C16" s="67">
        <f>SUM('Stavební rozpočet'!T12:T162)</f>
        <v>0</v>
      </c>
      <c r="D16" s="99" t="s">
        <v>586</v>
      </c>
      <c r="E16" s="100"/>
      <c r="F16" s="67">
        <f>VORN!I17</f>
        <v>0</v>
      </c>
      <c r="G16" s="99" t="s">
        <v>597</v>
      </c>
      <c r="H16" s="100"/>
      <c r="I16" s="67">
        <f>VORN!I24</f>
        <v>0</v>
      </c>
      <c r="J16" s="42"/>
    </row>
    <row r="17" spans="1:10" ht="15.15" customHeight="1" x14ac:dyDescent="0.25">
      <c r="A17" s="60"/>
      <c r="B17" s="63" t="s">
        <v>419</v>
      </c>
      <c r="C17" s="67">
        <f>SUM('Stavební rozpočet'!U12:U162)</f>
        <v>0</v>
      </c>
      <c r="D17" s="99" t="s">
        <v>587</v>
      </c>
      <c r="E17" s="100"/>
      <c r="F17" s="67">
        <f>VORN!I18</f>
        <v>0</v>
      </c>
      <c r="G17" s="99" t="s">
        <v>598</v>
      </c>
      <c r="H17" s="100"/>
      <c r="I17" s="67">
        <f>VORN!I25</f>
        <v>0</v>
      </c>
      <c r="J17" s="42"/>
    </row>
    <row r="18" spans="1:10" ht="15.15" customHeight="1" x14ac:dyDescent="0.25">
      <c r="A18" s="59" t="s">
        <v>571</v>
      </c>
      <c r="B18" s="63" t="s">
        <v>581</v>
      </c>
      <c r="C18" s="67">
        <f>SUM('Stavební rozpočet'!V12:V162)</f>
        <v>0</v>
      </c>
      <c r="D18" s="99"/>
      <c r="E18" s="100"/>
      <c r="F18" s="68"/>
      <c r="G18" s="99" t="s">
        <v>394</v>
      </c>
      <c r="H18" s="100"/>
      <c r="I18" s="67">
        <f>VORN!I26</f>
        <v>0</v>
      </c>
      <c r="J18" s="42"/>
    </row>
    <row r="19" spans="1:10" ht="15.15" customHeight="1" x14ac:dyDescent="0.25">
      <c r="A19" s="60"/>
      <c r="B19" s="63" t="s">
        <v>419</v>
      </c>
      <c r="C19" s="67">
        <f>SUM('Stavební rozpočet'!W12:W162)</f>
        <v>0</v>
      </c>
      <c r="D19" s="99"/>
      <c r="E19" s="100"/>
      <c r="F19" s="68"/>
      <c r="G19" s="99" t="s">
        <v>599</v>
      </c>
      <c r="H19" s="100"/>
      <c r="I19" s="67">
        <f>VORN!I27</f>
        <v>0</v>
      </c>
      <c r="J19" s="42"/>
    </row>
    <row r="20" spans="1:10" ht="15.15" customHeight="1" x14ac:dyDescent="0.25">
      <c r="A20" s="97" t="s">
        <v>572</v>
      </c>
      <c r="B20" s="98"/>
      <c r="C20" s="67">
        <f>SUM('Stavební rozpočet'!X12:X162)</f>
        <v>0</v>
      </c>
      <c r="D20" s="99"/>
      <c r="E20" s="100"/>
      <c r="F20" s="68"/>
      <c r="G20" s="99"/>
      <c r="H20" s="100"/>
      <c r="I20" s="68"/>
      <c r="J20" s="42"/>
    </row>
    <row r="21" spans="1:10" ht="15.15" customHeight="1" x14ac:dyDescent="0.25">
      <c r="A21" s="97" t="s">
        <v>573</v>
      </c>
      <c r="B21" s="98"/>
      <c r="C21" s="67">
        <f>SUM('Stavební rozpočet'!P12:P162)</f>
        <v>0</v>
      </c>
      <c r="D21" s="99"/>
      <c r="E21" s="100"/>
      <c r="F21" s="68"/>
      <c r="G21" s="99"/>
      <c r="H21" s="100"/>
      <c r="I21" s="68"/>
      <c r="J21" s="42"/>
    </row>
    <row r="22" spans="1:10" ht="16.649999999999999" customHeight="1" x14ac:dyDescent="0.25">
      <c r="A22" s="97" t="s">
        <v>574</v>
      </c>
      <c r="B22" s="98"/>
      <c r="C22" s="67">
        <f>SUM(C14:C21)</f>
        <v>0</v>
      </c>
      <c r="D22" s="97" t="s">
        <v>588</v>
      </c>
      <c r="E22" s="98"/>
      <c r="F22" s="67">
        <f>SUM(F14:F21)</f>
        <v>0</v>
      </c>
      <c r="G22" s="97" t="s">
        <v>600</v>
      </c>
      <c r="H22" s="98"/>
      <c r="I22" s="67">
        <f>SUM(I14:I21)</f>
        <v>0</v>
      </c>
      <c r="J22" s="42"/>
    </row>
    <row r="23" spans="1:10" ht="15.15" customHeight="1" x14ac:dyDescent="0.25">
      <c r="A23" s="9"/>
      <c r="B23" s="9"/>
      <c r="C23" s="65"/>
      <c r="D23" s="97" t="s">
        <v>589</v>
      </c>
      <c r="E23" s="98"/>
      <c r="F23" s="69">
        <v>0</v>
      </c>
      <c r="G23" s="97" t="s">
        <v>601</v>
      </c>
      <c r="H23" s="98"/>
      <c r="I23" s="67">
        <v>0</v>
      </c>
      <c r="J23" s="42"/>
    </row>
    <row r="24" spans="1:10" ht="15.15" customHeight="1" x14ac:dyDescent="0.25">
      <c r="D24" s="9"/>
      <c r="E24" s="9"/>
      <c r="F24" s="70"/>
      <c r="G24" s="97" t="s">
        <v>602</v>
      </c>
      <c r="H24" s="98"/>
      <c r="I24" s="67">
        <f>vorn_sum</f>
        <v>0</v>
      </c>
      <c r="J24" s="42"/>
    </row>
    <row r="25" spans="1:10" ht="15.15" customHeight="1" x14ac:dyDescent="0.25">
      <c r="F25" s="71"/>
      <c r="G25" s="97" t="s">
        <v>603</v>
      </c>
      <c r="H25" s="98"/>
      <c r="I25" s="67">
        <v>0</v>
      </c>
      <c r="J25" s="42"/>
    </row>
    <row r="26" spans="1:10" x14ac:dyDescent="0.25">
      <c r="A26" s="57"/>
      <c r="B26" s="57"/>
      <c r="C26" s="57"/>
      <c r="G26" s="9"/>
      <c r="H26" s="9"/>
      <c r="I26" s="9"/>
    </row>
    <row r="27" spans="1:10" ht="15.15" customHeight="1" x14ac:dyDescent="0.25">
      <c r="A27" s="95" t="s">
        <v>575</v>
      </c>
      <c r="B27" s="96"/>
      <c r="C27" s="72">
        <f>SUM('Stavební rozpočet'!Z12:Z162)</f>
        <v>0</v>
      </c>
      <c r="D27" s="66"/>
      <c r="E27" s="57"/>
      <c r="F27" s="57"/>
      <c r="G27" s="57"/>
      <c r="H27" s="57"/>
      <c r="I27" s="57"/>
    </row>
    <row r="28" spans="1:10" ht="15.15" customHeight="1" x14ac:dyDescent="0.25">
      <c r="A28" s="95" t="s">
        <v>576</v>
      </c>
      <c r="B28" s="96"/>
      <c r="C28" s="72">
        <f>SUM('Stavební rozpočet'!AA12:AA162)</f>
        <v>0</v>
      </c>
      <c r="D28" s="95" t="s">
        <v>590</v>
      </c>
      <c r="E28" s="96"/>
      <c r="F28" s="72">
        <f>ROUND(C28*(15/100),2)</f>
        <v>0</v>
      </c>
      <c r="G28" s="95" t="s">
        <v>604</v>
      </c>
      <c r="H28" s="96"/>
      <c r="I28" s="72">
        <f>SUM(C27:C29)</f>
        <v>0</v>
      </c>
      <c r="J28" s="42"/>
    </row>
    <row r="29" spans="1:10" ht="15.15" customHeight="1" x14ac:dyDescent="0.25">
      <c r="A29" s="95" t="s">
        <v>577</v>
      </c>
      <c r="B29" s="96"/>
      <c r="C29" s="72">
        <f>SUM('Stavební rozpočet'!AB12:AB162)+(F22+I22+F23+I23+I24+I25)</f>
        <v>0</v>
      </c>
      <c r="D29" s="95" t="s">
        <v>591</v>
      </c>
      <c r="E29" s="96"/>
      <c r="F29" s="72">
        <f>ROUND(C29*(21/100),2)</f>
        <v>0</v>
      </c>
      <c r="G29" s="95" t="s">
        <v>605</v>
      </c>
      <c r="H29" s="96"/>
      <c r="I29" s="72">
        <f>SUM(F28:F29)+I28</f>
        <v>0</v>
      </c>
      <c r="J29" s="42"/>
    </row>
    <row r="30" spans="1:10" x14ac:dyDescent="0.25">
      <c r="A30" s="61"/>
      <c r="B30" s="61"/>
      <c r="C30" s="61"/>
      <c r="D30" s="61"/>
      <c r="E30" s="61"/>
      <c r="F30" s="61"/>
      <c r="G30" s="61"/>
      <c r="H30" s="61"/>
      <c r="I30" s="61"/>
    </row>
    <row r="31" spans="1:10" ht="14.4" customHeight="1" x14ac:dyDescent="0.25">
      <c r="A31" s="92" t="s">
        <v>578</v>
      </c>
      <c r="B31" s="93"/>
      <c r="C31" s="94"/>
      <c r="D31" s="92" t="s">
        <v>592</v>
      </c>
      <c r="E31" s="93"/>
      <c r="F31" s="94"/>
      <c r="G31" s="92" t="s">
        <v>606</v>
      </c>
      <c r="H31" s="93"/>
      <c r="I31" s="94"/>
      <c r="J31" s="43"/>
    </row>
    <row r="32" spans="1:10" ht="14.4" customHeight="1" x14ac:dyDescent="0.25">
      <c r="A32" s="84"/>
      <c r="B32" s="85"/>
      <c r="C32" s="86"/>
      <c r="D32" s="84"/>
      <c r="E32" s="85"/>
      <c r="F32" s="86"/>
      <c r="G32" s="84"/>
      <c r="H32" s="85"/>
      <c r="I32" s="86"/>
      <c r="J32" s="43"/>
    </row>
    <row r="33" spans="1:10" ht="14.4" customHeight="1" x14ac:dyDescent="0.25">
      <c r="A33" s="84"/>
      <c r="B33" s="85"/>
      <c r="C33" s="86"/>
      <c r="D33" s="84"/>
      <c r="E33" s="85"/>
      <c r="F33" s="86"/>
      <c r="G33" s="84"/>
      <c r="H33" s="85"/>
      <c r="I33" s="86"/>
      <c r="J33" s="43"/>
    </row>
    <row r="34" spans="1:10" ht="14.4" customHeight="1" x14ac:dyDescent="0.25">
      <c r="A34" s="84"/>
      <c r="B34" s="85"/>
      <c r="C34" s="86"/>
      <c r="D34" s="84"/>
      <c r="E34" s="85"/>
      <c r="F34" s="86"/>
      <c r="G34" s="84"/>
      <c r="H34" s="85"/>
      <c r="I34" s="86"/>
      <c r="J34" s="43"/>
    </row>
    <row r="35" spans="1:10" ht="14.4" customHeight="1" x14ac:dyDescent="0.25">
      <c r="A35" s="89" t="s">
        <v>579</v>
      </c>
      <c r="B35" s="90"/>
      <c r="C35" s="91"/>
      <c r="D35" s="89" t="s">
        <v>579</v>
      </c>
      <c r="E35" s="90"/>
      <c r="F35" s="91"/>
      <c r="G35" s="89" t="s">
        <v>579</v>
      </c>
      <c r="H35" s="90"/>
      <c r="I35" s="91"/>
      <c r="J35" s="43"/>
    </row>
    <row r="36" spans="1:10" ht="11.25" customHeight="1" x14ac:dyDescent="0.25">
      <c r="A36" s="62" t="s">
        <v>116</v>
      </c>
      <c r="B36" s="64"/>
      <c r="C36" s="64"/>
      <c r="D36" s="64"/>
      <c r="E36" s="64"/>
      <c r="F36" s="64"/>
      <c r="G36" s="64"/>
      <c r="H36" s="64"/>
      <c r="I36" s="64"/>
    </row>
    <row r="37" spans="1:10" x14ac:dyDescent="0.25">
      <c r="A37" s="87"/>
      <c r="B37" s="88"/>
      <c r="C37" s="88"/>
      <c r="D37" s="88"/>
      <c r="E37" s="88"/>
      <c r="F37" s="88"/>
      <c r="G37" s="88"/>
      <c r="H37" s="88"/>
      <c r="I37" s="88"/>
    </row>
  </sheetData>
  <sheetProtection sheet="1" objects="1" scenarios="1"/>
  <mergeCells count="83">
    <mergeCell ref="C1:I1"/>
    <mergeCell ref="A2:B3"/>
    <mergeCell ref="C2:D3"/>
    <mergeCell ref="E2:E3"/>
    <mergeCell ref="F2:G3"/>
    <mergeCell ref="H2:H3"/>
    <mergeCell ref="I2:I3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A28:B28"/>
    <mergeCell ref="D28:E28"/>
    <mergeCell ref="G28:H28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3:C33"/>
    <mergeCell ref="D33:F33"/>
    <mergeCell ref="G33:I33"/>
    <mergeCell ref="A37:I37"/>
    <mergeCell ref="A34:C34"/>
    <mergeCell ref="D34:F34"/>
    <mergeCell ref="G34:I34"/>
    <mergeCell ref="A35:C35"/>
    <mergeCell ref="D35:F35"/>
    <mergeCell ref="G35:I35"/>
  </mergeCells>
  <pageMargins left="0.39400000000000002" right="0.39400000000000002" top="0.59099999999999997" bottom="0.59099999999999997" header="0.5" footer="0.5"/>
  <pageSetup paperSize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65"/>
  <sheetViews>
    <sheetView workbookViewId="0">
      <pane ySplit="11" topLeftCell="A66" activePane="bottomLeft" state="frozenSplit"/>
      <selection pane="bottomLeft" sqref="A1:M1"/>
    </sheetView>
  </sheetViews>
  <sheetFormatPr defaultColWidth="11.5546875" defaultRowHeight="13.2" x14ac:dyDescent="0.25"/>
  <cols>
    <col min="1" max="1" width="3.6640625" customWidth="1"/>
    <col min="2" max="2" width="6.88671875" customWidth="1"/>
    <col min="3" max="3" width="13.33203125" customWidth="1"/>
    <col min="4" max="4" width="72.109375" customWidth="1"/>
    <col min="5" max="5" width="6.44140625" customWidth="1"/>
    <col min="6" max="6" width="12.88671875" customWidth="1"/>
    <col min="7" max="7" width="12" customWidth="1"/>
    <col min="8" max="10" width="14.33203125" customWidth="1"/>
    <col min="11" max="12" width="11.6640625" customWidth="1"/>
    <col min="13" max="13" width="6.44140625" customWidth="1"/>
    <col min="14" max="14" width="0" hidden="1" customWidth="1"/>
    <col min="15" max="48" width="12.109375" hidden="1" customWidth="1"/>
  </cols>
  <sheetData>
    <row r="1" spans="1:48" ht="72.900000000000006" customHeight="1" x14ac:dyDescent="0.4">
      <c r="A1" s="135" t="s">
        <v>0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</row>
    <row r="2" spans="1:48" x14ac:dyDescent="0.25">
      <c r="A2" s="116" t="s">
        <v>1</v>
      </c>
      <c r="B2" s="117"/>
      <c r="C2" s="117"/>
      <c r="D2" s="118" t="s">
        <v>243</v>
      </c>
      <c r="E2" s="136" t="s">
        <v>396</v>
      </c>
      <c r="F2" s="117"/>
      <c r="G2" s="137" t="s">
        <v>6</v>
      </c>
      <c r="H2" s="138"/>
      <c r="I2" s="121" t="s">
        <v>415</v>
      </c>
      <c r="J2" s="121" t="s">
        <v>420</v>
      </c>
      <c r="K2" s="117"/>
      <c r="L2" s="117"/>
      <c r="M2" s="139"/>
      <c r="N2" s="42"/>
    </row>
    <row r="3" spans="1:48" x14ac:dyDescent="0.25">
      <c r="A3" s="113"/>
      <c r="B3" s="88"/>
      <c r="C3" s="88"/>
      <c r="D3" s="120"/>
      <c r="E3" s="88"/>
      <c r="F3" s="88"/>
      <c r="G3" s="130"/>
      <c r="H3" s="130"/>
      <c r="I3" s="88"/>
      <c r="J3" s="88"/>
      <c r="K3" s="88"/>
      <c r="L3" s="88"/>
      <c r="M3" s="106"/>
      <c r="N3" s="42"/>
    </row>
    <row r="4" spans="1:48" x14ac:dyDescent="0.25">
      <c r="A4" s="107" t="s">
        <v>2</v>
      </c>
      <c r="B4" s="88"/>
      <c r="C4" s="88"/>
      <c r="D4" s="87" t="s">
        <v>6</v>
      </c>
      <c r="E4" s="110" t="s">
        <v>397</v>
      </c>
      <c r="F4" s="88"/>
      <c r="G4" s="129" t="s">
        <v>6</v>
      </c>
      <c r="H4" s="130"/>
      <c r="I4" s="87" t="s">
        <v>416</v>
      </c>
      <c r="J4" s="87" t="s">
        <v>6</v>
      </c>
      <c r="K4" s="88"/>
      <c r="L4" s="88"/>
      <c r="M4" s="106"/>
      <c r="N4" s="42"/>
    </row>
    <row r="5" spans="1:48" x14ac:dyDescent="0.25">
      <c r="A5" s="113"/>
      <c r="B5" s="88"/>
      <c r="C5" s="88"/>
      <c r="D5" s="88"/>
      <c r="E5" s="88"/>
      <c r="F5" s="88"/>
      <c r="G5" s="130"/>
      <c r="H5" s="130"/>
      <c r="I5" s="88"/>
      <c r="J5" s="88"/>
      <c r="K5" s="88"/>
      <c r="L5" s="88"/>
      <c r="M5" s="106"/>
      <c r="N5" s="42"/>
    </row>
    <row r="6" spans="1:48" x14ac:dyDescent="0.25">
      <c r="A6" s="107" t="s">
        <v>3</v>
      </c>
      <c r="B6" s="88"/>
      <c r="C6" s="88"/>
      <c r="D6" s="87" t="s">
        <v>6</v>
      </c>
      <c r="E6" s="110" t="s">
        <v>398</v>
      </c>
      <c r="F6" s="88"/>
      <c r="G6" s="129" t="s">
        <v>6</v>
      </c>
      <c r="H6" s="130"/>
      <c r="I6" s="87" t="s">
        <v>417</v>
      </c>
      <c r="J6" s="132" t="s">
        <v>6</v>
      </c>
      <c r="K6" s="130"/>
      <c r="L6" s="130"/>
      <c r="M6" s="133"/>
      <c r="N6" s="42"/>
    </row>
    <row r="7" spans="1:48" x14ac:dyDescent="0.25">
      <c r="A7" s="113"/>
      <c r="B7" s="88"/>
      <c r="C7" s="88"/>
      <c r="D7" s="88"/>
      <c r="E7" s="88"/>
      <c r="F7" s="88"/>
      <c r="G7" s="130"/>
      <c r="H7" s="130"/>
      <c r="I7" s="88"/>
      <c r="J7" s="130"/>
      <c r="K7" s="130"/>
      <c r="L7" s="130"/>
      <c r="M7" s="133"/>
      <c r="N7" s="42"/>
    </row>
    <row r="8" spans="1:48" x14ac:dyDescent="0.25">
      <c r="A8" s="107" t="s">
        <v>4</v>
      </c>
      <c r="B8" s="88"/>
      <c r="C8" s="88"/>
      <c r="D8" s="87" t="s">
        <v>6</v>
      </c>
      <c r="E8" s="110" t="s">
        <v>399</v>
      </c>
      <c r="F8" s="88"/>
      <c r="G8" s="129" t="s">
        <v>409</v>
      </c>
      <c r="H8" s="130"/>
      <c r="I8" s="87" t="s">
        <v>418</v>
      </c>
      <c r="J8" s="132" t="s">
        <v>6</v>
      </c>
      <c r="K8" s="130"/>
      <c r="L8" s="130"/>
      <c r="M8" s="133"/>
      <c r="N8" s="42"/>
    </row>
    <row r="9" spans="1:48" x14ac:dyDescent="0.25">
      <c r="A9" s="127"/>
      <c r="B9" s="128"/>
      <c r="C9" s="128"/>
      <c r="D9" s="128"/>
      <c r="E9" s="128"/>
      <c r="F9" s="128"/>
      <c r="G9" s="131"/>
      <c r="H9" s="131"/>
      <c r="I9" s="128"/>
      <c r="J9" s="131"/>
      <c r="K9" s="131"/>
      <c r="L9" s="131"/>
      <c r="M9" s="134"/>
      <c r="N9" s="42"/>
    </row>
    <row r="10" spans="1:48" x14ac:dyDescent="0.25">
      <c r="A10" s="1" t="s">
        <v>5</v>
      </c>
      <c r="B10" s="11" t="s">
        <v>117</v>
      </c>
      <c r="C10" s="11" t="s">
        <v>121</v>
      </c>
      <c r="D10" s="11" t="s">
        <v>244</v>
      </c>
      <c r="E10" s="11" t="s">
        <v>400</v>
      </c>
      <c r="F10" s="18" t="s">
        <v>408</v>
      </c>
      <c r="G10" s="22" t="s">
        <v>410</v>
      </c>
      <c r="H10" s="123" t="s">
        <v>412</v>
      </c>
      <c r="I10" s="124"/>
      <c r="J10" s="125"/>
      <c r="K10" s="123" t="s">
        <v>422</v>
      </c>
      <c r="L10" s="125"/>
      <c r="M10" s="37" t="s">
        <v>423</v>
      </c>
      <c r="N10" s="43"/>
    </row>
    <row r="11" spans="1:48" x14ac:dyDescent="0.25">
      <c r="A11" s="2" t="s">
        <v>6</v>
      </c>
      <c r="B11" s="12" t="s">
        <v>6</v>
      </c>
      <c r="C11" s="12" t="s">
        <v>6</v>
      </c>
      <c r="D11" s="16" t="s">
        <v>245</v>
      </c>
      <c r="E11" s="12" t="s">
        <v>6</v>
      </c>
      <c r="F11" s="12" t="s">
        <v>6</v>
      </c>
      <c r="G11" s="23" t="s">
        <v>411</v>
      </c>
      <c r="H11" s="31" t="s">
        <v>413</v>
      </c>
      <c r="I11" s="32" t="s">
        <v>419</v>
      </c>
      <c r="J11" s="33" t="s">
        <v>421</v>
      </c>
      <c r="K11" s="31" t="s">
        <v>410</v>
      </c>
      <c r="L11" s="33" t="s">
        <v>421</v>
      </c>
      <c r="M11" s="38" t="s">
        <v>424</v>
      </c>
      <c r="N11" s="43"/>
      <c r="P11" s="35" t="s">
        <v>426</v>
      </c>
      <c r="Q11" s="35" t="s">
        <v>427</v>
      </c>
      <c r="R11" s="35" t="s">
        <v>428</v>
      </c>
      <c r="S11" s="35" t="s">
        <v>429</v>
      </c>
      <c r="T11" s="35" t="s">
        <v>430</v>
      </c>
      <c r="U11" s="35" t="s">
        <v>431</v>
      </c>
      <c r="V11" s="35" t="s">
        <v>432</v>
      </c>
      <c r="W11" s="35" t="s">
        <v>433</v>
      </c>
      <c r="X11" s="35" t="s">
        <v>434</v>
      </c>
    </row>
    <row r="12" spans="1:48" x14ac:dyDescent="0.25">
      <c r="A12" s="3"/>
      <c r="B12" s="13" t="s">
        <v>118</v>
      </c>
      <c r="C12" s="13"/>
      <c r="D12" s="13" t="s">
        <v>246</v>
      </c>
      <c r="E12" s="3" t="s">
        <v>6</v>
      </c>
      <c r="F12" s="3" t="s">
        <v>6</v>
      </c>
      <c r="G12" s="24" t="s">
        <v>6</v>
      </c>
      <c r="H12" s="46">
        <f>H13+H17+H20+H29+H31+H40+H47+H52+H58+H61+H79+H88+H104+H116+H123+H130+H132+H134+H136+H139+H148+H150</f>
        <v>0</v>
      </c>
      <c r="I12" s="46">
        <f>I13+I17+I20+I29+I31+I40+I47+I52+I58+I61+I79+I88+I104+I116+I123+I130+I132+I134+I136+I139+I148+I150</f>
        <v>0</v>
      </c>
      <c r="J12" s="46">
        <f>H12+I12</f>
        <v>0</v>
      </c>
      <c r="K12" s="34"/>
      <c r="L12" s="46">
        <f>L13+L17+L20+L29+L31+L40+L47+L52+L58+L61+L79+L88+L104+L116+L123+L130+L132+L134+L136+L139+L148+L150</f>
        <v>32.5024640265</v>
      </c>
      <c r="M12" s="34"/>
    </row>
    <row r="13" spans="1:48" x14ac:dyDescent="0.25">
      <c r="A13" s="4"/>
      <c r="B13" s="14" t="s">
        <v>118</v>
      </c>
      <c r="C13" s="14" t="s">
        <v>23</v>
      </c>
      <c r="D13" s="14" t="s">
        <v>247</v>
      </c>
      <c r="E13" s="4" t="s">
        <v>6</v>
      </c>
      <c r="F13" s="4" t="s">
        <v>6</v>
      </c>
      <c r="G13" s="25" t="s">
        <v>6</v>
      </c>
      <c r="H13" s="47">
        <f>SUM(H14:H16)</f>
        <v>0</v>
      </c>
      <c r="I13" s="47">
        <f>SUM(I14:I16)</f>
        <v>0</v>
      </c>
      <c r="J13" s="47">
        <f>H13+I13</f>
        <v>0</v>
      </c>
      <c r="K13" s="35"/>
      <c r="L13" s="47">
        <f>SUM(L14:L16)</f>
        <v>0</v>
      </c>
      <c r="M13" s="35"/>
      <c r="Y13" s="35" t="s">
        <v>118</v>
      </c>
      <c r="AI13" s="47">
        <f>SUM(Z14:Z16)</f>
        <v>0</v>
      </c>
      <c r="AJ13" s="47">
        <f>SUM(AA14:AA16)</f>
        <v>0</v>
      </c>
      <c r="AK13" s="47">
        <f>SUM(AB14:AB16)</f>
        <v>0</v>
      </c>
    </row>
    <row r="14" spans="1:48" x14ac:dyDescent="0.25">
      <c r="A14" s="5" t="s">
        <v>7</v>
      </c>
      <c r="B14" s="5" t="s">
        <v>118</v>
      </c>
      <c r="C14" s="5" t="s">
        <v>122</v>
      </c>
      <c r="D14" s="5" t="s">
        <v>248</v>
      </c>
      <c r="E14" s="5" t="s">
        <v>401</v>
      </c>
      <c r="F14" s="19">
        <v>1.65</v>
      </c>
      <c r="G14" s="26">
        <v>0</v>
      </c>
      <c r="H14" s="19">
        <f>F14*AE14</f>
        <v>0</v>
      </c>
      <c r="I14" s="19">
        <f>J14-H14</f>
        <v>0</v>
      </c>
      <c r="J14" s="19">
        <f>F14*G14</f>
        <v>0</v>
      </c>
      <c r="K14" s="19">
        <v>0</v>
      </c>
      <c r="L14" s="19">
        <f>F14*K14</f>
        <v>0</v>
      </c>
      <c r="M14" s="39" t="s">
        <v>425</v>
      </c>
      <c r="P14" s="44">
        <f>IF(AG14="5",J14,0)</f>
        <v>0</v>
      </c>
      <c r="R14" s="44">
        <f>IF(AG14="1",H14,0)</f>
        <v>0</v>
      </c>
      <c r="S14" s="44">
        <f>IF(AG14="1",I14,0)</f>
        <v>0</v>
      </c>
      <c r="T14" s="44">
        <f>IF(AG14="7",H14,0)</f>
        <v>0</v>
      </c>
      <c r="U14" s="44">
        <f>IF(AG14="7",I14,0)</f>
        <v>0</v>
      </c>
      <c r="V14" s="44">
        <f>IF(AG14="2",H14,0)</f>
        <v>0</v>
      </c>
      <c r="W14" s="44">
        <f>IF(AG14="2",I14,0)</f>
        <v>0</v>
      </c>
      <c r="X14" s="44">
        <f>IF(AG14="0",J14,0)</f>
        <v>0</v>
      </c>
      <c r="Y14" s="35" t="s">
        <v>118</v>
      </c>
      <c r="Z14" s="19">
        <f>IF(AD14=0,J14,0)</f>
        <v>0</v>
      </c>
      <c r="AA14" s="19">
        <f>IF(AD14=15,J14,0)</f>
        <v>0</v>
      </c>
      <c r="AB14" s="19">
        <f>IF(AD14=21,J14,0)</f>
        <v>0</v>
      </c>
      <c r="AD14" s="44">
        <v>21</v>
      </c>
      <c r="AE14" s="44">
        <f>G14*0</f>
        <v>0</v>
      </c>
      <c r="AF14" s="44">
        <f>G14*(1-0)</f>
        <v>0</v>
      </c>
      <c r="AG14" s="39" t="s">
        <v>7</v>
      </c>
      <c r="AM14" s="44">
        <f>F14*AE14</f>
        <v>0</v>
      </c>
      <c r="AN14" s="44">
        <f>F14*AF14</f>
        <v>0</v>
      </c>
      <c r="AO14" s="45" t="s">
        <v>435</v>
      </c>
      <c r="AP14" s="45" t="s">
        <v>459</v>
      </c>
      <c r="AQ14" s="35" t="s">
        <v>469</v>
      </c>
      <c r="AS14" s="44">
        <f>AM14+AN14</f>
        <v>0</v>
      </c>
      <c r="AT14" s="44">
        <f>G14/(100-AU14)*100</f>
        <v>0</v>
      </c>
      <c r="AU14" s="44">
        <v>0</v>
      </c>
      <c r="AV14" s="44">
        <f>L14</f>
        <v>0</v>
      </c>
    </row>
    <row r="15" spans="1:48" x14ac:dyDescent="0.25">
      <c r="A15" s="5" t="s">
        <v>8</v>
      </c>
      <c r="B15" s="5" t="s">
        <v>118</v>
      </c>
      <c r="C15" s="5" t="s">
        <v>123</v>
      </c>
      <c r="D15" s="5" t="s">
        <v>249</v>
      </c>
      <c r="E15" s="5" t="s">
        <v>402</v>
      </c>
      <c r="F15" s="19">
        <v>2</v>
      </c>
      <c r="G15" s="26">
        <v>0</v>
      </c>
      <c r="H15" s="19">
        <f>F15*AE15</f>
        <v>0</v>
      </c>
      <c r="I15" s="19">
        <f>J15-H15</f>
        <v>0</v>
      </c>
      <c r="J15" s="19">
        <f>F15*G15</f>
        <v>0</v>
      </c>
      <c r="K15" s="19">
        <v>0</v>
      </c>
      <c r="L15" s="19">
        <f>F15*K15</f>
        <v>0</v>
      </c>
      <c r="M15" s="39"/>
      <c r="P15" s="44">
        <f>IF(AG15="5",J15,0)</f>
        <v>0</v>
      </c>
      <c r="R15" s="44">
        <f>IF(AG15="1",H15,0)</f>
        <v>0</v>
      </c>
      <c r="S15" s="44">
        <f>IF(AG15="1",I15,0)</f>
        <v>0</v>
      </c>
      <c r="T15" s="44">
        <f>IF(AG15="7",H15,0)</f>
        <v>0</v>
      </c>
      <c r="U15" s="44">
        <f>IF(AG15="7",I15,0)</f>
        <v>0</v>
      </c>
      <c r="V15" s="44">
        <f>IF(AG15="2",H15,0)</f>
        <v>0</v>
      </c>
      <c r="W15" s="44">
        <f>IF(AG15="2",I15,0)</f>
        <v>0</v>
      </c>
      <c r="X15" s="44">
        <f>IF(AG15="0",J15,0)</f>
        <v>0</v>
      </c>
      <c r="Y15" s="35" t="s">
        <v>118</v>
      </c>
      <c r="Z15" s="19">
        <f>IF(AD15=0,J15,0)</f>
        <v>0</v>
      </c>
      <c r="AA15" s="19">
        <f>IF(AD15=15,J15,0)</f>
        <v>0</v>
      </c>
      <c r="AB15" s="19">
        <f>IF(AD15=21,J15,0)</f>
        <v>0</v>
      </c>
      <c r="AD15" s="44">
        <v>21</v>
      </c>
      <c r="AE15" s="44">
        <f>G15*0.199600798403194</f>
        <v>0</v>
      </c>
      <c r="AF15" s="44">
        <f>G15*(1-0.199600798403194)</f>
        <v>0</v>
      </c>
      <c r="AG15" s="39" t="s">
        <v>7</v>
      </c>
      <c r="AM15" s="44">
        <f>F15*AE15</f>
        <v>0</v>
      </c>
      <c r="AN15" s="44">
        <f>F15*AF15</f>
        <v>0</v>
      </c>
      <c r="AO15" s="45" t="s">
        <v>435</v>
      </c>
      <c r="AP15" s="45" t="s">
        <v>459</v>
      </c>
      <c r="AQ15" s="35" t="s">
        <v>469</v>
      </c>
      <c r="AS15" s="44">
        <f>AM15+AN15</f>
        <v>0</v>
      </c>
      <c r="AT15" s="44">
        <f>G15/(100-AU15)*100</f>
        <v>0</v>
      </c>
      <c r="AU15" s="44">
        <v>0</v>
      </c>
      <c r="AV15" s="44">
        <f>L15</f>
        <v>0</v>
      </c>
    </row>
    <row r="16" spans="1:48" x14ac:dyDescent="0.25">
      <c r="A16" s="5" t="s">
        <v>9</v>
      </c>
      <c r="B16" s="5" t="s">
        <v>118</v>
      </c>
      <c r="C16" s="5" t="s">
        <v>124</v>
      </c>
      <c r="D16" s="5" t="s">
        <v>250</v>
      </c>
      <c r="E16" s="5" t="s">
        <v>403</v>
      </c>
      <c r="F16" s="19">
        <v>3</v>
      </c>
      <c r="G16" s="26">
        <v>0</v>
      </c>
      <c r="H16" s="19">
        <f>F16*AE16</f>
        <v>0</v>
      </c>
      <c r="I16" s="19">
        <f>J16-H16</f>
        <v>0</v>
      </c>
      <c r="J16" s="19">
        <f>F16*G16</f>
        <v>0</v>
      </c>
      <c r="K16" s="19">
        <v>0</v>
      </c>
      <c r="L16" s="19">
        <f>F16*K16</f>
        <v>0</v>
      </c>
      <c r="M16" s="39" t="s">
        <v>425</v>
      </c>
      <c r="P16" s="44">
        <f>IF(AG16="5",J16,0)</f>
        <v>0</v>
      </c>
      <c r="R16" s="44">
        <f>IF(AG16="1",H16,0)</f>
        <v>0</v>
      </c>
      <c r="S16" s="44">
        <f>IF(AG16="1",I16,0)</f>
        <v>0</v>
      </c>
      <c r="T16" s="44">
        <f>IF(AG16="7",H16,0)</f>
        <v>0</v>
      </c>
      <c r="U16" s="44">
        <f>IF(AG16="7",I16,0)</f>
        <v>0</v>
      </c>
      <c r="V16" s="44">
        <f>IF(AG16="2",H16,0)</f>
        <v>0</v>
      </c>
      <c r="W16" s="44">
        <f>IF(AG16="2",I16,0)</f>
        <v>0</v>
      </c>
      <c r="X16" s="44">
        <f>IF(AG16="0",J16,0)</f>
        <v>0</v>
      </c>
      <c r="Y16" s="35" t="s">
        <v>118</v>
      </c>
      <c r="Z16" s="19">
        <f>IF(AD16=0,J16,0)</f>
        <v>0</v>
      </c>
      <c r="AA16" s="19">
        <f>IF(AD16=15,J16,0)</f>
        <v>0</v>
      </c>
      <c r="AB16" s="19">
        <f>IF(AD16=21,J16,0)</f>
        <v>0</v>
      </c>
      <c r="AD16" s="44">
        <v>21</v>
      </c>
      <c r="AE16" s="44">
        <f>G16*0</f>
        <v>0</v>
      </c>
      <c r="AF16" s="44">
        <f>G16*(1-0)</f>
        <v>0</v>
      </c>
      <c r="AG16" s="39" t="s">
        <v>7</v>
      </c>
      <c r="AM16" s="44">
        <f>F16*AE16</f>
        <v>0</v>
      </c>
      <c r="AN16" s="44">
        <f>F16*AF16</f>
        <v>0</v>
      </c>
      <c r="AO16" s="45" t="s">
        <v>435</v>
      </c>
      <c r="AP16" s="45" t="s">
        <v>459</v>
      </c>
      <c r="AQ16" s="35" t="s">
        <v>469</v>
      </c>
      <c r="AS16" s="44">
        <f>AM16+AN16</f>
        <v>0</v>
      </c>
      <c r="AT16" s="44">
        <f>G16/(100-AU16)*100</f>
        <v>0</v>
      </c>
      <c r="AU16" s="44">
        <v>0</v>
      </c>
      <c r="AV16" s="44">
        <f>L16</f>
        <v>0</v>
      </c>
    </row>
    <row r="17" spans="1:48" x14ac:dyDescent="0.25">
      <c r="A17" s="4"/>
      <c r="B17" s="14" t="s">
        <v>118</v>
      </c>
      <c r="C17" s="14" t="s">
        <v>37</v>
      </c>
      <c r="D17" s="14" t="s">
        <v>251</v>
      </c>
      <c r="E17" s="4" t="s">
        <v>6</v>
      </c>
      <c r="F17" s="4" t="s">
        <v>6</v>
      </c>
      <c r="G17" s="25" t="s">
        <v>6</v>
      </c>
      <c r="H17" s="47">
        <f>SUM(H18:H19)</f>
        <v>0</v>
      </c>
      <c r="I17" s="47">
        <f>SUM(I18:I19)</f>
        <v>0</v>
      </c>
      <c r="J17" s="47">
        <f>H17+I17</f>
        <v>0</v>
      </c>
      <c r="K17" s="35"/>
      <c r="L17" s="47">
        <f>SUM(L18:L19)</f>
        <v>2.3094939999999998E-2</v>
      </c>
      <c r="M17" s="35"/>
      <c r="Y17" s="35" t="s">
        <v>118</v>
      </c>
      <c r="AI17" s="47">
        <f>SUM(Z18:Z19)</f>
        <v>0</v>
      </c>
      <c r="AJ17" s="47">
        <f>SUM(AA18:AA19)</f>
        <v>0</v>
      </c>
      <c r="AK17" s="47">
        <f>SUM(AB18:AB19)</f>
        <v>0</v>
      </c>
    </row>
    <row r="18" spans="1:48" x14ac:dyDescent="0.25">
      <c r="A18" s="5" t="s">
        <v>10</v>
      </c>
      <c r="B18" s="5" t="s">
        <v>118</v>
      </c>
      <c r="C18" s="5" t="s">
        <v>125</v>
      </c>
      <c r="D18" s="5" t="s">
        <v>252</v>
      </c>
      <c r="E18" s="5" t="s">
        <v>404</v>
      </c>
      <c r="F18" s="19">
        <v>1.0999999999999999E-2</v>
      </c>
      <c r="G18" s="26">
        <v>0</v>
      </c>
      <c r="H18" s="19">
        <f>F18*AE18</f>
        <v>0</v>
      </c>
      <c r="I18" s="19">
        <f>J18-H18</f>
        <v>0</v>
      </c>
      <c r="J18" s="19">
        <f>F18*G18</f>
        <v>0</v>
      </c>
      <c r="K18" s="19">
        <v>1.09954</v>
      </c>
      <c r="L18" s="19">
        <f>F18*K18</f>
        <v>1.2094939999999998E-2</v>
      </c>
      <c r="M18" s="39" t="s">
        <v>425</v>
      </c>
      <c r="P18" s="44">
        <f>IF(AG18="5",J18,0)</f>
        <v>0</v>
      </c>
      <c r="R18" s="44">
        <f>IF(AG18="1",H18,0)</f>
        <v>0</v>
      </c>
      <c r="S18" s="44">
        <f>IF(AG18="1",I18,0)</f>
        <v>0</v>
      </c>
      <c r="T18" s="44">
        <f>IF(AG18="7",H18,0)</f>
        <v>0</v>
      </c>
      <c r="U18" s="44">
        <f>IF(AG18="7",I18,0)</f>
        <v>0</v>
      </c>
      <c r="V18" s="44">
        <f>IF(AG18="2",H18,0)</f>
        <v>0</v>
      </c>
      <c r="W18" s="44">
        <f>IF(AG18="2",I18,0)</f>
        <v>0</v>
      </c>
      <c r="X18" s="44">
        <f>IF(AG18="0",J18,0)</f>
        <v>0</v>
      </c>
      <c r="Y18" s="35" t="s">
        <v>118</v>
      </c>
      <c r="Z18" s="19">
        <f>IF(AD18=0,J18,0)</f>
        <v>0</v>
      </c>
      <c r="AA18" s="19">
        <f>IF(AD18=15,J18,0)</f>
        <v>0</v>
      </c>
      <c r="AB18" s="19">
        <f>IF(AD18=21,J18,0)</f>
        <v>0</v>
      </c>
      <c r="AD18" s="44">
        <v>21</v>
      </c>
      <c r="AE18" s="44">
        <f>G18*0.718687535410765</f>
        <v>0</v>
      </c>
      <c r="AF18" s="44">
        <f>G18*(1-0.718687535410765)</f>
        <v>0</v>
      </c>
      <c r="AG18" s="39" t="s">
        <v>7</v>
      </c>
      <c r="AM18" s="44">
        <f>F18*AE18</f>
        <v>0</v>
      </c>
      <c r="AN18" s="44">
        <f>F18*AF18</f>
        <v>0</v>
      </c>
      <c r="AO18" s="45" t="s">
        <v>436</v>
      </c>
      <c r="AP18" s="45" t="s">
        <v>460</v>
      </c>
      <c r="AQ18" s="35" t="s">
        <v>469</v>
      </c>
      <c r="AS18" s="44">
        <f>AM18+AN18</f>
        <v>0</v>
      </c>
      <c r="AT18" s="44">
        <f>G18/(100-AU18)*100</f>
        <v>0</v>
      </c>
      <c r="AU18" s="44">
        <v>0</v>
      </c>
      <c r="AV18" s="44">
        <f>L18</f>
        <v>1.2094939999999998E-2</v>
      </c>
    </row>
    <row r="19" spans="1:48" x14ac:dyDescent="0.25">
      <c r="A19" s="6" t="s">
        <v>11</v>
      </c>
      <c r="B19" s="6" t="s">
        <v>118</v>
      </c>
      <c r="C19" s="6" t="s">
        <v>126</v>
      </c>
      <c r="D19" s="6" t="s">
        <v>253</v>
      </c>
      <c r="E19" s="6" t="s">
        <v>404</v>
      </c>
      <c r="F19" s="20">
        <v>1.0999999999999999E-2</v>
      </c>
      <c r="G19" s="27">
        <v>0</v>
      </c>
      <c r="H19" s="20">
        <f>F19*AE19</f>
        <v>0</v>
      </c>
      <c r="I19" s="20">
        <f>J19-H19</f>
        <v>0</v>
      </c>
      <c r="J19" s="20">
        <f>F19*G19</f>
        <v>0</v>
      </c>
      <c r="K19" s="20">
        <v>1</v>
      </c>
      <c r="L19" s="20">
        <f>F19*K19</f>
        <v>1.0999999999999999E-2</v>
      </c>
      <c r="M19" s="40" t="s">
        <v>425</v>
      </c>
      <c r="P19" s="44">
        <f>IF(AG19="5",J19,0)</f>
        <v>0</v>
      </c>
      <c r="R19" s="44">
        <f>IF(AG19="1",H19,0)</f>
        <v>0</v>
      </c>
      <c r="S19" s="44">
        <f>IF(AG19="1",I19,0)</f>
        <v>0</v>
      </c>
      <c r="T19" s="44">
        <f>IF(AG19="7",H19,0)</f>
        <v>0</v>
      </c>
      <c r="U19" s="44">
        <f>IF(AG19="7",I19,0)</f>
        <v>0</v>
      </c>
      <c r="V19" s="44">
        <f>IF(AG19="2",H19,0)</f>
        <v>0</v>
      </c>
      <c r="W19" s="44">
        <f>IF(AG19="2",I19,0)</f>
        <v>0</v>
      </c>
      <c r="X19" s="44">
        <f>IF(AG19="0",J19,0)</f>
        <v>0</v>
      </c>
      <c r="Y19" s="35" t="s">
        <v>118</v>
      </c>
      <c r="Z19" s="20">
        <f>IF(AD19=0,J19,0)</f>
        <v>0</v>
      </c>
      <c r="AA19" s="20">
        <f>IF(AD19=15,J19,0)</f>
        <v>0</v>
      </c>
      <c r="AB19" s="20">
        <f>IF(AD19=21,J19,0)</f>
        <v>0</v>
      </c>
      <c r="AD19" s="44">
        <v>21</v>
      </c>
      <c r="AE19" s="44">
        <f>G19*1</f>
        <v>0</v>
      </c>
      <c r="AF19" s="44">
        <f>G19*(1-1)</f>
        <v>0</v>
      </c>
      <c r="AG19" s="40" t="s">
        <v>7</v>
      </c>
      <c r="AM19" s="44">
        <f>F19*AE19</f>
        <v>0</v>
      </c>
      <c r="AN19" s="44">
        <f>F19*AF19</f>
        <v>0</v>
      </c>
      <c r="AO19" s="45" t="s">
        <v>436</v>
      </c>
      <c r="AP19" s="45" t="s">
        <v>460</v>
      </c>
      <c r="AQ19" s="35" t="s">
        <v>469</v>
      </c>
      <c r="AS19" s="44">
        <f>AM19+AN19</f>
        <v>0</v>
      </c>
      <c r="AT19" s="44">
        <f>G19/(100-AU19)*100</f>
        <v>0</v>
      </c>
      <c r="AU19" s="44">
        <v>0</v>
      </c>
      <c r="AV19" s="44">
        <f>L19</f>
        <v>1.0999999999999999E-2</v>
      </c>
    </row>
    <row r="20" spans="1:48" x14ac:dyDescent="0.25">
      <c r="A20" s="4"/>
      <c r="B20" s="14" t="s">
        <v>118</v>
      </c>
      <c r="C20" s="14" t="s">
        <v>40</v>
      </c>
      <c r="D20" s="14" t="s">
        <v>254</v>
      </c>
      <c r="E20" s="4" t="s">
        <v>6</v>
      </c>
      <c r="F20" s="4" t="s">
        <v>6</v>
      </c>
      <c r="G20" s="25" t="s">
        <v>6</v>
      </c>
      <c r="H20" s="47">
        <f>SUM(H21:H28)</f>
        <v>0</v>
      </c>
      <c r="I20" s="47">
        <f>SUM(I21:I28)</f>
        <v>0</v>
      </c>
      <c r="J20" s="47">
        <f>H20+I20</f>
        <v>0</v>
      </c>
      <c r="K20" s="35"/>
      <c r="L20" s="47">
        <f>SUM(L21:L28)</f>
        <v>0.21734684999999998</v>
      </c>
      <c r="M20" s="35"/>
      <c r="Y20" s="35" t="s">
        <v>118</v>
      </c>
      <c r="AI20" s="47">
        <f>SUM(Z21:Z28)</f>
        <v>0</v>
      </c>
      <c r="AJ20" s="47">
        <f>SUM(AA21:AA28)</f>
        <v>0</v>
      </c>
      <c r="AK20" s="47">
        <f>SUM(AB21:AB28)</f>
        <v>0</v>
      </c>
    </row>
    <row r="21" spans="1:48" x14ac:dyDescent="0.25">
      <c r="A21" s="5" t="s">
        <v>12</v>
      </c>
      <c r="B21" s="5" t="s">
        <v>118</v>
      </c>
      <c r="C21" s="5" t="s">
        <v>127</v>
      </c>
      <c r="D21" s="5" t="s">
        <v>255</v>
      </c>
      <c r="E21" s="5" t="s">
        <v>403</v>
      </c>
      <c r="F21" s="19">
        <v>0.63</v>
      </c>
      <c r="G21" s="26">
        <v>0</v>
      </c>
      <c r="H21" s="19">
        <f>F21*AE21</f>
        <v>0</v>
      </c>
      <c r="I21" s="19">
        <f>J21-H21</f>
        <v>0</v>
      </c>
      <c r="J21" s="19">
        <f>F21*G21</f>
        <v>0</v>
      </c>
      <c r="K21" s="19">
        <v>0.11141</v>
      </c>
      <c r="L21" s="19">
        <f>F21*K21</f>
        <v>7.0188299999999995E-2</v>
      </c>
      <c r="M21" s="39" t="s">
        <v>425</v>
      </c>
      <c r="P21" s="44">
        <f>IF(AG21="5",J21,0)</f>
        <v>0</v>
      </c>
      <c r="R21" s="44">
        <f>IF(AG21="1",H21,0)</f>
        <v>0</v>
      </c>
      <c r="S21" s="44">
        <f>IF(AG21="1",I21,0)</f>
        <v>0</v>
      </c>
      <c r="T21" s="44">
        <f>IF(AG21="7",H21,0)</f>
        <v>0</v>
      </c>
      <c r="U21" s="44">
        <f>IF(AG21="7",I21,0)</f>
        <v>0</v>
      </c>
      <c r="V21" s="44">
        <f>IF(AG21="2",H21,0)</f>
        <v>0</v>
      </c>
      <c r="W21" s="44">
        <f>IF(AG21="2",I21,0)</f>
        <v>0</v>
      </c>
      <c r="X21" s="44">
        <f>IF(AG21="0",J21,0)</f>
        <v>0</v>
      </c>
      <c r="Y21" s="35" t="s">
        <v>118</v>
      </c>
      <c r="Z21" s="19">
        <f>IF(AD21=0,J21,0)</f>
        <v>0</v>
      </c>
      <c r="AA21" s="19">
        <f>IF(AD21=15,J21,0)</f>
        <v>0</v>
      </c>
      <c r="AB21" s="19">
        <f>IF(AD21=21,J21,0)</f>
        <v>0</v>
      </c>
      <c r="AD21" s="44">
        <v>21</v>
      </c>
      <c r="AE21" s="44">
        <f>G21*0.664814305364512</f>
        <v>0</v>
      </c>
      <c r="AF21" s="44">
        <f>G21*(1-0.664814305364512)</f>
        <v>0</v>
      </c>
      <c r="AG21" s="39" t="s">
        <v>7</v>
      </c>
      <c r="AM21" s="44">
        <f>F21*AE21</f>
        <v>0</v>
      </c>
      <c r="AN21" s="44">
        <f>F21*AF21</f>
        <v>0</v>
      </c>
      <c r="AO21" s="45" t="s">
        <v>437</v>
      </c>
      <c r="AP21" s="45" t="s">
        <v>460</v>
      </c>
      <c r="AQ21" s="35" t="s">
        <v>469</v>
      </c>
      <c r="AS21" s="44">
        <f>AM21+AN21</f>
        <v>0</v>
      </c>
      <c r="AT21" s="44">
        <f>G21/(100-AU21)*100</f>
        <v>0</v>
      </c>
      <c r="AU21" s="44">
        <v>0</v>
      </c>
      <c r="AV21" s="44">
        <f>L21</f>
        <v>7.0188299999999995E-2</v>
      </c>
    </row>
    <row r="22" spans="1:48" x14ac:dyDescent="0.25">
      <c r="A22" s="5" t="s">
        <v>13</v>
      </c>
      <c r="B22" s="5" t="s">
        <v>118</v>
      </c>
      <c r="C22" s="5" t="s">
        <v>128</v>
      </c>
      <c r="D22" s="5" t="s">
        <v>256</v>
      </c>
      <c r="E22" s="5" t="s">
        <v>403</v>
      </c>
      <c r="F22" s="19">
        <v>0.42</v>
      </c>
      <c r="G22" s="26">
        <v>0</v>
      </c>
      <c r="H22" s="19">
        <f>F22*AE22</f>
        <v>0</v>
      </c>
      <c r="I22" s="19">
        <f>J22-H22</f>
        <v>0</v>
      </c>
      <c r="J22" s="19">
        <f>F22*G22</f>
        <v>0</v>
      </c>
      <c r="K22" s="19">
        <v>5.6099999999999997E-2</v>
      </c>
      <c r="L22" s="19">
        <f>F22*K22</f>
        <v>2.3562E-2</v>
      </c>
      <c r="M22" s="39" t="s">
        <v>425</v>
      </c>
      <c r="P22" s="44">
        <f>IF(AG22="5",J22,0)</f>
        <v>0</v>
      </c>
      <c r="R22" s="44">
        <f>IF(AG22="1",H22,0)</f>
        <v>0</v>
      </c>
      <c r="S22" s="44">
        <f>IF(AG22="1",I22,0)</f>
        <v>0</v>
      </c>
      <c r="T22" s="44">
        <f>IF(AG22="7",H22,0)</f>
        <v>0</v>
      </c>
      <c r="U22" s="44">
        <f>IF(AG22="7",I22,0)</f>
        <v>0</v>
      </c>
      <c r="V22" s="44">
        <f>IF(AG22="2",H22,0)</f>
        <v>0</v>
      </c>
      <c r="W22" s="44">
        <f>IF(AG22="2",I22,0)</f>
        <v>0</v>
      </c>
      <c r="X22" s="44">
        <f>IF(AG22="0",J22,0)</f>
        <v>0</v>
      </c>
      <c r="Y22" s="35" t="s">
        <v>118</v>
      </c>
      <c r="Z22" s="19">
        <f>IF(AD22=0,J22,0)</f>
        <v>0</v>
      </c>
      <c r="AA22" s="19">
        <f>IF(AD22=15,J22,0)</f>
        <v>0</v>
      </c>
      <c r="AB22" s="19">
        <f>IF(AD22=21,J22,0)</f>
        <v>0</v>
      </c>
      <c r="AD22" s="44">
        <v>21</v>
      </c>
      <c r="AE22" s="44">
        <f>G22*0.561617021276596</f>
        <v>0</v>
      </c>
      <c r="AF22" s="44">
        <f>G22*(1-0.561617021276596)</f>
        <v>0</v>
      </c>
      <c r="AG22" s="39" t="s">
        <v>7</v>
      </c>
      <c r="AM22" s="44">
        <f>F22*AE22</f>
        <v>0</v>
      </c>
      <c r="AN22" s="44">
        <f>F22*AF22</f>
        <v>0</v>
      </c>
      <c r="AO22" s="45" t="s">
        <v>437</v>
      </c>
      <c r="AP22" s="45" t="s">
        <v>460</v>
      </c>
      <c r="AQ22" s="35" t="s">
        <v>469</v>
      </c>
      <c r="AS22" s="44">
        <f>AM22+AN22</f>
        <v>0</v>
      </c>
      <c r="AT22" s="44">
        <f>G22/(100-AU22)*100</f>
        <v>0</v>
      </c>
      <c r="AU22" s="44">
        <v>0</v>
      </c>
      <c r="AV22" s="44">
        <f>L22</f>
        <v>2.3562E-2</v>
      </c>
    </row>
    <row r="23" spans="1:48" x14ac:dyDescent="0.25">
      <c r="A23" s="5" t="s">
        <v>14</v>
      </c>
      <c r="B23" s="5" t="s">
        <v>118</v>
      </c>
      <c r="C23" s="5" t="s">
        <v>129</v>
      </c>
      <c r="D23" s="5" t="s">
        <v>257</v>
      </c>
      <c r="E23" s="5" t="s">
        <v>405</v>
      </c>
      <c r="F23" s="19">
        <v>6</v>
      </c>
      <c r="G23" s="26">
        <v>0</v>
      </c>
      <c r="H23" s="19">
        <f>F23*AE23</f>
        <v>0</v>
      </c>
      <c r="I23" s="19">
        <f>J23-H23</f>
        <v>0</v>
      </c>
      <c r="J23" s="19">
        <f>F23*G23</f>
        <v>0</v>
      </c>
      <c r="K23" s="19">
        <v>3.4199999999999999E-3</v>
      </c>
      <c r="L23" s="19">
        <f>F23*K23</f>
        <v>2.052E-2</v>
      </c>
      <c r="M23" s="39" t="s">
        <v>425</v>
      </c>
      <c r="P23" s="44">
        <f>IF(AG23="5",J23,0)</f>
        <v>0</v>
      </c>
      <c r="R23" s="44">
        <f>IF(AG23="1",H23,0)</f>
        <v>0</v>
      </c>
      <c r="S23" s="44">
        <f>IF(AG23="1",I23,0)</f>
        <v>0</v>
      </c>
      <c r="T23" s="44">
        <f>IF(AG23="7",H23,0)</f>
        <v>0</v>
      </c>
      <c r="U23" s="44">
        <f>IF(AG23="7",I23,0)</f>
        <v>0</v>
      </c>
      <c r="V23" s="44">
        <f>IF(AG23="2",H23,0)</f>
        <v>0</v>
      </c>
      <c r="W23" s="44">
        <f>IF(AG23="2",I23,0)</f>
        <v>0</v>
      </c>
      <c r="X23" s="44">
        <f>IF(AG23="0",J23,0)</f>
        <v>0</v>
      </c>
      <c r="Y23" s="35" t="s">
        <v>118</v>
      </c>
      <c r="Z23" s="19">
        <f>IF(AD23=0,J23,0)</f>
        <v>0</v>
      </c>
      <c r="AA23" s="19">
        <f>IF(AD23=15,J23,0)</f>
        <v>0</v>
      </c>
      <c r="AB23" s="19">
        <f>IF(AD23=21,J23,0)</f>
        <v>0</v>
      </c>
      <c r="AD23" s="44">
        <v>21</v>
      </c>
      <c r="AE23" s="44">
        <f>G23*0.225225225225225</f>
        <v>0</v>
      </c>
      <c r="AF23" s="44">
        <f>G23*(1-0.225225225225225)</f>
        <v>0</v>
      </c>
      <c r="AG23" s="39" t="s">
        <v>7</v>
      </c>
      <c r="AM23" s="44">
        <f>F23*AE23</f>
        <v>0</v>
      </c>
      <c r="AN23" s="44">
        <f>F23*AF23</f>
        <v>0</v>
      </c>
      <c r="AO23" s="45" t="s">
        <v>437</v>
      </c>
      <c r="AP23" s="45" t="s">
        <v>460</v>
      </c>
      <c r="AQ23" s="35" t="s">
        <v>469</v>
      </c>
      <c r="AS23" s="44">
        <f>AM23+AN23</f>
        <v>0</v>
      </c>
      <c r="AT23" s="44">
        <f>G23/(100-AU23)*100</f>
        <v>0</v>
      </c>
      <c r="AU23" s="44">
        <v>0</v>
      </c>
      <c r="AV23" s="44">
        <f>L23</f>
        <v>2.052E-2</v>
      </c>
    </row>
    <row r="24" spans="1:48" x14ac:dyDescent="0.25">
      <c r="A24" s="5" t="s">
        <v>15</v>
      </c>
      <c r="B24" s="5" t="s">
        <v>118</v>
      </c>
      <c r="C24" s="5" t="s">
        <v>130</v>
      </c>
      <c r="D24" s="5" t="s">
        <v>258</v>
      </c>
      <c r="E24" s="5" t="s">
        <v>403</v>
      </c>
      <c r="F24" s="19">
        <v>8.3699999999999992</v>
      </c>
      <c r="G24" s="26">
        <v>0</v>
      </c>
      <c r="H24" s="19">
        <f>F24*AE24</f>
        <v>0</v>
      </c>
      <c r="I24" s="19">
        <f>J24-H24</f>
        <v>0</v>
      </c>
      <c r="J24" s="19">
        <f>F24*G24</f>
        <v>0</v>
      </c>
      <c r="K24" s="19">
        <v>1.2149999999999999E-2</v>
      </c>
      <c r="L24" s="19">
        <f>F24*K24</f>
        <v>0.10169549999999998</v>
      </c>
      <c r="M24" s="39" t="s">
        <v>425</v>
      </c>
      <c r="P24" s="44">
        <f>IF(AG24="5",J24,0)</f>
        <v>0</v>
      </c>
      <c r="R24" s="44">
        <f>IF(AG24="1",H24,0)</f>
        <v>0</v>
      </c>
      <c r="S24" s="44">
        <f>IF(AG24="1",I24,0)</f>
        <v>0</v>
      </c>
      <c r="T24" s="44">
        <f>IF(AG24="7",H24,0)</f>
        <v>0</v>
      </c>
      <c r="U24" s="44">
        <f>IF(AG24="7",I24,0)</f>
        <v>0</v>
      </c>
      <c r="V24" s="44">
        <f>IF(AG24="2",H24,0)</f>
        <v>0</v>
      </c>
      <c r="W24" s="44">
        <f>IF(AG24="2",I24,0)</f>
        <v>0</v>
      </c>
      <c r="X24" s="44">
        <f>IF(AG24="0",J24,0)</f>
        <v>0</v>
      </c>
      <c r="Y24" s="35" t="s">
        <v>118</v>
      </c>
      <c r="Z24" s="19">
        <f>IF(AD24=0,J24,0)</f>
        <v>0</v>
      </c>
      <c r="AA24" s="19">
        <f>IF(AD24=15,J24,0)</f>
        <v>0</v>
      </c>
      <c r="AB24" s="19">
        <f>IF(AD24=21,J24,0)</f>
        <v>0</v>
      </c>
      <c r="AD24" s="44">
        <v>21</v>
      </c>
      <c r="AE24" s="44">
        <f>G24*0.360049833887043</f>
        <v>0</v>
      </c>
      <c r="AF24" s="44">
        <f>G24*(1-0.360049833887043)</f>
        <v>0</v>
      </c>
      <c r="AG24" s="39" t="s">
        <v>7</v>
      </c>
      <c r="AM24" s="44">
        <f>F24*AE24</f>
        <v>0</v>
      </c>
      <c r="AN24" s="44">
        <f>F24*AF24</f>
        <v>0</v>
      </c>
      <c r="AO24" s="45" t="s">
        <v>437</v>
      </c>
      <c r="AP24" s="45" t="s">
        <v>460</v>
      </c>
      <c r="AQ24" s="35" t="s">
        <v>469</v>
      </c>
      <c r="AS24" s="44">
        <f>AM24+AN24</f>
        <v>0</v>
      </c>
      <c r="AT24" s="44">
        <f>G24/(100-AU24)*100</f>
        <v>0</v>
      </c>
      <c r="AU24" s="44">
        <v>0</v>
      </c>
      <c r="AV24" s="44">
        <f>L24</f>
        <v>0.10169549999999998</v>
      </c>
    </row>
    <row r="25" spans="1:48" x14ac:dyDescent="0.25">
      <c r="D25" s="17" t="s">
        <v>259</v>
      </c>
      <c r="G25" s="28"/>
    </row>
    <row r="26" spans="1:48" x14ac:dyDescent="0.25">
      <c r="A26" s="5" t="s">
        <v>16</v>
      </c>
      <c r="B26" s="5" t="s">
        <v>118</v>
      </c>
      <c r="C26" s="5" t="s">
        <v>131</v>
      </c>
      <c r="D26" s="5" t="s">
        <v>260</v>
      </c>
      <c r="E26" s="5" t="s">
        <v>403</v>
      </c>
      <c r="F26" s="19">
        <v>9.2070000000000007</v>
      </c>
      <c r="G26" s="26">
        <v>0</v>
      </c>
      <c r="H26" s="19">
        <f>F26*AE26</f>
        <v>0</v>
      </c>
      <c r="I26" s="19">
        <f>J26-H26</f>
        <v>0</v>
      </c>
      <c r="J26" s="19">
        <f>F26*G26</f>
        <v>0</v>
      </c>
      <c r="K26" s="19">
        <v>1.4999999999999999E-4</v>
      </c>
      <c r="L26" s="19">
        <f>F26*K26</f>
        <v>1.38105E-3</v>
      </c>
      <c r="M26" s="39" t="s">
        <v>425</v>
      </c>
      <c r="P26" s="44">
        <f>IF(AG26="5",J26,0)</f>
        <v>0</v>
      </c>
      <c r="R26" s="44">
        <f>IF(AG26="1",H26,0)</f>
        <v>0</v>
      </c>
      <c r="S26" s="44">
        <f>IF(AG26="1",I26,0)</f>
        <v>0</v>
      </c>
      <c r="T26" s="44">
        <f>IF(AG26="7",H26,0)</f>
        <v>0</v>
      </c>
      <c r="U26" s="44">
        <f>IF(AG26="7",I26,0)</f>
        <v>0</v>
      </c>
      <c r="V26" s="44">
        <f>IF(AG26="2",H26,0)</f>
        <v>0</v>
      </c>
      <c r="W26" s="44">
        <f>IF(AG26="2",I26,0)</f>
        <v>0</v>
      </c>
      <c r="X26" s="44">
        <f>IF(AG26="0",J26,0)</f>
        <v>0</v>
      </c>
      <c r="Y26" s="35" t="s">
        <v>118</v>
      </c>
      <c r="Z26" s="19">
        <f>IF(AD26=0,J26,0)</f>
        <v>0</v>
      </c>
      <c r="AA26" s="19">
        <f>IF(AD26=15,J26,0)</f>
        <v>0</v>
      </c>
      <c r="AB26" s="19">
        <f>IF(AD26=21,J26,0)</f>
        <v>0</v>
      </c>
      <c r="AD26" s="44">
        <v>21</v>
      </c>
      <c r="AE26" s="44">
        <f>G26*0.265299782051128</f>
        <v>0</v>
      </c>
      <c r="AF26" s="44">
        <f>G26*(1-0.265299782051128)</f>
        <v>0</v>
      </c>
      <c r="AG26" s="39" t="s">
        <v>7</v>
      </c>
      <c r="AM26" s="44">
        <f>F26*AE26</f>
        <v>0</v>
      </c>
      <c r="AN26" s="44">
        <f>F26*AF26</f>
        <v>0</v>
      </c>
      <c r="AO26" s="45" t="s">
        <v>437</v>
      </c>
      <c r="AP26" s="45" t="s">
        <v>460</v>
      </c>
      <c r="AQ26" s="35" t="s">
        <v>469</v>
      </c>
      <c r="AS26" s="44">
        <f>AM26+AN26</f>
        <v>0</v>
      </c>
      <c r="AT26" s="44">
        <f>G26/(100-AU26)*100</f>
        <v>0</v>
      </c>
      <c r="AU26" s="44">
        <v>0</v>
      </c>
      <c r="AV26" s="44">
        <f>L26</f>
        <v>1.38105E-3</v>
      </c>
    </row>
    <row r="27" spans="1:48" x14ac:dyDescent="0.25">
      <c r="D27" s="17" t="s">
        <v>261</v>
      </c>
      <c r="G27" s="28"/>
    </row>
    <row r="28" spans="1:48" x14ac:dyDescent="0.25">
      <c r="A28" s="5" t="s">
        <v>17</v>
      </c>
      <c r="B28" s="5" t="s">
        <v>118</v>
      </c>
      <c r="C28" s="5" t="s">
        <v>132</v>
      </c>
      <c r="D28" s="5" t="s">
        <v>262</v>
      </c>
      <c r="E28" s="5" t="s">
        <v>403</v>
      </c>
      <c r="F28" s="19">
        <v>8.3699999999999992</v>
      </c>
      <c r="G28" s="26">
        <v>0</v>
      </c>
      <c r="H28" s="19">
        <f>F28*AE28</f>
        <v>0</v>
      </c>
      <c r="I28" s="19">
        <f>J28-H28</f>
        <v>0</v>
      </c>
      <c r="J28" s="19">
        <f>F28*G28</f>
        <v>0</v>
      </c>
      <c r="K28" s="19">
        <v>0</v>
      </c>
      <c r="L28" s="19">
        <f>F28*K28</f>
        <v>0</v>
      </c>
      <c r="M28" s="39" t="s">
        <v>425</v>
      </c>
      <c r="P28" s="44">
        <f>IF(AG28="5",J28,0)</f>
        <v>0</v>
      </c>
      <c r="R28" s="44">
        <f>IF(AG28="1",H28,0)</f>
        <v>0</v>
      </c>
      <c r="S28" s="44">
        <f>IF(AG28="1",I28,0)</f>
        <v>0</v>
      </c>
      <c r="T28" s="44">
        <f>IF(AG28="7",H28,0)</f>
        <v>0</v>
      </c>
      <c r="U28" s="44">
        <f>IF(AG28="7",I28,0)</f>
        <v>0</v>
      </c>
      <c r="V28" s="44">
        <f>IF(AG28="2",H28,0)</f>
        <v>0</v>
      </c>
      <c r="W28" s="44">
        <f>IF(AG28="2",I28,0)</f>
        <v>0</v>
      </c>
      <c r="X28" s="44">
        <f>IF(AG28="0",J28,0)</f>
        <v>0</v>
      </c>
      <c r="Y28" s="35" t="s">
        <v>118</v>
      </c>
      <c r="Z28" s="19">
        <f>IF(AD28=0,J28,0)</f>
        <v>0</v>
      </c>
      <c r="AA28" s="19">
        <f>IF(AD28=15,J28,0)</f>
        <v>0</v>
      </c>
      <c r="AB28" s="19">
        <f>IF(AD28=21,J28,0)</f>
        <v>0</v>
      </c>
      <c r="AD28" s="44">
        <v>21</v>
      </c>
      <c r="AE28" s="44">
        <f>G28*0</f>
        <v>0</v>
      </c>
      <c r="AF28" s="44">
        <f>G28*(1-0)</f>
        <v>0</v>
      </c>
      <c r="AG28" s="39" t="s">
        <v>7</v>
      </c>
      <c r="AM28" s="44">
        <f>F28*AE28</f>
        <v>0</v>
      </c>
      <c r="AN28" s="44">
        <f>F28*AF28</f>
        <v>0</v>
      </c>
      <c r="AO28" s="45" t="s">
        <v>437</v>
      </c>
      <c r="AP28" s="45" t="s">
        <v>460</v>
      </c>
      <c r="AQ28" s="35" t="s">
        <v>469</v>
      </c>
      <c r="AS28" s="44">
        <f>AM28+AN28</f>
        <v>0</v>
      </c>
      <c r="AT28" s="44">
        <f>G28/(100-AU28)*100</f>
        <v>0</v>
      </c>
      <c r="AU28" s="44">
        <v>0</v>
      </c>
      <c r="AV28" s="44">
        <f>L28</f>
        <v>0</v>
      </c>
    </row>
    <row r="29" spans="1:48" x14ac:dyDescent="0.25">
      <c r="A29" s="4"/>
      <c r="B29" s="14" t="s">
        <v>118</v>
      </c>
      <c r="C29" s="14" t="s">
        <v>66</v>
      </c>
      <c r="D29" s="14" t="s">
        <v>263</v>
      </c>
      <c r="E29" s="4" t="s">
        <v>6</v>
      </c>
      <c r="F29" s="4" t="s">
        <v>6</v>
      </c>
      <c r="G29" s="25" t="s">
        <v>6</v>
      </c>
      <c r="H29" s="47">
        <f>SUM(H30:H30)</f>
        <v>0</v>
      </c>
      <c r="I29" s="47">
        <f>SUM(I30:I30)</f>
        <v>0</v>
      </c>
      <c r="J29" s="47">
        <f>H29+I29</f>
        <v>0</v>
      </c>
      <c r="K29" s="35"/>
      <c r="L29" s="47">
        <f>SUM(L30:L30)</f>
        <v>0.47394237500000003</v>
      </c>
      <c r="M29" s="35"/>
      <c r="Y29" s="35" t="s">
        <v>118</v>
      </c>
      <c r="AI29" s="47">
        <f>SUM(Z30:Z30)</f>
        <v>0</v>
      </c>
      <c r="AJ29" s="47">
        <f>SUM(AA30:AA30)</f>
        <v>0</v>
      </c>
      <c r="AK29" s="47">
        <f>SUM(AB30:AB30)</f>
        <v>0</v>
      </c>
    </row>
    <row r="30" spans="1:48" x14ac:dyDescent="0.25">
      <c r="A30" s="5" t="s">
        <v>18</v>
      </c>
      <c r="B30" s="5" t="s">
        <v>118</v>
      </c>
      <c r="C30" s="5" t="s">
        <v>133</v>
      </c>
      <c r="D30" s="5" t="s">
        <v>264</v>
      </c>
      <c r="E30" s="5" t="s">
        <v>403</v>
      </c>
      <c r="F30" s="19">
        <v>189.57695000000001</v>
      </c>
      <c r="G30" s="26">
        <v>0</v>
      </c>
      <c r="H30" s="19">
        <f>F30*AE30</f>
        <v>0</v>
      </c>
      <c r="I30" s="19">
        <f>J30-H30</f>
        <v>0</v>
      </c>
      <c r="J30" s="19">
        <f>F30*G30</f>
        <v>0</v>
      </c>
      <c r="K30" s="19">
        <v>2.5000000000000001E-3</v>
      </c>
      <c r="L30" s="19">
        <f>F30*K30</f>
        <v>0.47394237500000003</v>
      </c>
      <c r="M30" s="39" t="s">
        <v>425</v>
      </c>
      <c r="P30" s="44">
        <f>IF(AG30="5",J30,0)</f>
        <v>0</v>
      </c>
      <c r="R30" s="44">
        <f>IF(AG30="1",H30,0)</f>
        <v>0</v>
      </c>
      <c r="S30" s="44">
        <f>IF(AG30="1",I30,0)</f>
        <v>0</v>
      </c>
      <c r="T30" s="44">
        <f>IF(AG30="7",H30,0)</f>
        <v>0</v>
      </c>
      <c r="U30" s="44">
        <f>IF(AG30="7",I30,0)</f>
        <v>0</v>
      </c>
      <c r="V30" s="44">
        <f>IF(AG30="2",H30,0)</f>
        <v>0</v>
      </c>
      <c r="W30" s="44">
        <f>IF(AG30="2",I30,0)</f>
        <v>0</v>
      </c>
      <c r="X30" s="44">
        <f>IF(AG30="0",J30,0)</f>
        <v>0</v>
      </c>
      <c r="Y30" s="35" t="s">
        <v>118</v>
      </c>
      <c r="Z30" s="19">
        <f>IF(AD30=0,J30,0)</f>
        <v>0</v>
      </c>
      <c r="AA30" s="19">
        <f>IF(AD30=15,J30,0)</f>
        <v>0</v>
      </c>
      <c r="AB30" s="19">
        <f>IF(AD30=21,J30,0)</f>
        <v>0</v>
      </c>
      <c r="AD30" s="44">
        <v>21</v>
      </c>
      <c r="AE30" s="44">
        <f>G30*0.0927361259585338</f>
        <v>0</v>
      </c>
      <c r="AF30" s="44">
        <f>G30*(1-0.0927361259585338)</f>
        <v>0</v>
      </c>
      <c r="AG30" s="39" t="s">
        <v>7</v>
      </c>
      <c r="AM30" s="44">
        <f>F30*AE30</f>
        <v>0</v>
      </c>
      <c r="AN30" s="44">
        <f>F30*AF30</f>
        <v>0</v>
      </c>
      <c r="AO30" s="45" t="s">
        <v>438</v>
      </c>
      <c r="AP30" s="45" t="s">
        <v>461</v>
      </c>
      <c r="AQ30" s="35" t="s">
        <v>469</v>
      </c>
      <c r="AS30" s="44">
        <f>AM30+AN30</f>
        <v>0</v>
      </c>
      <c r="AT30" s="44">
        <f>G30/(100-AU30)*100</f>
        <v>0</v>
      </c>
      <c r="AU30" s="44">
        <v>0</v>
      </c>
      <c r="AV30" s="44">
        <f>L30</f>
        <v>0.47394237500000003</v>
      </c>
    </row>
    <row r="31" spans="1:48" x14ac:dyDescent="0.25">
      <c r="A31" s="4"/>
      <c r="B31" s="14" t="s">
        <v>118</v>
      </c>
      <c r="C31" s="14" t="s">
        <v>67</v>
      </c>
      <c r="D31" s="14" t="s">
        <v>265</v>
      </c>
      <c r="E31" s="4" t="s">
        <v>6</v>
      </c>
      <c r="F31" s="4" t="s">
        <v>6</v>
      </c>
      <c r="G31" s="25" t="s">
        <v>6</v>
      </c>
      <c r="H31" s="47">
        <f>SUM(H32:H39)</f>
        <v>0</v>
      </c>
      <c r="I31" s="47">
        <f>SUM(I32:I39)</f>
        <v>0</v>
      </c>
      <c r="J31" s="47">
        <f>H31+I31</f>
        <v>0</v>
      </c>
      <c r="K31" s="35"/>
      <c r="L31" s="47">
        <f>SUM(L32:L39)</f>
        <v>1.7328768290000003</v>
      </c>
      <c r="M31" s="35"/>
      <c r="Y31" s="35" t="s">
        <v>118</v>
      </c>
      <c r="AI31" s="47">
        <f>SUM(Z32:Z39)</f>
        <v>0</v>
      </c>
      <c r="AJ31" s="47">
        <f>SUM(AA32:AA39)</f>
        <v>0</v>
      </c>
      <c r="AK31" s="47">
        <f>SUM(AB32:AB39)</f>
        <v>0</v>
      </c>
    </row>
    <row r="32" spans="1:48" x14ac:dyDescent="0.25">
      <c r="A32" s="5" t="s">
        <v>19</v>
      </c>
      <c r="B32" s="5" t="s">
        <v>118</v>
      </c>
      <c r="C32" s="5" t="s">
        <v>134</v>
      </c>
      <c r="D32" s="5" t="s">
        <v>266</v>
      </c>
      <c r="E32" s="5" t="s">
        <v>403</v>
      </c>
      <c r="F32" s="19">
        <v>19.100000000000001</v>
      </c>
      <c r="G32" s="26">
        <v>0</v>
      </c>
      <c r="H32" s="19">
        <f>F32*AE32</f>
        <v>0</v>
      </c>
      <c r="I32" s="19">
        <f>J32-H32</f>
        <v>0</v>
      </c>
      <c r="J32" s="19">
        <f>F32*G32</f>
        <v>0</v>
      </c>
      <c r="K32" s="19">
        <v>6.8000000000000005E-2</v>
      </c>
      <c r="L32" s="19">
        <f>F32*K32</f>
        <v>1.2988000000000002</v>
      </c>
      <c r="M32" s="39" t="s">
        <v>425</v>
      </c>
      <c r="P32" s="44">
        <f>IF(AG32="5",J32,0)</f>
        <v>0</v>
      </c>
      <c r="R32" s="44">
        <f>IF(AG32="1",H32,0)</f>
        <v>0</v>
      </c>
      <c r="S32" s="44">
        <f>IF(AG32="1",I32,0)</f>
        <v>0</v>
      </c>
      <c r="T32" s="44">
        <f>IF(AG32="7",H32,0)</f>
        <v>0</v>
      </c>
      <c r="U32" s="44">
        <f>IF(AG32="7",I32,0)</f>
        <v>0</v>
      </c>
      <c r="V32" s="44">
        <f>IF(AG32="2",H32,0)</f>
        <v>0</v>
      </c>
      <c r="W32" s="44">
        <f>IF(AG32="2",I32,0)</f>
        <v>0</v>
      </c>
      <c r="X32" s="44">
        <f>IF(AG32="0",J32,0)</f>
        <v>0</v>
      </c>
      <c r="Y32" s="35" t="s">
        <v>118</v>
      </c>
      <c r="Z32" s="19">
        <f>IF(AD32=0,J32,0)</f>
        <v>0</v>
      </c>
      <c r="AA32" s="19">
        <f>IF(AD32=15,J32,0)</f>
        <v>0</v>
      </c>
      <c r="AB32" s="19">
        <f>IF(AD32=21,J32,0)</f>
        <v>0</v>
      </c>
      <c r="AD32" s="44">
        <v>21</v>
      </c>
      <c r="AE32" s="44">
        <f>G32*0.424</f>
        <v>0</v>
      </c>
      <c r="AF32" s="44">
        <f>G32*(1-0.424)</f>
        <v>0</v>
      </c>
      <c r="AG32" s="39" t="s">
        <v>7</v>
      </c>
      <c r="AM32" s="44">
        <f>F32*AE32</f>
        <v>0</v>
      </c>
      <c r="AN32" s="44">
        <f>F32*AF32</f>
        <v>0</v>
      </c>
      <c r="AO32" s="45" t="s">
        <v>439</v>
      </c>
      <c r="AP32" s="45" t="s">
        <v>461</v>
      </c>
      <c r="AQ32" s="35" t="s">
        <v>469</v>
      </c>
      <c r="AS32" s="44">
        <f>AM32+AN32</f>
        <v>0</v>
      </c>
      <c r="AT32" s="44">
        <f>G32/(100-AU32)*100</f>
        <v>0</v>
      </c>
      <c r="AU32" s="44">
        <v>0</v>
      </c>
      <c r="AV32" s="44">
        <f>L32</f>
        <v>1.2988000000000002</v>
      </c>
    </row>
    <row r="33" spans="1:48" x14ac:dyDescent="0.25">
      <c r="D33" s="17" t="s">
        <v>267</v>
      </c>
      <c r="G33" s="28"/>
    </row>
    <row r="34" spans="1:48" x14ac:dyDescent="0.25">
      <c r="A34" s="5" t="s">
        <v>20</v>
      </c>
      <c r="B34" s="5" t="s">
        <v>118</v>
      </c>
      <c r="C34" s="5" t="s">
        <v>135</v>
      </c>
      <c r="D34" s="5" t="s">
        <v>268</v>
      </c>
      <c r="E34" s="5" t="s">
        <v>403</v>
      </c>
      <c r="F34" s="19">
        <v>189.57695000000001</v>
      </c>
      <c r="G34" s="26">
        <v>0</v>
      </c>
      <c r="H34" s="19">
        <f>F34*AE34</f>
        <v>0</v>
      </c>
      <c r="I34" s="19">
        <f>J34-H34</f>
        <v>0</v>
      </c>
      <c r="J34" s="19">
        <f>F34*G34</f>
        <v>0</v>
      </c>
      <c r="K34" s="19">
        <v>2.2000000000000001E-4</v>
      </c>
      <c r="L34" s="19">
        <f>F34*K34</f>
        <v>4.1706929000000004E-2</v>
      </c>
      <c r="M34" s="39" t="s">
        <v>425</v>
      </c>
      <c r="P34" s="44">
        <f>IF(AG34="5",J34,0)</f>
        <v>0</v>
      </c>
      <c r="R34" s="44">
        <f>IF(AG34="1",H34,0)</f>
        <v>0</v>
      </c>
      <c r="S34" s="44">
        <f>IF(AG34="1",I34,0)</f>
        <v>0</v>
      </c>
      <c r="T34" s="44">
        <f>IF(AG34="7",H34,0)</f>
        <v>0</v>
      </c>
      <c r="U34" s="44">
        <f>IF(AG34="7",I34,0)</f>
        <v>0</v>
      </c>
      <c r="V34" s="44">
        <f>IF(AG34="2",H34,0)</f>
        <v>0</v>
      </c>
      <c r="W34" s="44">
        <f>IF(AG34="2",I34,0)</f>
        <v>0</v>
      </c>
      <c r="X34" s="44">
        <f>IF(AG34="0",J34,0)</f>
        <v>0</v>
      </c>
      <c r="Y34" s="35" t="s">
        <v>118</v>
      </c>
      <c r="Z34" s="19">
        <f>IF(AD34=0,J34,0)</f>
        <v>0</v>
      </c>
      <c r="AA34" s="19">
        <f>IF(AD34=15,J34,0)</f>
        <v>0</v>
      </c>
      <c r="AB34" s="19">
        <f>IF(AD34=21,J34,0)</f>
        <v>0</v>
      </c>
      <c r="AD34" s="44">
        <v>21</v>
      </c>
      <c r="AE34" s="44">
        <f>G34*0.678208062233621</f>
        <v>0</v>
      </c>
      <c r="AF34" s="44">
        <f>G34*(1-0.678208062233621)</f>
        <v>0</v>
      </c>
      <c r="AG34" s="39" t="s">
        <v>7</v>
      </c>
      <c r="AM34" s="44">
        <f>F34*AE34</f>
        <v>0</v>
      </c>
      <c r="AN34" s="44">
        <f>F34*AF34</f>
        <v>0</v>
      </c>
      <c r="AO34" s="45" t="s">
        <v>439</v>
      </c>
      <c r="AP34" s="45" t="s">
        <v>461</v>
      </c>
      <c r="AQ34" s="35" t="s">
        <v>469</v>
      </c>
      <c r="AS34" s="44">
        <f>AM34+AN34</f>
        <v>0</v>
      </c>
      <c r="AT34" s="44">
        <f>G34/(100-AU34)*100</f>
        <v>0</v>
      </c>
      <c r="AU34" s="44">
        <v>0</v>
      </c>
      <c r="AV34" s="44">
        <f>L34</f>
        <v>4.1706929000000004E-2</v>
      </c>
    </row>
    <row r="35" spans="1:48" x14ac:dyDescent="0.25">
      <c r="A35" s="5" t="s">
        <v>21</v>
      </c>
      <c r="B35" s="5" t="s">
        <v>118</v>
      </c>
      <c r="C35" s="5" t="s">
        <v>136</v>
      </c>
      <c r="D35" s="5" t="s">
        <v>269</v>
      </c>
      <c r="E35" s="5" t="s">
        <v>403</v>
      </c>
      <c r="F35" s="19">
        <v>189.57695000000001</v>
      </c>
      <c r="G35" s="26">
        <v>0</v>
      </c>
      <c r="H35" s="19">
        <f>F35*AE35</f>
        <v>0</v>
      </c>
      <c r="I35" s="19">
        <f>J35-H35</f>
        <v>0</v>
      </c>
      <c r="J35" s="19">
        <f>F35*G35</f>
        <v>0</v>
      </c>
      <c r="K35" s="19">
        <v>0</v>
      </c>
      <c r="L35" s="19">
        <f>F35*K35</f>
        <v>0</v>
      </c>
      <c r="M35" s="39" t="s">
        <v>425</v>
      </c>
      <c r="P35" s="44">
        <f>IF(AG35="5",J35,0)</f>
        <v>0</v>
      </c>
      <c r="R35" s="44">
        <f>IF(AG35="1",H35,0)</f>
        <v>0</v>
      </c>
      <c r="S35" s="44">
        <f>IF(AG35="1",I35,0)</f>
        <v>0</v>
      </c>
      <c r="T35" s="44">
        <f>IF(AG35="7",H35,0)</f>
        <v>0</v>
      </c>
      <c r="U35" s="44">
        <f>IF(AG35="7",I35,0)</f>
        <v>0</v>
      </c>
      <c r="V35" s="44">
        <f>IF(AG35="2",H35,0)</f>
        <v>0</v>
      </c>
      <c r="W35" s="44">
        <f>IF(AG35="2",I35,0)</f>
        <v>0</v>
      </c>
      <c r="X35" s="44">
        <f>IF(AG35="0",J35,0)</f>
        <v>0</v>
      </c>
      <c r="Y35" s="35" t="s">
        <v>118</v>
      </c>
      <c r="Z35" s="19">
        <f>IF(AD35=0,J35,0)</f>
        <v>0</v>
      </c>
      <c r="AA35" s="19">
        <f>IF(AD35=15,J35,0)</f>
        <v>0</v>
      </c>
      <c r="AB35" s="19">
        <f>IF(AD35=21,J35,0)</f>
        <v>0</v>
      </c>
      <c r="AD35" s="44">
        <v>21</v>
      </c>
      <c r="AE35" s="44">
        <f>G35*0</f>
        <v>0</v>
      </c>
      <c r="AF35" s="44">
        <f>G35*(1-0)</f>
        <v>0</v>
      </c>
      <c r="AG35" s="39" t="s">
        <v>7</v>
      </c>
      <c r="AM35" s="44">
        <f>F35*AE35</f>
        <v>0</v>
      </c>
      <c r="AN35" s="44">
        <f>F35*AF35</f>
        <v>0</v>
      </c>
      <c r="AO35" s="45" t="s">
        <v>439</v>
      </c>
      <c r="AP35" s="45" t="s">
        <v>461</v>
      </c>
      <c r="AQ35" s="35" t="s">
        <v>469</v>
      </c>
      <c r="AS35" s="44">
        <f>AM35+AN35</f>
        <v>0</v>
      </c>
      <c r="AT35" s="44">
        <f>G35/(100-AU35)*100</f>
        <v>0</v>
      </c>
      <c r="AU35" s="44">
        <v>0</v>
      </c>
      <c r="AV35" s="44">
        <f>L35</f>
        <v>0</v>
      </c>
    </row>
    <row r="36" spans="1:48" x14ac:dyDescent="0.25">
      <c r="A36" s="5" t="s">
        <v>22</v>
      </c>
      <c r="B36" s="5" t="s">
        <v>118</v>
      </c>
      <c r="C36" s="5" t="s">
        <v>137</v>
      </c>
      <c r="D36" s="5" t="s">
        <v>270</v>
      </c>
      <c r="E36" s="5" t="s">
        <v>403</v>
      </c>
      <c r="F36" s="19">
        <v>5.8049999999999997</v>
      </c>
      <c r="G36" s="26">
        <v>0</v>
      </c>
      <c r="H36" s="19">
        <f>F36*AE36</f>
        <v>0</v>
      </c>
      <c r="I36" s="19">
        <f>J36-H36</f>
        <v>0</v>
      </c>
      <c r="J36" s="19">
        <f>F36*G36</f>
        <v>0</v>
      </c>
      <c r="K36" s="19">
        <v>1.038E-2</v>
      </c>
      <c r="L36" s="19">
        <f>F36*K36</f>
        <v>6.0255900000000001E-2</v>
      </c>
      <c r="M36" s="39" t="s">
        <v>425</v>
      </c>
      <c r="P36" s="44">
        <f>IF(AG36="5",J36,0)</f>
        <v>0</v>
      </c>
      <c r="R36" s="44">
        <f>IF(AG36="1",H36,0)</f>
        <v>0</v>
      </c>
      <c r="S36" s="44">
        <f>IF(AG36="1",I36,0)</f>
        <v>0</v>
      </c>
      <c r="T36" s="44">
        <f>IF(AG36="7",H36,0)</f>
        <v>0</v>
      </c>
      <c r="U36" s="44">
        <f>IF(AG36="7",I36,0)</f>
        <v>0</v>
      </c>
      <c r="V36" s="44">
        <f>IF(AG36="2",H36,0)</f>
        <v>0</v>
      </c>
      <c r="W36" s="44">
        <f>IF(AG36="2",I36,0)</f>
        <v>0</v>
      </c>
      <c r="X36" s="44">
        <f>IF(AG36="0",J36,0)</f>
        <v>0</v>
      </c>
      <c r="Y36" s="35" t="s">
        <v>118</v>
      </c>
      <c r="Z36" s="19">
        <f>IF(AD36=0,J36,0)</f>
        <v>0</v>
      </c>
      <c r="AA36" s="19">
        <f>IF(AD36=15,J36,0)</f>
        <v>0</v>
      </c>
      <c r="AB36" s="19">
        <f>IF(AD36=21,J36,0)</f>
        <v>0</v>
      </c>
      <c r="AD36" s="44">
        <v>21</v>
      </c>
      <c r="AE36" s="44">
        <f>G36*0.236330953240908</f>
        <v>0</v>
      </c>
      <c r="AF36" s="44">
        <f>G36*(1-0.236330953240908)</f>
        <v>0</v>
      </c>
      <c r="AG36" s="39" t="s">
        <v>7</v>
      </c>
      <c r="AM36" s="44">
        <f>F36*AE36</f>
        <v>0</v>
      </c>
      <c r="AN36" s="44">
        <f>F36*AF36</f>
        <v>0</v>
      </c>
      <c r="AO36" s="45" t="s">
        <v>439</v>
      </c>
      <c r="AP36" s="45" t="s">
        <v>461</v>
      </c>
      <c r="AQ36" s="35" t="s">
        <v>469</v>
      </c>
      <c r="AS36" s="44">
        <f>AM36+AN36</f>
        <v>0</v>
      </c>
      <c r="AT36" s="44">
        <f>G36/(100-AU36)*100</f>
        <v>0</v>
      </c>
      <c r="AU36" s="44">
        <v>0</v>
      </c>
      <c r="AV36" s="44">
        <f>L36</f>
        <v>6.0255900000000001E-2</v>
      </c>
    </row>
    <row r="37" spans="1:48" x14ac:dyDescent="0.25">
      <c r="D37" s="17" t="s">
        <v>267</v>
      </c>
      <c r="G37" s="28"/>
    </row>
    <row r="38" spans="1:48" x14ac:dyDescent="0.25">
      <c r="A38" s="6" t="s">
        <v>23</v>
      </c>
      <c r="B38" s="6" t="s">
        <v>118</v>
      </c>
      <c r="C38" s="6" t="s">
        <v>138</v>
      </c>
      <c r="D38" s="6" t="s">
        <v>271</v>
      </c>
      <c r="E38" s="6" t="s">
        <v>402</v>
      </c>
      <c r="F38" s="20">
        <v>27.5</v>
      </c>
      <c r="G38" s="27">
        <v>0</v>
      </c>
      <c r="H38" s="20">
        <f>F38*AE38</f>
        <v>0</v>
      </c>
      <c r="I38" s="20">
        <f>J38-H38</f>
        <v>0</v>
      </c>
      <c r="J38" s="20">
        <f>F38*G38</f>
        <v>0</v>
      </c>
      <c r="K38" s="20">
        <v>1E-4</v>
      </c>
      <c r="L38" s="20">
        <f>F38*K38</f>
        <v>2.7500000000000003E-3</v>
      </c>
      <c r="M38" s="40" t="s">
        <v>425</v>
      </c>
      <c r="P38" s="44">
        <f>IF(AG38="5",J38,0)</f>
        <v>0</v>
      </c>
      <c r="R38" s="44">
        <f>IF(AG38="1",H38,0)</f>
        <v>0</v>
      </c>
      <c r="S38" s="44">
        <f>IF(AG38="1",I38,0)</f>
        <v>0</v>
      </c>
      <c r="T38" s="44">
        <f>IF(AG38="7",H38,0)</f>
        <v>0</v>
      </c>
      <c r="U38" s="44">
        <f>IF(AG38="7",I38,0)</f>
        <v>0</v>
      </c>
      <c r="V38" s="44">
        <f>IF(AG38="2",H38,0)</f>
        <v>0</v>
      </c>
      <c r="W38" s="44">
        <f>IF(AG38="2",I38,0)</f>
        <v>0</v>
      </c>
      <c r="X38" s="44">
        <f>IF(AG38="0",J38,0)</f>
        <v>0</v>
      </c>
      <c r="Y38" s="35" t="s">
        <v>118</v>
      </c>
      <c r="Z38" s="20">
        <f>IF(AD38=0,J38,0)</f>
        <v>0</v>
      </c>
      <c r="AA38" s="20">
        <f>IF(AD38=15,J38,0)</f>
        <v>0</v>
      </c>
      <c r="AB38" s="20">
        <f>IF(AD38=21,J38,0)</f>
        <v>0</v>
      </c>
      <c r="AD38" s="44">
        <v>21</v>
      </c>
      <c r="AE38" s="44">
        <f>G38*1</f>
        <v>0</v>
      </c>
      <c r="AF38" s="44">
        <f>G38*(1-1)</f>
        <v>0</v>
      </c>
      <c r="AG38" s="40" t="s">
        <v>7</v>
      </c>
      <c r="AM38" s="44">
        <f>F38*AE38</f>
        <v>0</v>
      </c>
      <c r="AN38" s="44">
        <f>F38*AF38</f>
        <v>0</v>
      </c>
      <c r="AO38" s="45" t="s">
        <v>439</v>
      </c>
      <c r="AP38" s="45" t="s">
        <v>461</v>
      </c>
      <c r="AQ38" s="35" t="s">
        <v>469</v>
      </c>
      <c r="AS38" s="44">
        <f>AM38+AN38</f>
        <v>0</v>
      </c>
      <c r="AT38" s="44">
        <f>G38/(100-AU38)*100</f>
        <v>0</v>
      </c>
      <c r="AU38" s="44">
        <v>0</v>
      </c>
      <c r="AV38" s="44">
        <f>L38</f>
        <v>2.7500000000000003E-3</v>
      </c>
    </row>
    <row r="39" spans="1:48" x14ac:dyDescent="0.25">
      <c r="A39" s="5" t="s">
        <v>24</v>
      </c>
      <c r="B39" s="5" t="s">
        <v>118</v>
      </c>
      <c r="C39" s="5" t="s">
        <v>139</v>
      </c>
      <c r="D39" s="5" t="s">
        <v>272</v>
      </c>
      <c r="E39" s="5" t="s">
        <v>403</v>
      </c>
      <c r="F39" s="19">
        <v>8.4</v>
      </c>
      <c r="G39" s="26">
        <v>0</v>
      </c>
      <c r="H39" s="19">
        <f>F39*AE39</f>
        <v>0</v>
      </c>
      <c r="I39" s="19">
        <f>J39-H39</f>
        <v>0</v>
      </c>
      <c r="J39" s="19">
        <f>F39*G39</f>
        <v>0</v>
      </c>
      <c r="K39" s="19">
        <v>3.9210000000000002E-2</v>
      </c>
      <c r="L39" s="19">
        <f>F39*K39</f>
        <v>0.32936400000000005</v>
      </c>
      <c r="M39" s="39" t="s">
        <v>425</v>
      </c>
      <c r="P39" s="44">
        <f>IF(AG39="5",J39,0)</f>
        <v>0</v>
      </c>
      <c r="R39" s="44">
        <f>IF(AG39="1",H39,0)</f>
        <v>0</v>
      </c>
      <c r="S39" s="44">
        <f>IF(AG39="1",I39,0)</f>
        <v>0</v>
      </c>
      <c r="T39" s="44">
        <f>IF(AG39="7",H39,0)</f>
        <v>0</v>
      </c>
      <c r="U39" s="44">
        <f>IF(AG39="7",I39,0)</f>
        <v>0</v>
      </c>
      <c r="V39" s="44">
        <f>IF(AG39="2",H39,0)</f>
        <v>0</v>
      </c>
      <c r="W39" s="44">
        <f>IF(AG39="2",I39,0)</f>
        <v>0</v>
      </c>
      <c r="X39" s="44">
        <f>IF(AG39="0",J39,0)</f>
        <v>0</v>
      </c>
      <c r="Y39" s="35" t="s">
        <v>118</v>
      </c>
      <c r="Z39" s="19">
        <f>IF(AD39=0,J39,0)</f>
        <v>0</v>
      </c>
      <c r="AA39" s="19">
        <f>IF(AD39=15,J39,0)</f>
        <v>0</v>
      </c>
      <c r="AB39" s="19">
        <f>IF(AD39=21,J39,0)</f>
        <v>0</v>
      </c>
      <c r="AD39" s="44">
        <v>21</v>
      </c>
      <c r="AE39" s="44">
        <f>G39*0.175921516552956</f>
        <v>0</v>
      </c>
      <c r="AF39" s="44">
        <f>G39*(1-0.175921516552956)</f>
        <v>0</v>
      </c>
      <c r="AG39" s="39" t="s">
        <v>7</v>
      </c>
      <c r="AM39" s="44">
        <f>F39*AE39</f>
        <v>0</v>
      </c>
      <c r="AN39" s="44">
        <f>F39*AF39</f>
        <v>0</v>
      </c>
      <c r="AO39" s="45" t="s">
        <v>439</v>
      </c>
      <c r="AP39" s="45" t="s">
        <v>461</v>
      </c>
      <c r="AQ39" s="35" t="s">
        <v>469</v>
      </c>
      <c r="AS39" s="44">
        <f>AM39+AN39</f>
        <v>0</v>
      </c>
      <c r="AT39" s="44">
        <f>G39/(100-AU39)*100</f>
        <v>0</v>
      </c>
      <c r="AU39" s="44">
        <v>0</v>
      </c>
      <c r="AV39" s="44">
        <f>L39</f>
        <v>0.32936400000000005</v>
      </c>
    </row>
    <row r="40" spans="1:48" x14ac:dyDescent="0.25">
      <c r="A40" s="4"/>
      <c r="B40" s="14" t="s">
        <v>118</v>
      </c>
      <c r="C40" s="14" t="s">
        <v>69</v>
      </c>
      <c r="D40" s="14" t="s">
        <v>273</v>
      </c>
      <c r="E40" s="4" t="s">
        <v>6</v>
      </c>
      <c r="F40" s="4" t="s">
        <v>6</v>
      </c>
      <c r="G40" s="25" t="s">
        <v>6</v>
      </c>
      <c r="H40" s="47">
        <f>SUM(H41:H46)</f>
        <v>0</v>
      </c>
      <c r="I40" s="47">
        <f>SUM(I41:I46)</f>
        <v>0</v>
      </c>
      <c r="J40" s="47">
        <f>H40+I40</f>
        <v>0</v>
      </c>
      <c r="K40" s="35"/>
      <c r="L40" s="47">
        <f>SUM(L41:L46)</f>
        <v>15.050159399999998</v>
      </c>
      <c r="M40" s="35"/>
      <c r="Y40" s="35" t="s">
        <v>118</v>
      </c>
      <c r="AI40" s="47">
        <f>SUM(Z41:Z46)</f>
        <v>0</v>
      </c>
      <c r="AJ40" s="47">
        <f>SUM(AA41:AA46)</f>
        <v>0</v>
      </c>
      <c r="AK40" s="47">
        <f>SUM(AB41:AB46)</f>
        <v>0</v>
      </c>
    </row>
    <row r="41" spans="1:48" x14ac:dyDescent="0.25">
      <c r="A41" s="5" t="s">
        <v>25</v>
      </c>
      <c r="B41" s="5" t="s">
        <v>118</v>
      </c>
      <c r="C41" s="5" t="s">
        <v>140</v>
      </c>
      <c r="D41" s="5" t="s">
        <v>274</v>
      </c>
      <c r="E41" s="5" t="s">
        <v>401</v>
      </c>
      <c r="F41" s="19">
        <v>5.3667999999999996</v>
      </c>
      <c r="G41" s="26">
        <v>0</v>
      </c>
      <c r="H41" s="19">
        <f>F41*AE41</f>
        <v>0</v>
      </c>
      <c r="I41" s="19">
        <f>J41-H41</f>
        <v>0</v>
      </c>
      <c r="J41" s="19">
        <f>F41*G41</f>
        <v>0</v>
      </c>
      <c r="K41" s="19">
        <v>1.919</v>
      </c>
      <c r="L41" s="19">
        <f>F41*K41</f>
        <v>10.2988892</v>
      </c>
      <c r="M41" s="39" t="s">
        <v>425</v>
      </c>
      <c r="P41" s="44">
        <f>IF(AG41="5",J41,0)</f>
        <v>0</v>
      </c>
      <c r="R41" s="44">
        <f>IF(AG41="1",H41,0)</f>
        <v>0</v>
      </c>
      <c r="S41" s="44">
        <f>IF(AG41="1",I41,0)</f>
        <v>0</v>
      </c>
      <c r="T41" s="44">
        <f>IF(AG41="7",H41,0)</f>
        <v>0</v>
      </c>
      <c r="U41" s="44">
        <f>IF(AG41="7",I41,0)</f>
        <v>0</v>
      </c>
      <c r="V41" s="44">
        <f>IF(AG41="2",H41,0)</f>
        <v>0</v>
      </c>
      <c r="W41" s="44">
        <f>IF(AG41="2",I41,0)</f>
        <v>0</v>
      </c>
      <c r="X41" s="44">
        <f>IF(AG41="0",J41,0)</f>
        <v>0</v>
      </c>
      <c r="Y41" s="35" t="s">
        <v>118</v>
      </c>
      <c r="Z41" s="19">
        <f>IF(AD41=0,J41,0)</f>
        <v>0</v>
      </c>
      <c r="AA41" s="19">
        <f>IF(AD41=15,J41,0)</f>
        <v>0</v>
      </c>
      <c r="AB41" s="19">
        <f>IF(AD41=21,J41,0)</f>
        <v>0</v>
      </c>
      <c r="AD41" s="44">
        <v>21</v>
      </c>
      <c r="AE41" s="44">
        <f>G41*0.797981027667984</f>
        <v>0</v>
      </c>
      <c r="AF41" s="44">
        <f>G41*(1-0.797981027667984)</f>
        <v>0</v>
      </c>
      <c r="AG41" s="39" t="s">
        <v>7</v>
      </c>
      <c r="AM41" s="44">
        <f>F41*AE41</f>
        <v>0</v>
      </c>
      <c r="AN41" s="44">
        <f>F41*AF41</f>
        <v>0</v>
      </c>
      <c r="AO41" s="45" t="s">
        <v>440</v>
      </c>
      <c r="AP41" s="45" t="s">
        <v>461</v>
      </c>
      <c r="AQ41" s="35" t="s">
        <v>469</v>
      </c>
      <c r="AS41" s="44">
        <f>AM41+AN41</f>
        <v>0</v>
      </c>
      <c r="AT41" s="44">
        <f>G41/(100-AU41)*100</f>
        <v>0</v>
      </c>
      <c r="AU41" s="44">
        <v>0</v>
      </c>
      <c r="AV41" s="44">
        <f>L41</f>
        <v>10.2988892</v>
      </c>
    </row>
    <row r="42" spans="1:48" x14ac:dyDescent="0.25">
      <c r="D42" s="17" t="s">
        <v>275</v>
      </c>
      <c r="G42" s="28"/>
    </row>
    <row r="43" spans="1:48" x14ac:dyDescent="0.25">
      <c r="A43" s="5" t="s">
        <v>26</v>
      </c>
      <c r="B43" s="5" t="s">
        <v>118</v>
      </c>
      <c r="C43" s="5" t="s">
        <v>141</v>
      </c>
      <c r="D43" s="5" t="s">
        <v>276</v>
      </c>
      <c r="E43" s="5" t="s">
        <v>401</v>
      </c>
      <c r="F43" s="19">
        <v>3.93</v>
      </c>
      <c r="G43" s="26">
        <v>0</v>
      </c>
      <c r="H43" s="19">
        <f>F43*AE43</f>
        <v>0</v>
      </c>
      <c r="I43" s="19">
        <f>J43-H43</f>
        <v>0</v>
      </c>
      <c r="J43" s="19">
        <f>F43*G43</f>
        <v>0</v>
      </c>
      <c r="K43" s="19">
        <v>1.2</v>
      </c>
      <c r="L43" s="19">
        <f>F43*K43</f>
        <v>4.7160000000000002</v>
      </c>
      <c r="M43" s="39" t="s">
        <v>425</v>
      </c>
      <c r="P43" s="44">
        <f>IF(AG43="5",J43,0)</f>
        <v>0</v>
      </c>
      <c r="R43" s="44">
        <f>IF(AG43="1",H43,0)</f>
        <v>0</v>
      </c>
      <c r="S43" s="44">
        <f>IF(AG43="1",I43,0)</f>
        <v>0</v>
      </c>
      <c r="T43" s="44">
        <f>IF(AG43="7",H43,0)</f>
        <v>0</v>
      </c>
      <c r="U43" s="44">
        <f>IF(AG43="7",I43,0)</f>
        <v>0</v>
      </c>
      <c r="V43" s="44">
        <f>IF(AG43="2",H43,0)</f>
        <v>0</v>
      </c>
      <c r="W43" s="44">
        <f>IF(AG43="2",I43,0)</f>
        <v>0</v>
      </c>
      <c r="X43" s="44">
        <f>IF(AG43="0",J43,0)</f>
        <v>0</v>
      </c>
      <c r="Y43" s="35" t="s">
        <v>118</v>
      </c>
      <c r="Z43" s="19">
        <f>IF(AD43=0,J43,0)</f>
        <v>0</v>
      </c>
      <c r="AA43" s="19">
        <f>IF(AD43=15,J43,0)</f>
        <v>0</v>
      </c>
      <c r="AB43" s="19">
        <f>IF(AD43=21,J43,0)</f>
        <v>0</v>
      </c>
      <c r="AD43" s="44">
        <v>21</v>
      </c>
      <c r="AE43" s="44">
        <f>G43*0.393398357289528</f>
        <v>0</v>
      </c>
      <c r="AF43" s="44">
        <f>G43*(1-0.393398357289528)</f>
        <v>0</v>
      </c>
      <c r="AG43" s="39" t="s">
        <v>7</v>
      </c>
      <c r="AM43" s="44">
        <f>F43*AE43</f>
        <v>0</v>
      </c>
      <c r="AN43" s="44">
        <f>F43*AF43</f>
        <v>0</v>
      </c>
      <c r="AO43" s="45" t="s">
        <v>440</v>
      </c>
      <c r="AP43" s="45" t="s">
        <v>461</v>
      </c>
      <c r="AQ43" s="35" t="s">
        <v>469</v>
      </c>
      <c r="AS43" s="44">
        <f>AM43+AN43</f>
        <v>0</v>
      </c>
      <c r="AT43" s="44">
        <f>G43/(100-AU43)*100</f>
        <v>0</v>
      </c>
      <c r="AU43" s="44">
        <v>0</v>
      </c>
      <c r="AV43" s="44">
        <f>L43</f>
        <v>4.7160000000000002</v>
      </c>
    </row>
    <row r="44" spans="1:48" x14ac:dyDescent="0.25">
      <c r="A44" s="5" t="s">
        <v>27</v>
      </c>
      <c r="B44" s="5" t="s">
        <v>118</v>
      </c>
      <c r="C44" s="5" t="s">
        <v>142</v>
      </c>
      <c r="D44" s="5" t="s">
        <v>277</v>
      </c>
      <c r="E44" s="5" t="s">
        <v>402</v>
      </c>
      <c r="F44" s="19">
        <v>46.3</v>
      </c>
      <c r="G44" s="26">
        <v>0</v>
      </c>
      <c r="H44" s="19">
        <f>F44*AE44</f>
        <v>0</v>
      </c>
      <c r="I44" s="19">
        <f>J44-H44</f>
        <v>0</v>
      </c>
      <c r="J44" s="19">
        <f>F44*G44</f>
        <v>0</v>
      </c>
      <c r="K44" s="19">
        <v>3.2000000000000003E-4</v>
      </c>
      <c r="L44" s="19">
        <f>F44*K44</f>
        <v>1.4816000000000001E-2</v>
      </c>
      <c r="M44" s="39" t="s">
        <v>425</v>
      </c>
      <c r="P44" s="44">
        <f>IF(AG44="5",J44,0)</f>
        <v>0</v>
      </c>
      <c r="R44" s="44">
        <f>IF(AG44="1",H44,0)</f>
        <v>0</v>
      </c>
      <c r="S44" s="44">
        <f>IF(AG44="1",I44,0)</f>
        <v>0</v>
      </c>
      <c r="T44" s="44">
        <f>IF(AG44="7",H44,0)</f>
        <v>0</v>
      </c>
      <c r="U44" s="44">
        <f>IF(AG44="7",I44,0)</f>
        <v>0</v>
      </c>
      <c r="V44" s="44">
        <f>IF(AG44="2",H44,0)</f>
        <v>0</v>
      </c>
      <c r="W44" s="44">
        <f>IF(AG44="2",I44,0)</f>
        <v>0</v>
      </c>
      <c r="X44" s="44">
        <f>IF(AG44="0",J44,0)</f>
        <v>0</v>
      </c>
      <c r="Y44" s="35" t="s">
        <v>118</v>
      </c>
      <c r="Z44" s="19">
        <f>IF(AD44=0,J44,0)</f>
        <v>0</v>
      </c>
      <c r="AA44" s="19">
        <f>IF(AD44=15,J44,0)</f>
        <v>0</v>
      </c>
      <c r="AB44" s="19">
        <f>IF(AD44=21,J44,0)</f>
        <v>0</v>
      </c>
      <c r="AD44" s="44">
        <v>21</v>
      </c>
      <c r="AE44" s="44">
        <f>G44*0.541711991588204</f>
        <v>0</v>
      </c>
      <c r="AF44" s="44">
        <f>G44*(1-0.541711991588204)</f>
        <v>0</v>
      </c>
      <c r="AG44" s="39" t="s">
        <v>7</v>
      </c>
      <c r="AM44" s="44">
        <f>F44*AE44</f>
        <v>0</v>
      </c>
      <c r="AN44" s="44">
        <f>F44*AF44</f>
        <v>0</v>
      </c>
      <c r="AO44" s="45" t="s">
        <v>440</v>
      </c>
      <c r="AP44" s="45" t="s">
        <v>461</v>
      </c>
      <c r="AQ44" s="35" t="s">
        <v>469</v>
      </c>
      <c r="AS44" s="44">
        <f>AM44+AN44</f>
        <v>0</v>
      </c>
      <c r="AT44" s="44">
        <f>G44/(100-AU44)*100</f>
        <v>0</v>
      </c>
      <c r="AU44" s="44">
        <v>0</v>
      </c>
      <c r="AV44" s="44">
        <f>L44</f>
        <v>1.4816000000000001E-2</v>
      </c>
    </row>
    <row r="45" spans="1:48" x14ac:dyDescent="0.25">
      <c r="D45" s="17" t="s">
        <v>278</v>
      </c>
      <c r="G45" s="28"/>
    </row>
    <row r="46" spans="1:48" x14ac:dyDescent="0.25">
      <c r="A46" s="5" t="s">
        <v>28</v>
      </c>
      <c r="B46" s="5" t="s">
        <v>118</v>
      </c>
      <c r="C46" s="5" t="s">
        <v>143</v>
      </c>
      <c r="D46" s="5" t="s">
        <v>279</v>
      </c>
      <c r="E46" s="5" t="s">
        <v>403</v>
      </c>
      <c r="F46" s="19">
        <v>78.67</v>
      </c>
      <c r="G46" s="26">
        <v>0</v>
      </c>
      <c r="H46" s="19">
        <f>F46*AE46</f>
        <v>0</v>
      </c>
      <c r="I46" s="19">
        <f>J46-H46</f>
        <v>0</v>
      </c>
      <c r="J46" s="19">
        <f>F46*G46</f>
        <v>0</v>
      </c>
      <c r="K46" s="19">
        <v>2.5999999999999998E-4</v>
      </c>
      <c r="L46" s="19">
        <f>F46*K46</f>
        <v>2.0454199999999999E-2</v>
      </c>
      <c r="M46" s="39" t="s">
        <v>425</v>
      </c>
      <c r="P46" s="44">
        <f>IF(AG46="5",J46,0)</f>
        <v>0</v>
      </c>
      <c r="R46" s="44">
        <f>IF(AG46="1",H46,0)</f>
        <v>0</v>
      </c>
      <c r="S46" s="44">
        <f>IF(AG46="1",I46,0)</f>
        <v>0</v>
      </c>
      <c r="T46" s="44">
        <f>IF(AG46="7",H46,0)</f>
        <v>0</v>
      </c>
      <c r="U46" s="44">
        <f>IF(AG46="7",I46,0)</f>
        <v>0</v>
      </c>
      <c r="V46" s="44">
        <f>IF(AG46="2",H46,0)</f>
        <v>0</v>
      </c>
      <c r="W46" s="44">
        <f>IF(AG46="2",I46,0)</f>
        <v>0</v>
      </c>
      <c r="X46" s="44">
        <f>IF(AG46="0",J46,0)</f>
        <v>0</v>
      </c>
      <c r="Y46" s="35" t="s">
        <v>118</v>
      </c>
      <c r="Z46" s="19">
        <f>IF(AD46=0,J46,0)</f>
        <v>0</v>
      </c>
      <c r="AA46" s="19">
        <f>IF(AD46=15,J46,0)</f>
        <v>0</v>
      </c>
      <c r="AB46" s="19">
        <f>IF(AD46=21,J46,0)</f>
        <v>0</v>
      </c>
      <c r="AD46" s="44">
        <v>21</v>
      </c>
      <c r="AE46" s="44">
        <f>G46*0.475244102899589</f>
        <v>0</v>
      </c>
      <c r="AF46" s="44">
        <f>G46*(1-0.475244102899589)</f>
        <v>0</v>
      </c>
      <c r="AG46" s="39" t="s">
        <v>7</v>
      </c>
      <c r="AM46" s="44">
        <f>F46*AE46</f>
        <v>0</v>
      </c>
      <c r="AN46" s="44">
        <f>F46*AF46</f>
        <v>0</v>
      </c>
      <c r="AO46" s="45" t="s">
        <v>440</v>
      </c>
      <c r="AP46" s="45" t="s">
        <v>461</v>
      </c>
      <c r="AQ46" s="35" t="s">
        <v>469</v>
      </c>
      <c r="AS46" s="44">
        <f>AM46+AN46</f>
        <v>0</v>
      </c>
      <c r="AT46" s="44">
        <f>G46/(100-AU46)*100</f>
        <v>0</v>
      </c>
      <c r="AU46" s="44">
        <v>0</v>
      </c>
      <c r="AV46" s="44">
        <f>L46</f>
        <v>2.0454199999999999E-2</v>
      </c>
    </row>
    <row r="47" spans="1:48" x14ac:dyDescent="0.25">
      <c r="A47" s="4"/>
      <c r="B47" s="14" t="s">
        <v>118</v>
      </c>
      <c r="C47" s="14" t="s">
        <v>70</v>
      </c>
      <c r="D47" s="14" t="s">
        <v>280</v>
      </c>
      <c r="E47" s="4" t="s">
        <v>6</v>
      </c>
      <c r="F47" s="4" t="s">
        <v>6</v>
      </c>
      <c r="G47" s="25" t="s">
        <v>6</v>
      </c>
      <c r="H47" s="47">
        <f>SUM(H48:H51)</f>
        <v>0</v>
      </c>
      <c r="I47" s="47">
        <f>SUM(I48:I51)</f>
        <v>0</v>
      </c>
      <c r="J47" s="47">
        <f>H47+I47</f>
        <v>0</v>
      </c>
      <c r="K47" s="35"/>
      <c r="L47" s="47">
        <f>SUM(L48:L51)</f>
        <v>9.6829999999999999E-2</v>
      </c>
      <c r="M47" s="35"/>
      <c r="Y47" s="35" t="s">
        <v>118</v>
      </c>
      <c r="AI47" s="47">
        <f>SUM(Z48:Z51)</f>
        <v>0</v>
      </c>
      <c r="AJ47" s="47">
        <f>SUM(AA48:AA51)</f>
        <v>0</v>
      </c>
      <c r="AK47" s="47">
        <f>SUM(AB48:AB51)</f>
        <v>0</v>
      </c>
    </row>
    <row r="48" spans="1:48" x14ac:dyDescent="0.25">
      <c r="A48" s="5" t="s">
        <v>29</v>
      </c>
      <c r="B48" s="5" t="s">
        <v>118</v>
      </c>
      <c r="C48" s="5" t="s">
        <v>144</v>
      </c>
      <c r="D48" s="5" t="s">
        <v>281</v>
      </c>
      <c r="E48" s="5" t="s">
        <v>405</v>
      </c>
      <c r="F48" s="19">
        <v>1</v>
      </c>
      <c r="G48" s="26">
        <v>0</v>
      </c>
      <c r="H48" s="19">
        <f>F48*AE48</f>
        <v>0</v>
      </c>
      <c r="I48" s="19">
        <f>J48-H48</f>
        <v>0</v>
      </c>
      <c r="J48" s="19">
        <f>F48*G48</f>
        <v>0</v>
      </c>
      <c r="K48" s="19">
        <v>6.4009999999999997E-2</v>
      </c>
      <c r="L48" s="19">
        <f>F48*K48</f>
        <v>6.4009999999999997E-2</v>
      </c>
      <c r="M48" s="39" t="s">
        <v>425</v>
      </c>
      <c r="P48" s="44">
        <f>IF(AG48="5",J48,0)</f>
        <v>0</v>
      </c>
      <c r="R48" s="44">
        <f>IF(AG48="1",H48,0)</f>
        <v>0</v>
      </c>
      <c r="S48" s="44">
        <f>IF(AG48="1",I48,0)</f>
        <v>0</v>
      </c>
      <c r="T48" s="44">
        <f>IF(AG48="7",H48,0)</f>
        <v>0</v>
      </c>
      <c r="U48" s="44">
        <f>IF(AG48="7",I48,0)</f>
        <v>0</v>
      </c>
      <c r="V48" s="44">
        <f>IF(AG48="2",H48,0)</f>
        <v>0</v>
      </c>
      <c r="W48" s="44">
        <f>IF(AG48="2",I48,0)</f>
        <v>0</v>
      </c>
      <c r="X48" s="44">
        <f>IF(AG48="0",J48,0)</f>
        <v>0</v>
      </c>
      <c r="Y48" s="35" t="s">
        <v>118</v>
      </c>
      <c r="Z48" s="19">
        <f>IF(AD48=0,J48,0)</f>
        <v>0</v>
      </c>
      <c r="AA48" s="19">
        <f>IF(AD48=15,J48,0)</f>
        <v>0</v>
      </c>
      <c r="AB48" s="19">
        <f>IF(AD48=21,J48,0)</f>
        <v>0</v>
      </c>
      <c r="AD48" s="44">
        <v>21</v>
      </c>
      <c r="AE48" s="44">
        <f>G48*0.554720730397422</f>
        <v>0</v>
      </c>
      <c r="AF48" s="44">
        <f>G48*(1-0.554720730397422)</f>
        <v>0</v>
      </c>
      <c r="AG48" s="39" t="s">
        <v>7</v>
      </c>
      <c r="AM48" s="44">
        <f>F48*AE48</f>
        <v>0</v>
      </c>
      <c r="AN48" s="44">
        <f>F48*AF48</f>
        <v>0</v>
      </c>
      <c r="AO48" s="45" t="s">
        <v>441</v>
      </c>
      <c r="AP48" s="45" t="s">
        <v>461</v>
      </c>
      <c r="AQ48" s="35" t="s">
        <v>469</v>
      </c>
      <c r="AS48" s="44">
        <f>AM48+AN48</f>
        <v>0</v>
      </c>
      <c r="AT48" s="44">
        <f>G48/(100-AU48)*100</f>
        <v>0</v>
      </c>
      <c r="AU48" s="44">
        <v>0</v>
      </c>
      <c r="AV48" s="44">
        <f>L48</f>
        <v>6.4009999999999997E-2</v>
      </c>
    </row>
    <row r="49" spans="1:48" x14ac:dyDescent="0.25">
      <c r="D49" s="17" t="s">
        <v>282</v>
      </c>
      <c r="G49" s="28"/>
    </row>
    <row r="50" spans="1:48" x14ac:dyDescent="0.25">
      <c r="A50" s="5" t="s">
        <v>30</v>
      </c>
      <c r="B50" s="5" t="s">
        <v>118</v>
      </c>
      <c r="C50" s="5" t="s">
        <v>145</v>
      </c>
      <c r="D50" s="5" t="s">
        <v>283</v>
      </c>
      <c r="E50" s="5" t="s">
        <v>405</v>
      </c>
      <c r="F50" s="19">
        <v>1</v>
      </c>
      <c r="G50" s="26">
        <v>0</v>
      </c>
      <c r="H50" s="19">
        <f>F50*AE50</f>
        <v>0</v>
      </c>
      <c r="I50" s="19">
        <f>J50-H50</f>
        <v>0</v>
      </c>
      <c r="J50" s="19">
        <f>F50*G50</f>
        <v>0</v>
      </c>
      <c r="K50" s="19">
        <v>9.8200000000000006E-3</v>
      </c>
      <c r="L50" s="19">
        <f>F50*K50</f>
        <v>9.8200000000000006E-3</v>
      </c>
      <c r="M50" s="39" t="s">
        <v>425</v>
      </c>
      <c r="P50" s="44">
        <f>IF(AG50="5",J50,0)</f>
        <v>0</v>
      </c>
      <c r="R50" s="44">
        <f>IF(AG50="1",H50,0)</f>
        <v>0</v>
      </c>
      <c r="S50" s="44">
        <f>IF(AG50="1",I50,0)</f>
        <v>0</v>
      </c>
      <c r="T50" s="44">
        <f>IF(AG50="7",H50,0)</f>
        <v>0</v>
      </c>
      <c r="U50" s="44">
        <f>IF(AG50="7",I50,0)</f>
        <v>0</v>
      </c>
      <c r="V50" s="44">
        <f>IF(AG50="2",H50,0)</f>
        <v>0</v>
      </c>
      <c r="W50" s="44">
        <f>IF(AG50="2",I50,0)</f>
        <v>0</v>
      </c>
      <c r="X50" s="44">
        <f>IF(AG50="0",J50,0)</f>
        <v>0</v>
      </c>
      <c r="Y50" s="35" t="s">
        <v>118</v>
      </c>
      <c r="Z50" s="19">
        <f>IF(AD50=0,J50,0)</f>
        <v>0</v>
      </c>
      <c r="AA50" s="19">
        <f>IF(AD50=15,J50,0)</f>
        <v>0</v>
      </c>
      <c r="AB50" s="19">
        <f>IF(AD50=21,J50,0)</f>
        <v>0</v>
      </c>
      <c r="AD50" s="44">
        <v>21</v>
      </c>
      <c r="AE50" s="44">
        <f>G50*0.180318091451292</f>
        <v>0</v>
      </c>
      <c r="AF50" s="44">
        <f>G50*(1-0.180318091451292)</f>
        <v>0</v>
      </c>
      <c r="AG50" s="39" t="s">
        <v>7</v>
      </c>
      <c r="AM50" s="44">
        <f>F50*AE50</f>
        <v>0</v>
      </c>
      <c r="AN50" s="44">
        <f>F50*AF50</f>
        <v>0</v>
      </c>
      <c r="AO50" s="45" t="s">
        <v>441</v>
      </c>
      <c r="AP50" s="45" t="s">
        <v>461</v>
      </c>
      <c r="AQ50" s="35" t="s">
        <v>469</v>
      </c>
      <c r="AS50" s="44">
        <f>AM50+AN50</f>
        <v>0</v>
      </c>
      <c r="AT50" s="44">
        <f>G50/(100-AU50)*100</f>
        <v>0</v>
      </c>
      <c r="AU50" s="44">
        <v>0</v>
      </c>
      <c r="AV50" s="44">
        <f>L50</f>
        <v>9.8200000000000006E-3</v>
      </c>
    </row>
    <row r="51" spans="1:48" x14ac:dyDescent="0.25">
      <c r="A51" s="6" t="s">
        <v>31</v>
      </c>
      <c r="B51" s="6" t="s">
        <v>118</v>
      </c>
      <c r="C51" s="6" t="s">
        <v>146</v>
      </c>
      <c r="D51" s="6" t="s">
        <v>284</v>
      </c>
      <c r="E51" s="6" t="s">
        <v>405</v>
      </c>
      <c r="F51" s="20">
        <v>1</v>
      </c>
      <c r="G51" s="27">
        <v>0</v>
      </c>
      <c r="H51" s="20">
        <f>F51*AE51</f>
        <v>0</v>
      </c>
      <c r="I51" s="20">
        <f>J51-H51</f>
        <v>0</v>
      </c>
      <c r="J51" s="20">
        <f>F51*G51</f>
        <v>0</v>
      </c>
      <c r="K51" s="20">
        <v>2.3E-2</v>
      </c>
      <c r="L51" s="20">
        <f>F51*K51</f>
        <v>2.3E-2</v>
      </c>
      <c r="M51" s="40" t="s">
        <v>425</v>
      </c>
      <c r="P51" s="44">
        <f>IF(AG51="5",J51,0)</f>
        <v>0</v>
      </c>
      <c r="R51" s="44">
        <f>IF(AG51="1",H51,0)</f>
        <v>0</v>
      </c>
      <c r="S51" s="44">
        <f>IF(AG51="1",I51,0)</f>
        <v>0</v>
      </c>
      <c r="T51" s="44">
        <f>IF(AG51="7",H51,0)</f>
        <v>0</v>
      </c>
      <c r="U51" s="44">
        <f>IF(AG51="7",I51,0)</f>
        <v>0</v>
      </c>
      <c r="V51" s="44">
        <f>IF(AG51="2",H51,0)</f>
        <v>0</v>
      </c>
      <c r="W51" s="44">
        <f>IF(AG51="2",I51,0)</f>
        <v>0</v>
      </c>
      <c r="X51" s="44">
        <f>IF(AG51="0",J51,0)</f>
        <v>0</v>
      </c>
      <c r="Y51" s="35" t="s">
        <v>118</v>
      </c>
      <c r="Z51" s="20">
        <f>IF(AD51=0,J51,0)</f>
        <v>0</v>
      </c>
      <c r="AA51" s="20">
        <f>IF(AD51=15,J51,0)</f>
        <v>0</v>
      </c>
      <c r="AB51" s="20">
        <f>IF(AD51=21,J51,0)</f>
        <v>0</v>
      </c>
      <c r="AD51" s="44">
        <v>21</v>
      </c>
      <c r="AE51" s="44">
        <f>G51*1</f>
        <v>0</v>
      </c>
      <c r="AF51" s="44">
        <f>G51*(1-1)</f>
        <v>0</v>
      </c>
      <c r="AG51" s="40" t="s">
        <v>7</v>
      </c>
      <c r="AM51" s="44">
        <f>F51*AE51</f>
        <v>0</v>
      </c>
      <c r="AN51" s="44">
        <f>F51*AF51</f>
        <v>0</v>
      </c>
      <c r="AO51" s="45" t="s">
        <v>441</v>
      </c>
      <c r="AP51" s="45" t="s">
        <v>461</v>
      </c>
      <c r="AQ51" s="35" t="s">
        <v>469</v>
      </c>
      <c r="AS51" s="44">
        <f>AM51+AN51</f>
        <v>0</v>
      </c>
      <c r="AT51" s="44">
        <f>G51/(100-AU51)*100</f>
        <v>0</v>
      </c>
      <c r="AU51" s="44">
        <v>0</v>
      </c>
      <c r="AV51" s="44">
        <f>L51</f>
        <v>2.3E-2</v>
      </c>
    </row>
    <row r="52" spans="1:48" x14ac:dyDescent="0.25">
      <c r="A52" s="4"/>
      <c r="B52" s="14" t="s">
        <v>118</v>
      </c>
      <c r="C52" s="14" t="s">
        <v>147</v>
      </c>
      <c r="D52" s="14" t="s">
        <v>285</v>
      </c>
      <c r="E52" s="4" t="s">
        <v>6</v>
      </c>
      <c r="F52" s="4" t="s">
        <v>6</v>
      </c>
      <c r="G52" s="25" t="s">
        <v>6</v>
      </c>
      <c r="H52" s="47">
        <f>SUM(H53:H57)</f>
        <v>0</v>
      </c>
      <c r="I52" s="47">
        <f>SUM(I53:I57)</f>
        <v>0</v>
      </c>
      <c r="J52" s="47">
        <f>H52+I52</f>
        <v>0</v>
      </c>
      <c r="K52" s="35"/>
      <c r="L52" s="47">
        <f>SUM(L53:L57)</f>
        <v>6.5712000000000007E-2</v>
      </c>
      <c r="M52" s="35"/>
      <c r="Y52" s="35" t="s">
        <v>118</v>
      </c>
      <c r="AI52" s="47">
        <f>SUM(Z53:Z57)</f>
        <v>0</v>
      </c>
      <c r="AJ52" s="47">
        <f>SUM(AA53:AA57)</f>
        <v>0</v>
      </c>
      <c r="AK52" s="47">
        <f>SUM(AB53:AB57)</f>
        <v>0</v>
      </c>
    </row>
    <row r="53" spans="1:48" x14ac:dyDescent="0.25">
      <c r="A53" s="5" t="s">
        <v>32</v>
      </c>
      <c r="B53" s="5" t="s">
        <v>118</v>
      </c>
      <c r="C53" s="5" t="s">
        <v>148</v>
      </c>
      <c r="D53" s="5" t="s">
        <v>286</v>
      </c>
      <c r="E53" s="5" t="s">
        <v>403</v>
      </c>
      <c r="F53" s="19">
        <v>11.1</v>
      </c>
      <c r="G53" s="26">
        <v>0</v>
      </c>
      <c r="H53" s="19">
        <f>F53*AE53</f>
        <v>0</v>
      </c>
      <c r="I53" s="19">
        <f>J53-H53</f>
        <v>0</v>
      </c>
      <c r="J53" s="19">
        <f>F53*G53</f>
        <v>0</v>
      </c>
      <c r="K53" s="19">
        <v>5.5900000000000004E-3</v>
      </c>
      <c r="L53" s="19">
        <f>F53*K53</f>
        <v>6.2049E-2</v>
      </c>
      <c r="M53" s="39" t="s">
        <v>425</v>
      </c>
      <c r="P53" s="44">
        <f>IF(AG53="5",J53,0)</f>
        <v>0</v>
      </c>
      <c r="R53" s="44">
        <f>IF(AG53="1",H53,0)</f>
        <v>0</v>
      </c>
      <c r="S53" s="44">
        <f>IF(AG53="1",I53,0)</f>
        <v>0</v>
      </c>
      <c r="T53" s="44">
        <f>IF(AG53="7",H53,0)</f>
        <v>0</v>
      </c>
      <c r="U53" s="44">
        <f>IF(AG53="7",I53,0)</f>
        <v>0</v>
      </c>
      <c r="V53" s="44">
        <f>IF(AG53="2",H53,0)</f>
        <v>0</v>
      </c>
      <c r="W53" s="44">
        <f>IF(AG53="2",I53,0)</f>
        <v>0</v>
      </c>
      <c r="X53" s="44">
        <f>IF(AG53="0",J53,0)</f>
        <v>0</v>
      </c>
      <c r="Y53" s="35" t="s">
        <v>118</v>
      </c>
      <c r="Z53" s="19">
        <f>IF(AD53=0,J53,0)</f>
        <v>0</v>
      </c>
      <c r="AA53" s="19">
        <f>IF(AD53=15,J53,0)</f>
        <v>0</v>
      </c>
      <c r="AB53" s="19">
        <f>IF(AD53=21,J53,0)</f>
        <v>0</v>
      </c>
      <c r="AD53" s="44">
        <v>21</v>
      </c>
      <c r="AE53" s="44">
        <f>G53*0.671225544909267</f>
        <v>0</v>
      </c>
      <c r="AF53" s="44">
        <f>G53*(1-0.671225544909267)</f>
        <v>0</v>
      </c>
      <c r="AG53" s="39" t="s">
        <v>13</v>
      </c>
      <c r="AM53" s="44">
        <f>F53*AE53</f>
        <v>0</v>
      </c>
      <c r="AN53" s="44">
        <f>F53*AF53</f>
        <v>0</v>
      </c>
      <c r="AO53" s="45" t="s">
        <v>442</v>
      </c>
      <c r="AP53" s="45" t="s">
        <v>462</v>
      </c>
      <c r="AQ53" s="35" t="s">
        <v>469</v>
      </c>
      <c r="AS53" s="44">
        <f>AM53+AN53</f>
        <v>0</v>
      </c>
      <c r="AT53" s="44">
        <f>G53/(100-AU53)*100</f>
        <v>0</v>
      </c>
      <c r="AU53" s="44">
        <v>0</v>
      </c>
      <c r="AV53" s="44">
        <f>L53</f>
        <v>6.2049E-2</v>
      </c>
    </row>
    <row r="54" spans="1:48" x14ac:dyDescent="0.25">
      <c r="D54" s="17" t="s">
        <v>287</v>
      </c>
      <c r="G54" s="28"/>
    </row>
    <row r="55" spans="1:48" x14ac:dyDescent="0.25">
      <c r="A55" s="5" t="s">
        <v>33</v>
      </c>
      <c r="B55" s="5" t="s">
        <v>118</v>
      </c>
      <c r="C55" s="5" t="s">
        <v>149</v>
      </c>
      <c r="D55" s="5" t="s">
        <v>288</v>
      </c>
      <c r="E55" s="5" t="s">
        <v>403</v>
      </c>
      <c r="F55" s="19">
        <v>11.1</v>
      </c>
      <c r="G55" s="26">
        <v>0</v>
      </c>
      <c r="H55" s="19">
        <f>F55*AE55</f>
        <v>0</v>
      </c>
      <c r="I55" s="19">
        <f>J55-H55</f>
        <v>0</v>
      </c>
      <c r="J55" s="19">
        <f>F55*G55</f>
        <v>0</v>
      </c>
      <c r="K55" s="19">
        <v>3.3E-4</v>
      </c>
      <c r="L55" s="19">
        <f>F55*K55</f>
        <v>3.663E-3</v>
      </c>
      <c r="M55" s="39" t="s">
        <v>425</v>
      </c>
      <c r="P55" s="44">
        <f>IF(AG55="5",J55,0)</f>
        <v>0</v>
      </c>
      <c r="R55" s="44">
        <f>IF(AG55="1",H55,0)</f>
        <v>0</v>
      </c>
      <c r="S55" s="44">
        <f>IF(AG55="1",I55,0)</f>
        <v>0</v>
      </c>
      <c r="T55" s="44">
        <f>IF(AG55="7",H55,0)</f>
        <v>0</v>
      </c>
      <c r="U55" s="44">
        <f>IF(AG55="7",I55,0)</f>
        <v>0</v>
      </c>
      <c r="V55" s="44">
        <f>IF(AG55="2",H55,0)</f>
        <v>0</v>
      </c>
      <c r="W55" s="44">
        <f>IF(AG55="2",I55,0)</f>
        <v>0</v>
      </c>
      <c r="X55" s="44">
        <f>IF(AG55="0",J55,0)</f>
        <v>0</v>
      </c>
      <c r="Y55" s="35" t="s">
        <v>118</v>
      </c>
      <c r="Z55" s="19">
        <f>IF(AD55=0,J55,0)</f>
        <v>0</v>
      </c>
      <c r="AA55" s="19">
        <f>IF(AD55=15,J55,0)</f>
        <v>0</v>
      </c>
      <c r="AB55" s="19">
        <f>IF(AD55=21,J55,0)</f>
        <v>0</v>
      </c>
      <c r="AD55" s="44">
        <v>21</v>
      </c>
      <c r="AE55" s="44">
        <f>G55*0.559670781893004</f>
        <v>0</v>
      </c>
      <c r="AF55" s="44">
        <f>G55*(1-0.559670781893004)</f>
        <v>0</v>
      </c>
      <c r="AG55" s="39" t="s">
        <v>13</v>
      </c>
      <c r="AM55" s="44">
        <f>F55*AE55</f>
        <v>0</v>
      </c>
      <c r="AN55" s="44">
        <f>F55*AF55</f>
        <v>0</v>
      </c>
      <c r="AO55" s="45" t="s">
        <v>442</v>
      </c>
      <c r="AP55" s="45" t="s">
        <v>462</v>
      </c>
      <c r="AQ55" s="35" t="s">
        <v>469</v>
      </c>
      <c r="AS55" s="44">
        <f>AM55+AN55</f>
        <v>0</v>
      </c>
      <c r="AT55" s="44">
        <f>G55/(100-AU55)*100</f>
        <v>0</v>
      </c>
      <c r="AU55" s="44">
        <v>0</v>
      </c>
      <c r="AV55" s="44">
        <f>L55</f>
        <v>3.663E-3</v>
      </c>
    </row>
    <row r="56" spans="1:48" x14ac:dyDescent="0.25">
      <c r="D56" s="17" t="s">
        <v>289</v>
      </c>
      <c r="G56" s="28"/>
    </row>
    <row r="57" spans="1:48" x14ac:dyDescent="0.25">
      <c r="A57" s="5" t="s">
        <v>34</v>
      </c>
      <c r="B57" s="5" t="s">
        <v>118</v>
      </c>
      <c r="C57" s="5" t="s">
        <v>150</v>
      </c>
      <c r="D57" s="5" t="s">
        <v>290</v>
      </c>
      <c r="E57" s="5" t="s">
        <v>404</v>
      </c>
      <c r="F57" s="19">
        <v>6.5699999999999995E-2</v>
      </c>
      <c r="G57" s="26">
        <v>0</v>
      </c>
      <c r="H57" s="19">
        <f>F57*AE57</f>
        <v>0</v>
      </c>
      <c r="I57" s="19">
        <f>J57-H57</f>
        <v>0</v>
      </c>
      <c r="J57" s="19">
        <f>F57*G57</f>
        <v>0</v>
      </c>
      <c r="K57" s="19">
        <v>0</v>
      </c>
      <c r="L57" s="19">
        <f>F57*K57</f>
        <v>0</v>
      </c>
      <c r="M57" s="39" t="s">
        <v>425</v>
      </c>
      <c r="P57" s="44">
        <f>IF(AG57="5",J57,0)</f>
        <v>0</v>
      </c>
      <c r="R57" s="44">
        <f>IF(AG57="1",H57,0)</f>
        <v>0</v>
      </c>
      <c r="S57" s="44">
        <f>IF(AG57="1",I57,0)</f>
        <v>0</v>
      </c>
      <c r="T57" s="44">
        <f>IF(AG57="7",H57,0)</f>
        <v>0</v>
      </c>
      <c r="U57" s="44">
        <f>IF(AG57="7",I57,0)</f>
        <v>0</v>
      </c>
      <c r="V57" s="44">
        <f>IF(AG57="2",H57,0)</f>
        <v>0</v>
      </c>
      <c r="W57" s="44">
        <f>IF(AG57="2",I57,0)</f>
        <v>0</v>
      </c>
      <c r="X57" s="44">
        <f>IF(AG57="0",J57,0)</f>
        <v>0</v>
      </c>
      <c r="Y57" s="35" t="s">
        <v>118</v>
      </c>
      <c r="Z57" s="19">
        <f>IF(AD57=0,J57,0)</f>
        <v>0</v>
      </c>
      <c r="AA57" s="19">
        <f>IF(AD57=15,J57,0)</f>
        <v>0</v>
      </c>
      <c r="AB57" s="19">
        <f>IF(AD57=21,J57,0)</f>
        <v>0</v>
      </c>
      <c r="AD57" s="44">
        <v>21</v>
      </c>
      <c r="AE57" s="44">
        <f>G57*0</f>
        <v>0</v>
      </c>
      <c r="AF57" s="44">
        <f>G57*(1-0)</f>
        <v>0</v>
      </c>
      <c r="AG57" s="39" t="s">
        <v>11</v>
      </c>
      <c r="AM57" s="44">
        <f>F57*AE57</f>
        <v>0</v>
      </c>
      <c r="AN57" s="44">
        <f>F57*AF57</f>
        <v>0</v>
      </c>
      <c r="AO57" s="45" t="s">
        <v>442</v>
      </c>
      <c r="AP57" s="45" t="s">
        <v>462</v>
      </c>
      <c r="AQ57" s="35" t="s">
        <v>469</v>
      </c>
      <c r="AS57" s="44">
        <f>AM57+AN57</f>
        <v>0</v>
      </c>
      <c r="AT57" s="44">
        <f>G57/(100-AU57)*100</f>
        <v>0</v>
      </c>
      <c r="AU57" s="44">
        <v>0</v>
      </c>
      <c r="AV57" s="44">
        <f>L57</f>
        <v>0</v>
      </c>
    </row>
    <row r="58" spans="1:48" x14ac:dyDescent="0.25">
      <c r="A58" s="4"/>
      <c r="B58" s="14" t="s">
        <v>118</v>
      </c>
      <c r="C58" s="14" t="s">
        <v>151</v>
      </c>
      <c r="D58" s="14" t="s">
        <v>291</v>
      </c>
      <c r="E58" s="4" t="s">
        <v>6</v>
      </c>
      <c r="F58" s="4" t="s">
        <v>6</v>
      </c>
      <c r="G58" s="25" t="s">
        <v>6</v>
      </c>
      <c r="H58" s="47">
        <f>SUM(H59:H59)</f>
        <v>0</v>
      </c>
      <c r="I58" s="47">
        <f>SUM(I59:I59)</f>
        <v>0</v>
      </c>
      <c r="J58" s="47">
        <f>H58+I58</f>
        <v>0</v>
      </c>
      <c r="K58" s="35"/>
      <c r="L58" s="47">
        <f>SUM(L59:L59)</f>
        <v>3.1557999999999996E-2</v>
      </c>
      <c r="M58" s="35"/>
      <c r="Y58" s="35" t="s">
        <v>118</v>
      </c>
      <c r="AI58" s="47">
        <f>SUM(Z59:Z59)</f>
        <v>0</v>
      </c>
      <c r="AJ58" s="47">
        <f>SUM(AA59:AA59)</f>
        <v>0</v>
      </c>
      <c r="AK58" s="47">
        <f>SUM(AB59:AB59)</f>
        <v>0</v>
      </c>
    </row>
    <row r="59" spans="1:48" x14ac:dyDescent="0.25">
      <c r="A59" s="5" t="s">
        <v>35</v>
      </c>
      <c r="B59" s="5" t="s">
        <v>118</v>
      </c>
      <c r="C59" s="5" t="s">
        <v>152</v>
      </c>
      <c r="D59" s="5" t="s">
        <v>292</v>
      </c>
      <c r="E59" s="5" t="s">
        <v>402</v>
      </c>
      <c r="F59" s="19">
        <v>50.9</v>
      </c>
      <c r="G59" s="26">
        <v>0</v>
      </c>
      <c r="H59" s="19">
        <f>F59*AE59</f>
        <v>0</v>
      </c>
      <c r="I59" s="19">
        <f>J59-H59</f>
        <v>0</v>
      </c>
      <c r="J59" s="19">
        <f>F59*G59</f>
        <v>0</v>
      </c>
      <c r="K59" s="19">
        <v>6.2E-4</v>
      </c>
      <c r="L59" s="19">
        <f>F59*K59</f>
        <v>3.1557999999999996E-2</v>
      </c>
      <c r="M59" s="39" t="s">
        <v>425</v>
      </c>
      <c r="P59" s="44">
        <f>IF(AG59="5",J59,0)</f>
        <v>0</v>
      </c>
      <c r="R59" s="44">
        <f>IF(AG59="1",H59,0)</f>
        <v>0</v>
      </c>
      <c r="S59" s="44">
        <f>IF(AG59="1",I59,0)</f>
        <v>0</v>
      </c>
      <c r="T59" s="44">
        <f>IF(AG59="7",H59,0)</f>
        <v>0</v>
      </c>
      <c r="U59" s="44">
        <f>IF(AG59="7",I59,0)</f>
        <v>0</v>
      </c>
      <c r="V59" s="44">
        <f>IF(AG59="2",H59,0)</f>
        <v>0</v>
      </c>
      <c r="W59" s="44">
        <f>IF(AG59="2",I59,0)</f>
        <v>0</v>
      </c>
      <c r="X59" s="44">
        <f>IF(AG59="0",J59,0)</f>
        <v>0</v>
      </c>
      <c r="Y59" s="35" t="s">
        <v>118</v>
      </c>
      <c r="Z59" s="19">
        <f>IF(AD59=0,J59,0)</f>
        <v>0</v>
      </c>
      <c r="AA59" s="19">
        <f>IF(AD59=15,J59,0)</f>
        <v>0</v>
      </c>
      <c r="AB59" s="19">
        <f>IF(AD59=21,J59,0)</f>
        <v>0</v>
      </c>
      <c r="AD59" s="44">
        <v>21</v>
      </c>
      <c r="AE59" s="44">
        <f>G59*0.77117246496048</f>
        <v>0</v>
      </c>
      <c r="AF59" s="44">
        <f>G59*(1-0.77117246496048)</f>
        <v>0</v>
      </c>
      <c r="AG59" s="39" t="s">
        <v>13</v>
      </c>
      <c r="AM59" s="44">
        <f>F59*AE59</f>
        <v>0</v>
      </c>
      <c r="AN59" s="44">
        <f>F59*AF59</f>
        <v>0</v>
      </c>
      <c r="AO59" s="45" t="s">
        <v>443</v>
      </c>
      <c r="AP59" s="45" t="s">
        <v>463</v>
      </c>
      <c r="AQ59" s="35" t="s">
        <v>469</v>
      </c>
      <c r="AS59" s="44">
        <f>AM59+AN59</f>
        <v>0</v>
      </c>
      <c r="AT59" s="44">
        <f>G59/(100-AU59)*100</f>
        <v>0</v>
      </c>
      <c r="AU59" s="44">
        <v>0</v>
      </c>
      <c r="AV59" s="44">
        <f>L59</f>
        <v>3.1557999999999996E-2</v>
      </c>
    </row>
    <row r="60" spans="1:48" x14ac:dyDescent="0.25">
      <c r="D60" s="17" t="s">
        <v>293</v>
      </c>
      <c r="G60" s="28"/>
    </row>
    <row r="61" spans="1:48" x14ac:dyDescent="0.25">
      <c r="A61" s="4"/>
      <c r="B61" s="14" t="s">
        <v>118</v>
      </c>
      <c r="C61" s="14" t="s">
        <v>153</v>
      </c>
      <c r="D61" s="14" t="s">
        <v>294</v>
      </c>
      <c r="E61" s="4" t="s">
        <v>6</v>
      </c>
      <c r="F61" s="4" t="s">
        <v>6</v>
      </c>
      <c r="G61" s="25" t="s">
        <v>6</v>
      </c>
      <c r="H61" s="47">
        <f>SUM(H62:H78)</f>
        <v>0</v>
      </c>
      <c r="I61" s="47">
        <f>SUM(I62:I78)</f>
        <v>0</v>
      </c>
      <c r="J61" s="47">
        <f>H61+I61</f>
        <v>0</v>
      </c>
      <c r="K61" s="35"/>
      <c r="L61" s="47">
        <f>SUM(L62:L78)</f>
        <v>0.83272780000000013</v>
      </c>
      <c r="M61" s="35"/>
      <c r="Y61" s="35" t="s">
        <v>118</v>
      </c>
      <c r="AI61" s="47">
        <f>SUM(Z62:Z78)</f>
        <v>0</v>
      </c>
      <c r="AJ61" s="47">
        <f>SUM(AA62:AA78)</f>
        <v>0</v>
      </c>
      <c r="AK61" s="47">
        <f>SUM(AB62:AB78)</f>
        <v>0</v>
      </c>
    </row>
    <row r="62" spans="1:48" x14ac:dyDescent="0.25">
      <c r="A62" s="5" t="s">
        <v>36</v>
      </c>
      <c r="B62" s="5" t="s">
        <v>118</v>
      </c>
      <c r="C62" s="5" t="s">
        <v>154</v>
      </c>
      <c r="D62" s="5" t="s">
        <v>295</v>
      </c>
      <c r="E62" s="5" t="s">
        <v>405</v>
      </c>
      <c r="F62" s="19">
        <v>1</v>
      </c>
      <c r="G62" s="26">
        <v>0</v>
      </c>
      <c r="H62" s="19">
        <f>F62*AE62</f>
        <v>0</v>
      </c>
      <c r="I62" s="19">
        <f>J62-H62</f>
        <v>0</v>
      </c>
      <c r="J62" s="19">
        <f>F62*G62</f>
        <v>0</v>
      </c>
      <c r="K62" s="19">
        <v>0</v>
      </c>
      <c r="L62" s="19">
        <f>F62*K62</f>
        <v>0</v>
      </c>
      <c r="M62" s="39" t="s">
        <v>425</v>
      </c>
      <c r="P62" s="44">
        <f>IF(AG62="5",J62,0)</f>
        <v>0</v>
      </c>
      <c r="R62" s="44">
        <f>IF(AG62="1",H62,0)</f>
        <v>0</v>
      </c>
      <c r="S62" s="44">
        <f>IF(AG62="1",I62,0)</f>
        <v>0</v>
      </c>
      <c r="T62" s="44">
        <f>IF(AG62="7",H62,0)</f>
        <v>0</v>
      </c>
      <c r="U62" s="44">
        <f>IF(AG62="7",I62,0)</f>
        <v>0</v>
      </c>
      <c r="V62" s="44">
        <f>IF(AG62="2",H62,0)</f>
        <v>0</v>
      </c>
      <c r="W62" s="44">
        <f>IF(AG62="2",I62,0)</f>
        <v>0</v>
      </c>
      <c r="X62" s="44">
        <f>IF(AG62="0",J62,0)</f>
        <v>0</v>
      </c>
      <c r="Y62" s="35" t="s">
        <v>118</v>
      </c>
      <c r="Z62" s="19">
        <f>IF(AD62=0,J62,0)</f>
        <v>0</v>
      </c>
      <c r="AA62" s="19">
        <f>IF(AD62=15,J62,0)</f>
        <v>0</v>
      </c>
      <c r="AB62" s="19">
        <f>IF(AD62=21,J62,0)</f>
        <v>0</v>
      </c>
      <c r="AD62" s="44">
        <v>21</v>
      </c>
      <c r="AE62" s="44">
        <f>G62*0</f>
        <v>0</v>
      </c>
      <c r="AF62" s="44">
        <f>G62*(1-0)</f>
        <v>0</v>
      </c>
      <c r="AG62" s="39" t="s">
        <v>13</v>
      </c>
      <c r="AM62" s="44">
        <f>F62*AE62</f>
        <v>0</v>
      </c>
      <c r="AN62" s="44">
        <f>F62*AF62</f>
        <v>0</v>
      </c>
      <c r="AO62" s="45" t="s">
        <v>444</v>
      </c>
      <c r="AP62" s="45" t="s">
        <v>463</v>
      </c>
      <c r="AQ62" s="35" t="s">
        <v>469</v>
      </c>
      <c r="AS62" s="44">
        <f>AM62+AN62</f>
        <v>0</v>
      </c>
      <c r="AT62" s="44">
        <f>G62/(100-AU62)*100</f>
        <v>0</v>
      </c>
      <c r="AU62" s="44">
        <v>0</v>
      </c>
      <c r="AV62" s="44">
        <f>L62</f>
        <v>0</v>
      </c>
    </row>
    <row r="63" spans="1:48" x14ac:dyDescent="0.25">
      <c r="A63" s="5" t="s">
        <v>37</v>
      </c>
      <c r="B63" s="5" t="s">
        <v>118</v>
      </c>
      <c r="C63" s="5" t="s">
        <v>155</v>
      </c>
      <c r="D63" s="5" t="s">
        <v>296</v>
      </c>
      <c r="E63" s="5" t="s">
        <v>405</v>
      </c>
      <c r="F63" s="19">
        <v>2</v>
      </c>
      <c r="G63" s="26">
        <v>0</v>
      </c>
      <c r="H63" s="19">
        <f>F63*AE63</f>
        <v>0</v>
      </c>
      <c r="I63" s="19">
        <f>J63-H63</f>
        <v>0</v>
      </c>
      <c r="J63" s="19">
        <f>F63*G63</f>
        <v>0</v>
      </c>
      <c r="K63" s="19">
        <v>0</v>
      </c>
      <c r="L63" s="19">
        <f>F63*K63</f>
        <v>0</v>
      </c>
      <c r="M63" s="39" t="s">
        <v>425</v>
      </c>
      <c r="P63" s="44">
        <f>IF(AG63="5",J63,0)</f>
        <v>0</v>
      </c>
      <c r="R63" s="44">
        <f>IF(AG63="1",H63,0)</f>
        <v>0</v>
      </c>
      <c r="S63" s="44">
        <f>IF(AG63="1",I63,0)</f>
        <v>0</v>
      </c>
      <c r="T63" s="44">
        <f>IF(AG63="7",H63,0)</f>
        <v>0</v>
      </c>
      <c r="U63" s="44">
        <f>IF(AG63="7",I63,0)</f>
        <v>0</v>
      </c>
      <c r="V63" s="44">
        <f>IF(AG63="2",H63,0)</f>
        <v>0</v>
      </c>
      <c r="W63" s="44">
        <f>IF(AG63="2",I63,0)</f>
        <v>0</v>
      </c>
      <c r="X63" s="44">
        <f>IF(AG63="0",J63,0)</f>
        <v>0</v>
      </c>
      <c r="Y63" s="35" t="s">
        <v>118</v>
      </c>
      <c r="Z63" s="19">
        <f>IF(AD63=0,J63,0)</f>
        <v>0</v>
      </c>
      <c r="AA63" s="19">
        <f>IF(AD63=15,J63,0)</f>
        <v>0</v>
      </c>
      <c r="AB63" s="19">
        <f>IF(AD63=21,J63,0)</f>
        <v>0</v>
      </c>
      <c r="AD63" s="44">
        <v>21</v>
      </c>
      <c r="AE63" s="44">
        <f>G63*0</f>
        <v>0</v>
      </c>
      <c r="AF63" s="44">
        <f>G63*(1-0)</f>
        <v>0</v>
      </c>
      <c r="AG63" s="39" t="s">
        <v>13</v>
      </c>
      <c r="AM63" s="44">
        <f>F63*AE63</f>
        <v>0</v>
      </c>
      <c r="AN63" s="44">
        <f>F63*AF63</f>
        <v>0</v>
      </c>
      <c r="AO63" s="45" t="s">
        <v>444</v>
      </c>
      <c r="AP63" s="45" t="s">
        <v>463</v>
      </c>
      <c r="AQ63" s="35" t="s">
        <v>469</v>
      </c>
      <c r="AS63" s="44">
        <f>AM63+AN63</f>
        <v>0</v>
      </c>
      <c r="AT63" s="44">
        <f>G63/(100-AU63)*100</f>
        <v>0</v>
      </c>
      <c r="AU63" s="44">
        <v>0</v>
      </c>
      <c r="AV63" s="44">
        <f>L63</f>
        <v>0</v>
      </c>
    </row>
    <row r="64" spans="1:48" x14ac:dyDescent="0.25">
      <c r="A64" s="5" t="s">
        <v>38</v>
      </c>
      <c r="B64" s="5" t="s">
        <v>118</v>
      </c>
      <c r="C64" s="5" t="s">
        <v>156</v>
      </c>
      <c r="D64" s="5" t="s">
        <v>297</v>
      </c>
      <c r="E64" s="5" t="s">
        <v>405</v>
      </c>
      <c r="F64" s="19">
        <v>1</v>
      </c>
      <c r="G64" s="26">
        <v>0</v>
      </c>
      <c r="H64" s="19">
        <f>F64*AE64</f>
        <v>0</v>
      </c>
      <c r="I64" s="19">
        <f>J64-H64</f>
        <v>0</v>
      </c>
      <c r="J64" s="19">
        <f>F64*G64</f>
        <v>0</v>
      </c>
      <c r="K64" s="19">
        <v>0</v>
      </c>
      <c r="L64" s="19">
        <f>F64*K64</f>
        <v>0</v>
      </c>
      <c r="M64" s="39" t="s">
        <v>425</v>
      </c>
      <c r="P64" s="44">
        <f>IF(AG64="5",J64,0)</f>
        <v>0</v>
      </c>
      <c r="R64" s="44">
        <f>IF(AG64="1",H64,0)</f>
        <v>0</v>
      </c>
      <c r="S64" s="44">
        <f>IF(AG64="1",I64,0)</f>
        <v>0</v>
      </c>
      <c r="T64" s="44">
        <f>IF(AG64="7",H64,0)</f>
        <v>0</v>
      </c>
      <c r="U64" s="44">
        <f>IF(AG64="7",I64,0)</f>
        <v>0</v>
      </c>
      <c r="V64" s="44">
        <f>IF(AG64="2",H64,0)</f>
        <v>0</v>
      </c>
      <c r="W64" s="44">
        <f>IF(AG64="2",I64,0)</f>
        <v>0</v>
      </c>
      <c r="X64" s="44">
        <f>IF(AG64="0",J64,0)</f>
        <v>0</v>
      </c>
      <c r="Y64" s="35" t="s">
        <v>118</v>
      </c>
      <c r="Z64" s="19">
        <f>IF(AD64=0,J64,0)</f>
        <v>0</v>
      </c>
      <c r="AA64" s="19">
        <f>IF(AD64=15,J64,0)</f>
        <v>0</v>
      </c>
      <c r="AB64" s="19">
        <f>IF(AD64=21,J64,0)</f>
        <v>0</v>
      </c>
      <c r="AD64" s="44">
        <v>21</v>
      </c>
      <c r="AE64" s="44">
        <f>G64*0</f>
        <v>0</v>
      </c>
      <c r="AF64" s="44">
        <f>G64*(1-0)</f>
        <v>0</v>
      </c>
      <c r="AG64" s="39" t="s">
        <v>13</v>
      </c>
      <c r="AM64" s="44">
        <f>F64*AE64</f>
        <v>0</v>
      </c>
      <c r="AN64" s="44">
        <f>F64*AF64</f>
        <v>0</v>
      </c>
      <c r="AO64" s="45" t="s">
        <v>444</v>
      </c>
      <c r="AP64" s="45" t="s">
        <v>463</v>
      </c>
      <c r="AQ64" s="35" t="s">
        <v>469</v>
      </c>
      <c r="AS64" s="44">
        <f>AM64+AN64</f>
        <v>0</v>
      </c>
      <c r="AT64" s="44">
        <f>G64/(100-AU64)*100</f>
        <v>0</v>
      </c>
      <c r="AU64" s="44">
        <v>0</v>
      </c>
      <c r="AV64" s="44">
        <f>L64</f>
        <v>0</v>
      </c>
    </row>
    <row r="65" spans="1:48" x14ac:dyDescent="0.25">
      <c r="A65" s="5" t="s">
        <v>39</v>
      </c>
      <c r="B65" s="5" t="s">
        <v>118</v>
      </c>
      <c r="C65" s="5" t="s">
        <v>157</v>
      </c>
      <c r="D65" s="5" t="s">
        <v>298</v>
      </c>
      <c r="E65" s="5" t="s">
        <v>405</v>
      </c>
      <c r="F65" s="19">
        <v>2</v>
      </c>
      <c r="G65" s="26">
        <v>0</v>
      </c>
      <c r="H65" s="19">
        <f>F65*AE65</f>
        <v>0</v>
      </c>
      <c r="I65" s="19">
        <f>J65-H65</f>
        <v>0</v>
      </c>
      <c r="J65" s="19">
        <f>F65*G65</f>
        <v>0</v>
      </c>
      <c r="K65" s="19">
        <v>0</v>
      </c>
      <c r="L65" s="19">
        <f>F65*K65</f>
        <v>0</v>
      </c>
      <c r="M65" s="39" t="s">
        <v>425</v>
      </c>
      <c r="P65" s="44">
        <f>IF(AG65="5",J65,0)</f>
        <v>0</v>
      </c>
      <c r="R65" s="44">
        <f>IF(AG65="1",H65,0)</f>
        <v>0</v>
      </c>
      <c r="S65" s="44">
        <f>IF(AG65="1",I65,0)</f>
        <v>0</v>
      </c>
      <c r="T65" s="44">
        <f>IF(AG65="7",H65,0)</f>
        <v>0</v>
      </c>
      <c r="U65" s="44">
        <f>IF(AG65="7",I65,0)</f>
        <v>0</v>
      </c>
      <c r="V65" s="44">
        <f>IF(AG65="2",H65,0)</f>
        <v>0</v>
      </c>
      <c r="W65" s="44">
        <f>IF(AG65="2",I65,0)</f>
        <v>0</v>
      </c>
      <c r="X65" s="44">
        <f>IF(AG65="0",J65,0)</f>
        <v>0</v>
      </c>
      <c r="Y65" s="35" t="s">
        <v>118</v>
      </c>
      <c r="Z65" s="19">
        <f>IF(AD65=0,J65,0)</f>
        <v>0</v>
      </c>
      <c r="AA65" s="19">
        <f>IF(AD65=15,J65,0)</f>
        <v>0</v>
      </c>
      <c r="AB65" s="19">
        <f>IF(AD65=21,J65,0)</f>
        <v>0</v>
      </c>
      <c r="AD65" s="44">
        <v>21</v>
      </c>
      <c r="AE65" s="44">
        <f>G65*0</f>
        <v>0</v>
      </c>
      <c r="AF65" s="44">
        <f>G65*(1-0)</f>
        <v>0</v>
      </c>
      <c r="AG65" s="39" t="s">
        <v>13</v>
      </c>
      <c r="AM65" s="44">
        <f>F65*AE65</f>
        <v>0</v>
      </c>
      <c r="AN65" s="44">
        <f>F65*AF65</f>
        <v>0</v>
      </c>
      <c r="AO65" s="45" t="s">
        <v>444</v>
      </c>
      <c r="AP65" s="45" t="s">
        <v>463</v>
      </c>
      <c r="AQ65" s="35" t="s">
        <v>469</v>
      </c>
      <c r="AS65" s="44">
        <f>AM65+AN65</f>
        <v>0</v>
      </c>
      <c r="AT65" s="44">
        <f>G65/(100-AU65)*100</f>
        <v>0</v>
      </c>
      <c r="AU65" s="44">
        <v>0</v>
      </c>
      <c r="AV65" s="44">
        <f>L65</f>
        <v>0</v>
      </c>
    </row>
    <row r="66" spans="1:48" x14ac:dyDescent="0.25">
      <c r="A66" s="5" t="s">
        <v>40</v>
      </c>
      <c r="B66" s="5" t="s">
        <v>118</v>
      </c>
      <c r="C66" s="5" t="s">
        <v>158</v>
      </c>
      <c r="D66" s="5" t="s">
        <v>299</v>
      </c>
      <c r="E66" s="5" t="s">
        <v>405</v>
      </c>
      <c r="F66" s="19">
        <v>4</v>
      </c>
      <c r="G66" s="26">
        <v>0</v>
      </c>
      <c r="H66" s="19">
        <f>F66*AE66</f>
        <v>0</v>
      </c>
      <c r="I66" s="19">
        <f>J66-H66</f>
        <v>0</v>
      </c>
      <c r="J66" s="19">
        <f>F66*G66</f>
        <v>0</v>
      </c>
      <c r="K66" s="19">
        <v>0</v>
      </c>
      <c r="L66" s="19">
        <f>F66*K66</f>
        <v>0</v>
      </c>
      <c r="M66" s="39"/>
      <c r="P66" s="44">
        <f>IF(AG66="5",J66,0)</f>
        <v>0</v>
      </c>
      <c r="R66" s="44">
        <f>IF(AG66="1",H66,0)</f>
        <v>0</v>
      </c>
      <c r="S66" s="44">
        <f>IF(AG66="1",I66,0)</f>
        <v>0</v>
      </c>
      <c r="T66" s="44">
        <f>IF(AG66="7",H66,0)</f>
        <v>0</v>
      </c>
      <c r="U66" s="44">
        <f>IF(AG66="7",I66,0)</f>
        <v>0</v>
      </c>
      <c r="V66" s="44">
        <f>IF(AG66="2",H66,0)</f>
        <v>0</v>
      </c>
      <c r="W66" s="44">
        <f>IF(AG66="2",I66,0)</f>
        <v>0</v>
      </c>
      <c r="X66" s="44">
        <f>IF(AG66="0",J66,0)</f>
        <v>0</v>
      </c>
      <c r="Y66" s="35" t="s">
        <v>118</v>
      </c>
      <c r="Z66" s="19">
        <f>IF(AD66=0,J66,0)</f>
        <v>0</v>
      </c>
      <c r="AA66" s="19">
        <f>IF(AD66=15,J66,0)</f>
        <v>0</v>
      </c>
      <c r="AB66" s="19">
        <f>IF(AD66=21,J66,0)</f>
        <v>0</v>
      </c>
      <c r="AD66" s="44">
        <v>21</v>
      </c>
      <c r="AE66" s="44">
        <f>G66*0.666666666666667</f>
        <v>0</v>
      </c>
      <c r="AF66" s="44">
        <f>G66*(1-0.666666666666667)</f>
        <v>0</v>
      </c>
      <c r="AG66" s="39" t="s">
        <v>13</v>
      </c>
      <c r="AM66" s="44">
        <f>F66*AE66</f>
        <v>0</v>
      </c>
      <c r="AN66" s="44">
        <f>F66*AF66</f>
        <v>0</v>
      </c>
      <c r="AO66" s="45" t="s">
        <v>444</v>
      </c>
      <c r="AP66" s="45" t="s">
        <v>463</v>
      </c>
      <c r="AQ66" s="35" t="s">
        <v>469</v>
      </c>
      <c r="AS66" s="44">
        <f>AM66+AN66</f>
        <v>0</v>
      </c>
      <c r="AT66" s="44">
        <f>G66/(100-AU66)*100</f>
        <v>0</v>
      </c>
      <c r="AU66" s="44">
        <v>0</v>
      </c>
      <c r="AV66" s="44">
        <f>L66</f>
        <v>0</v>
      </c>
    </row>
    <row r="67" spans="1:48" x14ac:dyDescent="0.25">
      <c r="D67" s="17" t="s">
        <v>300</v>
      </c>
      <c r="G67" s="28"/>
    </row>
    <row r="68" spans="1:48" x14ac:dyDescent="0.25">
      <c r="A68" s="6" t="s">
        <v>41</v>
      </c>
      <c r="B68" s="6" t="s">
        <v>118</v>
      </c>
      <c r="C68" s="6" t="s">
        <v>159</v>
      </c>
      <c r="D68" s="6" t="s">
        <v>301</v>
      </c>
      <c r="E68" s="6" t="s">
        <v>405</v>
      </c>
      <c r="F68" s="20">
        <v>1</v>
      </c>
      <c r="G68" s="27">
        <v>0</v>
      </c>
      <c r="H68" s="20">
        <f t="shared" ref="H68:H78" si="0">F68*AE68</f>
        <v>0</v>
      </c>
      <c r="I68" s="20">
        <f t="shared" ref="I68:I78" si="1">J68-H68</f>
        <v>0</v>
      </c>
      <c r="J68" s="20">
        <f t="shared" ref="J68:J78" si="2">F68*G68</f>
        <v>0</v>
      </c>
      <c r="K68" s="20">
        <v>1.9E-2</v>
      </c>
      <c r="L68" s="20">
        <f t="shared" ref="L68:L78" si="3">F68*K68</f>
        <v>1.9E-2</v>
      </c>
      <c r="M68" s="40" t="s">
        <v>425</v>
      </c>
      <c r="P68" s="44">
        <f t="shared" ref="P68:P78" si="4">IF(AG68="5",J68,0)</f>
        <v>0</v>
      </c>
      <c r="R68" s="44">
        <f t="shared" ref="R68:R78" si="5">IF(AG68="1",H68,0)</f>
        <v>0</v>
      </c>
      <c r="S68" s="44">
        <f t="shared" ref="S68:S78" si="6">IF(AG68="1",I68,0)</f>
        <v>0</v>
      </c>
      <c r="T68" s="44">
        <f t="shared" ref="T68:T78" si="7">IF(AG68="7",H68,0)</f>
        <v>0</v>
      </c>
      <c r="U68" s="44">
        <f t="shared" ref="U68:U78" si="8">IF(AG68="7",I68,0)</f>
        <v>0</v>
      </c>
      <c r="V68" s="44">
        <f t="shared" ref="V68:V78" si="9">IF(AG68="2",H68,0)</f>
        <v>0</v>
      </c>
      <c r="W68" s="44">
        <f t="shared" ref="W68:W78" si="10">IF(AG68="2",I68,0)</f>
        <v>0</v>
      </c>
      <c r="X68" s="44">
        <f t="shared" ref="X68:X78" si="11">IF(AG68="0",J68,0)</f>
        <v>0</v>
      </c>
      <c r="Y68" s="35" t="s">
        <v>118</v>
      </c>
      <c r="Z68" s="20">
        <f t="shared" ref="Z68:Z78" si="12">IF(AD68=0,J68,0)</f>
        <v>0</v>
      </c>
      <c r="AA68" s="20">
        <f t="shared" ref="AA68:AA78" si="13">IF(AD68=15,J68,0)</f>
        <v>0</v>
      </c>
      <c r="AB68" s="20">
        <f t="shared" ref="AB68:AB78" si="14">IF(AD68=21,J68,0)</f>
        <v>0</v>
      </c>
      <c r="AD68" s="44">
        <v>21</v>
      </c>
      <c r="AE68" s="44">
        <f>G68*1</f>
        <v>0</v>
      </c>
      <c r="AF68" s="44">
        <f>G68*(1-1)</f>
        <v>0</v>
      </c>
      <c r="AG68" s="40" t="s">
        <v>13</v>
      </c>
      <c r="AM68" s="44">
        <f t="shared" ref="AM68:AM78" si="15">F68*AE68</f>
        <v>0</v>
      </c>
      <c r="AN68" s="44">
        <f t="shared" ref="AN68:AN78" si="16">F68*AF68</f>
        <v>0</v>
      </c>
      <c r="AO68" s="45" t="s">
        <v>444</v>
      </c>
      <c r="AP68" s="45" t="s">
        <v>463</v>
      </c>
      <c r="AQ68" s="35" t="s">
        <v>469</v>
      </c>
      <c r="AS68" s="44">
        <f t="shared" ref="AS68:AS78" si="17">AM68+AN68</f>
        <v>0</v>
      </c>
      <c r="AT68" s="44">
        <f t="shared" ref="AT68:AT78" si="18">G68/(100-AU68)*100</f>
        <v>0</v>
      </c>
      <c r="AU68" s="44">
        <v>0</v>
      </c>
      <c r="AV68" s="44">
        <f t="shared" ref="AV68:AV78" si="19">L68</f>
        <v>1.9E-2</v>
      </c>
    </row>
    <row r="69" spans="1:48" x14ac:dyDescent="0.25">
      <c r="A69" s="6" t="s">
        <v>42</v>
      </c>
      <c r="B69" s="6" t="s">
        <v>118</v>
      </c>
      <c r="C69" s="6" t="s">
        <v>160</v>
      </c>
      <c r="D69" s="6" t="s">
        <v>302</v>
      </c>
      <c r="E69" s="6" t="s">
        <v>405</v>
      </c>
      <c r="F69" s="20">
        <v>1</v>
      </c>
      <c r="G69" s="27">
        <v>0</v>
      </c>
      <c r="H69" s="20">
        <f t="shared" si="0"/>
        <v>0</v>
      </c>
      <c r="I69" s="20">
        <f t="shared" si="1"/>
        <v>0</v>
      </c>
      <c r="J69" s="20">
        <f t="shared" si="2"/>
        <v>0</v>
      </c>
      <c r="K69" s="20">
        <v>8.0000000000000004E-4</v>
      </c>
      <c r="L69" s="20">
        <f t="shared" si="3"/>
        <v>8.0000000000000004E-4</v>
      </c>
      <c r="M69" s="40" t="s">
        <v>425</v>
      </c>
      <c r="P69" s="44">
        <f t="shared" si="4"/>
        <v>0</v>
      </c>
      <c r="R69" s="44">
        <f t="shared" si="5"/>
        <v>0</v>
      </c>
      <c r="S69" s="44">
        <f t="shared" si="6"/>
        <v>0</v>
      </c>
      <c r="T69" s="44">
        <f t="shared" si="7"/>
        <v>0</v>
      </c>
      <c r="U69" s="44">
        <f t="shared" si="8"/>
        <v>0</v>
      </c>
      <c r="V69" s="44">
        <f t="shared" si="9"/>
        <v>0</v>
      </c>
      <c r="W69" s="44">
        <f t="shared" si="10"/>
        <v>0</v>
      </c>
      <c r="X69" s="44">
        <f t="shared" si="11"/>
        <v>0</v>
      </c>
      <c r="Y69" s="35" t="s">
        <v>118</v>
      </c>
      <c r="Z69" s="20">
        <f t="shared" si="12"/>
        <v>0</v>
      </c>
      <c r="AA69" s="20">
        <f t="shared" si="13"/>
        <v>0</v>
      </c>
      <c r="AB69" s="20">
        <f t="shared" si="14"/>
        <v>0</v>
      </c>
      <c r="AD69" s="44">
        <v>21</v>
      </c>
      <c r="AE69" s="44">
        <f>G69*1</f>
        <v>0</v>
      </c>
      <c r="AF69" s="44">
        <f>G69*(1-1)</f>
        <v>0</v>
      </c>
      <c r="AG69" s="40" t="s">
        <v>13</v>
      </c>
      <c r="AM69" s="44">
        <f t="shared" si="15"/>
        <v>0</v>
      </c>
      <c r="AN69" s="44">
        <f t="shared" si="16"/>
        <v>0</v>
      </c>
      <c r="AO69" s="45" t="s">
        <v>444</v>
      </c>
      <c r="AP69" s="45" t="s">
        <v>463</v>
      </c>
      <c r="AQ69" s="35" t="s">
        <v>469</v>
      </c>
      <c r="AS69" s="44">
        <f t="shared" si="17"/>
        <v>0</v>
      </c>
      <c r="AT69" s="44">
        <f t="shared" si="18"/>
        <v>0</v>
      </c>
      <c r="AU69" s="44">
        <v>0</v>
      </c>
      <c r="AV69" s="44">
        <f t="shared" si="19"/>
        <v>8.0000000000000004E-4</v>
      </c>
    </row>
    <row r="70" spans="1:48" x14ac:dyDescent="0.25">
      <c r="A70" s="5" t="s">
        <v>43</v>
      </c>
      <c r="B70" s="5" t="s">
        <v>118</v>
      </c>
      <c r="C70" s="5" t="s">
        <v>161</v>
      </c>
      <c r="D70" s="5" t="s">
        <v>303</v>
      </c>
      <c r="E70" s="5" t="s">
        <v>403</v>
      </c>
      <c r="F70" s="19">
        <v>23.11</v>
      </c>
      <c r="G70" s="26">
        <v>0</v>
      </c>
      <c r="H70" s="19">
        <f t="shared" si="0"/>
        <v>0</v>
      </c>
      <c r="I70" s="19">
        <f t="shared" si="1"/>
        <v>0</v>
      </c>
      <c r="J70" s="19">
        <f t="shared" si="2"/>
        <v>0</v>
      </c>
      <c r="K70" s="19">
        <v>1.098E-2</v>
      </c>
      <c r="L70" s="19">
        <f t="shared" si="3"/>
        <v>0.25374780000000002</v>
      </c>
      <c r="M70" s="39" t="s">
        <v>425</v>
      </c>
      <c r="P70" s="44">
        <f t="shared" si="4"/>
        <v>0</v>
      </c>
      <c r="R70" s="44">
        <f t="shared" si="5"/>
        <v>0</v>
      </c>
      <c r="S70" s="44">
        <f t="shared" si="6"/>
        <v>0</v>
      </c>
      <c r="T70" s="44">
        <f t="shared" si="7"/>
        <v>0</v>
      </c>
      <c r="U70" s="44">
        <f t="shared" si="8"/>
        <v>0</v>
      </c>
      <c r="V70" s="44">
        <f t="shared" si="9"/>
        <v>0</v>
      </c>
      <c r="W70" s="44">
        <f t="shared" si="10"/>
        <v>0</v>
      </c>
      <c r="X70" s="44">
        <f t="shared" si="11"/>
        <v>0</v>
      </c>
      <c r="Y70" s="35" t="s">
        <v>118</v>
      </c>
      <c r="Z70" s="19">
        <f t="shared" si="12"/>
        <v>0</v>
      </c>
      <c r="AA70" s="19">
        <f t="shared" si="13"/>
        <v>0</v>
      </c>
      <c r="AB70" s="19">
        <f t="shared" si="14"/>
        <v>0</v>
      </c>
      <c r="AD70" s="44">
        <v>21</v>
      </c>
      <c r="AE70" s="44">
        <f>G70*0</f>
        <v>0</v>
      </c>
      <c r="AF70" s="44">
        <f>G70*(1-0)</f>
        <v>0</v>
      </c>
      <c r="AG70" s="39" t="s">
        <v>13</v>
      </c>
      <c r="AM70" s="44">
        <f t="shared" si="15"/>
        <v>0</v>
      </c>
      <c r="AN70" s="44">
        <f t="shared" si="16"/>
        <v>0</v>
      </c>
      <c r="AO70" s="45" t="s">
        <v>444</v>
      </c>
      <c r="AP70" s="45" t="s">
        <v>463</v>
      </c>
      <c r="AQ70" s="35" t="s">
        <v>469</v>
      </c>
      <c r="AS70" s="44">
        <f t="shared" si="17"/>
        <v>0</v>
      </c>
      <c r="AT70" s="44">
        <f t="shared" si="18"/>
        <v>0</v>
      </c>
      <c r="AU70" s="44">
        <v>0</v>
      </c>
      <c r="AV70" s="44">
        <f t="shared" si="19"/>
        <v>0.25374780000000002</v>
      </c>
    </row>
    <row r="71" spans="1:48" x14ac:dyDescent="0.25">
      <c r="A71" s="5" t="s">
        <v>44</v>
      </c>
      <c r="B71" s="5" t="s">
        <v>118</v>
      </c>
      <c r="C71" s="5" t="s">
        <v>162</v>
      </c>
      <c r="D71" s="5" t="s">
        <v>304</v>
      </c>
      <c r="E71" s="5" t="s">
        <v>403</v>
      </c>
      <c r="F71" s="19">
        <v>23.11</v>
      </c>
      <c r="G71" s="26">
        <v>0</v>
      </c>
      <c r="H71" s="19">
        <f t="shared" si="0"/>
        <v>0</v>
      </c>
      <c r="I71" s="19">
        <f t="shared" si="1"/>
        <v>0</v>
      </c>
      <c r="J71" s="19">
        <f t="shared" si="2"/>
        <v>0</v>
      </c>
      <c r="K71" s="19">
        <v>8.0000000000000002E-3</v>
      </c>
      <c r="L71" s="19">
        <f t="shared" si="3"/>
        <v>0.18487999999999999</v>
      </c>
      <c r="M71" s="39" t="s">
        <v>425</v>
      </c>
      <c r="P71" s="44">
        <f t="shared" si="4"/>
        <v>0</v>
      </c>
      <c r="R71" s="44">
        <f t="shared" si="5"/>
        <v>0</v>
      </c>
      <c r="S71" s="44">
        <f t="shared" si="6"/>
        <v>0</v>
      </c>
      <c r="T71" s="44">
        <f t="shared" si="7"/>
        <v>0</v>
      </c>
      <c r="U71" s="44">
        <f t="shared" si="8"/>
        <v>0</v>
      </c>
      <c r="V71" s="44">
        <f t="shared" si="9"/>
        <v>0</v>
      </c>
      <c r="W71" s="44">
        <f t="shared" si="10"/>
        <v>0</v>
      </c>
      <c r="X71" s="44">
        <f t="shared" si="11"/>
        <v>0</v>
      </c>
      <c r="Y71" s="35" t="s">
        <v>118</v>
      </c>
      <c r="Z71" s="19">
        <f t="shared" si="12"/>
        <v>0</v>
      </c>
      <c r="AA71" s="19">
        <f t="shared" si="13"/>
        <v>0</v>
      </c>
      <c r="AB71" s="19">
        <f t="shared" si="14"/>
        <v>0</v>
      </c>
      <c r="AD71" s="44">
        <v>21</v>
      </c>
      <c r="AE71" s="44">
        <f>G71*0</f>
        <v>0</v>
      </c>
      <c r="AF71" s="44">
        <f>G71*(1-0)</f>
        <v>0</v>
      </c>
      <c r="AG71" s="39" t="s">
        <v>13</v>
      </c>
      <c r="AM71" s="44">
        <f t="shared" si="15"/>
        <v>0</v>
      </c>
      <c r="AN71" s="44">
        <f t="shared" si="16"/>
        <v>0</v>
      </c>
      <c r="AO71" s="45" t="s">
        <v>444</v>
      </c>
      <c r="AP71" s="45" t="s">
        <v>463</v>
      </c>
      <c r="AQ71" s="35" t="s">
        <v>469</v>
      </c>
      <c r="AS71" s="44">
        <f t="shared" si="17"/>
        <v>0</v>
      </c>
      <c r="AT71" s="44">
        <f t="shared" si="18"/>
        <v>0</v>
      </c>
      <c r="AU71" s="44">
        <v>0</v>
      </c>
      <c r="AV71" s="44">
        <f t="shared" si="19"/>
        <v>0.18487999999999999</v>
      </c>
    </row>
    <row r="72" spans="1:48" x14ac:dyDescent="0.25">
      <c r="A72" s="5" t="s">
        <v>45</v>
      </c>
      <c r="B72" s="5" t="s">
        <v>118</v>
      </c>
      <c r="C72" s="5" t="s">
        <v>163</v>
      </c>
      <c r="D72" s="5" t="s">
        <v>305</v>
      </c>
      <c r="E72" s="5" t="s">
        <v>405</v>
      </c>
      <c r="F72" s="19">
        <v>1</v>
      </c>
      <c r="G72" s="26">
        <v>0</v>
      </c>
      <c r="H72" s="19">
        <f t="shared" si="0"/>
        <v>0</v>
      </c>
      <c r="I72" s="19">
        <f t="shared" si="1"/>
        <v>0</v>
      </c>
      <c r="J72" s="19">
        <f t="shared" si="2"/>
        <v>0</v>
      </c>
      <c r="K72" s="19">
        <v>0</v>
      </c>
      <c r="L72" s="19">
        <f t="shared" si="3"/>
        <v>0</v>
      </c>
      <c r="M72" s="39" t="s">
        <v>425</v>
      </c>
      <c r="P72" s="44">
        <f t="shared" si="4"/>
        <v>0</v>
      </c>
      <c r="R72" s="44">
        <f t="shared" si="5"/>
        <v>0</v>
      </c>
      <c r="S72" s="44">
        <f t="shared" si="6"/>
        <v>0</v>
      </c>
      <c r="T72" s="44">
        <f t="shared" si="7"/>
        <v>0</v>
      </c>
      <c r="U72" s="44">
        <f t="shared" si="8"/>
        <v>0</v>
      </c>
      <c r="V72" s="44">
        <f t="shared" si="9"/>
        <v>0</v>
      </c>
      <c r="W72" s="44">
        <f t="shared" si="10"/>
        <v>0</v>
      </c>
      <c r="X72" s="44">
        <f t="shared" si="11"/>
        <v>0</v>
      </c>
      <c r="Y72" s="35" t="s">
        <v>118</v>
      </c>
      <c r="Z72" s="19">
        <f t="shared" si="12"/>
        <v>0</v>
      </c>
      <c r="AA72" s="19">
        <f t="shared" si="13"/>
        <v>0</v>
      </c>
      <c r="AB72" s="19">
        <f t="shared" si="14"/>
        <v>0</v>
      </c>
      <c r="AD72" s="44">
        <v>21</v>
      </c>
      <c r="AE72" s="44">
        <f>G72*0</f>
        <v>0</v>
      </c>
      <c r="AF72" s="44">
        <f>G72*(1-0)</f>
        <v>0</v>
      </c>
      <c r="AG72" s="39" t="s">
        <v>13</v>
      </c>
      <c r="AM72" s="44">
        <f t="shared" si="15"/>
        <v>0</v>
      </c>
      <c r="AN72" s="44">
        <f t="shared" si="16"/>
        <v>0</v>
      </c>
      <c r="AO72" s="45" t="s">
        <v>444</v>
      </c>
      <c r="AP72" s="45" t="s">
        <v>463</v>
      </c>
      <c r="AQ72" s="35" t="s">
        <v>469</v>
      </c>
      <c r="AS72" s="44">
        <f t="shared" si="17"/>
        <v>0</v>
      </c>
      <c r="AT72" s="44">
        <f t="shared" si="18"/>
        <v>0</v>
      </c>
      <c r="AU72" s="44">
        <v>0</v>
      </c>
      <c r="AV72" s="44">
        <f t="shared" si="19"/>
        <v>0</v>
      </c>
    </row>
    <row r="73" spans="1:48" x14ac:dyDescent="0.25">
      <c r="A73" s="6" t="s">
        <v>46</v>
      </c>
      <c r="B73" s="6" t="s">
        <v>118</v>
      </c>
      <c r="C73" s="6" t="s">
        <v>164</v>
      </c>
      <c r="D73" s="6" t="s">
        <v>306</v>
      </c>
      <c r="E73" s="6" t="s">
        <v>405</v>
      </c>
      <c r="F73" s="20">
        <v>1</v>
      </c>
      <c r="G73" s="27">
        <v>0</v>
      </c>
      <c r="H73" s="20">
        <f t="shared" si="0"/>
        <v>0</v>
      </c>
      <c r="I73" s="20">
        <f t="shared" si="1"/>
        <v>0</v>
      </c>
      <c r="J73" s="20">
        <f t="shared" si="2"/>
        <v>0</v>
      </c>
      <c r="K73" s="20">
        <v>4.65E-2</v>
      </c>
      <c r="L73" s="20">
        <f t="shared" si="3"/>
        <v>4.65E-2</v>
      </c>
      <c r="M73" s="40" t="s">
        <v>425</v>
      </c>
      <c r="P73" s="44">
        <f t="shared" si="4"/>
        <v>0</v>
      </c>
      <c r="R73" s="44">
        <f t="shared" si="5"/>
        <v>0</v>
      </c>
      <c r="S73" s="44">
        <f t="shared" si="6"/>
        <v>0</v>
      </c>
      <c r="T73" s="44">
        <f t="shared" si="7"/>
        <v>0</v>
      </c>
      <c r="U73" s="44">
        <f t="shared" si="8"/>
        <v>0</v>
      </c>
      <c r="V73" s="44">
        <f t="shared" si="9"/>
        <v>0</v>
      </c>
      <c r="W73" s="44">
        <f t="shared" si="10"/>
        <v>0</v>
      </c>
      <c r="X73" s="44">
        <f t="shared" si="11"/>
        <v>0</v>
      </c>
      <c r="Y73" s="35" t="s">
        <v>118</v>
      </c>
      <c r="Z73" s="20">
        <f t="shared" si="12"/>
        <v>0</v>
      </c>
      <c r="AA73" s="20">
        <f t="shared" si="13"/>
        <v>0</v>
      </c>
      <c r="AB73" s="20">
        <f t="shared" si="14"/>
        <v>0</v>
      </c>
      <c r="AD73" s="44">
        <v>21</v>
      </c>
      <c r="AE73" s="44">
        <f>G73*1</f>
        <v>0</v>
      </c>
      <c r="AF73" s="44">
        <f>G73*(1-1)</f>
        <v>0</v>
      </c>
      <c r="AG73" s="40" t="s">
        <v>13</v>
      </c>
      <c r="AM73" s="44">
        <f t="shared" si="15"/>
        <v>0</v>
      </c>
      <c r="AN73" s="44">
        <f t="shared" si="16"/>
        <v>0</v>
      </c>
      <c r="AO73" s="45" t="s">
        <v>444</v>
      </c>
      <c r="AP73" s="45" t="s">
        <v>463</v>
      </c>
      <c r="AQ73" s="35" t="s">
        <v>469</v>
      </c>
      <c r="AS73" s="44">
        <f t="shared" si="17"/>
        <v>0</v>
      </c>
      <c r="AT73" s="44">
        <f t="shared" si="18"/>
        <v>0</v>
      </c>
      <c r="AU73" s="44">
        <v>0</v>
      </c>
      <c r="AV73" s="44">
        <f t="shared" si="19"/>
        <v>4.65E-2</v>
      </c>
    </row>
    <row r="74" spans="1:48" x14ac:dyDescent="0.25">
      <c r="A74" s="6" t="s">
        <v>47</v>
      </c>
      <c r="B74" s="6" t="s">
        <v>118</v>
      </c>
      <c r="C74" s="6" t="s">
        <v>165</v>
      </c>
      <c r="D74" s="6" t="s">
        <v>307</v>
      </c>
      <c r="E74" s="6" t="s">
        <v>405</v>
      </c>
      <c r="F74" s="20">
        <v>1</v>
      </c>
      <c r="G74" s="27">
        <v>0</v>
      </c>
      <c r="H74" s="20">
        <f t="shared" si="0"/>
        <v>0</v>
      </c>
      <c r="I74" s="20">
        <f t="shared" si="1"/>
        <v>0</v>
      </c>
      <c r="J74" s="20">
        <f t="shared" si="2"/>
        <v>0</v>
      </c>
      <c r="K74" s="20">
        <v>8.0000000000000004E-4</v>
      </c>
      <c r="L74" s="20">
        <f t="shared" si="3"/>
        <v>8.0000000000000004E-4</v>
      </c>
      <c r="M74" s="40" t="s">
        <v>425</v>
      </c>
      <c r="P74" s="44">
        <f t="shared" si="4"/>
        <v>0</v>
      </c>
      <c r="R74" s="44">
        <f t="shared" si="5"/>
        <v>0</v>
      </c>
      <c r="S74" s="44">
        <f t="shared" si="6"/>
        <v>0</v>
      </c>
      <c r="T74" s="44">
        <f t="shared" si="7"/>
        <v>0</v>
      </c>
      <c r="U74" s="44">
        <f t="shared" si="8"/>
        <v>0</v>
      </c>
      <c r="V74" s="44">
        <f t="shared" si="9"/>
        <v>0</v>
      </c>
      <c r="W74" s="44">
        <f t="shared" si="10"/>
        <v>0</v>
      </c>
      <c r="X74" s="44">
        <f t="shared" si="11"/>
        <v>0</v>
      </c>
      <c r="Y74" s="35" t="s">
        <v>118</v>
      </c>
      <c r="Z74" s="20">
        <f t="shared" si="12"/>
        <v>0</v>
      </c>
      <c r="AA74" s="20">
        <f t="shared" si="13"/>
        <v>0</v>
      </c>
      <c r="AB74" s="20">
        <f t="shared" si="14"/>
        <v>0</v>
      </c>
      <c r="AD74" s="44">
        <v>21</v>
      </c>
      <c r="AE74" s="44">
        <f>G74*1</f>
        <v>0</v>
      </c>
      <c r="AF74" s="44">
        <f>G74*(1-1)</f>
        <v>0</v>
      </c>
      <c r="AG74" s="40" t="s">
        <v>13</v>
      </c>
      <c r="AM74" s="44">
        <f t="shared" si="15"/>
        <v>0</v>
      </c>
      <c r="AN74" s="44">
        <f t="shared" si="16"/>
        <v>0</v>
      </c>
      <c r="AO74" s="45" t="s">
        <v>444</v>
      </c>
      <c r="AP74" s="45" t="s">
        <v>463</v>
      </c>
      <c r="AQ74" s="35" t="s">
        <v>469</v>
      </c>
      <c r="AS74" s="44">
        <f t="shared" si="17"/>
        <v>0</v>
      </c>
      <c r="AT74" s="44">
        <f t="shared" si="18"/>
        <v>0</v>
      </c>
      <c r="AU74" s="44">
        <v>0</v>
      </c>
      <c r="AV74" s="44">
        <f t="shared" si="19"/>
        <v>8.0000000000000004E-4</v>
      </c>
    </row>
    <row r="75" spans="1:48" x14ac:dyDescent="0.25">
      <c r="A75" s="5" t="s">
        <v>48</v>
      </c>
      <c r="B75" s="5" t="s">
        <v>118</v>
      </c>
      <c r="C75" s="5" t="s">
        <v>166</v>
      </c>
      <c r="D75" s="5" t="s">
        <v>308</v>
      </c>
      <c r="E75" s="5" t="s">
        <v>405</v>
      </c>
      <c r="F75" s="19">
        <v>1</v>
      </c>
      <c r="G75" s="26">
        <v>0</v>
      </c>
      <c r="H75" s="19">
        <f t="shared" si="0"/>
        <v>0</v>
      </c>
      <c r="I75" s="19">
        <f t="shared" si="1"/>
        <v>0</v>
      </c>
      <c r="J75" s="19">
        <f t="shared" si="2"/>
        <v>0</v>
      </c>
      <c r="K75" s="19">
        <v>0.16600000000000001</v>
      </c>
      <c r="L75" s="19">
        <f t="shared" si="3"/>
        <v>0.16600000000000001</v>
      </c>
      <c r="M75" s="39" t="s">
        <v>425</v>
      </c>
      <c r="P75" s="44">
        <f t="shared" si="4"/>
        <v>0</v>
      </c>
      <c r="R75" s="44">
        <f t="shared" si="5"/>
        <v>0</v>
      </c>
      <c r="S75" s="44">
        <f t="shared" si="6"/>
        <v>0</v>
      </c>
      <c r="T75" s="44">
        <f t="shared" si="7"/>
        <v>0</v>
      </c>
      <c r="U75" s="44">
        <f t="shared" si="8"/>
        <v>0</v>
      </c>
      <c r="V75" s="44">
        <f t="shared" si="9"/>
        <v>0</v>
      </c>
      <c r="W75" s="44">
        <f t="shared" si="10"/>
        <v>0</v>
      </c>
      <c r="X75" s="44">
        <f t="shared" si="11"/>
        <v>0</v>
      </c>
      <c r="Y75" s="35" t="s">
        <v>118</v>
      </c>
      <c r="Z75" s="19">
        <f t="shared" si="12"/>
        <v>0</v>
      </c>
      <c r="AA75" s="19">
        <f t="shared" si="13"/>
        <v>0</v>
      </c>
      <c r="AB75" s="19">
        <f t="shared" si="14"/>
        <v>0</v>
      </c>
      <c r="AD75" s="44">
        <v>21</v>
      </c>
      <c r="AE75" s="44">
        <f>G75*0</f>
        <v>0</v>
      </c>
      <c r="AF75" s="44">
        <f>G75*(1-0)</f>
        <v>0</v>
      </c>
      <c r="AG75" s="39" t="s">
        <v>13</v>
      </c>
      <c r="AM75" s="44">
        <f t="shared" si="15"/>
        <v>0</v>
      </c>
      <c r="AN75" s="44">
        <f t="shared" si="16"/>
        <v>0</v>
      </c>
      <c r="AO75" s="45" t="s">
        <v>444</v>
      </c>
      <c r="AP75" s="45" t="s">
        <v>463</v>
      </c>
      <c r="AQ75" s="35" t="s">
        <v>469</v>
      </c>
      <c r="AS75" s="44">
        <f t="shared" si="17"/>
        <v>0</v>
      </c>
      <c r="AT75" s="44">
        <f t="shared" si="18"/>
        <v>0</v>
      </c>
      <c r="AU75" s="44">
        <v>0</v>
      </c>
      <c r="AV75" s="44">
        <f t="shared" si="19"/>
        <v>0.16600000000000001</v>
      </c>
    </row>
    <row r="76" spans="1:48" x14ac:dyDescent="0.25">
      <c r="A76" s="5" t="s">
        <v>49</v>
      </c>
      <c r="B76" s="5" t="s">
        <v>118</v>
      </c>
      <c r="C76" s="5" t="s">
        <v>167</v>
      </c>
      <c r="D76" s="5" t="s">
        <v>309</v>
      </c>
      <c r="E76" s="5" t="s">
        <v>405</v>
      </c>
      <c r="F76" s="19">
        <v>1</v>
      </c>
      <c r="G76" s="26">
        <v>0</v>
      </c>
      <c r="H76" s="19">
        <f t="shared" si="0"/>
        <v>0</v>
      </c>
      <c r="I76" s="19">
        <f t="shared" si="1"/>
        <v>0</v>
      </c>
      <c r="J76" s="19">
        <f t="shared" si="2"/>
        <v>0</v>
      </c>
      <c r="K76" s="19">
        <v>0</v>
      </c>
      <c r="L76" s="19">
        <f t="shared" si="3"/>
        <v>0</v>
      </c>
      <c r="M76" s="39" t="s">
        <v>425</v>
      </c>
      <c r="P76" s="44">
        <f t="shared" si="4"/>
        <v>0</v>
      </c>
      <c r="R76" s="44">
        <f t="shared" si="5"/>
        <v>0</v>
      </c>
      <c r="S76" s="44">
        <f t="shared" si="6"/>
        <v>0</v>
      </c>
      <c r="T76" s="44">
        <f t="shared" si="7"/>
        <v>0</v>
      </c>
      <c r="U76" s="44">
        <f t="shared" si="8"/>
        <v>0</v>
      </c>
      <c r="V76" s="44">
        <f t="shared" si="9"/>
        <v>0</v>
      </c>
      <c r="W76" s="44">
        <f t="shared" si="10"/>
        <v>0</v>
      </c>
      <c r="X76" s="44">
        <f t="shared" si="11"/>
        <v>0</v>
      </c>
      <c r="Y76" s="35" t="s">
        <v>118</v>
      </c>
      <c r="Z76" s="19">
        <f t="shared" si="12"/>
        <v>0</v>
      </c>
      <c r="AA76" s="19">
        <f t="shared" si="13"/>
        <v>0</v>
      </c>
      <c r="AB76" s="19">
        <f t="shared" si="14"/>
        <v>0</v>
      </c>
      <c r="AD76" s="44">
        <v>21</v>
      </c>
      <c r="AE76" s="44">
        <f>G76*0</f>
        <v>0</v>
      </c>
      <c r="AF76" s="44">
        <f>G76*(1-0)</f>
        <v>0</v>
      </c>
      <c r="AG76" s="39" t="s">
        <v>13</v>
      </c>
      <c r="AM76" s="44">
        <f t="shared" si="15"/>
        <v>0</v>
      </c>
      <c r="AN76" s="44">
        <f t="shared" si="16"/>
        <v>0</v>
      </c>
      <c r="AO76" s="45" t="s">
        <v>444</v>
      </c>
      <c r="AP76" s="45" t="s">
        <v>463</v>
      </c>
      <c r="AQ76" s="35" t="s">
        <v>469</v>
      </c>
      <c r="AS76" s="44">
        <f t="shared" si="17"/>
        <v>0</v>
      </c>
      <c r="AT76" s="44">
        <f t="shared" si="18"/>
        <v>0</v>
      </c>
      <c r="AU76" s="44">
        <v>0</v>
      </c>
      <c r="AV76" s="44">
        <f t="shared" si="19"/>
        <v>0</v>
      </c>
    </row>
    <row r="77" spans="1:48" x14ac:dyDescent="0.25">
      <c r="A77" s="6" t="s">
        <v>50</v>
      </c>
      <c r="B77" s="6" t="s">
        <v>118</v>
      </c>
      <c r="C77" s="6" t="s">
        <v>168</v>
      </c>
      <c r="D77" s="6" t="s">
        <v>310</v>
      </c>
      <c r="E77" s="6" t="s">
        <v>406</v>
      </c>
      <c r="F77" s="20">
        <v>1</v>
      </c>
      <c r="G77" s="27">
        <v>0</v>
      </c>
      <c r="H77" s="20">
        <f t="shared" si="0"/>
        <v>0</v>
      </c>
      <c r="I77" s="20">
        <f t="shared" si="1"/>
        <v>0</v>
      </c>
      <c r="J77" s="20">
        <f t="shared" si="2"/>
        <v>0</v>
      </c>
      <c r="K77" s="20">
        <v>0.161</v>
      </c>
      <c r="L77" s="20">
        <f t="shared" si="3"/>
        <v>0.161</v>
      </c>
      <c r="M77" s="40" t="s">
        <v>425</v>
      </c>
      <c r="P77" s="44">
        <f t="shared" si="4"/>
        <v>0</v>
      </c>
      <c r="R77" s="44">
        <f t="shared" si="5"/>
        <v>0</v>
      </c>
      <c r="S77" s="44">
        <f t="shared" si="6"/>
        <v>0</v>
      </c>
      <c r="T77" s="44">
        <f t="shared" si="7"/>
        <v>0</v>
      </c>
      <c r="U77" s="44">
        <f t="shared" si="8"/>
        <v>0</v>
      </c>
      <c r="V77" s="44">
        <f t="shared" si="9"/>
        <v>0</v>
      </c>
      <c r="W77" s="44">
        <f t="shared" si="10"/>
        <v>0</v>
      </c>
      <c r="X77" s="44">
        <f t="shared" si="11"/>
        <v>0</v>
      </c>
      <c r="Y77" s="35" t="s">
        <v>118</v>
      </c>
      <c r="Z77" s="20">
        <f t="shared" si="12"/>
        <v>0</v>
      </c>
      <c r="AA77" s="20">
        <f t="shared" si="13"/>
        <v>0</v>
      </c>
      <c r="AB77" s="20">
        <f t="shared" si="14"/>
        <v>0</v>
      </c>
      <c r="AD77" s="44">
        <v>21</v>
      </c>
      <c r="AE77" s="44">
        <f>G77*1</f>
        <v>0</v>
      </c>
      <c r="AF77" s="44">
        <f>G77*(1-1)</f>
        <v>0</v>
      </c>
      <c r="AG77" s="40" t="s">
        <v>13</v>
      </c>
      <c r="AM77" s="44">
        <f t="shared" si="15"/>
        <v>0</v>
      </c>
      <c r="AN77" s="44">
        <f t="shared" si="16"/>
        <v>0</v>
      </c>
      <c r="AO77" s="45" t="s">
        <v>444</v>
      </c>
      <c r="AP77" s="45" t="s">
        <v>463</v>
      </c>
      <c r="AQ77" s="35" t="s">
        <v>469</v>
      </c>
      <c r="AS77" s="44">
        <f t="shared" si="17"/>
        <v>0</v>
      </c>
      <c r="AT77" s="44">
        <f t="shared" si="18"/>
        <v>0</v>
      </c>
      <c r="AU77" s="44">
        <v>0</v>
      </c>
      <c r="AV77" s="44">
        <f t="shared" si="19"/>
        <v>0.161</v>
      </c>
    </row>
    <row r="78" spans="1:48" x14ac:dyDescent="0.25">
      <c r="A78" s="5" t="s">
        <v>51</v>
      </c>
      <c r="B78" s="5" t="s">
        <v>118</v>
      </c>
      <c r="C78" s="5" t="s">
        <v>169</v>
      </c>
      <c r="D78" s="5" t="s">
        <v>311</v>
      </c>
      <c r="E78" s="5" t="s">
        <v>404</v>
      </c>
      <c r="F78" s="19">
        <v>0.8327</v>
      </c>
      <c r="G78" s="26">
        <v>0</v>
      </c>
      <c r="H78" s="19">
        <f t="shared" si="0"/>
        <v>0</v>
      </c>
      <c r="I78" s="19">
        <f t="shared" si="1"/>
        <v>0</v>
      </c>
      <c r="J78" s="19">
        <f t="shared" si="2"/>
        <v>0</v>
      </c>
      <c r="K78" s="19">
        <v>0</v>
      </c>
      <c r="L78" s="19">
        <f t="shared" si="3"/>
        <v>0</v>
      </c>
      <c r="M78" s="39" t="s">
        <v>425</v>
      </c>
      <c r="P78" s="44">
        <f t="shared" si="4"/>
        <v>0</v>
      </c>
      <c r="R78" s="44">
        <f t="shared" si="5"/>
        <v>0</v>
      </c>
      <c r="S78" s="44">
        <f t="shared" si="6"/>
        <v>0</v>
      </c>
      <c r="T78" s="44">
        <f t="shared" si="7"/>
        <v>0</v>
      </c>
      <c r="U78" s="44">
        <f t="shared" si="8"/>
        <v>0</v>
      </c>
      <c r="V78" s="44">
        <f t="shared" si="9"/>
        <v>0</v>
      </c>
      <c r="W78" s="44">
        <f t="shared" si="10"/>
        <v>0</v>
      </c>
      <c r="X78" s="44">
        <f t="shared" si="11"/>
        <v>0</v>
      </c>
      <c r="Y78" s="35" t="s">
        <v>118</v>
      </c>
      <c r="Z78" s="19">
        <f t="shared" si="12"/>
        <v>0</v>
      </c>
      <c r="AA78" s="19">
        <f t="shared" si="13"/>
        <v>0</v>
      </c>
      <c r="AB78" s="19">
        <f t="shared" si="14"/>
        <v>0</v>
      </c>
      <c r="AD78" s="44">
        <v>21</v>
      </c>
      <c r="AE78" s="44">
        <f>G78*0</f>
        <v>0</v>
      </c>
      <c r="AF78" s="44">
        <f>G78*(1-0)</f>
        <v>0</v>
      </c>
      <c r="AG78" s="39" t="s">
        <v>11</v>
      </c>
      <c r="AM78" s="44">
        <f t="shared" si="15"/>
        <v>0</v>
      </c>
      <c r="AN78" s="44">
        <f t="shared" si="16"/>
        <v>0</v>
      </c>
      <c r="AO78" s="45" t="s">
        <v>444</v>
      </c>
      <c r="AP78" s="45" t="s">
        <v>463</v>
      </c>
      <c r="AQ78" s="35" t="s">
        <v>469</v>
      </c>
      <c r="AS78" s="44">
        <f t="shared" si="17"/>
        <v>0</v>
      </c>
      <c r="AT78" s="44">
        <f t="shared" si="18"/>
        <v>0</v>
      </c>
      <c r="AU78" s="44">
        <v>0</v>
      </c>
      <c r="AV78" s="44">
        <f t="shared" si="19"/>
        <v>0</v>
      </c>
    </row>
    <row r="79" spans="1:48" x14ac:dyDescent="0.25">
      <c r="A79" s="4"/>
      <c r="B79" s="14" t="s">
        <v>118</v>
      </c>
      <c r="C79" s="14" t="s">
        <v>170</v>
      </c>
      <c r="D79" s="14" t="s">
        <v>312</v>
      </c>
      <c r="E79" s="4" t="s">
        <v>6</v>
      </c>
      <c r="F79" s="4" t="s">
        <v>6</v>
      </c>
      <c r="G79" s="25" t="s">
        <v>6</v>
      </c>
      <c r="H79" s="47">
        <f>SUM(H80:H87)</f>
        <v>0</v>
      </c>
      <c r="I79" s="47">
        <f>SUM(I80:I87)</f>
        <v>0</v>
      </c>
      <c r="J79" s="47">
        <f>H79+I79</f>
        <v>0</v>
      </c>
      <c r="K79" s="35"/>
      <c r="L79" s="47">
        <f>SUM(L80:L87)</f>
        <v>0.39936460000000001</v>
      </c>
      <c r="M79" s="35"/>
      <c r="Y79" s="35" t="s">
        <v>118</v>
      </c>
      <c r="AI79" s="47">
        <f>SUM(Z80:Z87)</f>
        <v>0</v>
      </c>
      <c r="AJ79" s="47">
        <f>SUM(AA80:AA87)</f>
        <v>0</v>
      </c>
      <c r="AK79" s="47">
        <f>SUM(AB80:AB87)</f>
        <v>0</v>
      </c>
    </row>
    <row r="80" spans="1:48" x14ac:dyDescent="0.25">
      <c r="A80" s="5" t="s">
        <v>52</v>
      </c>
      <c r="B80" s="5" t="s">
        <v>118</v>
      </c>
      <c r="C80" s="5" t="s">
        <v>171</v>
      </c>
      <c r="D80" s="5" t="s">
        <v>313</v>
      </c>
      <c r="E80" s="5" t="s">
        <v>403</v>
      </c>
      <c r="F80" s="19">
        <v>15.22</v>
      </c>
      <c r="G80" s="26">
        <v>0</v>
      </c>
      <c r="H80" s="19">
        <f t="shared" ref="H80:H87" si="20">F80*AE80</f>
        <v>0</v>
      </c>
      <c r="I80" s="19">
        <f t="shared" ref="I80:I87" si="21">J80-H80</f>
        <v>0</v>
      </c>
      <c r="J80" s="19">
        <f t="shared" ref="J80:J87" si="22">F80*G80</f>
        <v>0</v>
      </c>
      <c r="K80" s="19">
        <v>0</v>
      </c>
      <c r="L80" s="19">
        <f t="shared" ref="L80:L87" si="23">F80*K80</f>
        <v>0</v>
      </c>
      <c r="M80" s="39" t="s">
        <v>425</v>
      </c>
      <c r="P80" s="44">
        <f t="shared" ref="P80:P87" si="24">IF(AG80="5",J80,0)</f>
        <v>0</v>
      </c>
      <c r="R80" s="44">
        <f t="shared" ref="R80:R87" si="25">IF(AG80="1",H80,0)</f>
        <v>0</v>
      </c>
      <c r="S80" s="44">
        <f t="shared" ref="S80:S87" si="26">IF(AG80="1",I80,0)</f>
        <v>0</v>
      </c>
      <c r="T80" s="44">
        <f t="shared" ref="T80:T87" si="27">IF(AG80="7",H80,0)</f>
        <v>0</v>
      </c>
      <c r="U80" s="44">
        <f t="shared" ref="U80:U87" si="28">IF(AG80="7",I80,0)</f>
        <v>0</v>
      </c>
      <c r="V80" s="44">
        <f t="shared" ref="V80:V87" si="29">IF(AG80="2",H80,0)</f>
        <v>0</v>
      </c>
      <c r="W80" s="44">
        <f t="shared" ref="W80:W87" si="30">IF(AG80="2",I80,0)</f>
        <v>0</v>
      </c>
      <c r="X80" s="44">
        <f t="shared" ref="X80:X87" si="31">IF(AG80="0",J80,0)</f>
        <v>0</v>
      </c>
      <c r="Y80" s="35" t="s">
        <v>118</v>
      </c>
      <c r="Z80" s="19">
        <f t="shared" ref="Z80:Z87" si="32">IF(AD80=0,J80,0)</f>
        <v>0</v>
      </c>
      <c r="AA80" s="19">
        <f t="shared" ref="AA80:AA87" si="33">IF(AD80=15,J80,0)</f>
        <v>0</v>
      </c>
      <c r="AB80" s="19">
        <f t="shared" ref="AB80:AB87" si="34">IF(AD80=21,J80,0)</f>
        <v>0</v>
      </c>
      <c r="AD80" s="44">
        <v>21</v>
      </c>
      <c r="AE80" s="44">
        <f>G80*0</f>
        <v>0</v>
      </c>
      <c r="AF80" s="44">
        <f>G80*(1-0)</f>
        <v>0</v>
      </c>
      <c r="AG80" s="39" t="s">
        <v>13</v>
      </c>
      <c r="AM80" s="44">
        <f t="shared" ref="AM80:AM87" si="35">F80*AE80</f>
        <v>0</v>
      </c>
      <c r="AN80" s="44">
        <f t="shared" ref="AN80:AN87" si="36">F80*AF80</f>
        <v>0</v>
      </c>
      <c r="AO80" s="45" t="s">
        <v>445</v>
      </c>
      <c r="AP80" s="45" t="s">
        <v>464</v>
      </c>
      <c r="AQ80" s="35" t="s">
        <v>469</v>
      </c>
      <c r="AS80" s="44">
        <f t="shared" ref="AS80:AS87" si="37">AM80+AN80</f>
        <v>0</v>
      </c>
      <c r="AT80" s="44">
        <f t="shared" ref="AT80:AT87" si="38">G80/(100-AU80)*100</f>
        <v>0</v>
      </c>
      <c r="AU80" s="44">
        <v>0</v>
      </c>
      <c r="AV80" s="44">
        <f t="shared" ref="AV80:AV87" si="39">L80</f>
        <v>0</v>
      </c>
    </row>
    <row r="81" spans="1:48" x14ac:dyDescent="0.25">
      <c r="A81" s="5" t="s">
        <v>53</v>
      </c>
      <c r="B81" s="5" t="s">
        <v>118</v>
      </c>
      <c r="C81" s="5" t="s">
        <v>172</v>
      </c>
      <c r="D81" s="5" t="s">
        <v>314</v>
      </c>
      <c r="E81" s="5" t="s">
        <v>403</v>
      </c>
      <c r="F81" s="19">
        <v>93.89</v>
      </c>
      <c r="G81" s="26">
        <v>0</v>
      </c>
      <c r="H81" s="19">
        <f t="shared" si="20"/>
        <v>0</v>
      </c>
      <c r="I81" s="19">
        <f t="shared" si="21"/>
        <v>0</v>
      </c>
      <c r="J81" s="19">
        <f t="shared" si="22"/>
        <v>0</v>
      </c>
      <c r="K81" s="19">
        <v>2.1000000000000001E-4</v>
      </c>
      <c r="L81" s="19">
        <f t="shared" si="23"/>
        <v>1.9716900000000002E-2</v>
      </c>
      <c r="M81" s="39" t="s">
        <v>425</v>
      </c>
      <c r="P81" s="44">
        <f t="shared" si="24"/>
        <v>0</v>
      </c>
      <c r="R81" s="44">
        <f t="shared" si="25"/>
        <v>0</v>
      </c>
      <c r="S81" s="44">
        <f t="shared" si="26"/>
        <v>0</v>
      </c>
      <c r="T81" s="44">
        <f t="shared" si="27"/>
        <v>0</v>
      </c>
      <c r="U81" s="44">
        <f t="shared" si="28"/>
        <v>0</v>
      </c>
      <c r="V81" s="44">
        <f t="shared" si="29"/>
        <v>0</v>
      </c>
      <c r="W81" s="44">
        <f t="shared" si="30"/>
        <v>0</v>
      </c>
      <c r="X81" s="44">
        <f t="shared" si="31"/>
        <v>0</v>
      </c>
      <c r="Y81" s="35" t="s">
        <v>118</v>
      </c>
      <c r="Z81" s="19">
        <f t="shared" si="32"/>
        <v>0</v>
      </c>
      <c r="AA81" s="19">
        <f t="shared" si="33"/>
        <v>0</v>
      </c>
      <c r="AB81" s="19">
        <f t="shared" si="34"/>
        <v>0</v>
      </c>
      <c r="AD81" s="44">
        <v>21</v>
      </c>
      <c r="AE81" s="44">
        <f>G81*0.496512961952833</f>
        <v>0</v>
      </c>
      <c r="AF81" s="44">
        <f>G81*(1-0.496512961952833)</f>
        <v>0</v>
      </c>
      <c r="AG81" s="39" t="s">
        <v>13</v>
      </c>
      <c r="AM81" s="44">
        <f t="shared" si="35"/>
        <v>0</v>
      </c>
      <c r="AN81" s="44">
        <f t="shared" si="36"/>
        <v>0</v>
      </c>
      <c r="AO81" s="45" t="s">
        <v>445</v>
      </c>
      <c r="AP81" s="45" t="s">
        <v>464</v>
      </c>
      <c r="AQ81" s="35" t="s">
        <v>469</v>
      </c>
      <c r="AS81" s="44">
        <f t="shared" si="37"/>
        <v>0</v>
      </c>
      <c r="AT81" s="44">
        <f t="shared" si="38"/>
        <v>0</v>
      </c>
      <c r="AU81" s="44">
        <v>0</v>
      </c>
      <c r="AV81" s="44">
        <f t="shared" si="39"/>
        <v>1.9716900000000002E-2</v>
      </c>
    </row>
    <row r="82" spans="1:48" x14ac:dyDescent="0.25">
      <c r="A82" s="5" t="s">
        <v>54</v>
      </c>
      <c r="B82" s="5" t="s">
        <v>118</v>
      </c>
      <c r="C82" s="5" t="s">
        <v>173</v>
      </c>
      <c r="D82" s="5" t="s">
        <v>315</v>
      </c>
      <c r="E82" s="5" t="s">
        <v>403</v>
      </c>
      <c r="F82" s="19">
        <v>11.89</v>
      </c>
      <c r="G82" s="26">
        <v>0</v>
      </c>
      <c r="H82" s="19">
        <f t="shared" si="20"/>
        <v>0</v>
      </c>
      <c r="I82" s="19">
        <f t="shared" si="21"/>
        <v>0</v>
      </c>
      <c r="J82" s="19">
        <f t="shared" si="22"/>
        <v>0</v>
      </c>
      <c r="K82" s="19">
        <v>2.1000000000000001E-4</v>
      </c>
      <c r="L82" s="19">
        <f t="shared" si="23"/>
        <v>2.4969000000000002E-3</v>
      </c>
      <c r="M82" s="39" t="s">
        <v>425</v>
      </c>
      <c r="P82" s="44">
        <f t="shared" si="24"/>
        <v>0</v>
      </c>
      <c r="R82" s="44">
        <f t="shared" si="25"/>
        <v>0</v>
      </c>
      <c r="S82" s="44">
        <f t="shared" si="26"/>
        <v>0</v>
      </c>
      <c r="T82" s="44">
        <f t="shared" si="27"/>
        <v>0</v>
      </c>
      <c r="U82" s="44">
        <f t="shared" si="28"/>
        <v>0</v>
      </c>
      <c r="V82" s="44">
        <f t="shared" si="29"/>
        <v>0</v>
      </c>
      <c r="W82" s="44">
        <f t="shared" si="30"/>
        <v>0</v>
      </c>
      <c r="X82" s="44">
        <f t="shared" si="31"/>
        <v>0</v>
      </c>
      <c r="Y82" s="35" t="s">
        <v>118</v>
      </c>
      <c r="Z82" s="19">
        <f t="shared" si="32"/>
        <v>0</v>
      </c>
      <c r="AA82" s="19">
        <f t="shared" si="33"/>
        <v>0</v>
      </c>
      <c r="AB82" s="19">
        <f t="shared" si="34"/>
        <v>0</v>
      </c>
      <c r="AD82" s="44">
        <v>21</v>
      </c>
      <c r="AE82" s="44">
        <f>G82*0.496508665143273</f>
        <v>0</v>
      </c>
      <c r="AF82" s="44">
        <f>G82*(1-0.496508665143273)</f>
        <v>0</v>
      </c>
      <c r="AG82" s="39" t="s">
        <v>13</v>
      </c>
      <c r="AM82" s="44">
        <f t="shared" si="35"/>
        <v>0</v>
      </c>
      <c r="AN82" s="44">
        <f t="shared" si="36"/>
        <v>0</v>
      </c>
      <c r="AO82" s="45" t="s">
        <v>445</v>
      </c>
      <c r="AP82" s="45" t="s">
        <v>464</v>
      </c>
      <c r="AQ82" s="35" t="s">
        <v>469</v>
      </c>
      <c r="AS82" s="44">
        <f t="shared" si="37"/>
        <v>0</v>
      </c>
      <c r="AT82" s="44">
        <f t="shared" si="38"/>
        <v>0</v>
      </c>
      <c r="AU82" s="44">
        <v>0</v>
      </c>
      <c r="AV82" s="44">
        <f t="shared" si="39"/>
        <v>2.4969000000000002E-3</v>
      </c>
    </row>
    <row r="83" spans="1:48" x14ac:dyDescent="0.25">
      <c r="A83" s="5" t="s">
        <v>55</v>
      </c>
      <c r="B83" s="5" t="s">
        <v>118</v>
      </c>
      <c r="C83" s="5" t="s">
        <v>174</v>
      </c>
      <c r="D83" s="5" t="s">
        <v>316</v>
      </c>
      <c r="E83" s="5" t="s">
        <v>403</v>
      </c>
      <c r="F83" s="19">
        <v>11.89</v>
      </c>
      <c r="G83" s="26">
        <v>0</v>
      </c>
      <c r="H83" s="19">
        <f t="shared" si="20"/>
        <v>0</v>
      </c>
      <c r="I83" s="19">
        <f t="shared" si="21"/>
        <v>0</v>
      </c>
      <c r="J83" s="19">
        <f t="shared" si="22"/>
        <v>0</v>
      </c>
      <c r="K83" s="19">
        <v>4.7600000000000003E-3</v>
      </c>
      <c r="L83" s="19">
        <f t="shared" si="23"/>
        <v>5.6596400000000005E-2</v>
      </c>
      <c r="M83" s="39" t="s">
        <v>425</v>
      </c>
      <c r="P83" s="44">
        <f t="shared" si="24"/>
        <v>0</v>
      </c>
      <c r="R83" s="44">
        <f t="shared" si="25"/>
        <v>0</v>
      </c>
      <c r="S83" s="44">
        <f t="shared" si="26"/>
        <v>0</v>
      </c>
      <c r="T83" s="44">
        <f t="shared" si="27"/>
        <v>0</v>
      </c>
      <c r="U83" s="44">
        <f t="shared" si="28"/>
        <v>0</v>
      </c>
      <c r="V83" s="44">
        <f t="shared" si="29"/>
        <v>0</v>
      </c>
      <c r="W83" s="44">
        <f t="shared" si="30"/>
        <v>0</v>
      </c>
      <c r="X83" s="44">
        <f t="shared" si="31"/>
        <v>0</v>
      </c>
      <c r="Y83" s="35" t="s">
        <v>118</v>
      </c>
      <c r="Z83" s="19">
        <f t="shared" si="32"/>
        <v>0</v>
      </c>
      <c r="AA83" s="19">
        <f t="shared" si="33"/>
        <v>0</v>
      </c>
      <c r="AB83" s="19">
        <f t="shared" si="34"/>
        <v>0</v>
      </c>
      <c r="AD83" s="44">
        <v>21</v>
      </c>
      <c r="AE83" s="44">
        <f>G83*0.152545642861584</f>
        <v>0</v>
      </c>
      <c r="AF83" s="44">
        <f>G83*(1-0.152545642861584)</f>
        <v>0</v>
      </c>
      <c r="AG83" s="39" t="s">
        <v>13</v>
      </c>
      <c r="AM83" s="44">
        <f t="shared" si="35"/>
        <v>0</v>
      </c>
      <c r="AN83" s="44">
        <f t="shared" si="36"/>
        <v>0</v>
      </c>
      <c r="AO83" s="45" t="s">
        <v>445</v>
      </c>
      <c r="AP83" s="45" t="s">
        <v>464</v>
      </c>
      <c r="AQ83" s="35" t="s">
        <v>469</v>
      </c>
      <c r="AS83" s="44">
        <f t="shared" si="37"/>
        <v>0</v>
      </c>
      <c r="AT83" s="44">
        <f t="shared" si="38"/>
        <v>0</v>
      </c>
      <c r="AU83" s="44">
        <v>0</v>
      </c>
      <c r="AV83" s="44">
        <f t="shared" si="39"/>
        <v>5.6596400000000005E-2</v>
      </c>
    </row>
    <row r="84" spans="1:48" x14ac:dyDescent="0.25">
      <c r="A84" s="5" t="s">
        <v>56</v>
      </c>
      <c r="B84" s="5" t="s">
        <v>118</v>
      </c>
      <c r="C84" s="5" t="s">
        <v>175</v>
      </c>
      <c r="D84" s="5" t="s">
        <v>317</v>
      </c>
      <c r="E84" s="5" t="s">
        <v>403</v>
      </c>
      <c r="F84" s="19">
        <v>11.89</v>
      </c>
      <c r="G84" s="26">
        <v>0</v>
      </c>
      <c r="H84" s="19">
        <f t="shared" si="20"/>
        <v>0</v>
      </c>
      <c r="I84" s="19">
        <f t="shared" si="21"/>
        <v>0</v>
      </c>
      <c r="J84" s="19">
        <f t="shared" si="22"/>
        <v>0</v>
      </c>
      <c r="K84" s="19">
        <v>1.1999999999999999E-3</v>
      </c>
      <c r="L84" s="19">
        <f t="shared" si="23"/>
        <v>1.4267999999999999E-2</v>
      </c>
      <c r="M84" s="39" t="s">
        <v>425</v>
      </c>
      <c r="P84" s="44">
        <f t="shared" si="24"/>
        <v>0</v>
      </c>
      <c r="R84" s="44">
        <f t="shared" si="25"/>
        <v>0</v>
      </c>
      <c r="S84" s="44">
        <f t="shared" si="26"/>
        <v>0</v>
      </c>
      <c r="T84" s="44">
        <f t="shared" si="27"/>
        <v>0</v>
      </c>
      <c r="U84" s="44">
        <f t="shared" si="28"/>
        <v>0</v>
      </c>
      <c r="V84" s="44">
        <f t="shared" si="29"/>
        <v>0</v>
      </c>
      <c r="W84" s="44">
        <f t="shared" si="30"/>
        <v>0</v>
      </c>
      <c r="X84" s="44">
        <f t="shared" si="31"/>
        <v>0</v>
      </c>
      <c r="Y84" s="35" t="s">
        <v>118</v>
      </c>
      <c r="Z84" s="19">
        <f t="shared" si="32"/>
        <v>0</v>
      </c>
      <c r="AA84" s="19">
        <f t="shared" si="33"/>
        <v>0</v>
      </c>
      <c r="AB84" s="19">
        <f t="shared" si="34"/>
        <v>0</v>
      </c>
      <c r="AD84" s="44">
        <v>21</v>
      </c>
      <c r="AE84" s="44">
        <f>G84*1.00003504468197</f>
        <v>0</v>
      </c>
      <c r="AF84" s="44">
        <f>G84*(1-1.00003504468197)</f>
        <v>0</v>
      </c>
      <c r="AG84" s="39" t="s">
        <v>13</v>
      </c>
      <c r="AM84" s="44">
        <f t="shared" si="35"/>
        <v>0</v>
      </c>
      <c r="AN84" s="44">
        <f t="shared" si="36"/>
        <v>0</v>
      </c>
      <c r="AO84" s="45" t="s">
        <v>445</v>
      </c>
      <c r="AP84" s="45" t="s">
        <v>464</v>
      </c>
      <c r="AQ84" s="35" t="s">
        <v>469</v>
      </c>
      <c r="AS84" s="44">
        <f t="shared" si="37"/>
        <v>0</v>
      </c>
      <c r="AT84" s="44">
        <f t="shared" si="38"/>
        <v>0</v>
      </c>
      <c r="AU84" s="44">
        <v>0</v>
      </c>
      <c r="AV84" s="44">
        <f t="shared" si="39"/>
        <v>1.4267999999999999E-2</v>
      </c>
    </row>
    <row r="85" spans="1:48" x14ac:dyDescent="0.25">
      <c r="A85" s="6" t="s">
        <v>57</v>
      </c>
      <c r="B85" s="6" t="s">
        <v>118</v>
      </c>
      <c r="C85" s="6" t="s">
        <v>176</v>
      </c>
      <c r="D85" s="6" t="s">
        <v>318</v>
      </c>
      <c r="E85" s="6" t="s">
        <v>403</v>
      </c>
      <c r="F85" s="20">
        <v>14</v>
      </c>
      <c r="G85" s="27">
        <v>0</v>
      </c>
      <c r="H85" s="20">
        <f t="shared" si="20"/>
        <v>0</v>
      </c>
      <c r="I85" s="20">
        <f t="shared" si="21"/>
        <v>0</v>
      </c>
      <c r="J85" s="20">
        <f t="shared" si="22"/>
        <v>0</v>
      </c>
      <c r="K85" s="20">
        <v>1.7999999999999999E-2</v>
      </c>
      <c r="L85" s="20">
        <f t="shared" si="23"/>
        <v>0.252</v>
      </c>
      <c r="M85" s="40" t="s">
        <v>425</v>
      </c>
      <c r="P85" s="44">
        <f t="shared" si="24"/>
        <v>0</v>
      </c>
      <c r="R85" s="44">
        <f t="shared" si="25"/>
        <v>0</v>
      </c>
      <c r="S85" s="44">
        <f t="shared" si="26"/>
        <v>0</v>
      </c>
      <c r="T85" s="44">
        <f t="shared" si="27"/>
        <v>0</v>
      </c>
      <c r="U85" s="44">
        <f t="shared" si="28"/>
        <v>0</v>
      </c>
      <c r="V85" s="44">
        <f t="shared" si="29"/>
        <v>0</v>
      </c>
      <c r="W85" s="44">
        <f t="shared" si="30"/>
        <v>0</v>
      </c>
      <c r="X85" s="44">
        <f t="shared" si="31"/>
        <v>0</v>
      </c>
      <c r="Y85" s="35" t="s">
        <v>118</v>
      </c>
      <c r="Z85" s="20">
        <f t="shared" si="32"/>
        <v>0</v>
      </c>
      <c r="AA85" s="20">
        <f t="shared" si="33"/>
        <v>0</v>
      </c>
      <c r="AB85" s="20">
        <f t="shared" si="34"/>
        <v>0</v>
      </c>
      <c r="AD85" s="44">
        <v>21</v>
      </c>
      <c r="AE85" s="44">
        <f>G85*1</f>
        <v>0</v>
      </c>
      <c r="AF85" s="44">
        <f>G85*(1-1)</f>
        <v>0</v>
      </c>
      <c r="AG85" s="40" t="s">
        <v>13</v>
      </c>
      <c r="AM85" s="44">
        <f t="shared" si="35"/>
        <v>0</v>
      </c>
      <c r="AN85" s="44">
        <f t="shared" si="36"/>
        <v>0</v>
      </c>
      <c r="AO85" s="45" t="s">
        <v>445</v>
      </c>
      <c r="AP85" s="45" t="s">
        <v>464</v>
      </c>
      <c r="AQ85" s="35" t="s">
        <v>469</v>
      </c>
      <c r="AS85" s="44">
        <f t="shared" si="37"/>
        <v>0</v>
      </c>
      <c r="AT85" s="44">
        <f t="shared" si="38"/>
        <v>0</v>
      </c>
      <c r="AU85" s="44">
        <v>0</v>
      </c>
      <c r="AV85" s="44">
        <f t="shared" si="39"/>
        <v>0.252</v>
      </c>
    </row>
    <row r="86" spans="1:48" x14ac:dyDescent="0.25">
      <c r="A86" s="5" t="s">
        <v>58</v>
      </c>
      <c r="B86" s="5" t="s">
        <v>118</v>
      </c>
      <c r="C86" s="5" t="s">
        <v>177</v>
      </c>
      <c r="D86" s="5" t="s">
        <v>319</v>
      </c>
      <c r="E86" s="5" t="s">
        <v>402</v>
      </c>
      <c r="F86" s="19">
        <v>10.48</v>
      </c>
      <c r="G86" s="26">
        <v>0</v>
      </c>
      <c r="H86" s="19">
        <f t="shared" si="20"/>
        <v>0</v>
      </c>
      <c r="I86" s="19">
        <f t="shared" si="21"/>
        <v>0</v>
      </c>
      <c r="J86" s="19">
        <f t="shared" si="22"/>
        <v>0</v>
      </c>
      <c r="K86" s="19">
        <v>5.1799999999999997E-3</v>
      </c>
      <c r="L86" s="19">
        <f t="shared" si="23"/>
        <v>5.4286399999999999E-2</v>
      </c>
      <c r="M86" s="39" t="s">
        <v>425</v>
      </c>
      <c r="P86" s="44">
        <f t="shared" si="24"/>
        <v>0</v>
      </c>
      <c r="R86" s="44">
        <f t="shared" si="25"/>
        <v>0</v>
      </c>
      <c r="S86" s="44">
        <f t="shared" si="26"/>
        <v>0</v>
      </c>
      <c r="T86" s="44">
        <f t="shared" si="27"/>
        <v>0</v>
      </c>
      <c r="U86" s="44">
        <f t="shared" si="28"/>
        <v>0</v>
      </c>
      <c r="V86" s="44">
        <f t="shared" si="29"/>
        <v>0</v>
      </c>
      <c r="W86" s="44">
        <f t="shared" si="30"/>
        <v>0</v>
      </c>
      <c r="X86" s="44">
        <f t="shared" si="31"/>
        <v>0</v>
      </c>
      <c r="Y86" s="35" t="s">
        <v>118</v>
      </c>
      <c r="Z86" s="19">
        <f t="shared" si="32"/>
        <v>0</v>
      </c>
      <c r="AA86" s="19">
        <f t="shared" si="33"/>
        <v>0</v>
      </c>
      <c r="AB86" s="19">
        <f t="shared" si="34"/>
        <v>0</v>
      </c>
      <c r="AD86" s="44">
        <v>21</v>
      </c>
      <c r="AE86" s="44">
        <f>G86*0.0421359223300971</f>
        <v>0</v>
      </c>
      <c r="AF86" s="44">
        <f>G86*(1-0.0421359223300971)</f>
        <v>0</v>
      </c>
      <c r="AG86" s="39" t="s">
        <v>13</v>
      </c>
      <c r="AM86" s="44">
        <f t="shared" si="35"/>
        <v>0</v>
      </c>
      <c r="AN86" s="44">
        <f t="shared" si="36"/>
        <v>0</v>
      </c>
      <c r="AO86" s="45" t="s">
        <v>445</v>
      </c>
      <c r="AP86" s="45" t="s">
        <v>464</v>
      </c>
      <c r="AQ86" s="35" t="s">
        <v>469</v>
      </c>
      <c r="AS86" s="44">
        <f t="shared" si="37"/>
        <v>0</v>
      </c>
      <c r="AT86" s="44">
        <f t="shared" si="38"/>
        <v>0</v>
      </c>
      <c r="AU86" s="44">
        <v>0</v>
      </c>
      <c r="AV86" s="44">
        <f t="shared" si="39"/>
        <v>5.4286399999999999E-2</v>
      </c>
    </row>
    <row r="87" spans="1:48" x14ac:dyDescent="0.25">
      <c r="A87" s="5" t="s">
        <v>59</v>
      </c>
      <c r="B87" s="5" t="s">
        <v>118</v>
      </c>
      <c r="C87" s="5" t="s">
        <v>178</v>
      </c>
      <c r="D87" s="5" t="s">
        <v>320</v>
      </c>
      <c r="E87" s="5" t="s">
        <v>404</v>
      </c>
      <c r="F87" s="19">
        <v>0.39939999999999998</v>
      </c>
      <c r="G87" s="26">
        <v>0</v>
      </c>
      <c r="H87" s="19">
        <f t="shared" si="20"/>
        <v>0</v>
      </c>
      <c r="I87" s="19">
        <f t="shared" si="21"/>
        <v>0</v>
      </c>
      <c r="J87" s="19">
        <f t="shared" si="22"/>
        <v>0</v>
      </c>
      <c r="K87" s="19">
        <v>0</v>
      </c>
      <c r="L87" s="19">
        <f t="shared" si="23"/>
        <v>0</v>
      </c>
      <c r="M87" s="39" t="s">
        <v>425</v>
      </c>
      <c r="P87" s="44">
        <f t="shared" si="24"/>
        <v>0</v>
      </c>
      <c r="R87" s="44">
        <f t="shared" si="25"/>
        <v>0</v>
      </c>
      <c r="S87" s="44">
        <f t="shared" si="26"/>
        <v>0</v>
      </c>
      <c r="T87" s="44">
        <f t="shared" si="27"/>
        <v>0</v>
      </c>
      <c r="U87" s="44">
        <f t="shared" si="28"/>
        <v>0</v>
      </c>
      <c r="V87" s="44">
        <f t="shared" si="29"/>
        <v>0</v>
      </c>
      <c r="W87" s="44">
        <f t="shared" si="30"/>
        <v>0</v>
      </c>
      <c r="X87" s="44">
        <f t="shared" si="31"/>
        <v>0</v>
      </c>
      <c r="Y87" s="35" t="s">
        <v>118</v>
      </c>
      <c r="Z87" s="19">
        <f t="shared" si="32"/>
        <v>0</v>
      </c>
      <c r="AA87" s="19">
        <f t="shared" si="33"/>
        <v>0</v>
      </c>
      <c r="AB87" s="19">
        <f t="shared" si="34"/>
        <v>0</v>
      </c>
      <c r="AD87" s="44">
        <v>21</v>
      </c>
      <c r="AE87" s="44">
        <f>G87*0</f>
        <v>0</v>
      </c>
      <c r="AF87" s="44">
        <f>G87*(1-0)</f>
        <v>0</v>
      </c>
      <c r="AG87" s="39" t="s">
        <v>11</v>
      </c>
      <c r="AM87" s="44">
        <f t="shared" si="35"/>
        <v>0</v>
      </c>
      <c r="AN87" s="44">
        <f t="shared" si="36"/>
        <v>0</v>
      </c>
      <c r="AO87" s="45" t="s">
        <v>445</v>
      </c>
      <c r="AP87" s="45" t="s">
        <v>464</v>
      </c>
      <c r="AQ87" s="35" t="s">
        <v>469</v>
      </c>
      <c r="AS87" s="44">
        <f t="shared" si="37"/>
        <v>0</v>
      </c>
      <c r="AT87" s="44">
        <f t="shared" si="38"/>
        <v>0</v>
      </c>
      <c r="AU87" s="44">
        <v>0</v>
      </c>
      <c r="AV87" s="44">
        <f t="shared" si="39"/>
        <v>0</v>
      </c>
    </row>
    <row r="88" spans="1:48" x14ac:dyDescent="0.25">
      <c r="A88" s="4"/>
      <c r="B88" s="14" t="s">
        <v>118</v>
      </c>
      <c r="C88" s="14" t="s">
        <v>179</v>
      </c>
      <c r="D88" s="14" t="s">
        <v>321</v>
      </c>
      <c r="E88" s="4" t="s">
        <v>6</v>
      </c>
      <c r="F88" s="4" t="s">
        <v>6</v>
      </c>
      <c r="G88" s="25" t="s">
        <v>6</v>
      </c>
      <c r="H88" s="47">
        <f>SUM(H89:H103)</f>
        <v>0</v>
      </c>
      <c r="I88" s="47">
        <f>SUM(I89:I103)</f>
        <v>0</v>
      </c>
      <c r="J88" s="47">
        <f>H88+I88</f>
        <v>0</v>
      </c>
      <c r="K88" s="35"/>
      <c r="L88" s="47">
        <f>SUM(L89:L103)</f>
        <v>1.8012068000000003</v>
      </c>
      <c r="M88" s="35"/>
      <c r="Y88" s="35" t="s">
        <v>118</v>
      </c>
      <c r="AI88" s="47">
        <f>SUM(Z89:Z103)</f>
        <v>0</v>
      </c>
      <c r="AJ88" s="47">
        <f>SUM(AA89:AA103)</f>
        <v>0</v>
      </c>
      <c r="AK88" s="47">
        <f>SUM(AB89:AB103)</f>
        <v>0</v>
      </c>
    </row>
    <row r="89" spans="1:48" x14ac:dyDescent="0.25">
      <c r="A89" s="5" t="s">
        <v>60</v>
      </c>
      <c r="B89" s="5" t="s">
        <v>118</v>
      </c>
      <c r="C89" s="5" t="s">
        <v>180</v>
      </c>
      <c r="D89" s="5" t="s">
        <v>322</v>
      </c>
      <c r="E89" s="5" t="s">
        <v>403</v>
      </c>
      <c r="F89" s="19">
        <v>78.67</v>
      </c>
      <c r="G89" s="26">
        <v>0</v>
      </c>
      <c r="H89" s="19">
        <f t="shared" ref="H89:H97" si="40">F89*AE89</f>
        <v>0</v>
      </c>
      <c r="I89" s="19">
        <f t="shared" ref="I89:I97" si="41">J89-H89</f>
        <v>0</v>
      </c>
      <c r="J89" s="19">
        <f t="shared" ref="J89:J97" si="42">F89*G89</f>
        <v>0</v>
      </c>
      <c r="K89" s="19">
        <v>0</v>
      </c>
      <c r="L89" s="19">
        <f t="shared" ref="L89:L97" si="43">F89*K89</f>
        <v>0</v>
      </c>
      <c r="M89" s="39" t="s">
        <v>425</v>
      </c>
      <c r="P89" s="44">
        <f t="shared" ref="P89:P97" si="44">IF(AG89="5",J89,0)</f>
        <v>0</v>
      </c>
      <c r="R89" s="44">
        <f t="shared" ref="R89:R97" si="45">IF(AG89="1",H89,0)</f>
        <v>0</v>
      </c>
      <c r="S89" s="44">
        <f t="shared" ref="S89:S97" si="46">IF(AG89="1",I89,0)</f>
        <v>0</v>
      </c>
      <c r="T89" s="44">
        <f t="shared" ref="T89:T97" si="47">IF(AG89="7",H89,0)</f>
        <v>0</v>
      </c>
      <c r="U89" s="44">
        <f t="shared" ref="U89:U97" si="48">IF(AG89="7",I89,0)</f>
        <v>0</v>
      </c>
      <c r="V89" s="44">
        <f t="shared" ref="V89:V97" si="49">IF(AG89="2",H89,0)</f>
        <v>0</v>
      </c>
      <c r="W89" s="44">
        <f t="shared" ref="W89:W97" si="50">IF(AG89="2",I89,0)</f>
        <v>0</v>
      </c>
      <c r="X89" s="44">
        <f t="shared" ref="X89:X97" si="51">IF(AG89="0",J89,0)</f>
        <v>0</v>
      </c>
      <c r="Y89" s="35" t="s">
        <v>118</v>
      </c>
      <c r="Z89" s="19">
        <f t="shared" ref="Z89:Z97" si="52">IF(AD89=0,J89,0)</f>
        <v>0</v>
      </c>
      <c r="AA89" s="19">
        <f t="shared" ref="AA89:AA97" si="53">IF(AD89=15,J89,0)</f>
        <v>0</v>
      </c>
      <c r="AB89" s="19">
        <f t="shared" ref="AB89:AB97" si="54">IF(AD89=21,J89,0)</f>
        <v>0</v>
      </c>
      <c r="AD89" s="44">
        <v>21</v>
      </c>
      <c r="AE89" s="44">
        <f>G89*0.804117178077151</f>
        <v>0</v>
      </c>
      <c r="AF89" s="44">
        <f>G89*(1-0.804117178077151)</f>
        <v>0</v>
      </c>
      <c r="AG89" s="39" t="s">
        <v>13</v>
      </c>
      <c r="AM89" s="44">
        <f t="shared" ref="AM89:AM97" si="55">F89*AE89</f>
        <v>0</v>
      </c>
      <c r="AN89" s="44">
        <f t="shared" ref="AN89:AN97" si="56">F89*AF89</f>
        <v>0</v>
      </c>
      <c r="AO89" s="45" t="s">
        <v>446</v>
      </c>
      <c r="AP89" s="45" t="s">
        <v>464</v>
      </c>
      <c r="AQ89" s="35" t="s">
        <v>469</v>
      </c>
      <c r="AS89" s="44">
        <f t="shared" ref="AS89:AS97" si="57">AM89+AN89</f>
        <v>0</v>
      </c>
      <c r="AT89" s="44">
        <f t="shared" ref="AT89:AT97" si="58">G89/(100-AU89)*100</f>
        <v>0</v>
      </c>
      <c r="AU89" s="44">
        <v>0</v>
      </c>
      <c r="AV89" s="44">
        <f t="shared" ref="AV89:AV97" si="59">L89</f>
        <v>0</v>
      </c>
    </row>
    <row r="90" spans="1:48" x14ac:dyDescent="0.25">
      <c r="A90" s="5" t="s">
        <v>61</v>
      </c>
      <c r="B90" s="5" t="s">
        <v>118</v>
      </c>
      <c r="C90" s="5" t="s">
        <v>181</v>
      </c>
      <c r="D90" s="5" t="s">
        <v>323</v>
      </c>
      <c r="E90" s="5" t="s">
        <v>403</v>
      </c>
      <c r="F90" s="19">
        <v>78.67</v>
      </c>
      <c r="G90" s="26">
        <v>0</v>
      </c>
      <c r="H90" s="19">
        <f t="shared" si="40"/>
        <v>0</v>
      </c>
      <c r="I90" s="19">
        <f t="shared" si="41"/>
        <v>0</v>
      </c>
      <c r="J90" s="19">
        <f t="shared" si="42"/>
        <v>0</v>
      </c>
      <c r="K90" s="19">
        <v>0</v>
      </c>
      <c r="L90" s="19">
        <f t="shared" si="43"/>
        <v>0</v>
      </c>
      <c r="M90" s="39" t="s">
        <v>425</v>
      </c>
      <c r="P90" s="44">
        <f t="shared" si="44"/>
        <v>0</v>
      </c>
      <c r="R90" s="44">
        <f t="shared" si="45"/>
        <v>0</v>
      </c>
      <c r="S90" s="44">
        <f t="shared" si="46"/>
        <v>0</v>
      </c>
      <c r="T90" s="44">
        <f t="shared" si="47"/>
        <v>0</v>
      </c>
      <c r="U90" s="44">
        <f t="shared" si="48"/>
        <v>0</v>
      </c>
      <c r="V90" s="44">
        <f t="shared" si="49"/>
        <v>0</v>
      </c>
      <c r="W90" s="44">
        <f t="shared" si="50"/>
        <v>0</v>
      </c>
      <c r="X90" s="44">
        <f t="shared" si="51"/>
        <v>0</v>
      </c>
      <c r="Y90" s="35" t="s">
        <v>118</v>
      </c>
      <c r="Z90" s="19">
        <f t="shared" si="52"/>
        <v>0</v>
      </c>
      <c r="AA90" s="19">
        <f t="shared" si="53"/>
        <v>0</v>
      </c>
      <c r="AB90" s="19">
        <f t="shared" si="54"/>
        <v>0</v>
      </c>
      <c r="AD90" s="44">
        <v>21</v>
      </c>
      <c r="AE90" s="44">
        <f>G90*0</f>
        <v>0</v>
      </c>
      <c r="AF90" s="44">
        <f>G90*(1-0)</f>
        <v>0</v>
      </c>
      <c r="AG90" s="39" t="s">
        <v>13</v>
      </c>
      <c r="AM90" s="44">
        <f t="shared" si="55"/>
        <v>0</v>
      </c>
      <c r="AN90" s="44">
        <f t="shared" si="56"/>
        <v>0</v>
      </c>
      <c r="AO90" s="45" t="s">
        <v>446</v>
      </c>
      <c r="AP90" s="45" t="s">
        <v>464</v>
      </c>
      <c r="AQ90" s="35" t="s">
        <v>469</v>
      </c>
      <c r="AS90" s="44">
        <f t="shared" si="57"/>
        <v>0</v>
      </c>
      <c r="AT90" s="44">
        <f t="shared" si="58"/>
        <v>0</v>
      </c>
      <c r="AU90" s="44">
        <v>0</v>
      </c>
      <c r="AV90" s="44">
        <f t="shared" si="59"/>
        <v>0</v>
      </c>
    </row>
    <row r="91" spans="1:48" x14ac:dyDescent="0.25">
      <c r="A91" s="5" t="s">
        <v>62</v>
      </c>
      <c r="B91" s="5" t="s">
        <v>118</v>
      </c>
      <c r="C91" s="5" t="s">
        <v>182</v>
      </c>
      <c r="D91" s="5" t="s">
        <v>324</v>
      </c>
      <c r="E91" s="5" t="s">
        <v>403</v>
      </c>
      <c r="F91" s="19">
        <v>78.67</v>
      </c>
      <c r="G91" s="26">
        <v>0</v>
      </c>
      <c r="H91" s="19">
        <f t="shared" si="40"/>
        <v>0</v>
      </c>
      <c r="I91" s="19">
        <f t="shared" si="41"/>
        <v>0</v>
      </c>
      <c r="J91" s="19">
        <f t="shared" si="42"/>
        <v>0</v>
      </c>
      <c r="K91" s="19">
        <v>1.26E-2</v>
      </c>
      <c r="L91" s="19">
        <f t="shared" si="43"/>
        <v>0.99124200000000007</v>
      </c>
      <c r="M91" s="39" t="s">
        <v>425</v>
      </c>
      <c r="P91" s="44">
        <f t="shared" si="44"/>
        <v>0</v>
      </c>
      <c r="R91" s="44">
        <f t="shared" si="45"/>
        <v>0</v>
      </c>
      <c r="S91" s="44">
        <f t="shared" si="46"/>
        <v>0</v>
      </c>
      <c r="T91" s="44">
        <f t="shared" si="47"/>
        <v>0</v>
      </c>
      <c r="U91" s="44">
        <f t="shared" si="48"/>
        <v>0</v>
      </c>
      <c r="V91" s="44">
        <f t="shared" si="49"/>
        <v>0</v>
      </c>
      <c r="W91" s="44">
        <f t="shared" si="50"/>
        <v>0</v>
      </c>
      <c r="X91" s="44">
        <f t="shared" si="51"/>
        <v>0</v>
      </c>
      <c r="Y91" s="35" t="s">
        <v>118</v>
      </c>
      <c r="Z91" s="19">
        <f t="shared" si="52"/>
        <v>0</v>
      </c>
      <c r="AA91" s="19">
        <f t="shared" si="53"/>
        <v>0</v>
      </c>
      <c r="AB91" s="19">
        <f t="shared" si="54"/>
        <v>0</v>
      </c>
      <c r="AD91" s="44">
        <v>21</v>
      </c>
      <c r="AE91" s="44">
        <f>G91*0</f>
        <v>0</v>
      </c>
      <c r="AF91" s="44">
        <f>G91*(1-0)</f>
        <v>0</v>
      </c>
      <c r="AG91" s="39" t="s">
        <v>13</v>
      </c>
      <c r="AM91" s="44">
        <f t="shared" si="55"/>
        <v>0</v>
      </c>
      <c r="AN91" s="44">
        <f t="shared" si="56"/>
        <v>0</v>
      </c>
      <c r="AO91" s="45" t="s">
        <v>446</v>
      </c>
      <c r="AP91" s="45" t="s">
        <v>464</v>
      </c>
      <c r="AQ91" s="35" t="s">
        <v>469</v>
      </c>
      <c r="AS91" s="44">
        <f t="shared" si="57"/>
        <v>0</v>
      </c>
      <c r="AT91" s="44">
        <f t="shared" si="58"/>
        <v>0</v>
      </c>
      <c r="AU91" s="44">
        <v>0</v>
      </c>
      <c r="AV91" s="44">
        <f t="shared" si="59"/>
        <v>0.99124200000000007</v>
      </c>
    </row>
    <row r="92" spans="1:48" x14ac:dyDescent="0.25">
      <c r="A92" s="5" t="s">
        <v>63</v>
      </c>
      <c r="B92" s="5" t="s">
        <v>118</v>
      </c>
      <c r="C92" s="5" t="s">
        <v>183</v>
      </c>
      <c r="D92" s="5" t="s">
        <v>325</v>
      </c>
      <c r="E92" s="5" t="s">
        <v>403</v>
      </c>
      <c r="F92" s="19">
        <v>78.67</v>
      </c>
      <c r="G92" s="26">
        <v>0</v>
      </c>
      <c r="H92" s="19">
        <f t="shared" si="40"/>
        <v>0</v>
      </c>
      <c r="I92" s="19">
        <f t="shared" si="41"/>
        <v>0</v>
      </c>
      <c r="J92" s="19">
        <f t="shared" si="42"/>
        <v>0</v>
      </c>
      <c r="K92" s="19">
        <v>0</v>
      </c>
      <c r="L92" s="19">
        <f t="shared" si="43"/>
        <v>0</v>
      </c>
      <c r="M92" s="39" t="s">
        <v>425</v>
      </c>
      <c r="P92" s="44">
        <f t="shared" si="44"/>
        <v>0</v>
      </c>
      <c r="R92" s="44">
        <f t="shared" si="45"/>
        <v>0</v>
      </c>
      <c r="S92" s="44">
        <f t="shared" si="46"/>
        <v>0</v>
      </c>
      <c r="T92" s="44">
        <f t="shared" si="47"/>
        <v>0</v>
      </c>
      <c r="U92" s="44">
        <f t="shared" si="48"/>
        <v>0</v>
      </c>
      <c r="V92" s="44">
        <f t="shared" si="49"/>
        <v>0</v>
      </c>
      <c r="W92" s="44">
        <f t="shared" si="50"/>
        <v>0</v>
      </c>
      <c r="X92" s="44">
        <f t="shared" si="51"/>
        <v>0</v>
      </c>
      <c r="Y92" s="35" t="s">
        <v>118</v>
      </c>
      <c r="Z92" s="19">
        <f t="shared" si="52"/>
        <v>0</v>
      </c>
      <c r="AA92" s="19">
        <f t="shared" si="53"/>
        <v>0</v>
      </c>
      <c r="AB92" s="19">
        <f t="shared" si="54"/>
        <v>0</v>
      </c>
      <c r="AD92" s="44">
        <v>21</v>
      </c>
      <c r="AE92" s="44">
        <f>G92*0</f>
        <v>0</v>
      </c>
      <c r="AF92" s="44">
        <f>G92*(1-0)</f>
        <v>0</v>
      </c>
      <c r="AG92" s="39" t="s">
        <v>13</v>
      </c>
      <c r="AM92" s="44">
        <f t="shared" si="55"/>
        <v>0</v>
      </c>
      <c r="AN92" s="44">
        <f t="shared" si="56"/>
        <v>0</v>
      </c>
      <c r="AO92" s="45" t="s">
        <v>446</v>
      </c>
      <c r="AP92" s="45" t="s">
        <v>464</v>
      </c>
      <c r="AQ92" s="35" t="s">
        <v>469</v>
      </c>
      <c r="AS92" s="44">
        <f t="shared" si="57"/>
        <v>0</v>
      </c>
      <c r="AT92" s="44">
        <f t="shared" si="58"/>
        <v>0</v>
      </c>
      <c r="AU92" s="44">
        <v>0</v>
      </c>
      <c r="AV92" s="44">
        <f t="shared" si="59"/>
        <v>0</v>
      </c>
    </row>
    <row r="93" spans="1:48" x14ac:dyDescent="0.25">
      <c r="A93" s="5" t="s">
        <v>64</v>
      </c>
      <c r="B93" s="5" t="s">
        <v>118</v>
      </c>
      <c r="C93" s="5" t="s">
        <v>184</v>
      </c>
      <c r="D93" s="5" t="s">
        <v>326</v>
      </c>
      <c r="E93" s="5" t="s">
        <v>403</v>
      </c>
      <c r="F93" s="19">
        <v>78.67</v>
      </c>
      <c r="G93" s="26">
        <v>0</v>
      </c>
      <c r="H93" s="19">
        <f t="shared" si="40"/>
        <v>0</v>
      </c>
      <c r="I93" s="19">
        <f t="shared" si="41"/>
        <v>0</v>
      </c>
      <c r="J93" s="19">
        <f t="shared" si="42"/>
        <v>0</v>
      </c>
      <c r="K93" s="19">
        <v>3.3E-4</v>
      </c>
      <c r="L93" s="19">
        <f t="shared" si="43"/>
        <v>2.5961100000000001E-2</v>
      </c>
      <c r="M93" s="39" t="s">
        <v>425</v>
      </c>
      <c r="P93" s="44">
        <f t="shared" si="44"/>
        <v>0</v>
      </c>
      <c r="R93" s="44">
        <f t="shared" si="45"/>
        <v>0</v>
      </c>
      <c r="S93" s="44">
        <f t="shared" si="46"/>
        <v>0</v>
      </c>
      <c r="T93" s="44">
        <f t="shared" si="47"/>
        <v>0</v>
      </c>
      <c r="U93" s="44">
        <f t="shared" si="48"/>
        <v>0</v>
      </c>
      <c r="V93" s="44">
        <f t="shared" si="49"/>
        <v>0</v>
      </c>
      <c r="W93" s="44">
        <f t="shared" si="50"/>
        <v>0</v>
      </c>
      <c r="X93" s="44">
        <f t="shared" si="51"/>
        <v>0</v>
      </c>
      <c r="Y93" s="35" t="s">
        <v>118</v>
      </c>
      <c r="Z93" s="19">
        <f t="shared" si="52"/>
        <v>0</v>
      </c>
      <c r="AA93" s="19">
        <f t="shared" si="53"/>
        <v>0</v>
      </c>
      <c r="AB93" s="19">
        <f t="shared" si="54"/>
        <v>0</v>
      </c>
      <c r="AD93" s="44">
        <v>21</v>
      </c>
      <c r="AE93" s="44">
        <f>G93*0.168482142857143</f>
        <v>0</v>
      </c>
      <c r="AF93" s="44">
        <f>G93*(1-0.168482142857143)</f>
        <v>0</v>
      </c>
      <c r="AG93" s="39" t="s">
        <v>13</v>
      </c>
      <c r="AM93" s="44">
        <f t="shared" si="55"/>
        <v>0</v>
      </c>
      <c r="AN93" s="44">
        <f t="shared" si="56"/>
        <v>0</v>
      </c>
      <c r="AO93" s="45" t="s">
        <v>446</v>
      </c>
      <c r="AP93" s="45" t="s">
        <v>464</v>
      </c>
      <c r="AQ93" s="35" t="s">
        <v>469</v>
      </c>
      <c r="AS93" s="44">
        <f t="shared" si="57"/>
        <v>0</v>
      </c>
      <c r="AT93" s="44">
        <f t="shared" si="58"/>
        <v>0</v>
      </c>
      <c r="AU93" s="44">
        <v>0</v>
      </c>
      <c r="AV93" s="44">
        <f t="shared" si="59"/>
        <v>2.5961100000000001E-2</v>
      </c>
    </row>
    <row r="94" spans="1:48" x14ac:dyDescent="0.25">
      <c r="A94" s="5" t="s">
        <v>65</v>
      </c>
      <c r="B94" s="5" t="s">
        <v>118</v>
      </c>
      <c r="C94" s="5" t="s">
        <v>185</v>
      </c>
      <c r="D94" s="5" t="s">
        <v>327</v>
      </c>
      <c r="E94" s="5" t="s">
        <v>402</v>
      </c>
      <c r="F94" s="19">
        <v>1.7</v>
      </c>
      <c r="G94" s="26">
        <v>0</v>
      </c>
      <c r="H94" s="19">
        <f t="shared" si="40"/>
        <v>0</v>
      </c>
      <c r="I94" s="19">
        <f t="shared" si="41"/>
        <v>0</v>
      </c>
      <c r="J94" s="19">
        <f t="shared" si="42"/>
        <v>0</v>
      </c>
      <c r="K94" s="19">
        <v>0</v>
      </c>
      <c r="L94" s="19">
        <f t="shared" si="43"/>
        <v>0</v>
      </c>
      <c r="M94" s="39" t="s">
        <v>425</v>
      </c>
      <c r="P94" s="44">
        <f t="shared" si="44"/>
        <v>0</v>
      </c>
      <c r="R94" s="44">
        <f t="shared" si="45"/>
        <v>0</v>
      </c>
      <c r="S94" s="44">
        <f t="shared" si="46"/>
        <v>0</v>
      </c>
      <c r="T94" s="44">
        <f t="shared" si="47"/>
        <v>0</v>
      </c>
      <c r="U94" s="44">
        <f t="shared" si="48"/>
        <v>0</v>
      </c>
      <c r="V94" s="44">
        <f t="shared" si="49"/>
        <v>0</v>
      </c>
      <c r="W94" s="44">
        <f t="shared" si="50"/>
        <v>0</v>
      </c>
      <c r="X94" s="44">
        <f t="shared" si="51"/>
        <v>0</v>
      </c>
      <c r="Y94" s="35" t="s">
        <v>118</v>
      </c>
      <c r="Z94" s="19">
        <f t="shared" si="52"/>
        <v>0</v>
      </c>
      <c r="AA94" s="19">
        <f t="shared" si="53"/>
        <v>0</v>
      </c>
      <c r="AB94" s="19">
        <f t="shared" si="54"/>
        <v>0</v>
      </c>
      <c r="AD94" s="44">
        <v>21</v>
      </c>
      <c r="AE94" s="44">
        <f>G94*0</f>
        <v>0</v>
      </c>
      <c r="AF94" s="44">
        <f>G94*(1-0)</f>
        <v>0</v>
      </c>
      <c r="AG94" s="39" t="s">
        <v>13</v>
      </c>
      <c r="AM94" s="44">
        <f t="shared" si="55"/>
        <v>0</v>
      </c>
      <c r="AN94" s="44">
        <f t="shared" si="56"/>
        <v>0</v>
      </c>
      <c r="AO94" s="45" t="s">
        <v>446</v>
      </c>
      <c r="AP94" s="45" t="s">
        <v>464</v>
      </c>
      <c r="AQ94" s="35" t="s">
        <v>469</v>
      </c>
      <c r="AS94" s="44">
        <f t="shared" si="57"/>
        <v>0</v>
      </c>
      <c r="AT94" s="44">
        <f t="shared" si="58"/>
        <v>0</v>
      </c>
      <c r="AU94" s="44">
        <v>0</v>
      </c>
      <c r="AV94" s="44">
        <f t="shared" si="59"/>
        <v>0</v>
      </c>
    </row>
    <row r="95" spans="1:48" x14ac:dyDescent="0.25">
      <c r="A95" s="5" t="s">
        <v>66</v>
      </c>
      <c r="B95" s="5" t="s">
        <v>118</v>
      </c>
      <c r="C95" s="5" t="s">
        <v>186</v>
      </c>
      <c r="D95" s="5" t="s">
        <v>328</v>
      </c>
      <c r="E95" s="5" t="s">
        <v>402</v>
      </c>
      <c r="F95" s="19">
        <v>2</v>
      </c>
      <c r="G95" s="26">
        <v>0</v>
      </c>
      <c r="H95" s="19">
        <f t="shared" si="40"/>
        <v>0</v>
      </c>
      <c r="I95" s="19">
        <f t="shared" si="41"/>
        <v>0</v>
      </c>
      <c r="J95" s="19">
        <f t="shared" si="42"/>
        <v>0</v>
      </c>
      <c r="K95" s="19">
        <v>2.5999999999999998E-4</v>
      </c>
      <c r="L95" s="19">
        <f t="shared" si="43"/>
        <v>5.1999999999999995E-4</v>
      </c>
      <c r="M95" s="39" t="s">
        <v>425</v>
      </c>
      <c r="P95" s="44">
        <f t="shared" si="44"/>
        <v>0</v>
      </c>
      <c r="R95" s="44">
        <f t="shared" si="45"/>
        <v>0</v>
      </c>
      <c r="S95" s="44">
        <f t="shared" si="46"/>
        <v>0</v>
      </c>
      <c r="T95" s="44">
        <f t="shared" si="47"/>
        <v>0</v>
      </c>
      <c r="U95" s="44">
        <f t="shared" si="48"/>
        <v>0</v>
      </c>
      <c r="V95" s="44">
        <f t="shared" si="49"/>
        <v>0</v>
      </c>
      <c r="W95" s="44">
        <f t="shared" si="50"/>
        <v>0</v>
      </c>
      <c r="X95" s="44">
        <f t="shared" si="51"/>
        <v>0</v>
      </c>
      <c r="Y95" s="35" t="s">
        <v>118</v>
      </c>
      <c r="Z95" s="19">
        <f t="shared" si="52"/>
        <v>0</v>
      </c>
      <c r="AA95" s="19">
        <f t="shared" si="53"/>
        <v>0</v>
      </c>
      <c r="AB95" s="19">
        <f t="shared" si="54"/>
        <v>0</v>
      </c>
      <c r="AD95" s="44">
        <v>21</v>
      </c>
      <c r="AE95" s="44">
        <f>G95*0.784201388888889</f>
        <v>0</v>
      </c>
      <c r="AF95" s="44">
        <f>G95*(1-0.784201388888889)</f>
        <v>0</v>
      </c>
      <c r="AG95" s="39" t="s">
        <v>13</v>
      </c>
      <c r="AM95" s="44">
        <f t="shared" si="55"/>
        <v>0</v>
      </c>
      <c r="AN95" s="44">
        <f t="shared" si="56"/>
        <v>0</v>
      </c>
      <c r="AO95" s="45" t="s">
        <v>446</v>
      </c>
      <c r="AP95" s="45" t="s">
        <v>464</v>
      </c>
      <c r="AQ95" s="35" t="s">
        <v>469</v>
      </c>
      <c r="AS95" s="44">
        <f t="shared" si="57"/>
        <v>0</v>
      </c>
      <c r="AT95" s="44">
        <f t="shared" si="58"/>
        <v>0</v>
      </c>
      <c r="AU95" s="44">
        <v>0</v>
      </c>
      <c r="AV95" s="44">
        <f t="shared" si="59"/>
        <v>5.1999999999999995E-4</v>
      </c>
    </row>
    <row r="96" spans="1:48" x14ac:dyDescent="0.25">
      <c r="A96" s="5" t="s">
        <v>67</v>
      </c>
      <c r="B96" s="5" t="s">
        <v>118</v>
      </c>
      <c r="C96" s="5" t="s">
        <v>183</v>
      </c>
      <c r="D96" s="5" t="s">
        <v>329</v>
      </c>
      <c r="E96" s="5" t="s">
        <v>403</v>
      </c>
      <c r="F96" s="19">
        <v>78.67</v>
      </c>
      <c r="G96" s="26">
        <v>0</v>
      </c>
      <c r="H96" s="19">
        <f t="shared" si="40"/>
        <v>0</v>
      </c>
      <c r="I96" s="19">
        <f t="shared" si="41"/>
        <v>0</v>
      </c>
      <c r="J96" s="19">
        <f t="shared" si="42"/>
        <v>0</v>
      </c>
      <c r="K96" s="19">
        <v>0</v>
      </c>
      <c r="L96" s="19">
        <f t="shared" si="43"/>
        <v>0</v>
      </c>
      <c r="M96" s="39" t="s">
        <v>425</v>
      </c>
      <c r="P96" s="44">
        <f t="shared" si="44"/>
        <v>0</v>
      </c>
      <c r="R96" s="44">
        <f t="shared" si="45"/>
        <v>0</v>
      </c>
      <c r="S96" s="44">
        <f t="shared" si="46"/>
        <v>0</v>
      </c>
      <c r="T96" s="44">
        <f t="shared" si="47"/>
        <v>0</v>
      </c>
      <c r="U96" s="44">
        <f t="shared" si="48"/>
        <v>0</v>
      </c>
      <c r="V96" s="44">
        <f t="shared" si="49"/>
        <v>0</v>
      </c>
      <c r="W96" s="44">
        <f t="shared" si="50"/>
        <v>0</v>
      </c>
      <c r="X96" s="44">
        <f t="shared" si="51"/>
        <v>0</v>
      </c>
      <c r="Y96" s="35" t="s">
        <v>118</v>
      </c>
      <c r="Z96" s="19">
        <f t="shared" si="52"/>
        <v>0</v>
      </c>
      <c r="AA96" s="19">
        <f t="shared" si="53"/>
        <v>0</v>
      </c>
      <c r="AB96" s="19">
        <f t="shared" si="54"/>
        <v>0</v>
      </c>
      <c r="AD96" s="44">
        <v>21</v>
      </c>
      <c r="AE96" s="44">
        <f>G96*0</f>
        <v>0</v>
      </c>
      <c r="AF96" s="44">
        <f>G96*(1-0)</f>
        <v>0</v>
      </c>
      <c r="AG96" s="39" t="s">
        <v>13</v>
      </c>
      <c r="AM96" s="44">
        <f t="shared" si="55"/>
        <v>0</v>
      </c>
      <c r="AN96" s="44">
        <f t="shared" si="56"/>
        <v>0</v>
      </c>
      <c r="AO96" s="45" t="s">
        <v>446</v>
      </c>
      <c r="AP96" s="45" t="s">
        <v>464</v>
      </c>
      <c r="AQ96" s="35" t="s">
        <v>469</v>
      </c>
      <c r="AS96" s="44">
        <f t="shared" si="57"/>
        <v>0</v>
      </c>
      <c r="AT96" s="44">
        <f t="shared" si="58"/>
        <v>0</v>
      </c>
      <c r="AU96" s="44">
        <v>0</v>
      </c>
      <c r="AV96" s="44">
        <f t="shared" si="59"/>
        <v>0</v>
      </c>
    </row>
    <row r="97" spans="1:48" x14ac:dyDescent="0.25">
      <c r="A97" s="5" t="s">
        <v>68</v>
      </c>
      <c r="B97" s="5" t="s">
        <v>118</v>
      </c>
      <c r="C97" s="5" t="s">
        <v>187</v>
      </c>
      <c r="D97" s="5" t="s">
        <v>330</v>
      </c>
      <c r="E97" s="5" t="s">
        <v>402</v>
      </c>
      <c r="F97" s="19">
        <v>48.3</v>
      </c>
      <c r="G97" s="26">
        <v>0</v>
      </c>
      <c r="H97" s="19">
        <f t="shared" si="40"/>
        <v>0</v>
      </c>
      <c r="I97" s="19">
        <f t="shared" si="41"/>
        <v>0</v>
      </c>
      <c r="J97" s="19">
        <f t="shared" si="42"/>
        <v>0</v>
      </c>
      <c r="K97" s="19">
        <v>8.0000000000000007E-5</v>
      </c>
      <c r="L97" s="19">
        <f t="shared" si="43"/>
        <v>3.8640000000000002E-3</v>
      </c>
      <c r="M97" s="39" t="s">
        <v>425</v>
      </c>
      <c r="P97" s="44">
        <f t="shared" si="44"/>
        <v>0</v>
      </c>
      <c r="R97" s="44">
        <f t="shared" si="45"/>
        <v>0</v>
      </c>
      <c r="S97" s="44">
        <f t="shared" si="46"/>
        <v>0</v>
      </c>
      <c r="T97" s="44">
        <f t="shared" si="47"/>
        <v>0</v>
      </c>
      <c r="U97" s="44">
        <f t="shared" si="48"/>
        <v>0</v>
      </c>
      <c r="V97" s="44">
        <f t="shared" si="49"/>
        <v>0</v>
      </c>
      <c r="W97" s="44">
        <f t="shared" si="50"/>
        <v>0</v>
      </c>
      <c r="X97" s="44">
        <f t="shared" si="51"/>
        <v>0</v>
      </c>
      <c r="Y97" s="35" t="s">
        <v>118</v>
      </c>
      <c r="Z97" s="19">
        <f t="shared" si="52"/>
        <v>0</v>
      </c>
      <c r="AA97" s="19">
        <f t="shared" si="53"/>
        <v>0</v>
      </c>
      <c r="AB97" s="19">
        <f t="shared" si="54"/>
        <v>0</v>
      </c>
      <c r="AD97" s="44">
        <v>21</v>
      </c>
      <c r="AE97" s="44">
        <f>G97*0.336600407267035</f>
        <v>0</v>
      </c>
      <c r="AF97" s="44">
        <f>G97*(1-0.336600407267035)</f>
        <v>0</v>
      </c>
      <c r="AG97" s="39" t="s">
        <v>13</v>
      </c>
      <c r="AM97" s="44">
        <f t="shared" si="55"/>
        <v>0</v>
      </c>
      <c r="AN97" s="44">
        <f t="shared" si="56"/>
        <v>0</v>
      </c>
      <c r="AO97" s="45" t="s">
        <v>446</v>
      </c>
      <c r="AP97" s="45" t="s">
        <v>464</v>
      </c>
      <c r="AQ97" s="35" t="s">
        <v>469</v>
      </c>
      <c r="AS97" s="44">
        <f t="shared" si="57"/>
        <v>0</v>
      </c>
      <c r="AT97" s="44">
        <f t="shared" si="58"/>
        <v>0</v>
      </c>
      <c r="AU97" s="44">
        <v>0</v>
      </c>
      <c r="AV97" s="44">
        <f t="shared" si="59"/>
        <v>3.8640000000000002E-3</v>
      </c>
    </row>
    <row r="98" spans="1:48" x14ac:dyDescent="0.25">
      <c r="D98" s="17" t="s">
        <v>331</v>
      </c>
      <c r="G98" s="28"/>
    </row>
    <row r="99" spans="1:48" x14ac:dyDescent="0.25">
      <c r="A99" s="6" t="s">
        <v>69</v>
      </c>
      <c r="B99" s="6" t="s">
        <v>118</v>
      </c>
      <c r="C99" s="6" t="s">
        <v>188</v>
      </c>
      <c r="D99" s="6" t="s">
        <v>332</v>
      </c>
      <c r="E99" s="6" t="s">
        <v>403</v>
      </c>
      <c r="F99" s="20">
        <v>86.537000000000006</v>
      </c>
      <c r="G99" s="27">
        <v>0</v>
      </c>
      <c r="H99" s="20">
        <f>F99*AE99</f>
        <v>0</v>
      </c>
      <c r="I99" s="20">
        <f>J99-H99</f>
        <v>0</v>
      </c>
      <c r="J99" s="20">
        <f>F99*G99</f>
        <v>0</v>
      </c>
      <c r="K99" s="20">
        <v>8.0999999999999996E-3</v>
      </c>
      <c r="L99" s="20">
        <f>F99*K99</f>
        <v>0.70094970000000001</v>
      </c>
      <c r="M99" s="40" t="s">
        <v>425</v>
      </c>
      <c r="P99" s="44">
        <f>IF(AG99="5",J99,0)</f>
        <v>0</v>
      </c>
      <c r="R99" s="44">
        <f>IF(AG99="1",H99,0)</f>
        <v>0</v>
      </c>
      <c r="S99" s="44">
        <f>IF(AG99="1",I99,0)</f>
        <v>0</v>
      </c>
      <c r="T99" s="44">
        <f>IF(AG99="7",H99,0)</f>
        <v>0</v>
      </c>
      <c r="U99" s="44">
        <f>IF(AG99="7",I99,0)</f>
        <v>0</v>
      </c>
      <c r="V99" s="44">
        <f>IF(AG99="2",H99,0)</f>
        <v>0</v>
      </c>
      <c r="W99" s="44">
        <f>IF(AG99="2",I99,0)</f>
        <v>0</v>
      </c>
      <c r="X99" s="44">
        <f>IF(AG99="0",J99,0)</f>
        <v>0</v>
      </c>
      <c r="Y99" s="35" t="s">
        <v>118</v>
      </c>
      <c r="Z99" s="20">
        <f>IF(AD99=0,J99,0)</f>
        <v>0</v>
      </c>
      <c r="AA99" s="20">
        <f>IF(AD99=15,J99,0)</f>
        <v>0</v>
      </c>
      <c r="AB99" s="20">
        <f>IF(AD99=21,J99,0)</f>
        <v>0</v>
      </c>
      <c r="AD99" s="44">
        <v>21</v>
      </c>
      <c r="AE99" s="44">
        <f>G99*1</f>
        <v>0</v>
      </c>
      <c r="AF99" s="44">
        <f>G99*(1-1)</f>
        <v>0</v>
      </c>
      <c r="AG99" s="40" t="s">
        <v>13</v>
      </c>
      <c r="AM99" s="44">
        <f>F99*AE99</f>
        <v>0</v>
      </c>
      <c r="AN99" s="44">
        <f>F99*AF99</f>
        <v>0</v>
      </c>
      <c r="AO99" s="45" t="s">
        <v>446</v>
      </c>
      <c r="AP99" s="45" t="s">
        <v>464</v>
      </c>
      <c r="AQ99" s="35" t="s">
        <v>469</v>
      </c>
      <c r="AS99" s="44">
        <f>AM99+AN99</f>
        <v>0</v>
      </c>
      <c r="AT99" s="44">
        <f>G99/(100-AU99)*100</f>
        <v>0</v>
      </c>
      <c r="AU99" s="44">
        <v>0</v>
      </c>
      <c r="AV99" s="44">
        <f>L99</f>
        <v>0.70094970000000001</v>
      </c>
    </row>
    <row r="100" spans="1:48" x14ac:dyDescent="0.25">
      <c r="A100" s="5" t="s">
        <v>70</v>
      </c>
      <c r="B100" s="5" t="s">
        <v>118</v>
      </c>
      <c r="C100" s="5" t="s">
        <v>189</v>
      </c>
      <c r="D100" s="5" t="s">
        <v>333</v>
      </c>
      <c r="E100" s="5" t="s">
        <v>403</v>
      </c>
      <c r="F100" s="19">
        <v>78.67</v>
      </c>
      <c r="G100" s="26">
        <v>0</v>
      </c>
      <c r="H100" s="19">
        <f>F100*AE100</f>
        <v>0</v>
      </c>
      <c r="I100" s="19">
        <f>J100-H100</f>
        <v>0</v>
      </c>
      <c r="J100" s="19">
        <f>F100*G100</f>
        <v>0</v>
      </c>
      <c r="K100" s="19">
        <v>1E-3</v>
      </c>
      <c r="L100" s="19">
        <f>F100*K100</f>
        <v>7.8670000000000004E-2</v>
      </c>
      <c r="M100" s="39" t="s">
        <v>425</v>
      </c>
      <c r="P100" s="44">
        <f>IF(AG100="5",J100,0)</f>
        <v>0</v>
      </c>
      <c r="R100" s="44">
        <f>IF(AG100="1",H100,0)</f>
        <v>0</v>
      </c>
      <c r="S100" s="44">
        <f>IF(AG100="1",I100,0)</f>
        <v>0</v>
      </c>
      <c r="T100" s="44">
        <f>IF(AG100="7",H100,0)</f>
        <v>0</v>
      </c>
      <c r="U100" s="44">
        <f>IF(AG100="7",I100,0)</f>
        <v>0</v>
      </c>
      <c r="V100" s="44">
        <f>IF(AG100="2",H100,0)</f>
        <v>0</v>
      </c>
      <c r="W100" s="44">
        <f>IF(AG100="2",I100,0)</f>
        <v>0</v>
      </c>
      <c r="X100" s="44">
        <f>IF(AG100="0",J100,0)</f>
        <v>0</v>
      </c>
      <c r="Y100" s="35" t="s">
        <v>118</v>
      </c>
      <c r="Z100" s="19">
        <f>IF(AD100=0,J100,0)</f>
        <v>0</v>
      </c>
      <c r="AA100" s="19">
        <f>IF(AD100=15,J100,0)</f>
        <v>0</v>
      </c>
      <c r="AB100" s="19">
        <f>IF(AD100=21,J100,0)</f>
        <v>0</v>
      </c>
      <c r="AD100" s="44">
        <v>21</v>
      </c>
      <c r="AE100" s="44">
        <f>G100*0</f>
        <v>0</v>
      </c>
      <c r="AF100" s="44">
        <f>G100*(1-0)</f>
        <v>0</v>
      </c>
      <c r="AG100" s="39" t="s">
        <v>13</v>
      </c>
      <c r="AM100" s="44">
        <f>F100*AE100</f>
        <v>0</v>
      </c>
      <c r="AN100" s="44">
        <f>F100*AF100</f>
        <v>0</v>
      </c>
      <c r="AO100" s="45" t="s">
        <v>446</v>
      </c>
      <c r="AP100" s="45" t="s">
        <v>464</v>
      </c>
      <c r="AQ100" s="35" t="s">
        <v>469</v>
      </c>
      <c r="AS100" s="44">
        <f>AM100+AN100</f>
        <v>0</v>
      </c>
      <c r="AT100" s="44">
        <f>G100/(100-AU100)*100</f>
        <v>0</v>
      </c>
      <c r="AU100" s="44">
        <v>0</v>
      </c>
      <c r="AV100" s="44">
        <f>L100</f>
        <v>7.8670000000000004E-2</v>
      </c>
    </row>
    <row r="101" spans="1:48" x14ac:dyDescent="0.25">
      <c r="D101" s="17" t="s">
        <v>334</v>
      </c>
      <c r="G101" s="28"/>
    </row>
    <row r="102" spans="1:48" x14ac:dyDescent="0.25">
      <c r="A102" s="5" t="s">
        <v>71</v>
      </c>
      <c r="B102" s="5" t="s">
        <v>118</v>
      </c>
      <c r="C102" s="5" t="s">
        <v>190</v>
      </c>
      <c r="D102" s="5" t="s">
        <v>335</v>
      </c>
      <c r="E102" s="5" t="s">
        <v>402</v>
      </c>
      <c r="F102" s="19">
        <v>48.3</v>
      </c>
      <c r="G102" s="26">
        <v>0</v>
      </c>
      <c r="H102" s="19">
        <f>F102*AE102</f>
        <v>0</v>
      </c>
      <c r="I102" s="19">
        <f>J102-H102</f>
        <v>0</v>
      </c>
      <c r="J102" s="19">
        <f>F102*G102</f>
        <v>0</v>
      </c>
      <c r="K102" s="19">
        <v>0</v>
      </c>
      <c r="L102" s="19">
        <f>F102*K102</f>
        <v>0</v>
      </c>
      <c r="M102" s="39" t="s">
        <v>425</v>
      </c>
      <c r="P102" s="44">
        <f>IF(AG102="5",J102,0)</f>
        <v>0</v>
      </c>
      <c r="R102" s="44">
        <f>IF(AG102="1",H102,0)</f>
        <v>0</v>
      </c>
      <c r="S102" s="44">
        <f>IF(AG102="1",I102,0)</f>
        <v>0</v>
      </c>
      <c r="T102" s="44">
        <f>IF(AG102="7",H102,0)</f>
        <v>0</v>
      </c>
      <c r="U102" s="44">
        <f>IF(AG102="7",I102,0)</f>
        <v>0</v>
      </c>
      <c r="V102" s="44">
        <f>IF(AG102="2",H102,0)</f>
        <v>0</v>
      </c>
      <c r="W102" s="44">
        <f>IF(AG102="2",I102,0)</f>
        <v>0</v>
      </c>
      <c r="X102" s="44">
        <f>IF(AG102="0",J102,0)</f>
        <v>0</v>
      </c>
      <c r="Y102" s="35" t="s">
        <v>118</v>
      </c>
      <c r="Z102" s="19">
        <f>IF(AD102=0,J102,0)</f>
        <v>0</v>
      </c>
      <c r="AA102" s="19">
        <f>IF(AD102=15,J102,0)</f>
        <v>0</v>
      </c>
      <c r="AB102" s="19">
        <f>IF(AD102=21,J102,0)</f>
        <v>0</v>
      </c>
      <c r="AD102" s="44">
        <v>21</v>
      </c>
      <c r="AE102" s="44">
        <f>G102*0</f>
        <v>0</v>
      </c>
      <c r="AF102" s="44">
        <f>G102*(1-0)</f>
        <v>0</v>
      </c>
      <c r="AG102" s="39" t="s">
        <v>13</v>
      </c>
      <c r="AM102" s="44">
        <f>F102*AE102</f>
        <v>0</v>
      </c>
      <c r="AN102" s="44">
        <f>F102*AF102</f>
        <v>0</v>
      </c>
      <c r="AO102" s="45" t="s">
        <v>446</v>
      </c>
      <c r="AP102" s="45" t="s">
        <v>464</v>
      </c>
      <c r="AQ102" s="35" t="s">
        <v>469</v>
      </c>
      <c r="AS102" s="44">
        <f>AM102+AN102</f>
        <v>0</v>
      </c>
      <c r="AT102" s="44">
        <f>G102/(100-AU102)*100</f>
        <v>0</v>
      </c>
      <c r="AU102" s="44">
        <v>0</v>
      </c>
      <c r="AV102" s="44">
        <f>L102</f>
        <v>0</v>
      </c>
    </row>
    <row r="103" spans="1:48" x14ac:dyDescent="0.25">
      <c r="A103" s="5" t="s">
        <v>72</v>
      </c>
      <c r="B103" s="5" t="s">
        <v>118</v>
      </c>
      <c r="C103" s="5" t="s">
        <v>191</v>
      </c>
      <c r="D103" s="5" t="s">
        <v>336</v>
      </c>
      <c r="E103" s="5" t="s">
        <v>404</v>
      </c>
      <c r="F103" s="19">
        <v>0.81</v>
      </c>
      <c r="G103" s="26">
        <v>0</v>
      </c>
      <c r="H103" s="19">
        <f>F103*AE103</f>
        <v>0</v>
      </c>
      <c r="I103" s="19">
        <f>J103-H103</f>
        <v>0</v>
      </c>
      <c r="J103" s="19">
        <f>F103*G103</f>
        <v>0</v>
      </c>
      <c r="K103" s="19">
        <v>0</v>
      </c>
      <c r="L103" s="19">
        <f>F103*K103</f>
        <v>0</v>
      </c>
      <c r="M103" s="39" t="s">
        <v>425</v>
      </c>
      <c r="P103" s="44">
        <f>IF(AG103="5",J103,0)</f>
        <v>0</v>
      </c>
      <c r="R103" s="44">
        <f>IF(AG103="1",H103,0)</f>
        <v>0</v>
      </c>
      <c r="S103" s="44">
        <f>IF(AG103="1",I103,0)</f>
        <v>0</v>
      </c>
      <c r="T103" s="44">
        <f>IF(AG103="7",H103,0)</f>
        <v>0</v>
      </c>
      <c r="U103" s="44">
        <f>IF(AG103="7",I103,0)</f>
        <v>0</v>
      </c>
      <c r="V103" s="44">
        <f>IF(AG103="2",H103,0)</f>
        <v>0</v>
      </c>
      <c r="W103" s="44">
        <f>IF(AG103="2",I103,0)</f>
        <v>0</v>
      </c>
      <c r="X103" s="44">
        <f>IF(AG103="0",J103,0)</f>
        <v>0</v>
      </c>
      <c r="Y103" s="35" t="s">
        <v>118</v>
      </c>
      <c r="Z103" s="19">
        <f>IF(AD103=0,J103,0)</f>
        <v>0</v>
      </c>
      <c r="AA103" s="19">
        <f>IF(AD103=15,J103,0)</f>
        <v>0</v>
      </c>
      <c r="AB103" s="19">
        <f>IF(AD103=21,J103,0)</f>
        <v>0</v>
      </c>
      <c r="AD103" s="44">
        <v>21</v>
      </c>
      <c r="AE103" s="44">
        <f>G103*0</f>
        <v>0</v>
      </c>
      <c r="AF103" s="44">
        <f>G103*(1-0)</f>
        <v>0</v>
      </c>
      <c r="AG103" s="39" t="s">
        <v>11</v>
      </c>
      <c r="AM103" s="44">
        <f>F103*AE103</f>
        <v>0</v>
      </c>
      <c r="AN103" s="44">
        <f>F103*AF103</f>
        <v>0</v>
      </c>
      <c r="AO103" s="45" t="s">
        <v>446</v>
      </c>
      <c r="AP103" s="45" t="s">
        <v>464</v>
      </c>
      <c r="AQ103" s="35" t="s">
        <v>469</v>
      </c>
      <c r="AS103" s="44">
        <f>AM103+AN103</f>
        <v>0</v>
      </c>
      <c r="AT103" s="44">
        <f>G103/(100-AU103)*100</f>
        <v>0</v>
      </c>
      <c r="AU103" s="44">
        <v>0</v>
      </c>
      <c r="AV103" s="44">
        <f>L103</f>
        <v>0</v>
      </c>
    </row>
    <row r="104" spans="1:48" x14ac:dyDescent="0.25">
      <c r="A104" s="4"/>
      <c r="B104" s="14" t="s">
        <v>118</v>
      </c>
      <c r="C104" s="14" t="s">
        <v>192</v>
      </c>
      <c r="D104" s="14" t="s">
        <v>337</v>
      </c>
      <c r="E104" s="4" t="s">
        <v>6</v>
      </c>
      <c r="F104" s="4" t="s">
        <v>6</v>
      </c>
      <c r="G104" s="25" t="s">
        <v>6</v>
      </c>
      <c r="H104" s="47">
        <f>SUM(H105:H115)</f>
        <v>0</v>
      </c>
      <c r="I104" s="47">
        <f>SUM(I105:I115)</f>
        <v>0</v>
      </c>
      <c r="J104" s="47">
        <f>H104+I104</f>
        <v>0</v>
      </c>
      <c r="K104" s="35"/>
      <c r="L104" s="47">
        <f>SUM(L105:L115)</f>
        <v>1.1711685000000003</v>
      </c>
      <c r="M104" s="35"/>
      <c r="Y104" s="35" t="s">
        <v>118</v>
      </c>
      <c r="AI104" s="47">
        <f>SUM(Z105:Z115)</f>
        <v>0</v>
      </c>
      <c r="AJ104" s="47">
        <f>SUM(AA105:AA115)</f>
        <v>0</v>
      </c>
      <c r="AK104" s="47">
        <f>SUM(AB105:AB115)</f>
        <v>0</v>
      </c>
    </row>
    <row r="105" spans="1:48" x14ac:dyDescent="0.25">
      <c r="A105" s="5" t="s">
        <v>73</v>
      </c>
      <c r="B105" s="5" t="s">
        <v>118</v>
      </c>
      <c r="C105" s="5" t="s">
        <v>193</v>
      </c>
      <c r="D105" s="5" t="s">
        <v>338</v>
      </c>
      <c r="E105" s="5" t="s">
        <v>403</v>
      </c>
      <c r="F105" s="19">
        <v>14.422499999999999</v>
      </c>
      <c r="G105" s="26">
        <v>0</v>
      </c>
      <c r="H105" s="19">
        <f t="shared" ref="H105:H112" si="60">F105*AE105</f>
        <v>0</v>
      </c>
      <c r="I105" s="19">
        <f t="shared" ref="I105:I112" si="61">J105-H105</f>
        <v>0</v>
      </c>
      <c r="J105" s="19">
        <f t="shared" ref="J105:J112" si="62">F105*G105</f>
        <v>0</v>
      </c>
      <c r="K105" s="19">
        <v>6.8000000000000005E-2</v>
      </c>
      <c r="L105" s="19">
        <f t="shared" ref="L105:L112" si="63">F105*K105</f>
        <v>0.98072999999999999</v>
      </c>
      <c r="M105" s="39" t="s">
        <v>425</v>
      </c>
      <c r="P105" s="44">
        <f t="shared" ref="P105:P112" si="64">IF(AG105="5",J105,0)</f>
        <v>0</v>
      </c>
      <c r="R105" s="44">
        <f t="shared" ref="R105:R112" si="65">IF(AG105="1",H105,0)</f>
        <v>0</v>
      </c>
      <c r="S105" s="44">
        <f t="shared" ref="S105:S112" si="66">IF(AG105="1",I105,0)</f>
        <v>0</v>
      </c>
      <c r="T105" s="44">
        <f t="shared" ref="T105:T112" si="67">IF(AG105="7",H105,0)</f>
        <v>0</v>
      </c>
      <c r="U105" s="44">
        <f t="shared" ref="U105:U112" si="68">IF(AG105="7",I105,0)</f>
        <v>0</v>
      </c>
      <c r="V105" s="44">
        <f t="shared" ref="V105:V112" si="69">IF(AG105="2",H105,0)</f>
        <v>0</v>
      </c>
      <c r="W105" s="44">
        <f t="shared" ref="W105:W112" si="70">IF(AG105="2",I105,0)</f>
        <v>0</v>
      </c>
      <c r="X105" s="44">
        <f t="shared" ref="X105:X112" si="71">IF(AG105="0",J105,0)</f>
        <v>0</v>
      </c>
      <c r="Y105" s="35" t="s">
        <v>118</v>
      </c>
      <c r="Z105" s="19">
        <f t="shared" ref="Z105:Z112" si="72">IF(AD105=0,J105,0)</f>
        <v>0</v>
      </c>
      <c r="AA105" s="19">
        <f t="shared" ref="AA105:AA112" si="73">IF(AD105=15,J105,0)</f>
        <v>0</v>
      </c>
      <c r="AB105" s="19">
        <f t="shared" ref="AB105:AB112" si="74">IF(AD105=21,J105,0)</f>
        <v>0</v>
      </c>
      <c r="AD105" s="44">
        <v>21</v>
      </c>
      <c r="AE105" s="44">
        <f>G105*0</f>
        <v>0</v>
      </c>
      <c r="AF105" s="44">
        <f>G105*(1-0)</f>
        <v>0</v>
      </c>
      <c r="AG105" s="39" t="s">
        <v>13</v>
      </c>
      <c r="AM105" s="44">
        <f t="shared" ref="AM105:AM112" si="75">F105*AE105</f>
        <v>0</v>
      </c>
      <c r="AN105" s="44">
        <f t="shared" ref="AN105:AN112" si="76">F105*AF105</f>
        <v>0</v>
      </c>
      <c r="AO105" s="45" t="s">
        <v>447</v>
      </c>
      <c r="AP105" s="45" t="s">
        <v>465</v>
      </c>
      <c r="AQ105" s="35" t="s">
        <v>469</v>
      </c>
      <c r="AS105" s="44">
        <f t="shared" ref="AS105:AS112" si="77">AM105+AN105</f>
        <v>0</v>
      </c>
      <c r="AT105" s="44">
        <f t="shared" ref="AT105:AT112" si="78">G105/(100-AU105)*100</f>
        <v>0</v>
      </c>
      <c r="AU105" s="44">
        <v>0</v>
      </c>
      <c r="AV105" s="44">
        <f t="shared" ref="AV105:AV112" si="79">L105</f>
        <v>0.98072999999999999</v>
      </c>
    </row>
    <row r="106" spans="1:48" x14ac:dyDescent="0.25">
      <c r="A106" s="5" t="s">
        <v>74</v>
      </c>
      <c r="B106" s="5" t="s">
        <v>118</v>
      </c>
      <c r="C106" s="5" t="s">
        <v>194</v>
      </c>
      <c r="D106" s="5" t="s">
        <v>339</v>
      </c>
      <c r="E106" s="5" t="s">
        <v>403</v>
      </c>
      <c r="F106" s="19">
        <v>14.422499999999999</v>
      </c>
      <c r="G106" s="26">
        <v>0</v>
      </c>
      <c r="H106" s="19">
        <f t="shared" si="60"/>
        <v>0</v>
      </c>
      <c r="I106" s="19">
        <f t="shared" si="61"/>
        <v>0</v>
      </c>
      <c r="J106" s="19">
        <f t="shared" si="62"/>
        <v>0</v>
      </c>
      <c r="K106" s="19">
        <v>0</v>
      </c>
      <c r="L106" s="19">
        <f t="shared" si="63"/>
        <v>0</v>
      </c>
      <c r="M106" s="39" t="s">
        <v>425</v>
      </c>
      <c r="P106" s="44">
        <f t="shared" si="64"/>
        <v>0</v>
      </c>
      <c r="R106" s="44">
        <f t="shared" si="65"/>
        <v>0</v>
      </c>
      <c r="S106" s="44">
        <f t="shared" si="66"/>
        <v>0</v>
      </c>
      <c r="T106" s="44">
        <f t="shared" si="67"/>
        <v>0</v>
      </c>
      <c r="U106" s="44">
        <f t="shared" si="68"/>
        <v>0</v>
      </c>
      <c r="V106" s="44">
        <f t="shared" si="69"/>
        <v>0</v>
      </c>
      <c r="W106" s="44">
        <f t="shared" si="70"/>
        <v>0</v>
      </c>
      <c r="X106" s="44">
        <f t="shared" si="71"/>
        <v>0</v>
      </c>
      <c r="Y106" s="35" t="s">
        <v>118</v>
      </c>
      <c r="Z106" s="19">
        <f t="shared" si="72"/>
        <v>0</v>
      </c>
      <c r="AA106" s="19">
        <f t="shared" si="73"/>
        <v>0</v>
      </c>
      <c r="AB106" s="19">
        <f t="shared" si="74"/>
        <v>0</v>
      </c>
      <c r="AD106" s="44">
        <v>21</v>
      </c>
      <c r="AE106" s="44">
        <f>G106*0</f>
        <v>0</v>
      </c>
      <c r="AF106" s="44">
        <f>G106*(1-0)</f>
        <v>0</v>
      </c>
      <c r="AG106" s="39" t="s">
        <v>13</v>
      </c>
      <c r="AM106" s="44">
        <f t="shared" si="75"/>
        <v>0</v>
      </c>
      <c r="AN106" s="44">
        <f t="shared" si="76"/>
        <v>0</v>
      </c>
      <c r="AO106" s="45" t="s">
        <v>447</v>
      </c>
      <c r="AP106" s="45" t="s">
        <v>465</v>
      </c>
      <c r="AQ106" s="35" t="s">
        <v>469</v>
      </c>
      <c r="AS106" s="44">
        <f t="shared" si="77"/>
        <v>0</v>
      </c>
      <c r="AT106" s="44">
        <f t="shared" si="78"/>
        <v>0</v>
      </c>
      <c r="AU106" s="44">
        <v>0</v>
      </c>
      <c r="AV106" s="44">
        <f t="shared" si="79"/>
        <v>0</v>
      </c>
    </row>
    <row r="107" spans="1:48" x14ac:dyDescent="0.25">
      <c r="A107" s="5" t="s">
        <v>75</v>
      </c>
      <c r="B107" s="5" t="s">
        <v>118</v>
      </c>
      <c r="C107" s="5" t="s">
        <v>195</v>
      </c>
      <c r="D107" s="5" t="s">
        <v>340</v>
      </c>
      <c r="E107" s="5" t="s">
        <v>403</v>
      </c>
      <c r="F107" s="19">
        <v>9.9749999999999996</v>
      </c>
      <c r="G107" s="26">
        <v>0</v>
      </c>
      <c r="H107" s="19">
        <f t="shared" si="60"/>
        <v>0</v>
      </c>
      <c r="I107" s="19">
        <f t="shared" si="61"/>
        <v>0</v>
      </c>
      <c r="J107" s="19">
        <f t="shared" si="62"/>
        <v>0</v>
      </c>
      <c r="K107" s="19">
        <v>0</v>
      </c>
      <c r="L107" s="19">
        <f t="shared" si="63"/>
        <v>0</v>
      </c>
      <c r="M107" s="39" t="s">
        <v>425</v>
      </c>
      <c r="P107" s="44">
        <f t="shared" si="64"/>
        <v>0</v>
      </c>
      <c r="R107" s="44">
        <f t="shared" si="65"/>
        <v>0</v>
      </c>
      <c r="S107" s="44">
        <f t="shared" si="66"/>
        <v>0</v>
      </c>
      <c r="T107" s="44">
        <f t="shared" si="67"/>
        <v>0</v>
      </c>
      <c r="U107" s="44">
        <f t="shared" si="68"/>
        <v>0</v>
      </c>
      <c r="V107" s="44">
        <f t="shared" si="69"/>
        <v>0</v>
      </c>
      <c r="W107" s="44">
        <f t="shared" si="70"/>
        <v>0</v>
      </c>
      <c r="X107" s="44">
        <f t="shared" si="71"/>
        <v>0</v>
      </c>
      <c r="Y107" s="35" t="s">
        <v>118</v>
      </c>
      <c r="Z107" s="19">
        <f t="shared" si="72"/>
        <v>0</v>
      </c>
      <c r="AA107" s="19">
        <f t="shared" si="73"/>
        <v>0</v>
      </c>
      <c r="AB107" s="19">
        <f t="shared" si="74"/>
        <v>0</v>
      </c>
      <c r="AD107" s="44">
        <v>21</v>
      </c>
      <c r="AE107" s="44">
        <f>G107*0</f>
        <v>0</v>
      </c>
      <c r="AF107" s="44">
        <f>G107*(1-0)</f>
        <v>0</v>
      </c>
      <c r="AG107" s="39" t="s">
        <v>13</v>
      </c>
      <c r="AM107" s="44">
        <f t="shared" si="75"/>
        <v>0</v>
      </c>
      <c r="AN107" s="44">
        <f t="shared" si="76"/>
        <v>0</v>
      </c>
      <c r="AO107" s="45" t="s">
        <v>447</v>
      </c>
      <c r="AP107" s="45" t="s">
        <v>465</v>
      </c>
      <c r="AQ107" s="35" t="s">
        <v>469</v>
      </c>
      <c r="AS107" s="44">
        <f t="shared" si="77"/>
        <v>0</v>
      </c>
      <c r="AT107" s="44">
        <f t="shared" si="78"/>
        <v>0</v>
      </c>
      <c r="AU107" s="44">
        <v>0</v>
      </c>
      <c r="AV107" s="44">
        <f t="shared" si="79"/>
        <v>0</v>
      </c>
    </row>
    <row r="108" spans="1:48" x14ac:dyDescent="0.25">
      <c r="A108" s="5" t="s">
        <v>76</v>
      </c>
      <c r="B108" s="5" t="s">
        <v>118</v>
      </c>
      <c r="C108" s="5" t="s">
        <v>196</v>
      </c>
      <c r="D108" s="5" t="s">
        <v>341</v>
      </c>
      <c r="E108" s="5" t="s">
        <v>403</v>
      </c>
      <c r="F108" s="19">
        <v>9.9749999999999996</v>
      </c>
      <c r="G108" s="26">
        <v>0</v>
      </c>
      <c r="H108" s="19">
        <f t="shared" si="60"/>
        <v>0</v>
      </c>
      <c r="I108" s="19">
        <f t="shared" si="61"/>
        <v>0</v>
      </c>
      <c r="J108" s="19">
        <f t="shared" si="62"/>
        <v>0</v>
      </c>
      <c r="K108" s="19">
        <v>2.1000000000000001E-4</v>
      </c>
      <c r="L108" s="19">
        <f t="shared" si="63"/>
        <v>2.0947499999999998E-3</v>
      </c>
      <c r="M108" s="39" t="s">
        <v>425</v>
      </c>
      <c r="P108" s="44">
        <f t="shared" si="64"/>
        <v>0</v>
      </c>
      <c r="R108" s="44">
        <f t="shared" si="65"/>
        <v>0</v>
      </c>
      <c r="S108" s="44">
        <f t="shared" si="66"/>
        <v>0</v>
      </c>
      <c r="T108" s="44">
        <f t="shared" si="67"/>
        <v>0</v>
      </c>
      <c r="U108" s="44">
        <f t="shared" si="68"/>
        <v>0</v>
      </c>
      <c r="V108" s="44">
        <f t="shared" si="69"/>
        <v>0</v>
      </c>
      <c r="W108" s="44">
        <f t="shared" si="70"/>
        <v>0</v>
      </c>
      <c r="X108" s="44">
        <f t="shared" si="71"/>
        <v>0</v>
      </c>
      <c r="Y108" s="35" t="s">
        <v>118</v>
      </c>
      <c r="Z108" s="19">
        <f t="shared" si="72"/>
        <v>0</v>
      </c>
      <c r="AA108" s="19">
        <f t="shared" si="73"/>
        <v>0</v>
      </c>
      <c r="AB108" s="19">
        <f t="shared" si="74"/>
        <v>0</v>
      </c>
      <c r="AD108" s="44">
        <v>21</v>
      </c>
      <c r="AE108" s="44">
        <f>G108*0.496513884201899</f>
        <v>0</v>
      </c>
      <c r="AF108" s="44">
        <f>G108*(1-0.496513884201899)</f>
        <v>0</v>
      </c>
      <c r="AG108" s="39" t="s">
        <v>13</v>
      </c>
      <c r="AM108" s="44">
        <f t="shared" si="75"/>
        <v>0</v>
      </c>
      <c r="AN108" s="44">
        <f t="shared" si="76"/>
        <v>0</v>
      </c>
      <c r="AO108" s="45" t="s">
        <v>447</v>
      </c>
      <c r="AP108" s="45" t="s">
        <v>465</v>
      </c>
      <c r="AQ108" s="35" t="s">
        <v>469</v>
      </c>
      <c r="AS108" s="44">
        <f t="shared" si="77"/>
        <v>0</v>
      </c>
      <c r="AT108" s="44">
        <f t="shared" si="78"/>
        <v>0</v>
      </c>
      <c r="AU108" s="44">
        <v>0</v>
      </c>
      <c r="AV108" s="44">
        <f t="shared" si="79"/>
        <v>2.0947499999999998E-3</v>
      </c>
    </row>
    <row r="109" spans="1:48" x14ac:dyDescent="0.25">
      <c r="A109" s="5" t="s">
        <v>77</v>
      </c>
      <c r="B109" s="5" t="s">
        <v>118</v>
      </c>
      <c r="C109" s="5" t="s">
        <v>197</v>
      </c>
      <c r="D109" s="5" t="s">
        <v>342</v>
      </c>
      <c r="E109" s="5" t="s">
        <v>405</v>
      </c>
      <c r="F109" s="19">
        <v>6</v>
      </c>
      <c r="G109" s="26">
        <v>0</v>
      </c>
      <c r="H109" s="19">
        <f t="shared" si="60"/>
        <v>0</v>
      </c>
      <c r="I109" s="19">
        <f t="shared" si="61"/>
        <v>0</v>
      </c>
      <c r="J109" s="19">
        <f t="shared" si="62"/>
        <v>0</v>
      </c>
      <c r="K109" s="19">
        <v>0</v>
      </c>
      <c r="L109" s="19">
        <f t="shared" si="63"/>
        <v>0</v>
      </c>
      <c r="M109" s="39" t="s">
        <v>425</v>
      </c>
      <c r="P109" s="44">
        <f t="shared" si="64"/>
        <v>0</v>
      </c>
      <c r="R109" s="44">
        <f t="shared" si="65"/>
        <v>0</v>
      </c>
      <c r="S109" s="44">
        <f t="shared" si="66"/>
        <v>0</v>
      </c>
      <c r="T109" s="44">
        <f t="shared" si="67"/>
        <v>0</v>
      </c>
      <c r="U109" s="44">
        <f t="shared" si="68"/>
        <v>0</v>
      </c>
      <c r="V109" s="44">
        <f t="shared" si="69"/>
        <v>0</v>
      </c>
      <c r="W109" s="44">
        <f t="shared" si="70"/>
        <v>0</v>
      </c>
      <c r="X109" s="44">
        <f t="shared" si="71"/>
        <v>0</v>
      </c>
      <c r="Y109" s="35" t="s">
        <v>118</v>
      </c>
      <c r="Z109" s="19">
        <f t="shared" si="72"/>
        <v>0</v>
      </c>
      <c r="AA109" s="19">
        <f t="shared" si="73"/>
        <v>0</v>
      </c>
      <c r="AB109" s="19">
        <f t="shared" si="74"/>
        <v>0</v>
      </c>
      <c r="AD109" s="44">
        <v>21</v>
      </c>
      <c r="AE109" s="44">
        <f>G109*0.0765377679823683</f>
        <v>0</v>
      </c>
      <c r="AF109" s="44">
        <f>G109*(1-0.0765377679823683)</f>
        <v>0</v>
      </c>
      <c r="AG109" s="39" t="s">
        <v>13</v>
      </c>
      <c r="AM109" s="44">
        <f t="shared" si="75"/>
        <v>0</v>
      </c>
      <c r="AN109" s="44">
        <f t="shared" si="76"/>
        <v>0</v>
      </c>
      <c r="AO109" s="45" t="s">
        <v>447</v>
      </c>
      <c r="AP109" s="45" t="s">
        <v>465</v>
      </c>
      <c r="AQ109" s="35" t="s">
        <v>469</v>
      </c>
      <c r="AS109" s="44">
        <f t="shared" si="77"/>
        <v>0</v>
      </c>
      <c r="AT109" s="44">
        <f t="shared" si="78"/>
        <v>0</v>
      </c>
      <c r="AU109" s="44">
        <v>0</v>
      </c>
      <c r="AV109" s="44">
        <f t="shared" si="79"/>
        <v>0</v>
      </c>
    </row>
    <row r="110" spans="1:48" x14ac:dyDescent="0.25">
      <c r="A110" s="5" t="s">
        <v>78</v>
      </c>
      <c r="B110" s="5" t="s">
        <v>118</v>
      </c>
      <c r="C110" s="5" t="s">
        <v>198</v>
      </c>
      <c r="D110" s="5" t="s">
        <v>343</v>
      </c>
      <c r="E110" s="5" t="s">
        <v>403</v>
      </c>
      <c r="F110" s="19">
        <v>9.9749999999999996</v>
      </c>
      <c r="G110" s="26">
        <v>0</v>
      </c>
      <c r="H110" s="19">
        <f t="shared" si="60"/>
        <v>0</v>
      </c>
      <c r="I110" s="19">
        <f t="shared" si="61"/>
        <v>0</v>
      </c>
      <c r="J110" s="19">
        <f t="shared" si="62"/>
        <v>0</v>
      </c>
      <c r="K110" s="19">
        <v>5.3499999999999997E-3</v>
      </c>
      <c r="L110" s="19">
        <f t="shared" si="63"/>
        <v>5.3366249999999997E-2</v>
      </c>
      <c r="M110" s="39" t="s">
        <v>425</v>
      </c>
      <c r="P110" s="44">
        <f t="shared" si="64"/>
        <v>0</v>
      </c>
      <c r="R110" s="44">
        <f t="shared" si="65"/>
        <v>0</v>
      </c>
      <c r="S110" s="44">
        <f t="shared" si="66"/>
        <v>0</v>
      </c>
      <c r="T110" s="44">
        <f t="shared" si="67"/>
        <v>0</v>
      </c>
      <c r="U110" s="44">
        <f t="shared" si="68"/>
        <v>0</v>
      </c>
      <c r="V110" s="44">
        <f t="shared" si="69"/>
        <v>0</v>
      </c>
      <c r="W110" s="44">
        <f t="shared" si="70"/>
        <v>0</v>
      </c>
      <c r="X110" s="44">
        <f t="shared" si="71"/>
        <v>0</v>
      </c>
      <c r="Y110" s="35" t="s">
        <v>118</v>
      </c>
      <c r="Z110" s="19">
        <f t="shared" si="72"/>
        <v>0</v>
      </c>
      <c r="AA110" s="19">
        <f t="shared" si="73"/>
        <v>0</v>
      </c>
      <c r="AB110" s="19">
        <f t="shared" si="74"/>
        <v>0</v>
      </c>
      <c r="AD110" s="44">
        <v>21</v>
      </c>
      <c r="AE110" s="44">
        <f>G110*0.154025712423722</f>
        <v>0</v>
      </c>
      <c r="AF110" s="44">
        <f>G110*(1-0.154025712423722)</f>
        <v>0</v>
      </c>
      <c r="AG110" s="39" t="s">
        <v>13</v>
      </c>
      <c r="AM110" s="44">
        <f t="shared" si="75"/>
        <v>0</v>
      </c>
      <c r="AN110" s="44">
        <f t="shared" si="76"/>
        <v>0</v>
      </c>
      <c r="AO110" s="45" t="s">
        <v>447</v>
      </c>
      <c r="AP110" s="45" t="s">
        <v>465</v>
      </c>
      <c r="AQ110" s="35" t="s">
        <v>469</v>
      </c>
      <c r="AS110" s="44">
        <f t="shared" si="77"/>
        <v>0</v>
      </c>
      <c r="AT110" s="44">
        <f t="shared" si="78"/>
        <v>0</v>
      </c>
      <c r="AU110" s="44">
        <v>0</v>
      </c>
      <c r="AV110" s="44">
        <f t="shared" si="79"/>
        <v>5.3366249999999997E-2</v>
      </c>
    </row>
    <row r="111" spans="1:48" x14ac:dyDescent="0.25">
      <c r="A111" s="5" t="s">
        <v>79</v>
      </c>
      <c r="B111" s="5" t="s">
        <v>118</v>
      </c>
      <c r="C111" s="5" t="s">
        <v>199</v>
      </c>
      <c r="D111" s="5" t="s">
        <v>344</v>
      </c>
      <c r="E111" s="5" t="s">
        <v>403</v>
      </c>
      <c r="F111" s="19">
        <v>9.9749999999999996</v>
      </c>
      <c r="G111" s="26">
        <v>0</v>
      </c>
      <c r="H111" s="19">
        <f t="shared" si="60"/>
        <v>0</v>
      </c>
      <c r="I111" s="19">
        <f t="shared" si="61"/>
        <v>0</v>
      </c>
      <c r="J111" s="19">
        <f t="shared" si="62"/>
        <v>0</v>
      </c>
      <c r="K111" s="19">
        <v>8.9999999999999998E-4</v>
      </c>
      <c r="L111" s="19">
        <f t="shared" si="63"/>
        <v>8.9774999999999994E-3</v>
      </c>
      <c r="M111" s="39" t="s">
        <v>425</v>
      </c>
      <c r="P111" s="44">
        <f t="shared" si="64"/>
        <v>0</v>
      </c>
      <c r="R111" s="44">
        <f t="shared" si="65"/>
        <v>0</v>
      </c>
      <c r="S111" s="44">
        <f t="shared" si="66"/>
        <v>0</v>
      </c>
      <c r="T111" s="44">
        <f t="shared" si="67"/>
        <v>0</v>
      </c>
      <c r="U111" s="44">
        <f t="shared" si="68"/>
        <v>0</v>
      </c>
      <c r="V111" s="44">
        <f t="shared" si="69"/>
        <v>0</v>
      </c>
      <c r="W111" s="44">
        <f t="shared" si="70"/>
        <v>0</v>
      </c>
      <c r="X111" s="44">
        <f t="shared" si="71"/>
        <v>0</v>
      </c>
      <c r="Y111" s="35" t="s">
        <v>118</v>
      </c>
      <c r="Z111" s="19">
        <f t="shared" si="72"/>
        <v>0</v>
      </c>
      <c r="AA111" s="19">
        <f t="shared" si="73"/>
        <v>0</v>
      </c>
      <c r="AB111" s="19">
        <f t="shared" si="74"/>
        <v>0</v>
      </c>
      <c r="AD111" s="44">
        <v>21</v>
      </c>
      <c r="AE111" s="44">
        <f>G111*1</f>
        <v>0</v>
      </c>
      <c r="AF111" s="44">
        <f>G111*(1-1)</f>
        <v>0</v>
      </c>
      <c r="AG111" s="39" t="s">
        <v>13</v>
      </c>
      <c r="AM111" s="44">
        <f t="shared" si="75"/>
        <v>0</v>
      </c>
      <c r="AN111" s="44">
        <f t="shared" si="76"/>
        <v>0</v>
      </c>
      <c r="AO111" s="45" t="s">
        <v>447</v>
      </c>
      <c r="AP111" s="45" t="s">
        <v>465</v>
      </c>
      <c r="AQ111" s="35" t="s">
        <v>469</v>
      </c>
      <c r="AS111" s="44">
        <f t="shared" si="77"/>
        <v>0</v>
      </c>
      <c r="AT111" s="44">
        <f t="shared" si="78"/>
        <v>0</v>
      </c>
      <c r="AU111" s="44">
        <v>0</v>
      </c>
      <c r="AV111" s="44">
        <f t="shared" si="79"/>
        <v>8.9774999999999994E-3</v>
      </c>
    </row>
    <row r="112" spans="1:48" x14ac:dyDescent="0.25">
      <c r="A112" s="5" t="s">
        <v>80</v>
      </c>
      <c r="B112" s="5" t="s">
        <v>118</v>
      </c>
      <c r="C112" s="5" t="s">
        <v>200</v>
      </c>
      <c r="D112" s="5" t="s">
        <v>345</v>
      </c>
      <c r="E112" s="5" t="s">
        <v>402</v>
      </c>
      <c r="F112" s="19">
        <v>14</v>
      </c>
      <c r="G112" s="26">
        <v>0</v>
      </c>
      <c r="H112" s="19">
        <f t="shared" si="60"/>
        <v>0</v>
      </c>
      <c r="I112" s="19">
        <f t="shared" si="61"/>
        <v>0</v>
      </c>
      <c r="J112" s="19">
        <f t="shared" si="62"/>
        <v>0</v>
      </c>
      <c r="K112" s="19">
        <v>0</v>
      </c>
      <c r="L112" s="19">
        <f t="shared" si="63"/>
        <v>0</v>
      </c>
      <c r="M112" s="39" t="s">
        <v>425</v>
      </c>
      <c r="P112" s="44">
        <f t="shared" si="64"/>
        <v>0</v>
      </c>
      <c r="R112" s="44">
        <f t="shared" si="65"/>
        <v>0</v>
      </c>
      <c r="S112" s="44">
        <f t="shared" si="66"/>
        <v>0</v>
      </c>
      <c r="T112" s="44">
        <f t="shared" si="67"/>
        <v>0</v>
      </c>
      <c r="U112" s="44">
        <f t="shared" si="68"/>
        <v>0</v>
      </c>
      <c r="V112" s="44">
        <f t="shared" si="69"/>
        <v>0</v>
      </c>
      <c r="W112" s="44">
        <f t="shared" si="70"/>
        <v>0</v>
      </c>
      <c r="X112" s="44">
        <f t="shared" si="71"/>
        <v>0</v>
      </c>
      <c r="Y112" s="35" t="s">
        <v>118</v>
      </c>
      <c r="Z112" s="19">
        <f t="shared" si="72"/>
        <v>0</v>
      </c>
      <c r="AA112" s="19">
        <f t="shared" si="73"/>
        <v>0</v>
      </c>
      <c r="AB112" s="19">
        <f t="shared" si="74"/>
        <v>0</v>
      </c>
      <c r="AD112" s="44">
        <v>21</v>
      </c>
      <c r="AE112" s="44">
        <f>G112*0</f>
        <v>0</v>
      </c>
      <c r="AF112" s="44">
        <f>G112*(1-0)</f>
        <v>0</v>
      </c>
      <c r="AG112" s="39" t="s">
        <v>13</v>
      </c>
      <c r="AM112" s="44">
        <f t="shared" si="75"/>
        <v>0</v>
      </c>
      <c r="AN112" s="44">
        <f t="shared" si="76"/>
        <v>0</v>
      </c>
      <c r="AO112" s="45" t="s">
        <v>447</v>
      </c>
      <c r="AP112" s="45" t="s">
        <v>465</v>
      </c>
      <c r="AQ112" s="35" t="s">
        <v>469</v>
      </c>
      <c r="AS112" s="44">
        <f t="shared" si="77"/>
        <v>0</v>
      </c>
      <c r="AT112" s="44">
        <f t="shared" si="78"/>
        <v>0</v>
      </c>
      <c r="AU112" s="44">
        <v>0</v>
      </c>
      <c r="AV112" s="44">
        <f t="shared" si="79"/>
        <v>0</v>
      </c>
    </row>
    <row r="113" spans="1:48" x14ac:dyDescent="0.25">
      <c r="D113" s="17" t="s">
        <v>346</v>
      </c>
      <c r="G113" s="28"/>
    </row>
    <row r="114" spans="1:48" x14ac:dyDescent="0.25">
      <c r="A114" s="6" t="s">
        <v>81</v>
      </c>
      <c r="B114" s="6" t="s">
        <v>118</v>
      </c>
      <c r="C114" s="6" t="s">
        <v>201</v>
      </c>
      <c r="D114" s="6" t="s">
        <v>347</v>
      </c>
      <c r="E114" s="6" t="s">
        <v>403</v>
      </c>
      <c r="F114" s="20">
        <v>12</v>
      </c>
      <c r="G114" s="27">
        <v>0</v>
      </c>
      <c r="H114" s="20">
        <f>F114*AE114</f>
        <v>0</v>
      </c>
      <c r="I114" s="20">
        <f>J114-H114</f>
        <v>0</v>
      </c>
      <c r="J114" s="20">
        <f>F114*G114</f>
        <v>0</v>
      </c>
      <c r="K114" s="20">
        <v>1.0500000000000001E-2</v>
      </c>
      <c r="L114" s="20">
        <f>F114*K114</f>
        <v>0.126</v>
      </c>
      <c r="M114" s="40" t="s">
        <v>425</v>
      </c>
      <c r="P114" s="44">
        <f>IF(AG114="5",J114,0)</f>
        <v>0</v>
      </c>
      <c r="R114" s="44">
        <f>IF(AG114="1",H114,0)</f>
        <v>0</v>
      </c>
      <c r="S114" s="44">
        <f>IF(AG114="1",I114,0)</f>
        <v>0</v>
      </c>
      <c r="T114" s="44">
        <f>IF(AG114="7",H114,0)</f>
        <v>0</v>
      </c>
      <c r="U114" s="44">
        <f>IF(AG114="7",I114,0)</f>
        <v>0</v>
      </c>
      <c r="V114" s="44">
        <f>IF(AG114="2",H114,0)</f>
        <v>0</v>
      </c>
      <c r="W114" s="44">
        <f>IF(AG114="2",I114,0)</f>
        <v>0</v>
      </c>
      <c r="X114" s="44">
        <f>IF(AG114="0",J114,0)</f>
        <v>0</v>
      </c>
      <c r="Y114" s="35" t="s">
        <v>118</v>
      </c>
      <c r="Z114" s="20">
        <f>IF(AD114=0,J114,0)</f>
        <v>0</v>
      </c>
      <c r="AA114" s="20">
        <f>IF(AD114=15,J114,0)</f>
        <v>0</v>
      </c>
      <c r="AB114" s="20">
        <f>IF(AD114=21,J114,0)</f>
        <v>0</v>
      </c>
      <c r="AD114" s="44">
        <v>21</v>
      </c>
      <c r="AE114" s="44">
        <f>G114*1</f>
        <v>0</v>
      </c>
      <c r="AF114" s="44">
        <f>G114*(1-1)</f>
        <v>0</v>
      </c>
      <c r="AG114" s="40" t="s">
        <v>13</v>
      </c>
      <c r="AM114" s="44">
        <f>F114*AE114</f>
        <v>0</v>
      </c>
      <c r="AN114" s="44">
        <f>F114*AF114</f>
        <v>0</v>
      </c>
      <c r="AO114" s="45" t="s">
        <v>447</v>
      </c>
      <c r="AP114" s="45" t="s">
        <v>465</v>
      </c>
      <c r="AQ114" s="35" t="s">
        <v>469</v>
      </c>
      <c r="AS114" s="44">
        <f>AM114+AN114</f>
        <v>0</v>
      </c>
      <c r="AT114" s="44">
        <f>G114/(100-AU114)*100</f>
        <v>0</v>
      </c>
      <c r="AU114" s="44">
        <v>0</v>
      </c>
      <c r="AV114" s="44">
        <f>L114</f>
        <v>0.126</v>
      </c>
    </row>
    <row r="115" spans="1:48" x14ac:dyDescent="0.25">
      <c r="A115" s="5" t="s">
        <v>82</v>
      </c>
      <c r="B115" s="5" t="s">
        <v>118</v>
      </c>
      <c r="C115" s="5" t="s">
        <v>202</v>
      </c>
      <c r="D115" s="5" t="s">
        <v>348</v>
      </c>
      <c r="E115" s="5" t="s">
        <v>404</v>
      </c>
      <c r="F115" s="19">
        <v>1.1712</v>
      </c>
      <c r="G115" s="26">
        <v>0</v>
      </c>
      <c r="H115" s="19">
        <f>F115*AE115</f>
        <v>0</v>
      </c>
      <c r="I115" s="19">
        <f>J115-H115</f>
        <v>0</v>
      </c>
      <c r="J115" s="19">
        <f>F115*G115</f>
        <v>0</v>
      </c>
      <c r="K115" s="19">
        <v>0</v>
      </c>
      <c r="L115" s="19">
        <f>F115*K115</f>
        <v>0</v>
      </c>
      <c r="M115" s="39" t="s">
        <v>425</v>
      </c>
      <c r="P115" s="44">
        <f>IF(AG115="5",J115,0)</f>
        <v>0</v>
      </c>
      <c r="R115" s="44">
        <f>IF(AG115="1",H115,0)</f>
        <v>0</v>
      </c>
      <c r="S115" s="44">
        <f>IF(AG115="1",I115,0)</f>
        <v>0</v>
      </c>
      <c r="T115" s="44">
        <f>IF(AG115="7",H115,0)</f>
        <v>0</v>
      </c>
      <c r="U115" s="44">
        <f>IF(AG115="7",I115,0)</f>
        <v>0</v>
      </c>
      <c r="V115" s="44">
        <f>IF(AG115="2",H115,0)</f>
        <v>0</v>
      </c>
      <c r="W115" s="44">
        <f>IF(AG115="2",I115,0)</f>
        <v>0</v>
      </c>
      <c r="X115" s="44">
        <f>IF(AG115="0",J115,0)</f>
        <v>0</v>
      </c>
      <c r="Y115" s="35" t="s">
        <v>118</v>
      </c>
      <c r="Z115" s="19">
        <f>IF(AD115=0,J115,0)</f>
        <v>0</v>
      </c>
      <c r="AA115" s="19">
        <f>IF(AD115=15,J115,0)</f>
        <v>0</v>
      </c>
      <c r="AB115" s="19">
        <f>IF(AD115=21,J115,0)</f>
        <v>0</v>
      </c>
      <c r="AD115" s="44">
        <v>21</v>
      </c>
      <c r="AE115" s="44">
        <f>G115*0</f>
        <v>0</v>
      </c>
      <c r="AF115" s="44">
        <f>G115*(1-0)</f>
        <v>0</v>
      </c>
      <c r="AG115" s="39" t="s">
        <v>11</v>
      </c>
      <c r="AM115" s="44">
        <f>F115*AE115</f>
        <v>0</v>
      </c>
      <c r="AN115" s="44">
        <f>F115*AF115</f>
        <v>0</v>
      </c>
      <c r="AO115" s="45" t="s">
        <v>447</v>
      </c>
      <c r="AP115" s="45" t="s">
        <v>465</v>
      </c>
      <c r="AQ115" s="35" t="s">
        <v>469</v>
      </c>
      <c r="AS115" s="44">
        <f>AM115+AN115</f>
        <v>0</v>
      </c>
      <c r="AT115" s="44">
        <f>G115/(100-AU115)*100</f>
        <v>0</v>
      </c>
      <c r="AU115" s="44">
        <v>0</v>
      </c>
      <c r="AV115" s="44">
        <f>L115</f>
        <v>0</v>
      </c>
    </row>
    <row r="116" spans="1:48" x14ac:dyDescent="0.25">
      <c r="A116" s="4"/>
      <c r="B116" s="14" t="s">
        <v>118</v>
      </c>
      <c r="C116" s="14" t="s">
        <v>203</v>
      </c>
      <c r="D116" s="14" t="s">
        <v>349</v>
      </c>
      <c r="E116" s="4" t="s">
        <v>6</v>
      </c>
      <c r="F116" s="4" t="s">
        <v>6</v>
      </c>
      <c r="G116" s="25" t="s">
        <v>6</v>
      </c>
      <c r="H116" s="47">
        <f>SUM(H117:H122)</f>
        <v>0</v>
      </c>
      <c r="I116" s="47">
        <f>SUM(I117:I122)</f>
        <v>0</v>
      </c>
      <c r="J116" s="47">
        <f>H116+I116</f>
        <v>0</v>
      </c>
      <c r="K116" s="35"/>
      <c r="L116" s="47">
        <f>SUM(L117:L122)</f>
        <v>5.490000000000001E-3</v>
      </c>
      <c r="M116" s="35"/>
      <c r="Y116" s="35" t="s">
        <v>118</v>
      </c>
      <c r="AI116" s="47">
        <f>SUM(Z117:Z122)</f>
        <v>0</v>
      </c>
      <c r="AJ116" s="47">
        <f>SUM(AA117:AA122)</f>
        <v>0</v>
      </c>
      <c r="AK116" s="47">
        <f>SUM(AB117:AB122)</f>
        <v>0</v>
      </c>
    </row>
    <row r="117" spans="1:48" x14ac:dyDescent="0.25">
      <c r="A117" s="5" t="s">
        <v>83</v>
      </c>
      <c r="B117" s="5" t="s">
        <v>118</v>
      </c>
      <c r="C117" s="5" t="s">
        <v>204</v>
      </c>
      <c r="D117" s="5" t="s">
        <v>350</v>
      </c>
      <c r="E117" s="5" t="s">
        <v>403</v>
      </c>
      <c r="F117" s="19">
        <v>3</v>
      </c>
      <c r="G117" s="26">
        <v>0</v>
      </c>
      <c r="H117" s="19">
        <f t="shared" ref="H117:H122" si="80">F117*AE117</f>
        <v>0</v>
      </c>
      <c r="I117" s="19">
        <f t="shared" ref="I117:I122" si="81">J117-H117</f>
        <v>0</v>
      </c>
      <c r="J117" s="19">
        <f t="shared" ref="J117:J122" si="82">F117*G117</f>
        <v>0</v>
      </c>
      <c r="K117" s="19">
        <v>8.0000000000000007E-5</v>
      </c>
      <c r="L117" s="19">
        <f t="shared" ref="L117:L122" si="83">F117*K117</f>
        <v>2.4000000000000003E-4</v>
      </c>
      <c r="M117" s="39" t="s">
        <v>425</v>
      </c>
      <c r="P117" s="44">
        <f t="shared" ref="P117:P122" si="84">IF(AG117="5",J117,0)</f>
        <v>0</v>
      </c>
      <c r="R117" s="44">
        <f t="shared" ref="R117:R122" si="85">IF(AG117="1",H117,0)</f>
        <v>0</v>
      </c>
      <c r="S117" s="44">
        <f t="shared" ref="S117:S122" si="86">IF(AG117="1",I117,0)</f>
        <v>0</v>
      </c>
      <c r="T117" s="44">
        <f t="shared" ref="T117:T122" si="87">IF(AG117="7",H117,0)</f>
        <v>0</v>
      </c>
      <c r="U117" s="44">
        <f t="shared" ref="U117:U122" si="88">IF(AG117="7",I117,0)</f>
        <v>0</v>
      </c>
      <c r="V117" s="44">
        <f t="shared" ref="V117:V122" si="89">IF(AG117="2",H117,0)</f>
        <v>0</v>
      </c>
      <c r="W117" s="44">
        <f t="shared" ref="W117:W122" si="90">IF(AG117="2",I117,0)</f>
        <v>0</v>
      </c>
      <c r="X117" s="44">
        <f t="shared" ref="X117:X122" si="91">IF(AG117="0",J117,0)</f>
        <v>0</v>
      </c>
      <c r="Y117" s="35" t="s">
        <v>118</v>
      </c>
      <c r="Z117" s="19">
        <f t="shared" ref="Z117:Z122" si="92">IF(AD117=0,J117,0)</f>
        <v>0</v>
      </c>
      <c r="AA117" s="19">
        <f t="shared" ref="AA117:AA122" si="93">IF(AD117=15,J117,0)</f>
        <v>0</v>
      </c>
      <c r="AB117" s="19">
        <f t="shared" ref="AB117:AB122" si="94">IF(AD117=21,J117,0)</f>
        <v>0</v>
      </c>
      <c r="AD117" s="44">
        <v>21</v>
      </c>
      <c r="AE117" s="44">
        <f>G117*0.132343234323432</f>
        <v>0</v>
      </c>
      <c r="AF117" s="44">
        <f>G117*(1-0.132343234323432)</f>
        <v>0</v>
      </c>
      <c r="AG117" s="39" t="s">
        <v>13</v>
      </c>
      <c r="AM117" s="44">
        <f t="shared" ref="AM117:AM122" si="95">F117*AE117</f>
        <v>0</v>
      </c>
      <c r="AN117" s="44">
        <f t="shared" ref="AN117:AN122" si="96">F117*AF117</f>
        <v>0</v>
      </c>
      <c r="AO117" s="45" t="s">
        <v>448</v>
      </c>
      <c r="AP117" s="45" t="s">
        <v>465</v>
      </c>
      <c r="AQ117" s="35" t="s">
        <v>469</v>
      </c>
      <c r="AS117" s="44">
        <f t="shared" ref="AS117:AS122" si="97">AM117+AN117</f>
        <v>0</v>
      </c>
      <c r="AT117" s="44">
        <f t="shared" ref="AT117:AT122" si="98">G117/(100-AU117)*100</f>
        <v>0</v>
      </c>
      <c r="AU117" s="44">
        <v>0</v>
      </c>
      <c r="AV117" s="44">
        <f t="shared" ref="AV117:AV122" si="99">L117</f>
        <v>2.4000000000000003E-4</v>
      </c>
    </row>
    <row r="118" spans="1:48" x14ac:dyDescent="0.25">
      <c r="A118" s="5" t="s">
        <v>84</v>
      </c>
      <c r="B118" s="5" t="s">
        <v>118</v>
      </c>
      <c r="C118" s="5" t="s">
        <v>205</v>
      </c>
      <c r="D118" s="5" t="s">
        <v>351</v>
      </c>
      <c r="E118" s="5" t="s">
        <v>403</v>
      </c>
      <c r="F118" s="19">
        <v>3</v>
      </c>
      <c r="G118" s="26">
        <v>0</v>
      </c>
      <c r="H118" s="19">
        <f t="shared" si="80"/>
        <v>0</v>
      </c>
      <c r="I118" s="19">
        <f t="shared" si="81"/>
        <v>0</v>
      </c>
      <c r="J118" s="19">
        <f t="shared" si="82"/>
        <v>0</v>
      </c>
      <c r="K118" s="19">
        <v>2.7999999999999998E-4</v>
      </c>
      <c r="L118" s="19">
        <f t="shared" si="83"/>
        <v>8.3999999999999993E-4</v>
      </c>
      <c r="M118" s="39" t="s">
        <v>425</v>
      </c>
      <c r="P118" s="44">
        <f t="shared" si="84"/>
        <v>0</v>
      </c>
      <c r="R118" s="44">
        <f t="shared" si="85"/>
        <v>0</v>
      </c>
      <c r="S118" s="44">
        <f t="shared" si="86"/>
        <v>0</v>
      </c>
      <c r="T118" s="44">
        <f t="shared" si="87"/>
        <v>0</v>
      </c>
      <c r="U118" s="44">
        <f t="shared" si="88"/>
        <v>0</v>
      </c>
      <c r="V118" s="44">
        <f t="shared" si="89"/>
        <v>0</v>
      </c>
      <c r="W118" s="44">
        <f t="shared" si="90"/>
        <v>0</v>
      </c>
      <c r="X118" s="44">
        <f t="shared" si="91"/>
        <v>0</v>
      </c>
      <c r="Y118" s="35" t="s">
        <v>118</v>
      </c>
      <c r="Z118" s="19">
        <f t="shared" si="92"/>
        <v>0</v>
      </c>
      <c r="AA118" s="19">
        <f t="shared" si="93"/>
        <v>0</v>
      </c>
      <c r="AB118" s="19">
        <f t="shared" si="94"/>
        <v>0</v>
      </c>
      <c r="AD118" s="44">
        <v>21</v>
      </c>
      <c r="AE118" s="44">
        <f>G118*0.206967348831048</f>
        <v>0</v>
      </c>
      <c r="AF118" s="44">
        <f>G118*(1-0.206967348831048)</f>
        <v>0</v>
      </c>
      <c r="AG118" s="39" t="s">
        <v>13</v>
      </c>
      <c r="AM118" s="44">
        <f t="shared" si="95"/>
        <v>0</v>
      </c>
      <c r="AN118" s="44">
        <f t="shared" si="96"/>
        <v>0</v>
      </c>
      <c r="AO118" s="45" t="s">
        <v>448</v>
      </c>
      <c r="AP118" s="45" t="s">
        <v>465</v>
      </c>
      <c r="AQ118" s="35" t="s">
        <v>469</v>
      </c>
      <c r="AS118" s="44">
        <f t="shared" si="97"/>
        <v>0</v>
      </c>
      <c r="AT118" s="44">
        <f t="shared" si="98"/>
        <v>0</v>
      </c>
      <c r="AU118" s="44">
        <v>0</v>
      </c>
      <c r="AV118" s="44">
        <f t="shared" si="99"/>
        <v>8.3999999999999993E-4</v>
      </c>
    </row>
    <row r="119" spans="1:48" x14ac:dyDescent="0.25">
      <c r="A119" s="5" t="s">
        <v>85</v>
      </c>
      <c r="B119" s="5" t="s">
        <v>118</v>
      </c>
      <c r="C119" s="5" t="s">
        <v>206</v>
      </c>
      <c r="D119" s="5" t="s">
        <v>352</v>
      </c>
      <c r="E119" s="5" t="s">
        <v>403</v>
      </c>
      <c r="F119" s="19">
        <v>4.7300000000000004</v>
      </c>
      <c r="G119" s="26">
        <v>0</v>
      </c>
      <c r="H119" s="19">
        <f t="shared" si="80"/>
        <v>0</v>
      </c>
      <c r="I119" s="19">
        <f t="shared" si="81"/>
        <v>0</v>
      </c>
      <c r="J119" s="19">
        <f t="shared" si="82"/>
        <v>0</v>
      </c>
      <c r="K119" s="19">
        <v>2.1000000000000001E-4</v>
      </c>
      <c r="L119" s="19">
        <f t="shared" si="83"/>
        <v>9.9330000000000013E-4</v>
      </c>
      <c r="M119" s="39" t="s">
        <v>425</v>
      </c>
      <c r="P119" s="44">
        <f t="shared" si="84"/>
        <v>0</v>
      </c>
      <c r="R119" s="44">
        <f t="shared" si="85"/>
        <v>0</v>
      </c>
      <c r="S119" s="44">
        <f t="shared" si="86"/>
        <v>0</v>
      </c>
      <c r="T119" s="44">
        <f t="shared" si="87"/>
        <v>0</v>
      </c>
      <c r="U119" s="44">
        <f t="shared" si="88"/>
        <v>0</v>
      </c>
      <c r="V119" s="44">
        <f t="shared" si="89"/>
        <v>0</v>
      </c>
      <c r="W119" s="44">
        <f t="shared" si="90"/>
        <v>0</v>
      </c>
      <c r="X119" s="44">
        <f t="shared" si="91"/>
        <v>0</v>
      </c>
      <c r="Y119" s="35" t="s">
        <v>118</v>
      </c>
      <c r="Z119" s="19">
        <f t="shared" si="92"/>
        <v>0</v>
      </c>
      <c r="AA119" s="19">
        <f t="shared" si="93"/>
        <v>0</v>
      </c>
      <c r="AB119" s="19">
        <f t="shared" si="94"/>
        <v>0</v>
      </c>
      <c r="AD119" s="44">
        <v>21</v>
      </c>
      <c r="AE119" s="44">
        <f>G119*0.440311931102087</f>
        <v>0</v>
      </c>
      <c r="AF119" s="44">
        <f>G119*(1-0.440311931102087)</f>
        <v>0</v>
      </c>
      <c r="AG119" s="39" t="s">
        <v>13</v>
      </c>
      <c r="AM119" s="44">
        <f t="shared" si="95"/>
        <v>0</v>
      </c>
      <c r="AN119" s="44">
        <f t="shared" si="96"/>
        <v>0</v>
      </c>
      <c r="AO119" s="45" t="s">
        <v>448</v>
      </c>
      <c r="AP119" s="45" t="s">
        <v>465</v>
      </c>
      <c r="AQ119" s="35" t="s">
        <v>469</v>
      </c>
      <c r="AS119" s="44">
        <f t="shared" si="97"/>
        <v>0</v>
      </c>
      <c r="AT119" s="44">
        <f t="shared" si="98"/>
        <v>0</v>
      </c>
      <c r="AU119" s="44">
        <v>0</v>
      </c>
      <c r="AV119" s="44">
        <f t="shared" si="99"/>
        <v>9.9330000000000013E-4</v>
      </c>
    </row>
    <row r="120" spans="1:48" x14ac:dyDescent="0.25">
      <c r="A120" s="5" t="s">
        <v>86</v>
      </c>
      <c r="B120" s="5" t="s">
        <v>118</v>
      </c>
      <c r="C120" s="5" t="s">
        <v>207</v>
      </c>
      <c r="D120" s="5" t="s">
        <v>353</v>
      </c>
      <c r="E120" s="5" t="s">
        <v>403</v>
      </c>
      <c r="F120" s="19">
        <v>4.7300000000000004</v>
      </c>
      <c r="G120" s="26">
        <v>0</v>
      </c>
      <c r="H120" s="19">
        <f t="shared" si="80"/>
        <v>0</v>
      </c>
      <c r="I120" s="19">
        <f t="shared" si="81"/>
        <v>0</v>
      </c>
      <c r="J120" s="19">
        <f t="shared" si="82"/>
        <v>0</v>
      </c>
      <c r="K120" s="19">
        <v>2.4000000000000001E-4</v>
      </c>
      <c r="L120" s="19">
        <f t="shared" si="83"/>
        <v>1.1352000000000001E-3</v>
      </c>
      <c r="M120" s="39" t="s">
        <v>425</v>
      </c>
      <c r="P120" s="44">
        <f t="shared" si="84"/>
        <v>0</v>
      </c>
      <c r="R120" s="44">
        <f t="shared" si="85"/>
        <v>0</v>
      </c>
      <c r="S120" s="44">
        <f t="shared" si="86"/>
        <v>0</v>
      </c>
      <c r="T120" s="44">
        <f t="shared" si="87"/>
        <v>0</v>
      </c>
      <c r="U120" s="44">
        <f t="shared" si="88"/>
        <v>0</v>
      </c>
      <c r="V120" s="44">
        <f t="shared" si="89"/>
        <v>0</v>
      </c>
      <c r="W120" s="44">
        <f t="shared" si="90"/>
        <v>0</v>
      </c>
      <c r="X120" s="44">
        <f t="shared" si="91"/>
        <v>0</v>
      </c>
      <c r="Y120" s="35" t="s">
        <v>118</v>
      </c>
      <c r="Z120" s="19">
        <f t="shared" si="92"/>
        <v>0</v>
      </c>
      <c r="AA120" s="19">
        <f t="shared" si="93"/>
        <v>0</v>
      </c>
      <c r="AB120" s="19">
        <f t="shared" si="94"/>
        <v>0</v>
      </c>
      <c r="AD120" s="44">
        <v>21</v>
      </c>
      <c r="AE120" s="44">
        <f>G120*0.460110497237569</f>
        <v>0</v>
      </c>
      <c r="AF120" s="44">
        <f>G120*(1-0.460110497237569)</f>
        <v>0</v>
      </c>
      <c r="AG120" s="39" t="s">
        <v>13</v>
      </c>
      <c r="AM120" s="44">
        <f t="shared" si="95"/>
        <v>0</v>
      </c>
      <c r="AN120" s="44">
        <f t="shared" si="96"/>
        <v>0</v>
      </c>
      <c r="AO120" s="45" t="s">
        <v>448</v>
      </c>
      <c r="AP120" s="45" t="s">
        <v>465</v>
      </c>
      <c r="AQ120" s="35" t="s">
        <v>469</v>
      </c>
      <c r="AS120" s="44">
        <f t="shared" si="97"/>
        <v>0</v>
      </c>
      <c r="AT120" s="44">
        <f t="shared" si="98"/>
        <v>0</v>
      </c>
      <c r="AU120" s="44">
        <v>0</v>
      </c>
      <c r="AV120" s="44">
        <f t="shared" si="99"/>
        <v>1.1352000000000001E-3</v>
      </c>
    </row>
    <row r="121" spans="1:48" x14ac:dyDescent="0.25">
      <c r="A121" s="5" t="s">
        <v>87</v>
      </c>
      <c r="B121" s="5" t="s">
        <v>118</v>
      </c>
      <c r="C121" s="5" t="s">
        <v>208</v>
      </c>
      <c r="D121" s="5" t="s">
        <v>354</v>
      </c>
      <c r="E121" s="5" t="s">
        <v>403</v>
      </c>
      <c r="F121" s="19">
        <v>5.07</v>
      </c>
      <c r="G121" s="26">
        <v>0</v>
      </c>
      <c r="H121" s="19">
        <f t="shared" si="80"/>
        <v>0</v>
      </c>
      <c r="I121" s="19">
        <f t="shared" si="81"/>
        <v>0</v>
      </c>
      <c r="J121" s="19">
        <f t="shared" si="82"/>
        <v>0</v>
      </c>
      <c r="K121" s="19">
        <v>1.2999999999999999E-4</v>
      </c>
      <c r="L121" s="19">
        <f t="shared" si="83"/>
        <v>6.5910000000000003E-4</v>
      </c>
      <c r="M121" s="39" t="s">
        <v>425</v>
      </c>
      <c r="P121" s="44">
        <f t="shared" si="84"/>
        <v>0</v>
      </c>
      <c r="R121" s="44">
        <f t="shared" si="85"/>
        <v>0</v>
      </c>
      <c r="S121" s="44">
        <f t="shared" si="86"/>
        <v>0</v>
      </c>
      <c r="T121" s="44">
        <f t="shared" si="87"/>
        <v>0</v>
      </c>
      <c r="U121" s="44">
        <f t="shared" si="88"/>
        <v>0</v>
      </c>
      <c r="V121" s="44">
        <f t="shared" si="89"/>
        <v>0</v>
      </c>
      <c r="W121" s="44">
        <f t="shared" si="90"/>
        <v>0</v>
      </c>
      <c r="X121" s="44">
        <f t="shared" si="91"/>
        <v>0</v>
      </c>
      <c r="Y121" s="35" t="s">
        <v>118</v>
      </c>
      <c r="Z121" s="19">
        <f t="shared" si="92"/>
        <v>0</v>
      </c>
      <c r="AA121" s="19">
        <f t="shared" si="93"/>
        <v>0</v>
      </c>
      <c r="AB121" s="19">
        <f t="shared" si="94"/>
        <v>0</v>
      </c>
      <c r="AD121" s="44">
        <v>21</v>
      </c>
      <c r="AE121" s="44">
        <f>G121*0.443632881482403</f>
        <v>0</v>
      </c>
      <c r="AF121" s="44">
        <f>G121*(1-0.443632881482403)</f>
        <v>0</v>
      </c>
      <c r="AG121" s="39" t="s">
        <v>13</v>
      </c>
      <c r="AM121" s="44">
        <f t="shared" si="95"/>
        <v>0</v>
      </c>
      <c r="AN121" s="44">
        <f t="shared" si="96"/>
        <v>0</v>
      </c>
      <c r="AO121" s="45" t="s">
        <v>448</v>
      </c>
      <c r="AP121" s="45" t="s">
        <v>465</v>
      </c>
      <c r="AQ121" s="35" t="s">
        <v>469</v>
      </c>
      <c r="AS121" s="44">
        <f t="shared" si="97"/>
        <v>0</v>
      </c>
      <c r="AT121" s="44">
        <f t="shared" si="98"/>
        <v>0</v>
      </c>
      <c r="AU121" s="44">
        <v>0</v>
      </c>
      <c r="AV121" s="44">
        <f t="shared" si="99"/>
        <v>6.5910000000000003E-4</v>
      </c>
    </row>
    <row r="122" spans="1:48" x14ac:dyDescent="0.25">
      <c r="A122" s="5" t="s">
        <v>88</v>
      </c>
      <c r="B122" s="5" t="s">
        <v>118</v>
      </c>
      <c r="C122" s="5" t="s">
        <v>209</v>
      </c>
      <c r="D122" s="5" t="s">
        <v>355</v>
      </c>
      <c r="E122" s="5" t="s">
        <v>403</v>
      </c>
      <c r="F122" s="19">
        <v>5.07</v>
      </c>
      <c r="G122" s="26">
        <v>0</v>
      </c>
      <c r="H122" s="19">
        <f t="shared" si="80"/>
        <v>0</v>
      </c>
      <c r="I122" s="19">
        <f t="shared" si="81"/>
        <v>0</v>
      </c>
      <c r="J122" s="19">
        <f t="shared" si="82"/>
        <v>0</v>
      </c>
      <c r="K122" s="19">
        <v>3.2000000000000003E-4</v>
      </c>
      <c r="L122" s="19">
        <f t="shared" si="83"/>
        <v>1.6224000000000002E-3</v>
      </c>
      <c r="M122" s="39" t="s">
        <v>425</v>
      </c>
      <c r="P122" s="44">
        <f t="shared" si="84"/>
        <v>0</v>
      </c>
      <c r="R122" s="44">
        <f t="shared" si="85"/>
        <v>0</v>
      </c>
      <c r="S122" s="44">
        <f t="shared" si="86"/>
        <v>0</v>
      </c>
      <c r="T122" s="44">
        <f t="shared" si="87"/>
        <v>0</v>
      </c>
      <c r="U122" s="44">
        <f t="shared" si="88"/>
        <v>0</v>
      </c>
      <c r="V122" s="44">
        <f t="shared" si="89"/>
        <v>0</v>
      </c>
      <c r="W122" s="44">
        <f t="shared" si="90"/>
        <v>0</v>
      </c>
      <c r="X122" s="44">
        <f t="shared" si="91"/>
        <v>0</v>
      </c>
      <c r="Y122" s="35" t="s">
        <v>118</v>
      </c>
      <c r="Z122" s="19">
        <f t="shared" si="92"/>
        <v>0</v>
      </c>
      <c r="AA122" s="19">
        <f t="shared" si="93"/>
        <v>0</v>
      </c>
      <c r="AB122" s="19">
        <f t="shared" si="94"/>
        <v>0</v>
      </c>
      <c r="AD122" s="44">
        <v>21</v>
      </c>
      <c r="AE122" s="44">
        <f>G122*0.189612722843539</f>
        <v>0</v>
      </c>
      <c r="AF122" s="44">
        <f>G122*(1-0.189612722843539)</f>
        <v>0</v>
      </c>
      <c r="AG122" s="39" t="s">
        <v>13</v>
      </c>
      <c r="AM122" s="44">
        <f t="shared" si="95"/>
        <v>0</v>
      </c>
      <c r="AN122" s="44">
        <f t="shared" si="96"/>
        <v>0</v>
      </c>
      <c r="AO122" s="45" t="s">
        <v>448</v>
      </c>
      <c r="AP122" s="45" t="s">
        <v>465</v>
      </c>
      <c r="AQ122" s="35" t="s">
        <v>469</v>
      </c>
      <c r="AS122" s="44">
        <f t="shared" si="97"/>
        <v>0</v>
      </c>
      <c r="AT122" s="44">
        <f t="shared" si="98"/>
        <v>0</v>
      </c>
      <c r="AU122" s="44">
        <v>0</v>
      </c>
      <c r="AV122" s="44">
        <f t="shared" si="99"/>
        <v>1.6224000000000002E-3</v>
      </c>
    </row>
    <row r="123" spans="1:48" x14ac:dyDescent="0.25">
      <c r="A123" s="4"/>
      <c r="B123" s="14" t="s">
        <v>118</v>
      </c>
      <c r="C123" s="14" t="s">
        <v>210</v>
      </c>
      <c r="D123" s="14" t="s">
        <v>356</v>
      </c>
      <c r="E123" s="4" t="s">
        <v>6</v>
      </c>
      <c r="F123" s="4" t="s">
        <v>6</v>
      </c>
      <c r="G123" s="25" t="s">
        <v>6</v>
      </c>
      <c r="H123" s="47">
        <f>SUM(H124:H129)</f>
        <v>0</v>
      </c>
      <c r="I123" s="47">
        <f>SUM(I124:I129)</f>
        <v>0</v>
      </c>
      <c r="J123" s="47">
        <f>H123+I123</f>
        <v>0</v>
      </c>
      <c r="K123" s="35"/>
      <c r="L123" s="47">
        <f>SUM(L124:L129)</f>
        <v>7.2604382499999995E-2</v>
      </c>
      <c r="M123" s="35"/>
      <c r="Y123" s="35" t="s">
        <v>118</v>
      </c>
      <c r="AI123" s="47">
        <f>SUM(Z124:Z129)</f>
        <v>0</v>
      </c>
      <c r="AJ123" s="47">
        <f>SUM(AA124:AA129)</f>
        <v>0</v>
      </c>
      <c r="AK123" s="47">
        <f>SUM(AB124:AB129)</f>
        <v>0</v>
      </c>
    </row>
    <row r="124" spans="1:48" x14ac:dyDescent="0.25">
      <c r="A124" s="5" t="s">
        <v>89</v>
      </c>
      <c r="B124" s="5" t="s">
        <v>118</v>
      </c>
      <c r="C124" s="5" t="s">
        <v>211</v>
      </c>
      <c r="D124" s="5" t="s">
        <v>357</v>
      </c>
      <c r="E124" s="5" t="s">
        <v>403</v>
      </c>
      <c r="F124" s="19">
        <v>199.55195000000001</v>
      </c>
      <c r="G124" s="26">
        <v>0</v>
      </c>
      <c r="H124" s="19">
        <f>F124*AE124</f>
        <v>0</v>
      </c>
      <c r="I124" s="19">
        <f>J124-H124</f>
        <v>0</v>
      </c>
      <c r="J124" s="19">
        <f>F124*G124</f>
        <v>0</v>
      </c>
      <c r="K124" s="19">
        <v>0</v>
      </c>
      <c r="L124" s="19">
        <f>F124*K124</f>
        <v>0</v>
      </c>
      <c r="M124" s="39" t="s">
        <v>425</v>
      </c>
      <c r="P124" s="44">
        <f>IF(AG124="5",J124,0)</f>
        <v>0</v>
      </c>
      <c r="R124" s="44">
        <f>IF(AG124="1",H124,0)</f>
        <v>0</v>
      </c>
      <c r="S124" s="44">
        <f>IF(AG124="1",I124,0)</f>
        <v>0</v>
      </c>
      <c r="T124" s="44">
        <f>IF(AG124="7",H124,0)</f>
        <v>0</v>
      </c>
      <c r="U124" s="44">
        <f>IF(AG124="7",I124,0)</f>
        <v>0</v>
      </c>
      <c r="V124" s="44">
        <f>IF(AG124="2",H124,0)</f>
        <v>0</v>
      </c>
      <c r="W124" s="44">
        <f>IF(AG124="2",I124,0)</f>
        <v>0</v>
      </c>
      <c r="X124" s="44">
        <f>IF(AG124="0",J124,0)</f>
        <v>0</v>
      </c>
      <c r="Y124" s="35" t="s">
        <v>118</v>
      </c>
      <c r="Z124" s="19">
        <f>IF(AD124=0,J124,0)</f>
        <v>0</v>
      </c>
      <c r="AA124" s="19">
        <f>IF(AD124=15,J124,0)</f>
        <v>0</v>
      </c>
      <c r="AB124" s="19">
        <f>IF(AD124=21,J124,0)</f>
        <v>0</v>
      </c>
      <c r="AD124" s="44">
        <v>21</v>
      </c>
      <c r="AE124" s="44">
        <f>G124*0.0031468508144989</f>
        <v>0</v>
      </c>
      <c r="AF124" s="44">
        <f>G124*(1-0.0031468508144989)</f>
        <v>0</v>
      </c>
      <c r="AG124" s="39" t="s">
        <v>13</v>
      </c>
      <c r="AM124" s="44">
        <f>F124*AE124</f>
        <v>0</v>
      </c>
      <c r="AN124" s="44">
        <f>F124*AF124</f>
        <v>0</v>
      </c>
      <c r="AO124" s="45" t="s">
        <v>449</v>
      </c>
      <c r="AP124" s="45" t="s">
        <v>465</v>
      </c>
      <c r="AQ124" s="35" t="s">
        <v>469</v>
      </c>
      <c r="AS124" s="44">
        <f>AM124+AN124</f>
        <v>0</v>
      </c>
      <c r="AT124" s="44">
        <f>G124/(100-AU124)*100</f>
        <v>0</v>
      </c>
      <c r="AU124" s="44">
        <v>0</v>
      </c>
      <c r="AV124" s="44">
        <f>L124</f>
        <v>0</v>
      </c>
    </row>
    <row r="125" spans="1:48" x14ac:dyDescent="0.25">
      <c r="A125" s="5" t="s">
        <v>90</v>
      </c>
      <c r="B125" s="5" t="s">
        <v>118</v>
      </c>
      <c r="C125" s="5" t="s">
        <v>212</v>
      </c>
      <c r="D125" s="5" t="s">
        <v>358</v>
      </c>
      <c r="E125" s="5" t="s">
        <v>403</v>
      </c>
      <c r="F125" s="19">
        <v>45.61</v>
      </c>
      <c r="G125" s="26">
        <v>0</v>
      </c>
      <c r="H125" s="19">
        <f>F125*AE125</f>
        <v>0</v>
      </c>
      <c r="I125" s="19">
        <f>J125-H125</f>
        <v>0</v>
      </c>
      <c r="J125" s="19">
        <f>F125*G125</f>
        <v>0</v>
      </c>
      <c r="K125" s="19">
        <v>2.0000000000000002E-5</v>
      </c>
      <c r="L125" s="19">
        <f>F125*K125</f>
        <v>9.1220000000000006E-4</v>
      </c>
      <c r="M125" s="39" t="s">
        <v>425</v>
      </c>
      <c r="P125" s="44">
        <f>IF(AG125="5",J125,0)</f>
        <v>0</v>
      </c>
      <c r="R125" s="44">
        <f>IF(AG125="1",H125,0)</f>
        <v>0</v>
      </c>
      <c r="S125" s="44">
        <f>IF(AG125="1",I125,0)</f>
        <v>0</v>
      </c>
      <c r="T125" s="44">
        <f>IF(AG125="7",H125,0)</f>
        <v>0</v>
      </c>
      <c r="U125" s="44">
        <f>IF(AG125="7",I125,0)</f>
        <v>0</v>
      </c>
      <c r="V125" s="44">
        <f>IF(AG125="2",H125,0)</f>
        <v>0</v>
      </c>
      <c r="W125" s="44">
        <f>IF(AG125="2",I125,0)</f>
        <v>0</v>
      </c>
      <c r="X125" s="44">
        <f>IF(AG125="0",J125,0)</f>
        <v>0</v>
      </c>
      <c r="Y125" s="35" t="s">
        <v>118</v>
      </c>
      <c r="Z125" s="19">
        <f>IF(AD125=0,J125,0)</f>
        <v>0</v>
      </c>
      <c r="AA125" s="19">
        <f>IF(AD125=15,J125,0)</f>
        <v>0</v>
      </c>
      <c r="AB125" s="19">
        <f>IF(AD125=21,J125,0)</f>
        <v>0</v>
      </c>
      <c r="AD125" s="44">
        <v>21</v>
      </c>
      <c r="AE125" s="44">
        <f>G125*0.296272511571823</f>
        <v>0</v>
      </c>
      <c r="AF125" s="44">
        <f>G125*(1-0.296272511571823)</f>
        <v>0</v>
      </c>
      <c r="AG125" s="39" t="s">
        <v>13</v>
      </c>
      <c r="AM125" s="44">
        <f>F125*AE125</f>
        <v>0</v>
      </c>
      <c r="AN125" s="44">
        <f>F125*AF125</f>
        <v>0</v>
      </c>
      <c r="AO125" s="45" t="s">
        <v>449</v>
      </c>
      <c r="AP125" s="45" t="s">
        <v>465</v>
      </c>
      <c r="AQ125" s="35" t="s">
        <v>469</v>
      </c>
      <c r="AS125" s="44">
        <f>AM125+AN125</f>
        <v>0</v>
      </c>
      <c r="AT125" s="44">
        <f>G125/(100-AU125)*100</f>
        <v>0</v>
      </c>
      <c r="AU125" s="44">
        <v>0</v>
      </c>
      <c r="AV125" s="44">
        <f>L125</f>
        <v>9.1220000000000006E-4</v>
      </c>
    </row>
    <row r="126" spans="1:48" x14ac:dyDescent="0.25">
      <c r="D126" s="17" t="s">
        <v>359</v>
      </c>
      <c r="G126" s="28"/>
    </row>
    <row r="127" spans="1:48" x14ac:dyDescent="0.25">
      <c r="A127" s="5" t="s">
        <v>91</v>
      </c>
      <c r="B127" s="5" t="s">
        <v>118</v>
      </c>
      <c r="C127" s="5" t="s">
        <v>213</v>
      </c>
      <c r="D127" s="5" t="s">
        <v>360</v>
      </c>
      <c r="E127" s="5" t="s">
        <v>403</v>
      </c>
      <c r="F127" s="19">
        <v>203.75194999999999</v>
      </c>
      <c r="G127" s="26">
        <v>0</v>
      </c>
      <c r="H127" s="19">
        <f>F127*AE127</f>
        <v>0</v>
      </c>
      <c r="I127" s="19">
        <f>J127-H127</f>
        <v>0</v>
      </c>
      <c r="J127" s="19">
        <f>F127*G127</f>
        <v>0</v>
      </c>
      <c r="K127" s="19">
        <v>2.0000000000000001E-4</v>
      </c>
      <c r="L127" s="19">
        <f>F127*K127</f>
        <v>4.0750389999999997E-2</v>
      </c>
      <c r="M127" s="39" t="s">
        <v>425</v>
      </c>
      <c r="P127" s="44">
        <f>IF(AG127="5",J127,0)</f>
        <v>0</v>
      </c>
      <c r="R127" s="44">
        <f>IF(AG127="1",H127,0)</f>
        <v>0</v>
      </c>
      <c r="S127" s="44">
        <f>IF(AG127="1",I127,0)</f>
        <v>0</v>
      </c>
      <c r="T127" s="44">
        <f>IF(AG127="7",H127,0)</f>
        <v>0</v>
      </c>
      <c r="U127" s="44">
        <f>IF(AG127="7",I127,0)</f>
        <v>0</v>
      </c>
      <c r="V127" s="44">
        <f>IF(AG127="2",H127,0)</f>
        <v>0</v>
      </c>
      <c r="W127" s="44">
        <f>IF(AG127="2",I127,0)</f>
        <v>0</v>
      </c>
      <c r="X127" s="44">
        <f>IF(AG127="0",J127,0)</f>
        <v>0</v>
      </c>
      <c r="Y127" s="35" t="s">
        <v>118</v>
      </c>
      <c r="Z127" s="19">
        <f>IF(AD127=0,J127,0)</f>
        <v>0</v>
      </c>
      <c r="AA127" s="19">
        <f>IF(AD127=15,J127,0)</f>
        <v>0</v>
      </c>
      <c r="AB127" s="19">
        <f>IF(AD127=21,J127,0)</f>
        <v>0</v>
      </c>
      <c r="AD127" s="44">
        <v>21</v>
      </c>
      <c r="AE127" s="44">
        <f>G127*0.419650623992696</f>
        <v>0</v>
      </c>
      <c r="AF127" s="44">
        <f>G127*(1-0.419650623992696)</f>
        <v>0</v>
      </c>
      <c r="AG127" s="39" t="s">
        <v>13</v>
      </c>
      <c r="AM127" s="44">
        <f>F127*AE127</f>
        <v>0</v>
      </c>
      <c r="AN127" s="44">
        <f>F127*AF127</f>
        <v>0</v>
      </c>
      <c r="AO127" s="45" t="s">
        <v>449</v>
      </c>
      <c r="AP127" s="45" t="s">
        <v>465</v>
      </c>
      <c r="AQ127" s="35" t="s">
        <v>469</v>
      </c>
      <c r="AS127" s="44">
        <f>AM127+AN127</f>
        <v>0</v>
      </c>
      <c r="AT127" s="44">
        <f>G127/(100-AU127)*100</f>
        <v>0</v>
      </c>
      <c r="AU127" s="44">
        <v>0</v>
      </c>
      <c r="AV127" s="44">
        <f>L127</f>
        <v>4.0750389999999997E-2</v>
      </c>
    </row>
    <row r="128" spans="1:48" x14ac:dyDescent="0.25">
      <c r="A128" s="5" t="s">
        <v>92</v>
      </c>
      <c r="B128" s="5" t="s">
        <v>118</v>
      </c>
      <c r="C128" s="5" t="s">
        <v>214</v>
      </c>
      <c r="D128" s="5" t="s">
        <v>361</v>
      </c>
      <c r="E128" s="5" t="s">
        <v>403</v>
      </c>
      <c r="F128" s="19">
        <v>203.75194999999999</v>
      </c>
      <c r="G128" s="26">
        <v>0</v>
      </c>
      <c r="H128" s="19">
        <f>F128*AE128</f>
        <v>0</v>
      </c>
      <c r="I128" s="19">
        <f>J128-H128</f>
        <v>0</v>
      </c>
      <c r="J128" s="19">
        <f>F128*G128</f>
        <v>0</v>
      </c>
      <c r="K128" s="19">
        <v>1.4999999999999999E-4</v>
      </c>
      <c r="L128" s="19">
        <f>F128*K128</f>
        <v>3.0562792499999998E-2</v>
      </c>
      <c r="M128" s="39" t="s">
        <v>425</v>
      </c>
      <c r="P128" s="44">
        <f>IF(AG128="5",J128,0)</f>
        <v>0</v>
      </c>
      <c r="R128" s="44">
        <f>IF(AG128="1",H128,0)</f>
        <v>0</v>
      </c>
      <c r="S128" s="44">
        <f>IF(AG128="1",I128,0)</f>
        <v>0</v>
      </c>
      <c r="T128" s="44">
        <f>IF(AG128="7",H128,0)</f>
        <v>0</v>
      </c>
      <c r="U128" s="44">
        <f>IF(AG128="7",I128,0)</f>
        <v>0</v>
      </c>
      <c r="V128" s="44">
        <f>IF(AG128="2",H128,0)</f>
        <v>0</v>
      </c>
      <c r="W128" s="44">
        <f>IF(AG128="2",I128,0)</f>
        <v>0</v>
      </c>
      <c r="X128" s="44">
        <f>IF(AG128="0",J128,0)</f>
        <v>0</v>
      </c>
      <c r="Y128" s="35" t="s">
        <v>118</v>
      </c>
      <c r="Z128" s="19">
        <f>IF(AD128=0,J128,0)</f>
        <v>0</v>
      </c>
      <c r="AA128" s="19">
        <f>IF(AD128=15,J128,0)</f>
        <v>0</v>
      </c>
      <c r="AB128" s="19">
        <f>IF(AD128=21,J128,0)</f>
        <v>0</v>
      </c>
      <c r="AD128" s="44">
        <v>21</v>
      </c>
      <c r="AE128" s="44">
        <f>G128*0.0897379846311124</f>
        <v>0</v>
      </c>
      <c r="AF128" s="44">
        <f>G128*(1-0.0897379846311124)</f>
        <v>0</v>
      </c>
      <c r="AG128" s="39" t="s">
        <v>13</v>
      </c>
      <c r="AM128" s="44">
        <f>F128*AE128</f>
        <v>0</v>
      </c>
      <c r="AN128" s="44">
        <f>F128*AF128</f>
        <v>0</v>
      </c>
      <c r="AO128" s="45" t="s">
        <v>449</v>
      </c>
      <c r="AP128" s="45" t="s">
        <v>465</v>
      </c>
      <c r="AQ128" s="35" t="s">
        <v>469</v>
      </c>
      <c r="AS128" s="44">
        <f>AM128+AN128</f>
        <v>0</v>
      </c>
      <c r="AT128" s="44">
        <f>G128/(100-AU128)*100</f>
        <v>0</v>
      </c>
      <c r="AU128" s="44">
        <v>0</v>
      </c>
      <c r="AV128" s="44">
        <f>L128</f>
        <v>3.0562792499999998E-2</v>
      </c>
    </row>
    <row r="129" spans="1:48" x14ac:dyDescent="0.25">
      <c r="A129" s="5" t="s">
        <v>93</v>
      </c>
      <c r="B129" s="5" t="s">
        <v>118</v>
      </c>
      <c r="C129" s="5" t="s">
        <v>215</v>
      </c>
      <c r="D129" s="5" t="s">
        <v>362</v>
      </c>
      <c r="E129" s="5" t="s">
        <v>402</v>
      </c>
      <c r="F129" s="19">
        <v>37.9</v>
      </c>
      <c r="G129" s="26">
        <v>0</v>
      </c>
      <c r="H129" s="19">
        <f>F129*AE129</f>
        <v>0</v>
      </c>
      <c r="I129" s="19">
        <f>J129-H129</f>
        <v>0</v>
      </c>
      <c r="J129" s="19">
        <f>F129*G129</f>
        <v>0</v>
      </c>
      <c r="K129" s="19">
        <v>1.0000000000000001E-5</v>
      </c>
      <c r="L129" s="19">
        <f>F129*K129</f>
        <v>3.79E-4</v>
      </c>
      <c r="M129" s="39" t="s">
        <v>425</v>
      </c>
      <c r="P129" s="44">
        <f>IF(AG129="5",J129,0)</f>
        <v>0</v>
      </c>
      <c r="R129" s="44">
        <f>IF(AG129="1",H129,0)</f>
        <v>0</v>
      </c>
      <c r="S129" s="44">
        <f>IF(AG129="1",I129,0)</f>
        <v>0</v>
      </c>
      <c r="T129" s="44">
        <f>IF(AG129="7",H129,0)</f>
        <v>0</v>
      </c>
      <c r="U129" s="44">
        <f>IF(AG129="7",I129,0)</f>
        <v>0</v>
      </c>
      <c r="V129" s="44">
        <f>IF(AG129="2",H129,0)</f>
        <v>0</v>
      </c>
      <c r="W129" s="44">
        <f>IF(AG129="2",I129,0)</f>
        <v>0</v>
      </c>
      <c r="X129" s="44">
        <f>IF(AG129="0",J129,0)</f>
        <v>0</v>
      </c>
      <c r="Y129" s="35" t="s">
        <v>118</v>
      </c>
      <c r="Z129" s="19">
        <f>IF(AD129=0,J129,0)</f>
        <v>0</v>
      </c>
      <c r="AA129" s="19">
        <f>IF(AD129=15,J129,0)</f>
        <v>0</v>
      </c>
      <c r="AB129" s="19">
        <f>IF(AD129=21,J129,0)</f>
        <v>0</v>
      </c>
      <c r="AD129" s="44">
        <v>21</v>
      </c>
      <c r="AE129" s="44">
        <f>G129*0.0688118811881188</f>
        <v>0</v>
      </c>
      <c r="AF129" s="44">
        <f>G129*(1-0.0688118811881188)</f>
        <v>0</v>
      </c>
      <c r="AG129" s="39" t="s">
        <v>13</v>
      </c>
      <c r="AM129" s="44">
        <f>F129*AE129</f>
        <v>0</v>
      </c>
      <c r="AN129" s="44">
        <f>F129*AF129</f>
        <v>0</v>
      </c>
      <c r="AO129" s="45" t="s">
        <v>449</v>
      </c>
      <c r="AP129" s="45" t="s">
        <v>465</v>
      </c>
      <c r="AQ129" s="35" t="s">
        <v>469</v>
      </c>
      <c r="AS129" s="44">
        <f>AM129+AN129</f>
        <v>0</v>
      </c>
      <c r="AT129" s="44">
        <f>G129/(100-AU129)*100</f>
        <v>0</v>
      </c>
      <c r="AU129" s="44">
        <v>0</v>
      </c>
      <c r="AV129" s="44">
        <f>L129</f>
        <v>3.79E-4</v>
      </c>
    </row>
    <row r="130" spans="1:48" x14ac:dyDescent="0.25">
      <c r="A130" s="4"/>
      <c r="B130" s="14" t="s">
        <v>118</v>
      </c>
      <c r="C130" s="14" t="s">
        <v>96</v>
      </c>
      <c r="D130" s="14" t="s">
        <v>363</v>
      </c>
      <c r="E130" s="4" t="s">
        <v>6</v>
      </c>
      <c r="F130" s="4" t="s">
        <v>6</v>
      </c>
      <c r="G130" s="25" t="s">
        <v>6</v>
      </c>
      <c r="H130" s="47">
        <f>SUM(H131:H131)</f>
        <v>0</v>
      </c>
      <c r="I130" s="47">
        <f>SUM(I131:I131)</f>
        <v>0</v>
      </c>
      <c r="J130" s="47">
        <f>H130+I130</f>
        <v>0</v>
      </c>
      <c r="K130" s="35"/>
      <c r="L130" s="47">
        <f>SUM(L131:L131)</f>
        <v>0</v>
      </c>
      <c r="M130" s="35"/>
      <c r="Y130" s="35" t="s">
        <v>118</v>
      </c>
      <c r="AI130" s="47">
        <f>SUM(Z131:Z131)</f>
        <v>0</v>
      </c>
      <c r="AJ130" s="47">
        <f>SUM(AA131:AA131)</f>
        <v>0</v>
      </c>
      <c r="AK130" s="47">
        <f>SUM(AB131:AB131)</f>
        <v>0</v>
      </c>
    </row>
    <row r="131" spans="1:48" x14ac:dyDescent="0.25">
      <c r="A131" s="5" t="s">
        <v>94</v>
      </c>
      <c r="B131" s="5" t="s">
        <v>118</v>
      </c>
      <c r="C131" s="5" t="s">
        <v>216</v>
      </c>
      <c r="D131" s="5" t="s">
        <v>364</v>
      </c>
      <c r="E131" s="5" t="s">
        <v>407</v>
      </c>
      <c r="F131" s="19">
        <v>24</v>
      </c>
      <c r="G131" s="26">
        <v>0</v>
      </c>
      <c r="H131" s="19">
        <f>F131*AE131</f>
        <v>0</v>
      </c>
      <c r="I131" s="19">
        <f>J131-H131</f>
        <v>0</v>
      </c>
      <c r="J131" s="19">
        <f>F131*G131</f>
        <v>0</v>
      </c>
      <c r="K131" s="19">
        <v>0</v>
      </c>
      <c r="L131" s="19">
        <f>F131*K131</f>
        <v>0</v>
      </c>
      <c r="M131" s="39" t="s">
        <v>425</v>
      </c>
      <c r="P131" s="44">
        <f>IF(AG131="5",J131,0)</f>
        <v>0</v>
      </c>
      <c r="R131" s="44">
        <f>IF(AG131="1",H131,0)</f>
        <v>0</v>
      </c>
      <c r="S131" s="44">
        <f>IF(AG131="1",I131,0)</f>
        <v>0</v>
      </c>
      <c r="T131" s="44">
        <f>IF(AG131="7",H131,0)</f>
        <v>0</v>
      </c>
      <c r="U131" s="44">
        <f>IF(AG131="7",I131,0)</f>
        <v>0</v>
      </c>
      <c r="V131" s="44">
        <f>IF(AG131="2",H131,0)</f>
        <v>0</v>
      </c>
      <c r="W131" s="44">
        <f>IF(AG131="2",I131,0)</f>
        <v>0</v>
      </c>
      <c r="X131" s="44">
        <f>IF(AG131="0",J131,0)</f>
        <v>0</v>
      </c>
      <c r="Y131" s="35" t="s">
        <v>118</v>
      </c>
      <c r="Z131" s="19">
        <f>IF(AD131=0,J131,0)</f>
        <v>0</v>
      </c>
      <c r="AA131" s="19">
        <f>IF(AD131=15,J131,0)</f>
        <v>0</v>
      </c>
      <c r="AB131" s="19">
        <f>IF(AD131=21,J131,0)</f>
        <v>0</v>
      </c>
      <c r="AD131" s="44">
        <v>21</v>
      </c>
      <c r="AE131" s="44">
        <f>G131*0</f>
        <v>0</v>
      </c>
      <c r="AF131" s="44">
        <f>G131*(1-0)</f>
        <v>0</v>
      </c>
      <c r="AG131" s="39" t="s">
        <v>7</v>
      </c>
      <c r="AM131" s="44">
        <f>F131*AE131</f>
        <v>0</v>
      </c>
      <c r="AN131" s="44">
        <f>F131*AF131</f>
        <v>0</v>
      </c>
      <c r="AO131" s="45" t="s">
        <v>450</v>
      </c>
      <c r="AP131" s="45" t="s">
        <v>466</v>
      </c>
      <c r="AQ131" s="35" t="s">
        <v>469</v>
      </c>
      <c r="AS131" s="44">
        <f>AM131+AN131</f>
        <v>0</v>
      </c>
      <c r="AT131" s="44">
        <f>G131/(100-AU131)*100</f>
        <v>0</v>
      </c>
      <c r="AU131" s="44">
        <v>0</v>
      </c>
      <c r="AV131" s="44">
        <f>L131</f>
        <v>0</v>
      </c>
    </row>
    <row r="132" spans="1:48" x14ac:dyDescent="0.25">
      <c r="A132" s="4"/>
      <c r="B132" s="14" t="s">
        <v>118</v>
      </c>
      <c r="C132" s="14" t="s">
        <v>217</v>
      </c>
      <c r="D132" s="14" t="s">
        <v>365</v>
      </c>
      <c r="E132" s="4" t="s">
        <v>6</v>
      </c>
      <c r="F132" s="4" t="s">
        <v>6</v>
      </c>
      <c r="G132" s="25" t="s">
        <v>6</v>
      </c>
      <c r="H132" s="47">
        <f>SUM(H133:H133)</f>
        <v>0</v>
      </c>
      <c r="I132" s="47">
        <f>SUM(I133:I133)</f>
        <v>0</v>
      </c>
      <c r="J132" s="47">
        <f>H132+I132</f>
        <v>0</v>
      </c>
      <c r="K132" s="35"/>
      <c r="L132" s="47">
        <f>SUM(L133:L133)</f>
        <v>0</v>
      </c>
      <c r="M132" s="35"/>
      <c r="Y132" s="35" t="s">
        <v>118</v>
      </c>
      <c r="AI132" s="47">
        <f>SUM(Z133:Z133)</f>
        <v>0</v>
      </c>
      <c r="AJ132" s="47">
        <f>SUM(AA133:AA133)</f>
        <v>0</v>
      </c>
      <c r="AK132" s="47">
        <f>SUM(AB133:AB133)</f>
        <v>0</v>
      </c>
    </row>
    <row r="133" spans="1:48" x14ac:dyDescent="0.25">
      <c r="A133" s="5" t="s">
        <v>95</v>
      </c>
      <c r="B133" s="5" t="s">
        <v>118</v>
      </c>
      <c r="C133" s="5" t="s">
        <v>218</v>
      </c>
      <c r="D133" s="5" t="s">
        <v>366</v>
      </c>
      <c r="E133" s="5" t="s">
        <v>404</v>
      </c>
      <c r="F133" s="19">
        <v>17.4742</v>
      </c>
      <c r="G133" s="26">
        <v>0</v>
      </c>
      <c r="H133" s="19">
        <f>F133*AE133</f>
        <v>0</v>
      </c>
      <c r="I133" s="19">
        <f>J133-H133</f>
        <v>0</v>
      </c>
      <c r="J133" s="19">
        <f>F133*G133</f>
        <v>0</v>
      </c>
      <c r="K133" s="19">
        <v>0</v>
      </c>
      <c r="L133" s="19">
        <f>F133*K133</f>
        <v>0</v>
      </c>
      <c r="M133" s="39" t="s">
        <v>425</v>
      </c>
      <c r="P133" s="44">
        <f>IF(AG133="5",J133,0)</f>
        <v>0</v>
      </c>
      <c r="R133" s="44">
        <f>IF(AG133="1",H133,0)</f>
        <v>0</v>
      </c>
      <c r="S133" s="44">
        <f>IF(AG133="1",I133,0)</f>
        <v>0</v>
      </c>
      <c r="T133" s="44">
        <f>IF(AG133="7",H133,0)</f>
        <v>0</v>
      </c>
      <c r="U133" s="44">
        <f>IF(AG133="7",I133,0)</f>
        <v>0</v>
      </c>
      <c r="V133" s="44">
        <f>IF(AG133="2",H133,0)</f>
        <v>0</v>
      </c>
      <c r="W133" s="44">
        <f>IF(AG133="2",I133,0)</f>
        <v>0</v>
      </c>
      <c r="X133" s="44">
        <f>IF(AG133="0",J133,0)</f>
        <v>0</v>
      </c>
      <c r="Y133" s="35" t="s">
        <v>118</v>
      </c>
      <c r="Z133" s="19">
        <f>IF(AD133=0,J133,0)</f>
        <v>0</v>
      </c>
      <c r="AA133" s="19">
        <f>IF(AD133=15,J133,0)</f>
        <v>0</v>
      </c>
      <c r="AB133" s="19">
        <f>IF(AD133=21,J133,0)</f>
        <v>0</v>
      </c>
      <c r="AD133" s="44">
        <v>21</v>
      </c>
      <c r="AE133" s="44">
        <f>G133*0</f>
        <v>0</v>
      </c>
      <c r="AF133" s="44">
        <f>G133*(1-0)</f>
        <v>0</v>
      </c>
      <c r="AG133" s="39" t="s">
        <v>11</v>
      </c>
      <c r="AM133" s="44">
        <f>F133*AE133</f>
        <v>0</v>
      </c>
      <c r="AN133" s="44">
        <f>F133*AF133</f>
        <v>0</v>
      </c>
      <c r="AO133" s="45" t="s">
        <v>451</v>
      </c>
      <c r="AP133" s="45" t="s">
        <v>466</v>
      </c>
      <c r="AQ133" s="35" t="s">
        <v>469</v>
      </c>
      <c r="AS133" s="44">
        <f>AM133+AN133</f>
        <v>0</v>
      </c>
      <c r="AT133" s="44">
        <f>G133/(100-AU133)*100</f>
        <v>0</v>
      </c>
      <c r="AU133" s="44">
        <v>0</v>
      </c>
      <c r="AV133" s="44">
        <f>L133</f>
        <v>0</v>
      </c>
    </row>
    <row r="134" spans="1:48" x14ac:dyDescent="0.25">
      <c r="A134" s="4"/>
      <c r="B134" s="14" t="s">
        <v>118</v>
      </c>
      <c r="C134" s="14" t="s">
        <v>100</v>
      </c>
      <c r="D134" s="14" t="s">
        <v>367</v>
      </c>
      <c r="E134" s="4" t="s">
        <v>6</v>
      </c>
      <c r="F134" s="4" t="s">
        <v>6</v>
      </c>
      <c r="G134" s="25" t="s">
        <v>6</v>
      </c>
      <c r="H134" s="47">
        <f>SUM(H135:H135)</f>
        <v>0</v>
      </c>
      <c r="I134" s="47">
        <f>SUM(I135:I135)</f>
        <v>0</v>
      </c>
      <c r="J134" s="47">
        <f>H134+I134</f>
        <v>0</v>
      </c>
      <c r="K134" s="35"/>
      <c r="L134" s="47">
        <f>SUM(L135:L135)</f>
        <v>0.1325462</v>
      </c>
      <c r="M134" s="35"/>
      <c r="Y134" s="35" t="s">
        <v>118</v>
      </c>
      <c r="AI134" s="47">
        <f>SUM(Z135:Z135)</f>
        <v>0</v>
      </c>
      <c r="AJ134" s="47">
        <f>SUM(AA135:AA135)</f>
        <v>0</v>
      </c>
      <c r="AK134" s="47">
        <f>SUM(AB135:AB135)</f>
        <v>0</v>
      </c>
    </row>
    <row r="135" spans="1:48" x14ac:dyDescent="0.25">
      <c r="A135" s="5" t="s">
        <v>96</v>
      </c>
      <c r="B135" s="5" t="s">
        <v>118</v>
      </c>
      <c r="C135" s="5" t="s">
        <v>219</v>
      </c>
      <c r="D135" s="5" t="s">
        <v>368</v>
      </c>
      <c r="E135" s="5" t="s">
        <v>403</v>
      </c>
      <c r="F135" s="19">
        <v>83.89</v>
      </c>
      <c r="G135" s="26">
        <v>0</v>
      </c>
      <c r="H135" s="19">
        <f>F135*AE135</f>
        <v>0</v>
      </c>
      <c r="I135" s="19">
        <f>J135-H135</f>
        <v>0</v>
      </c>
      <c r="J135" s="19">
        <f>F135*G135</f>
        <v>0</v>
      </c>
      <c r="K135" s="19">
        <v>1.58E-3</v>
      </c>
      <c r="L135" s="19">
        <f>F135*K135</f>
        <v>0.1325462</v>
      </c>
      <c r="M135" s="39" t="s">
        <v>425</v>
      </c>
      <c r="P135" s="44">
        <f>IF(AG135="5",J135,0)</f>
        <v>0</v>
      </c>
      <c r="R135" s="44">
        <f>IF(AG135="1",H135,0)</f>
        <v>0</v>
      </c>
      <c r="S135" s="44">
        <f>IF(AG135="1",I135,0)</f>
        <v>0</v>
      </c>
      <c r="T135" s="44">
        <f>IF(AG135="7",H135,0)</f>
        <v>0</v>
      </c>
      <c r="U135" s="44">
        <f>IF(AG135="7",I135,0)</f>
        <v>0</v>
      </c>
      <c r="V135" s="44">
        <f>IF(AG135="2",H135,0)</f>
        <v>0</v>
      </c>
      <c r="W135" s="44">
        <f>IF(AG135="2",I135,0)</f>
        <v>0</v>
      </c>
      <c r="X135" s="44">
        <f>IF(AG135="0",J135,0)</f>
        <v>0</v>
      </c>
      <c r="Y135" s="35" t="s">
        <v>118</v>
      </c>
      <c r="Z135" s="19">
        <f>IF(AD135=0,J135,0)</f>
        <v>0</v>
      </c>
      <c r="AA135" s="19">
        <f>IF(AD135=15,J135,0)</f>
        <v>0</v>
      </c>
      <c r="AB135" s="19">
        <f>IF(AD135=21,J135,0)</f>
        <v>0</v>
      </c>
      <c r="AD135" s="44">
        <v>21</v>
      </c>
      <c r="AE135" s="44">
        <f>G135*0.392364951156177</f>
        <v>0</v>
      </c>
      <c r="AF135" s="44">
        <f>G135*(1-0.392364951156177)</f>
        <v>0</v>
      </c>
      <c r="AG135" s="39" t="s">
        <v>7</v>
      </c>
      <c r="AM135" s="44">
        <f>F135*AE135</f>
        <v>0</v>
      </c>
      <c r="AN135" s="44">
        <f>F135*AF135</f>
        <v>0</v>
      </c>
      <c r="AO135" s="45" t="s">
        <v>452</v>
      </c>
      <c r="AP135" s="45" t="s">
        <v>466</v>
      </c>
      <c r="AQ135" s="35" t="s">
        <v>469</v>
      </c>
      <c r="AS135" s="44">
        <f>AM135+AN135</f>
        <v>0</v>
      </c>
      <c r="AT135" s="44">
        <f>G135/(100-AU135)*100</f>
        <v>0</v>
      </c>
      <c r="AU135" s="44">
        <v>0</v>
      </c>
      <c r="AV135" s="44">
        <f>L135</f>
        <v>0.1325462</v>
      </c>
    </row>
    <row r="136" spans="1:48" x14ac:dyDescent="0.25">
      <c r="A136" s="4"/>
      <c r="B136" s="14" t="s">
        <v>118</v>
      </c>
      <c r="C136" s="14" t="s">
        <v>101</v>
      </c>
      <c r="D136" s="14" t="s">
        <v>369</v>
      </c>
      <c r="E136" s="4" t="s">
        <v>6</v>
      </c>
      <c r="F136" s="4" t="s">
        <v>6</v>
      </c>
      <c r="G136" s="25" t="s">
        <v>6</v>
      </c>
      <c r="H136" s="47">
        <f>SUM(H137:H138)</f>
        <v>0</v>
      </c>
      <c r="I136" s="47">
        <f>SUM(I137:I138)</f>
        <v>0</v>
      </c>
      <c r="J136" s="47">
        <f>H136+I136</f>
        <v>0</v>
      </c>
      <c r="K136" s="35"/>
      <c r="L136" s="47">
        <f>SUM(L137:L138)</f>
        <v>3.3556000000000002E-3</v>
      </c>
      <c r="M136" s="35"/>
      <c r="Y136" s="35" t="s">
        <v>118</v>
      </c>
      <c r="AI136" s="47">
        <f>SUM(Z137:Z138)</f>
        <v>0</v>
      </c>
      <c r="AJ136" s="47">
        <f>SUM(AA137:AA138)</f>
        <v>0</v>
      </c>
      <c r="AK136" s="47">
        <f>SUM(AB137:AB138)</f>
        <v>0</v>
      </c>
    </row>
    <row r="137" spans="1:48" x14ac:dyDescent="0.25">
      <c r="A137" s="5" t="s">
        <v>97</v>
      </c>
      <c r="B137" s="5" t="s">
        <v>118</v>
      </c>
      <c r="C137" s="5" t="s">
        <v>220</v>
      </c>
      <c r="D137" s="5" t="s">
        <v>370</v>
      </c>
      <c r="E137" s="5" t="s">
        <v>403</v>
      </c>
      <c r="F137" s="19">
        <v>83.89</v>
      </c>
      <c r="G137" s="26">
        <v>0</v>
      </c>
      <c r="H137" s="19">
        <f>F137*AE137</f>
        <v>0</v>
      </c>
      <c r="I137" s="19">
        <f>J137-H137</f>
        <v>0</v>
      </c>
      <c r="J137" s="19">
        <f>F137*G137</f>
        <v>0</v>
      </c>
      <c r="K137" s="19">
        <v>4.0000000000000003E-5</v>
      </c>
      <c r="L137" s="19">
        <f>F137*K137</f>
        <v>3.3556000000000002E-3</v>
      </c>
      <c r="M137" s="39" t="s">
        <v>425</v>
      </c>
      <c r="P137" s="44">
        <f>IF(AG137="5",J137,0)</f>
        <v>0</v>
      </c>
      <c r="R137" s="44">
        <f>IF(AG137="1",H137,0)</f>
        <v>0</v>
      </c>
      <c r="S137" s="44">
        <f>IF(AG137="1",I137,0)</f>
        <v>0</v>
      </c>
      <c r="T137" s="44">
        <f>IF(AG137="7",H137,0)</f>
        <v>0</v>
      </c>
      <c r="U137" s="44">
        <f>IF(AG137="7",I137,0)</f>
        <v>0</v>
      </c>
      <c r="V137" s="44">
        <f>IF(AG137="2",H137,0)</f>
        <v>0</v>
      </c>
      <c r="W137" s="44">
        <f>IF(AG137="2",I137,0)</f>
        <v>0</v>
      </c>
      <c r="X137" s="44">
        <f>IF(AG137="0",J137,0)</f>
        <v>0</v>
      </c>
      <c r="Y137" s="35" t="s">
        <v>118</v>
      </c>
      <c r="Z137" s="19">
        <f>IF(AD137=0,J137,0)</f>
        <v>0</v>
      </c>
      <c r="AA137" s="19">
        <f>IF(AD137=15,J137,0)</f>
        <v>0</v>
      </c>
      <c r="AB137" s="19">
        <f>IF(AD137=21,J137,0)</f>
        <v>0</v>
      </c>
      <c r="AD137" s="44">
        <v>21</v>
      </c>
      <c r="AE137" s="44">
        <f>G137*0.0144264319040582</f>
        <v>0</v>
      </c>
      <c r="AF137" s="44">
        <f>G137*(1-0.0144264319040582)</f>
        <v>0</v>
      </c>
      <c r="AG137" s="39" t="s">
        <v>7</v>
      </c>
      <c r="AM137" s="44">
        <f>F137*AE137</f>
        <v>0</v>
      </c>
      <c r="AN137" s="44">
        <f>F137*AF137</f>
        <v>0</v>
      </c>
      <c r="AO137" s="45" t="s">
        <v>453</v>
      </c>
      <c r="AP137" s="45" t="s">
        <v>466</v>
      </c>
      <c r="AQ137" s="35" t="s">
        <v>469</v>
      </c>
      <c r="AS137" s="44">
        <f>AM137+AN137</f>
        <v>0</v>
      </c>
      <c r="AT137" s="44">
        <f>G137/(100-AU137)*100</f>
        <v>0</v>
      </c>
      <c r="AU137" s="44">
        <v>0</v>
      </c>
      <c r="AV137" s="44">
        <f>L137</f>
        <v>3.3556000000000002E-3</v>
      </c>
    </row>
    <row r="138" spans="1:48" x14ac:dyDescent="0.25">
      <c r="A138" s="5" t="s">
        <v>98</v>
      </c>
      <c r="B138" s="5" t="s">
        <v>118</v>
      </c>
      <c r="C138" s="5" t="s">
        <v>221</v>
      </c>
      <c r="D138" s="5" t="s">
        <v>371</v>
      </c>
      <c r="E138" s="5" t="s">
        <v>405</v>
      </c>
      <c r="F138" s="19">
        <v>1</v>
      </c>
      <c r="G138" s="26">
        <v>0</v>
      </c>
      <c r="H138" s="19">
        <f>F138*AE138</f>
        <v>0</v>
      </c>
      <c r="I138" s="19">
        <f>J138-H138</f>
        <v>0</v>
      </c>
      <c r="J138" s="19">
        <f>F138*G138</f>
        <v>0</v>
      </c>
      <c r="K138" s="19">
        <v>0</v>
      </c>
      <c r="L138" s="19">
        <f>F138*K138</f>
        <v>0</v>
      </c>
      <c r="M138" s="39"/>
      <c r="P138" s="44">
        <f>IF(AG138="5",J138,0)</f>
        <v>0</v>
      </c>
      <c r="R138" s="44">
        <f>IF(AG138="1",H138,0)</f>
        <v>0</v>
      </c>
      <c r="S138" s="44">
        <f>IF(AG138="1",I138,0)</f>
        <v>0</v>
      </c>
      <c r="T138" s="44">
        <f>IF(AG138="7",H138,0)</f>
        <v>0</v>
      </c>
      <c r="U138" s="44">
        <f>IF(AG138="7",I138,0)</f>
        <v>0</v>
      </c>
      <c r="V138" s="44">
        <f>IF(AG138="2",H138,0)</f>
        <v>0</v>
      </c>
      <c r="W138" s="44">
        <f>IF(AG138="2",I138,0)</f>
        <v>0</v>
      </c>
      <c r="X138" s="44">
        <f>IF(AG138="0",J138,0)</f>
        <v>0</v>
      </c>
      <c r="Y138" s="35" t="s">
        <v>118</v>
      </c>
      <c r="Z138" s="19">
        <f>IF(AD138=0,J138,0)</f>
        <v>0</v>
      </c>
      <c r="AA138" s="19">
        <f>IF(AD138=15,J138,0)</f>
        <v>0</v>
      </c>
      <c r="AB138" s="19">
        <f>IF(AD138=21,J138,0)</f>
        <v>0</v>
      </c>
      <c r="AD138" s="44">
        <v>21</v>
      </c>
      <c r="AE138" s="44">
        <f>G138*0</f>
        <v>0</v>
      </c>
      <c r="AF138" s="44">
        <f>G138*(1-0)</f>
        <v>0</v>
      </c>
      <c r="AG138" s="39" t="s">
        <v>7</v>
      </c>
      <c r="AM138" s="44">
        <f>F138*AE138</f>
        <v>0</v>
      </c>
      <c r="AN138" s="44">
        <f>F138*AF138</f>
        <v>0</v>
      </c>
      <c r="AO138" s="45" t="s">
        <v>453</v>
      </c>
      <c r="AP138" s="45" t="s">
        <v>466</v>
      </c>
      <c r="AQ138" s="35" t="s">
        <v>469</v>
      </c>
      <c r="AS138" s="44">
        <f>AM138+AN138</f>
        <v>0</v>
      </c>
      <c r="AT138" s="44">
        <f>G138/(100-AU138)*100</f>
        <v>0</v>
      </c>
      <c r="AU138" s="44">
        <v>0</v>
      </c>
      <c r="AV138" s="44">
        <f>L138</f>
        <v>0</v>
      </c>
    </row>
    <row r="139" spans="1:48" x14ac:dyDescent="0.25">
      <c r="A139" s="4"/>
      <c r="B139" s="14" t="s">
        <v>118</v>
      </c>
      <c r="C139" s="14" t="s">
        <v>102</v>
      </c>
      <c r="D139" s="14" t="s">
        <v>372</v>
      </c>
      <c r="E139" s="4" t="s">
        <v>6</v>
      </c>
      <c r="F139" s="4" t="s">
        <v>6</v>
      </c>
      <c r="G139" s="25" t="s">
        <v>6</v>
      </c>
      <c r="H139" s="47">
        <f>SUM(H140:H147)</f>
        <v>0</v>
      </c>
      <c r="I139" s="47">
        <f>SUM(I140:I147)</f>
        <v>0</v>
      </c>
      <c r="J139" s="47">
        <f>H139+I139</f>
        <v>0</v>
      </c>
      <c r="K139" s="35"/>
      <c r="L139" s="47">
        <f>SUM(L140:L147)</f>
        <v>10.39247975</v>
      </c>
      <c r="M139" s="35"/>
      <c r="Y139" s="35" t="s">
        <v>118</v>
      </c>
      <c r="AI139" s="47">
        <f>SUM(Z140:Z147)</f>
        <v>0</v>
      </c>
      <c r="AJ139" s="47">
        <f>SUM(AA140:AA147)</f>
        <v>0</v>
      </c>
      <c r="AK139" s="47">
        <f>SUM(AB140:AB147)</f>
        <v>0</v>
      </c>
    </row>
    <row r="140" spans="1:48" x14ac:dyDescent="0.25">
      <c r="A140" s="5" t="s">
        <v>99</v>
      </c>
      <c r="B140" s="5" t="s">
        <v>118</v>
      </c>
      <c r="C140" s="5" t="s">
        <v>222</v>
      </c>
      <c r="D140" s="5" t="s">
        <v>373</v>
      </c>
      <c r="E140" s="5" t="s">
        <v>403</v>
      </c>
      <c r="F140" s="19">
        <v>11.89</v>
      </c>
      <c r="G140" s="26">
        <v>0</v>
      </c>
      <c r="H140" s="19">
        <f t="shared" ref="H140:H147" si="100">F140*AE140</f>
        <v>0</v>
      </c>
      <c r="I140" s="19">
        <f t="shared" ref="I140:I147" si="101">J140-H140</f>
        <v>0</v>
      </c>
      <c r="J140" s="19">
        <f t="shared" ref="J140:J147" si="102">F140*G140</f>
        <v>0</v>
      </c>
      <c r="K140" s="19">
        <v>0.02</v>
      </c>
      <c r="L140" s="19">
        <f t="shared" ref="L140:L147" si="103">F140*K140</f>
        <v>0.23780000000000001</v>
      </c>
      <c r="M140" s="39" t="s">
        <v>425</v>
      </c>
      <c r="P140" s="44">
        <f t="shared" ref="P140:P147" si="104">IF(AG140="5",J140,0)</f>
        <v>0</v>
      </c>
      <c r="R140" s="44">
        <f t="shared" ref="R140:R147" si="105">IF(AG140="1",H140,0)</f>
        <v>0</v>
      </c>
      <c r="S140" s="44">
        <f t="shared" ref="S140:S147" si="106">IF(AG140="1",I140,0)</f>
        <v>0</v>
      </c>
      <c r="T140" s="44">
        <f t="shared" ref="T140:T147" si="107">IF(AG140="7",H140,0)</f>
        <v>0</v>
      </c>
      <c r="U140" s="44">
        <f t="shared" ref="U140:U147" si="108">IF(AG140="7",I140,0)</f>
        <v>0</v>
      </c>
      <c r="V140" s="44">
        <f t="shared" ref="V140:V147" si="109">IF(AG140="2",H140,0)</f>
        <v>0</v>
      </c>
      <c r="W140" s="44">
        <f t="shared" ref="W140:W147" si="110">IF(AG140="2",I140,0)</f>
        <v>0</v>
      </c>
      <c r="X140" s="44">
        <f t="shared" ref="X140:X147" si="111">IF(AG140="0",J140,0)</f>
        <v>0</v>
      </c>
      <c r="Y140" s="35" t="s">
        <v>118</v>
      </c>
      <c r="Z140" s="19">
        <f t="shared" ref="Z140:Z147" si="112">IF(AD140=0,J140,0)</f>
        <v>0</v>
      </c>
      <c r="AA140" s="19">
        <f t="shared" ref="AA140:AA147" si="113">IF(AD140=15,J140,0)</f>
        <v>0</v>
      </c>
      <c r="AB140" s="19">
        <f t="shared" ref="AB140:AB147" si="114">IF(AD140=21,J140,0)</f>
        <v>0</v>
      </c>
      <c r="AD140" s="44">
        <v>21</v>
      </c>
      <c r="AE140" s="44">
        <f>G140*0</f>
        <v>0</v>
      </c>
      <c r="AF140" s="44">
        <f>G140*(1-0)</f>
        <v>0</v>
      </c>
      <c r="AG140" s="39" t="s">
        <v>7</v>
      </c>
      <c r="AM140" s="44">
        <f t="shared" ref="AM140:AM147" si="115">F140*AE140</f>
        <v>0</v>
      </c>
      <c r="AN140" s="44">
        <f t="shared" ref="AN140:AN147" si="116">F140*AF140</f>
        <v>0</v>
      </c>
      <c r="AO140" s="45" t="s">
        <v>454</v>
      </c>
      <c r="AP140" s="45" t="s">
        <v>466</v>
      </c>
      <c r="AQ140" s="35" t="s">
        <v>469</v>
      </c>
      <c r="AS140" s="44">
        <f t="shared" ref="AS140:AS147" si="117">AM140+AN140</f>
        <v>0</v>
      </c>
      <c r="AT140" s="44">
        <f t="shared" ref="AT140:AT147" si="118">G140/(100-AU140)*100</f>
        <v>0</v>
      </c>
      <c r="AU140" s="44">
        <v>0</v>
      </c>
      <c r="AV140" s="44">
        <f t="shared" ref="AV140:AV147" si="119">L140</f>
        <v>0.23780000000000001</v>
      </c>
    </row>
    <row r="141" spans="1:48" x14ac:dyDescent="0.25">
      <c r="A141" s="5" t="s">
        <v>100</v>
      </c>
      <c r="B141" s="5" t="s">
        <v>118</v>
      </c>
      <c r="C141" s="5" t="s">
        <v>223</v>
      </c>
      <c r="D141" s="5" t="s">
        <v>374</v>
      </c>
      <c r="E141" s="5" t="s">
        <v>403</v>
      </c>
      <c r="F141" s="19">
        <v>90.56</v>
      </c>
      <c r="G141" s="26">
        <v>0</v>
      </c>
      <c r="H141" s="19">
        <f t="shared" si="100"/>
        <v>0</v>
      </c>
      <c r="I141" s="19">
        <f t="shared" si="101"/>
        <v>0</v>
      </c>
      <c r="J141" s="19">
        <f t="shared" si="102"/>
        <v>0</v>
      </c>
      <c r="K141" s="19">
        <v>2.5510000000000001E-2</v>
      </c>
      <c r="L141" s="19">
        <f t="shared" si="103"/>
        <v>2.3101856000000001</v>
      </c>
      <c r="M141" s="39" t="s">
        <v>425</v>
      </c>
      <c r="P141" s="44">
        <f t="shared" si="104"/>
        <v>0</v>
      </c>
      <c r="R141" s="44">
        <f t="shared" si="105"/>
        <v>0</v>
      </c>
      <c r="S141" s="44">
        <f t="shared" si="106"/>
        <v>0</v>
      </c>
      <c r="T141" s="44">
        <f t="shared" si="107"/>
        <v>0</v>
      </c>
      <c r="U141" s="44">
        <f t="shared" si="108"/>
        <v>0</v>
      </c>
      <c r="V141" s="44">
        <f t="shared" si="109"/>
        <v>0</v>
      </c>
      <c r="W141" s="44">
        <f t="shared" si="110"/>
        <v>0</v>
      </c>
      <c r="X141" s="44">
        <f t="shared" si="111"/>
        <v>0</v>
      </c>
      <c r="Y141" s="35" t="s">
        <v>118</v>
      </c>
      <c r="Z141" s="19">
        <f t="shared" si="112"/>
        <v>0</v>
      </c>
      <c r="AA141" s="19">
        <f t="shared" si="113"/>
        <v>0</v>
      </c>
      <c r="AB141" s="19">
        <f t="shared" si="114"/>
        <v>0</v>
      </c>
      <c r="AD141" s="44">
        <v>21</v>
      </c>
      <c r="AE141" s="44">
        <f>G141*0</f>
        <v>0</v>
      </c>
      <c r="AF141" s="44">
        <f>G141*(1-0)</f>
        <v>0</v>
      </c>
      <c r="AG141" s="39" t="s">
        <v>7</v>
      </c>
      <c r="AM141" s="44">
        <f t="shared" si="115"/>
        <v>0</v>
      </c>
      <c r="AN141" s="44">
        <f t="shared" si="116"/>
        <v>0</v>
      </c>
      <c r="AO141" s="45" t="s">
        <v>454</v>
      </c>
      <c r="AP141" s="45" t="s">
        <v>466</v>
      </c>
      <c r="AQ141" s="35" t="s">
        <v>469</v>
      </c>
      <c r="AS141" s="44">
        <f t="shared" si="117"/>
        <v>0</v>
      </c>
      <c r="AT141" s="44">
        <f t="shared" si="118"/>
        <v>0</v>
      </c>
      <c r="AU141" s="44">
        <v>0</v>
      </c>
      <c r="AV141" s="44">
        <f t="shared" si="119"/>
        <v>2.3101856000000001</v>
      </c>
    </row>
    <row r="142" spans="1:48" x14ac:dyDescent="0.25">
      <c r="A142" s="5" t="s">
        <v>101</v>
      </c>
      <c r="B142" s="5" t="s">
        <v>118</v>
      </c>
      <c r="C142" s="5" t="s">
        <v>224</v>
      </c>
      <c r="D142" s="5" t="s">
        <v>375</v>
      </c>
      <c r="E142" s="5" t="s">
        <v>403</v>
      </c>
      <c r="F142" s="19">
        <v>0.42</v>
      </c>
      <c r="G142" s="26">
        <v>0</v>
      </c>
      <c r="H142" s="19">
        <f t="shared" si="100"/>
        <v>0</v>
      </c>
      <c r="I142" s="19">
        <f t="shared" si="101"/>
        <v>0</v>
      </c>
      <c r="J142" s="19">
        <f t="shared" si="102"/>
        <v>0</v>
      </c>
      <c r="K142" s="19">
        <v>0.10767</v>
      </c>
      <c r="L142" s="19">
        <f t="shared" si="103"/>
        <v>4.5221400000000002E-2</v>
      </c>
      <c r="M142" s="39" t="s">
        <v>425</v>
      </c>
      <c r="P142" s="44">
        <f t="shared" si="104"/>
        <v>0</v>
      </c>
      <c r="R142" s="44">
        <f t="shared" si="105"/>
        <v>0</v>
      </c>
      <c r="S142" s="44">
        <f t="shared" si="106"/>
        <v>0</v>
      </c>
      <c r="T142" s="44">
        <f t="shared" si="107"/>
        <v>0</v>
      </c>
      <c r="U142" s="44">
        <f t="shared" si="108"/>
        <v>0</v>
      </c>
      <c r="V142" s="44">
        <f t="shared" si="109"/>
        <v>0</v>
      </c>
      <c r="W142" s="44">
        <f t="shared" si="110"/>
        <v>0</v>
      </c>
      <c r="X142" s="44">
        <f t="shared" si="111"/>
        <v>0</v>
      </c>
      <c r="Y142" s="35" t="s">
        <v>118</v>
      </c>
      <c r="Z142" s="19">
        <f t="shared" si="112"/>
        <v>0</v>
      </c>
      <c r="AA142" s="19">
        <f t="shared" si="113"/>
        <v>0</v>
      </c>
      <c r="AB142" s="19">
        <f t="shared" si="114"/>
        <v>0</v>
      </c>
      <c r="AD142" s="44">
        <v>21</v>
      </c>
      <c r="AE142" s="44">
        <f>G142*0.221538461538462</f>
        <v>0</v>
      </c>
      <c r="AF142" s="44">
        <f>G142*(1-0.221538461538462)</f>
        <v>0</v>
      </c>
      <c r="AG142" s="39" t="s">
        <v>7</v>
      </c>
      <c r="AM142" s="44">
        <f t="shared" si="115"/>
        <v>0</v>
      </c>
      <c r="AN142" s="44">
        <f t="shared" si="116"/>
        <v>0</v>
      </c>
      <c r="AO142" s="45" t="s">
        <v>454</v>
      </c>
      <c r="AP142" s="45" t="s">
        <v>466</v>
      </c>
      <c r="AQ142" s="35" t="s">
        <v>469</v>
      </c>
      <c r="AS142" s="44">
        <f t="shared" si="117"/>
        <v>0</v>
      </c>
      <c r="AT142" s="44">
        <f t="shared" si="118"/>
        <v>0</v>
      </c>
      <c r="AU142" s="44">
        <v>0</v>
      </c>
      <c r="AV142" s="44">
        <f t="shared" si="119"/>
        <v>4.5221400000000002E-2</v>
      </c>
    </row>
    <row r="143" spans="1:48" x14ac:dyDescent="0.25">
      <c r="A143" s="5" t="s">
        <v>102</v>
      </c>
      <c r="B143" s="5" t="s">
        <v>118</v>
      </c>
      <c r="C143" s="5" t="s">
        <v>225</v>
      </c>
      <c r="D143" s="5" t="s">
        <v>376</v>
      </c>
      <c r="E143" s="5" t="s">
        <v>403</v>
      </c>
      <c r="F143" s="19">
        <v>4.7249999999999996</v>
      </c>
      <c r="G143" s="26">
        <v>0</v>
      </c>
      <c r="H143" s="19">
        <f t="shared" si="100"/>
        <v>0</v>
      </c>
      <c r="I143" s="19">
        <f t="shared" si="101"/>
        <v>0</v>
      </c>
      <c r="J143" s="19">
        <f t="shared" si="102"/>
        <v>0</v>
      </c>
      <c r="K143" s="19">
        <v>0.13367000000000001</v>
      </c>
      <c r="L143" s="19">
        <f t="shared" si="103"/>
        <v>0.63159074999999998</v>
      </c>
      <c r="M143" s="39" t="s">
        <v>425</v>
      </c>
      <c r="P143" s="44">
        <f t="shared" si="104"/>
        <v>0</v>
      </c>
      <c r="R143" s="44">
        <f t="shared" si="105"/>
        <v>0</v>
      </c>
      <c r="S143" s="44">
        <f t="shared" si="106"/>
        <v>0</v>
      </c>
      <c r="T143" s="44">
        <f t="shared" si="107"/>
        <v>0</v>
      </c>
      <c r="U143" s="44">
        <f t="shared" si="108"/>
        <v>0</v>
      </c>
      <c r="V143" s="44">
        <f t="shared" si="109"/>
        <v>0</v>
      </c>
      <c r="W143" s="44">
        <f t="shared" si="110"/>
        <v>0</v>
      </c>
      <c r="X143" s="44">
        <f t="shared" si="111"/>
        <v>0</v>
      </c>
      <c r="Y143" s="35" t="s">
        <v>118</v>
      </c>
      <c r="Z143" s="19">
        <f t="shared" si="112"/>
        <v>0</v>
      </c>
      <c r="AA143" s="19">
        <f t="shared" si="113"/>
        <v>0</v>
      </c>
      <c r="AB143" s="19">
        <f t="shared" si="114"/>
        <v>0</v>
      </c>
      <c r="AD143" s="44">
        <v>21</v>
      </c>
      <c r="AE143" s="44">
        <f>G143*0.19015727025585</f>
        <v>0</v>
      </c>
      <c r="AF143" s="44">
        <f>G143*(1-0.19015727025585)</f>
        <v>0</v>
      </c>
      <c r="AG143" s="39" t="s">
        <v>7</v>
      </c>
      <c r="AM143" s="44">
        <f t="shared" si="115"/>
        <v>0</v>
      </c>
      <c r="AN143" s="44">
        <f t="shared" si="116"/>
        <v>0</v>
      </c>
      <c r="AO143" s="45" t="s">
        <v>454</v>
      </c>
      <c r="AP143" s="45" t="s">
        <v>466</v>
      </c>
      <c r="AQ143" s="35" t="s">
        <v>469</v>
      </c>
      <c r="AS143" s="44">
        <f t="shared" si="117"/>
        <v>0</v>
      </c>
      <c r="AT143" s="44">
        <f t="shared" si="118"/>
        <v>0</v>
      </c>
      <c r="AU143" s="44">
        <v>0</v>
      </c>
      <c r="AV143" s="44">
        <f t="shared" si="119"/>
        <v>0.63159074999999998</v>
      </c>
    </row>
    <row r="144" spans="1:48" x14ac:dyDescent="0.25">
      <c r="A144" s="5" t="s">
        <v>103</v>
      </c>
      <c r="B144" s="5" t="s">
        <v>118</v>
      </c>
      <c r="C144" s="5" t="s">
        <v>226</v>
      </c>
      <c r="D144" s="5" t="s">
        <v>377</v>
      </c>
      <c r="E144" s="5" t="s">
        <v>403</v>
      </c>
      <c r="F144" s="19">
        <v>1.6</v>
      </c>
      <c r="G144" s="26">
        <v>0</v>
      </c>
      <c r="H144" s="19">
        <f t="shared" si="100"/>
        <v>0</v>
      </c>
      <c r="I144" s="19">
        <f t="shared" si="101"/>
        <v>0</v>
      </c>
      <c r="J144" s="19">
        <f t="shared" si="102"/>
        <v>0</v>
      </c>
      <c r="K144" s="19">
        <v>7.7170000000000002E-2</v>
      </c>
      <c r="L144" s="19">
        <f t="shared" si="103"/>
        <v>0.12347200000000001</v>
      </c>
      <c r="M144" s="39" t="s">
        <v>425</v>
      </c>
      <c r="P144" s="44">
        <f t="shared" si="104"/>
        <v>0</v>
      </c>
      <c r="R144" s="44">
        <f t="shared" si="105"/>
        <v>0</v>
      </c>
      <c r="S144" s="44">
        <f t="shared" si="106"/>
        <v>0</v>
      </c>
      <c r="T144" s="44">
        <f t="shared" si="107"/>
        <v>0</v>
      </c>
      <c r="U144" s="44">
        <f t="shared" si="108"/>
        <v>0</v>
      </c>
      <c r="V144" s="44">
        <f t="shared" si="109"/>
        <v>0</v>
      </c>
      <c r="W144" s="44">
        <f t="shared" si="110"/>
        <v>0</v>
      </c>
      <c r="X144" s="44">
        <f t="shared" si="111"/>
        <v>0</v>
      </c>
      <c r="Y144" s="35" t="s">
        <v>118</v>
      </c>
      <c r="Z144" s="19">
        <f t="shared" si="112"/>
        <v>0</v>
      </c>
      <c r="AA144" s="19">
        <f t="shared" si="113"/>
        <v>0</v>
      </c>
      <c r="AB144" s="19">
        <f t="shared" si="114"/>
        <v>0</v>
      </c>
      <c r="AD144" s="44">
        <v>21</v>
      </c>
      <c r="AE144" s="44">
        <f>G144*0.0874376986774459</f>
        <v>0</v>
      </c>
      <c r="AF144" s="44">
        <f>G144*(1-0.0874376986774459)</f>
        <v>0</v>
      </c>
      <c r="AG144" s="39" t="s">
        <v>7</v>
      </c>
      <c r="AM144" s="44">
        <f t="shared" si="115"/>
        <v>0</v>
      </c>
      <c r="AN144" s="44">
        <f t="shared" si="116"/>
        <v>0</v>
      </c>
      <c r="AO144" s="45" t="s">
        <v>454</v>
      </c>
      <c r="AP144" s="45" t="s">
        <v>466</v>
      </c>
      <c r="AQ144" s="35" t="s">
        <v>469</v>
      </c>
      <c r="AS144" s="44">
        <f t="shared" si="117"/>
        <v>0</v>
      </c>
      <c r="AT144" s="44">
        <f t="shared" si="118"/>
        <v>0</v>
      </c>
      <c r="AU144" s="44">
        <v>0</v>
      </c>
      <c r="AV144" s="44">
        <f t="shared" si="119"/>
        <v>0.12347200000000001</v>
      </c>
    </row>
    <row r="145" spans="1:48" x14ac:dyDescent="0.25">
      <c r="A145" s="5" t="s">
        <v>104</v>
      </c>
      <c r="B145" s="5" t="s">
        <v>118</v>
      </c>
      <c r="C145" s="5" t="s">
        <v>227</v>
      </c>
      <c r="D145" s="5" t="s">
        <v>378</v>
      </c>
      <c r="E145" s="5" t="s">
        <v>405</v>
      </c>
      <c r="F145" s="19">
        <v>2</v>
      </c>
      <c r="G145" s="26">
        <v>0</v>
      </c>
      <c r="H145" s="19">
        <f t="shared" si="100"/>
        <v>0</v>
      </c>
      <c r="I145" s="19">
        <f t="shared" si="101"/>
        <v>0</v>
      </c>
      <c r="J145" s="19">
        <f t="shared" si="102"/>
        <v>0</v>
      </c>
      <c r="K145" s="19">
        <v>0</v>
      </c>
      <c r="L145" s="19">
        <f t="shared" si="103"/>
        <v>0</v>
      </c>
      <c r="M145" s="39" t="s">
        <v>425</v>
      </c>
      <c r="P145" s="44">
        <f t="shared" si="104"/>
        <v>0</v>
      </c>
      <c r="R145" s="44">
        <f t="shared" si="105"/>
        <v>0</v>
      </c>
      <c r="S145" s="44">
        <f t="shared" si="106"/>
        <v>0</v>
      </c>
      <c r="T145" s="44">
        <f t="shared" si="107"/>
        <v>0</v>
      </c>
      <c r="U145" s="44">
        <f t="shared" si="108"/>
        <v>0</v>
      </c>
      <c r="V145" s="44">
        <f t="shared" si="109"/>
        <v>0</v>
      </c>
      <c r="W145" s="44">
        <f t="shared" si="110"/>
        <v>0</v>
      </c>
      <c r="X145" s="44">
        <f t="shared" si="111"/>
        <v>0</v>
      </c>
      <c r="Y145" s="35" t="s">
        <v>118</v>
      </c>
      <c r="Z145" s="19">
        <f t="shared" si="112"/>
        <v>0</v>
      </c>
      <c r="AA145" s="19">
        <f t="shared" si="113"/>
        <v>0</v>
      </c>
      <c r="AB145" s="19">
        <f t="shared" si="114"/>
        <v>0</v>
      </c>
      <c r="AD145" s="44">
        <v>21</v>
      </c>
      <c r="AE145" s="44">
        <f>G145*0</f>
        <v>0</v>
      </c>
      <c r="AF145" s="44">
        <f>G145*(1-0)</f>
        <v>0</v>
      </c>
      <c r="AG145" s="39" t="s">
        <v>7</v>
      </c>
      <c r="AM145" s="44">
        <f t="shared" si="115"/>
        <v>0</v>
      </c>
      <c r="AN145" s="44">
        <f t="shared" si="116"/>
        <v>0</v>
      </c>
      <c r="AO145" s="45" t="s">
        <v>454</v>
      </c>
      <c r="AP145" s="45" t="s">
        <v>466</v>
      </c>
      <c r="AQ145" s="35" t="s">
        <v>469</v>
      </c>
      <c r="AS145" s="44">
        <f t="shared" si="117"/>
        <v>0</v>
      </c>
      <c r="AT145" s="44">
        <f t="shared" si="118"/>
        <v>0</v>
      </c>
      <c r="AU145" s="44">
        <v>0</v>
      </c>
      <c r="AV145" s="44">
        <f t="shared" si="119"/>
        <v>0</v>
      </c>
    </row>
    <row r="146" spans="1:48" x14ac:dyDescent="0.25">
      <c r="A146" s="5" t="s">
        <v>105</v>
      </c>
      <c r="B146" s="5" t="s">
        <v>118</v>
      </c>
      <c r="C146" s="5" t="s">
        <v>228</v>
      </c>
      <c r="D146" s="5" t="s">
        <v>379</v>
      </c>
      <c r="E146" s="5" t="s">
        <v>403</v>
      </c>
      <c r="F146" s="19">
        <v>2.94</v>
      </c>
      <c r="G146" s="26">
        <v>0</v>
      </c>
      <c r="H146" s="19">
        <f t="shared" si="100"/>
        <v>0</v>
      </c>
      <c r="I146" s="19">
        <f t="shared" si="101"/>
        <v>0</v>
      </c>
      <c r="J146" s="19">
        <f t="shared" si="102"/>
        <v>0</v>
      </c>
      <c r="K146" s="19">
        <v>6.8000000000000005E-2</v>
      </c>
      <c r="L146" s="19">
        <f t="shared" si="103"/>
        <v>0.19992000000000001</v>
      </c>
      <c r="M146" s="39" t="s">
        <v>425</v>
      </c>
      <c r="P146" s="44">
        <f t="shared" si="104"/>
        <v>0</v>
      </c>
      <c r="R146" s="44">
        <f t="shared" si="105"/>
        <v>0</v>
      </c>
      <c r="S146" s="44">
        <f t="shared" si="106"/>
        <v>0</v>
      </c>
      <c r="T146" s="44">
        <f t="shared" si="107"/>
        <v>0</v>
      </c>
      <c r="U146" s="44">
        <f t="shared" si="108"/>
        <v>0</v>
      </c>
      <c r="V146" s="44">
        <f t="shared" si="109"/>
        <v>0</v>
      </c>
      <c r="W146" s="44">
        <f t="shared" si="110"/>
        <v>0</v>
      </c>
      <c r="X146" s="44">
        <f t="shared" si="111"/>
        <v>0</v>
      </c>
      <c r="Y146" s="35" t="s">
        <v>118</v>
      </c>
      <c r="Z146" s="19">
        <f t="shared" si="112"/>
        <v>0</v>
      </c>
      <c r="AA146" s="19">
        <f t="shared" si="113"/>
        <v>0</v>
      </c>
      <c r="AB146" s="19">
        <f t="shared" si="114"/>
        <v>0</v>
      </c>
      <c r="AD146" s="44">
        <v>21</v>
      </c>
      <c r="AE146" s="44">
        <f>G146*0.125315789473684</f>
        <v>0</v>
      </c>
      <c r="AF146" s="44">
        <f>G146*(1-0.125315789473684)</f>
        <v>0</v>
      </c>
      <c r="AG146" s="39" t="s">
        <v>7</v>
      </c>
      <c r="AM146" s="44">
        <f t="shared" si="115"/>
        <v>0</v>
      </c>
      <c r="AN146" s="44">
        <f t="shared" si="116"/>
        <v>0</v>
      </c>
      <c r="AO146" s="45" t="s">
        <v>454</v>
      </c>
      <c r="AP146" s="45" t="s">
        <v>466</v>
      </c>
      <c r="AQ146" s="35" t="s">
        <v>469</v>
      </c>
      <c r="AS146" s="44">
        <f t="shared" si="117"/>
        <v>0</v>
      </c>
      <c r="AT146" s="44">
        <f t="shared" si="118"/>
        <v>0</v>
      </c>
      <c r="AU146" s="44">
        <v>0</v>
      </c>
      <c r="AV146" s="44">
        <f t="shared" si="119"/>
        <v>0.19992000000000001</v>
      </c>
    </row>
    <row r="147" spans="1:48" x14ac:dyDescent="0.25">
      <c r="A147" s="5" t="s">
        <v>106</v>
      </c>
      <c r="B147" s="5" t="s">
        <v>118</v>
      </c>
      <c r="C147" s="5" t="s">
        <v>229</v>
      </c>
      <c r="D147" s="5" t="s">
        <v>380</v>
      </c>
      <c r="E147" s="5" t="s">
        <v>403</v>
      </c>
      <c r="F147" s="19">
        <v>78.67</v>
      </c>
      <c r="G147" s="26">
        <v>0</v>
      </c>
      <c r="H147" s="19">
        <f t="shared" si="100"/>
        <v>0</v>
      </c>
      <c r="I147" s="19">
        <f t="shared" si="101"/>
        <v>0</v>
      </c>
      <c r="J147" s="19">
        <f t="shared" si="102"/>
        <v>0</v>
      </c>
      <c r="K147" s="19">
        <v>8.6999999999999994E-2</v>
      </c>
      <c r="L147" s="19">
        <f t="shared" si="103"/>
        <v>6.84429</v>
      </c>
      <c r="M147" s="39" t="s">
        <v>425</v>
      </c>
      <c r="P147" s="44">
        <f t="shared" si="104"/>
        <v>0</v>
      </c>
      <c r="R147" s="44">
        <f t="shared" si="105"/>
        <v>0</v>
      </c>
      <c r="S147" s="44">
        <f t="shared" si="106"/>
        <v>0</v>
      </c>
      <c r="T147" s="44">
        <f t="shared" si="107"/>
        <v>0</v>
      </c>
      <c r="U147" s="44">
        <f t="shared" si="108"/>
        <v>0</v>
      </c>
      <c r="V147" s="44">
        <f t="shared" si="109"/>
        <v>0</v>
      </c>
      <c r="W147" s="44">
        <f t="shared" si="110"/>
        <v>0</v>
      </c>
      <c r="X147" s="44">
        <f t="shared" si="111"/>
        <v>0</v>
      </c>
      <c r="Y147" s="35" t="s">
        <v>118</v>
      </c>
      <c r="Z147" s="19">
        <f t="shared" si="112"/>
        <v>0</v>
      </c>
      <c r="AA147" s="19">
        <f t="shared" si="113"/>
        <v>0</v>
      </c>
      <c r="AB147" s="19">
        <f t="shared" si="114"/>
        <v>0</v>
      </c>
      <c r="AD147" s="44">
        <v>21</v>
      </c>
      <c r="AE147" s="44">
        <f>G147*0</f>
        <v>0</v>
      </c>
      <c r="AF147" s="44">
        <f>G147*(1-0)</f>
        <v>0</v>
      </c>
      <c r="AG147" s="39" t="s">
        <v>7</v>
      </c>
      <c r="AM147" s="44">
        <f t="shared" si="115"/>
        <v>0</v>
      </c>
      <c r="AN147" s="44">
        <f t="shared" si="116"/>
        <v>0</v>
      </c>
      <c r="AO147" s="45" t="s">
        <v>454</v>
      </c>
      <c r="AP147" s="45" t="s">
        <v>466</v>
      </c>
      <c r="AQ147" s="35" t="s">
        <v>469</v>
      </c>
      <c r="AS147" s="44">
        <f t="shared" si="117"/>
        <v>0</v>
      </c>
      <c r="AT147" s="44">
        <f t="shared" si="118"/>
        <v>0</v>
      </c>
      <c r="AU147" s="44">
        <v>0</v>
      </c>
      <c r="AV147" s="44">
        <f t="shared" si="119"/>
        <v>6.84429</v>
      </c>
    </row>
    <row r="148" spans="1:48" x14ac:dyDescent="0.25">
      <c r="A148" s="4"/>
      <c r="B148" s="14" t="s">
        <v>118</v>
      </c>
      <c r="C148" s="14" t="s">
        <v>230</v>
      </c>
      <c r="D148" s="14" t="s">
        <v>381</v>
      </c>
      <c r="E148" s="4" t="s">
        <v>6</v>
      </c>
      <c r="F148" s="4" t="s">
        <v>6</v>
      </c>
      <c r="G148" s="25" t="s">
        <v>6</v>
      </c>
      <c r="H148" s="47">
        <f>SUM(H149:H149)</f>
        <v>0</v>
      </c>
      <c r="I148" s="47">
        <f>SUM(I149:I149)</f>
        <v>0</v>
      </c>
      <c r="J148" s="47">
        <f>H148+I148</f>
        <v>0</v>
      </c>
      <c r="K148" s="35"/>
      <c r="L148" s="47">
        <f>SUM(L149:L149)</f>
        <v>0</v>
      </c>
      <c r="M148" s="35"/>
      <c r="Y148" s="35" t="s">
        <v>118</v>
      </c>
      <c r="AI148" s="47">
        <f>SUM(Z149:Z149)</f>
        <v>0</v>
      </c>
      <c r="AJ148" s="47">
        <f>SUM(AA149:AA149)</f>
        <v>0</v>
      </c>
      <c r="AK148" s="47">
        <f>SUM(AB149:AB149)</f>
        <v>0</v>
      </c>
    </row>
    <row r="149" spans="1:48" x14ac:dyDescent="0.25">
      <c r="A149" s="5" t="s">
        <v>107</v>
      </c>
      <c r="B149" s="5" t="s">
        <v>118</v>
      </c>
      <c r="C149" s="5" t="s">
        <v>231</v>
      </c>
      <c r="D149" s="5" t="s">
        <v>382</v>
      </c>
      <c r="E149" s="5" t="s">
        <v>405</v>
      </c>
      <c r="F149" s="19">
        <v>6</v>
      </c>
      <c r="G149" s="26">
        <v>0</v>
      </c>
      <c r="H149" s="19">
        <f>F149*AE149</f>
        <v>0</v>
      </c>
      <c r="I149" s="19">
        <f>J149-H149</f>
        <v>0</v>
      </c>
      <c r="J149" s="19">
        <f>F149*G149</f>
        <v>0</v>
      </c>
      <c r="K149" s="19">
        <v>0</v>
      </c>
      <c r="L149" s="19">
        <f>F149*K149</f>
        <v>0</v>
      </c>
      <c r="M149" s="39" t="s">
        <v>425</v>
      </c>
      <c r="P149" s="44">
        <f>IF(AG149="5",J149,0)</f>
        <v>0</v>
      </c>
      <c r="R149" s="44">
        <f>IF(AG149="1",H149,0)</f>
        <v>0</v>
      </c>
      <c r="S149" s="44">
        <f>IF(AG149="1",I149,0)</f>
        <v>0</v>
      </c>
      <c r="T149" s="44">
        <f>IF(AG149="7",H149,0)</f>
        <v>0</v>
      </c>
      <c r="U149" s="44">
        <f>IF(AG149="7",I149,0)</f>
        <v>0</v>
      </c>
      <c r="V149" s="44">
        <f>IF(AG149="2",H149,0)</f>
        <v>0</v>
      </c>
      <c r="W149" s="44">
        <f>IF(AG149="2",I149,0)</f>
        <v>0</v>
      </c>
      <c r="X149" s="44">
        <f>IF(AG149="0",J149,0)</f>
        <v>0</v>
      </c>
      <c r="Y149" s="35" t="s">
        <v>118</v>
      </c>
      <c r="Z149" s="19">
        <f>IF(AD149=0,J149,0)</f>
        <v>0</v>
      </c>
      <c r="AA149" s="19">
        <f>IF(AD149=15,J149,0)</f>
        <v>0</v>
      </c>
      <c r="AB149" s="19">
        <f>IF(AD149=21,J149,0)</f>
        <v>0</v>
      </c>
      <c r="AD149" s="44">
        <v>21</v>
      </c>
      <c r="AE149" s="44">
        <f>G149*0</f>
        <v>0</v>
      </c>
      <c r="AF149" s="44">
        <f>G149*(1-0)</f>
        <v>0</v>
      </c>
      <c r="AG149" s="39" t="s">
        <v>8</v>
      </c>
      <c r="AM149" s="44">
        <f>F149*AE149</f>
        <v>0</v>
      </c>
      <c r="AN149" s="44">
        <f>F149*AF149</f>
        <v>0</v>
      </c>
      <c r="AO149" s="45" t="s">
        <v>455</v>
      </c>
      <c r="AP149" s="45" t="s">
        <v>466</v>
      </c>
      <c r="AQ149" s="35" t="s">
        <v>469</v>
      </c>
      <c r="AS149" s="44">
        <f>AM149+AN149</f>
        <v>0</v>
      </c>
      <c r="AT149" s="44">
        <f>G149/(100-AU149)*100</f>
        <v>0</v>
      </c>
      <c r="AU149" s="44">
        <v>0</v>
      </c>
      <c r="AV149" s="44">
        <f>L149</f>
        <v>0</v>
      </c>
    </row>
    <row r="150" spans="1:48" x14ac:dyDescent="0.25">
      <c r="A150" s="4"/>
      <c r="B150" s="14" t="s">
        <v>118</v>
      </c>
      <c r="C150" s="14" t="s">
        <v>232</v>
      </c>
      <c r="D150" s="14" t="s">
        <v>383</v>
      </c>
      <c r="E150" s="4" t="s">
        <v>6</v>
      </c>
      <c r="F150" s="4" t="s">
        <v>6</v>
      </c>
      <c r="G150" s="25" t="s">
        <v>6</v>
      </c>
      <c r="H150" s="47">
        <f>SUM(H151:H156)</f>
        <v>0</v>
      </c>
      <c r="I150" s="47">
        <f>SUM(I151:I156)</f>
        <v>0</v>
      </c>
      <c r="J150" s="47">
        <f>H150+I150</f>
        <v>0</v>
      </c>
      <c r="K150" s="35"/>
      <c r="L150" s="47">
        <f>SUM(L151:L156)</f>
        <v>0</v>
      </c>
      <c r="M150" s="35"/>
      <c r="Y150" s="35" t="s">
        <v>118</v>
      </c>
      <c r="AI150" s="47">
        <f>SUM(Z151:Z156)</f>
        <v>0</v>
      </c>
      <c r="AJ150" s="47">
        <f>SUM(AA151:AA156)</f>
        <v>0</v>
      </c>
      <c r="AK150" s="47">
        <f>SUM(AB151:AB156)</f>
        <v>0</v>
      </c>
    </row>
    <row r="151" spans="1:48" x14ac:dyDescent="0.25">
      <c r="A151" s="5" t="s">
        <v>108</v>
      </c>
      <c r="B151" s="5" t="s">
        <v>118</v>
      </c>
      <c r="C151" s="5" t="s">
        <v>233</v>
      </c>
      <c r="D151" s="5" t="s">
        <v>384</v>
      </c>
      <c r="E151" s="5" t="s">
        <v>404</v>
      </c>
      <c r="F151" s="19">
        <v>12.2598</v>
      </c>
      <c r="G151" s="26">
        <v>0</v>
      </c>
      <c r="H151" s="19">
        <f t="shared" ref="H151:H156" si="120">F151*AE151</f>
        <v>0</v>
      </c>
      <c r="I151" s="19">
        <f t="shared" ref="I151:I156" si="121">J151-H151</f>
        <v>0</v>
      </c>
      <c r="J151" s="19">
        <f t="shared" ref="J151:J156" si="122">F151*G151</f>
        <v>0</v>
      </c>
      <c r="K151" s="19">
        <v>0</v>
      </c>
      <c r="L151" s="19">
        <f t="shared" ref="L151:L156" si="123">F151*K151</f>
        <v>0</v>
      </c>
      <c r="M151" s="39" t="s">
        <v>425</v>
      </c>
      <c r="P151" s="44">
        <f t="shared" ref="P151:P156" si="124">IF(AG151="5",J151,0)</f>
        <v>0</v>
      </c>
      <c r="R151" s="44">
        <f t="shared" ref="R151:R156" si="125">IF(AG151="1",H151,0)</f>
        <v>0</v>
      </c>
      <c r="S151" s="44">
        <f t="shared" ref="S151:S156" si="126">IF(AG151="1",I151,0)</f>
        <v>0</v>
      </c>
      <c r="T151" s="44">
        <f t="shared" ref="T151:T156" si="127">IF(AG151="7",H151,0)</f>
        <v>0</v>
      </c>
      <c r="U151" s="44">
        <f t="shared" ref="U151:U156" si="128">IF(AG151="7",I151,0)</f>
        <v>0</v>
      </c>
      <c r="V151" s="44">
        <f t="shared" ref="V151:V156" si="129">IF(AG151="2",H151,0)</f>
        <v>0</v>
      </c>
      <c r="W151" s="44">
        <f t="shared" ref="W151:W156" si="130">IF(AG151="2",I151,0)</f>
        <v>0</v>
      </c>
      <c r="X151" s="44">
        <f t="shared" ref="X151:X156" si="131">IF(AG151="0",J151,0)</f>
        <v>0</v>
      </c>
      <c r="Y151" s="35" t="s">
        <v>118</v>
      </c>
      <c r="Z151" s="19">
        <f t="shared" ref="Z151:Z156" si="132">IF(AD151=0,J151,0)</f>
        <v>0</v>
      </c>
      <c r="AA151" s="19">
        <f t="shared" ref="AA151:AA156" si="133">IF(AD151=15,J151,0)</f>
        <v>0</v>
      </c>
      <c r="AB151" s="19">
        <f t="shared" ref="AB151:AB156" si="134">IF(AD151=21,J151,0)</f>
        <v>0</v>
      </c>
      <c r="AD151" s="44">
        <v>21</v>
      </c>
      <c r="AE151" s="44">
        <f t="shared" ref="AE151:AE156" si="135">G151*0</f>
        <v>0</v>
      </c>
      <c r="AF151" s="44">
        <f t="shared" ref="AF151:AF156" si="136">G151*(1-0)</f>
        <v>0</v>
      </c>
      <c r="AG151" s="39" t="s">
        <v>11</v>
      </c>
      <c r="AM151" s="44">
        <f t="shared" ref="AM151:AM156" si="137">F151*AE151</f>
        <v>0</v>
      </c>
      <c r="AN151" s="44">
        <f t="shared" ref="AN151:AN156" si="138">F151*AF151</f>
        <v>0</v>
      </c>
      <c r="AO151" s="45" t="s">
        <v>456</v>
      </c>
      <c r="AP151" s="45" t="s">
        <v>466</v>
      </c>
      <c r="AQ151" s="35" t="s">
        <v>469</v>
      </c>
      <c r="AS151" s="44">
        <f t="shared" ref="AS151:AS156" si="139">AM151+AN151</f>
        <v>0</v>
      </c>
      <c r="AT151" s="44">
        <f t="shared" ref="AT151:AT156" si="140">G151/(100-AU151)*100</f>
        <v>0</v>
      </c>
      <c r="AU151" s="44">
        <v>0</v>
      </c>
      <c r="AV151" s="44">
        <f t="shared" ref="AV151:AV156" si="141">L151</f>
        <v>0</v>
      </c>
    </row>
    <row r="152" spans="1:48" x14ac:dyDescent="0.25">
      <c r="A152" s="5" t="s">
        <v>109</v>
      </c>
      <c r="B152" s="5" t="s">
        <v>118</v>
      </c>
      <c r="C152" s="5" t="s">
        <v>234</v>
      </c>
      <c r="D152" s="5" t="s">
        <v>385</v>
      </c>
      <c r="E152" s="5" t="s">
        <v>404</v>
      </c>
      <c r="F152" s="19">
        <v>12.2598</v>
      </c>
      <c r="G152" s="26">
        <v>0</v>
      </c>
      <c r="H152" s="19">
        <f t="shared" si="120"/>
        <v>0</v>
      </c>
      <c r="I152" s="19">
        <f t="shared" si="121"/>
        <v>0</v>
      </c>
      <c r="J152" s="19">
        <f t="shared" si="122"/>
        <v>0</v>
      </c>
      <c r="K152" s="19">
        <v>0</v>
      </c>
      <c r="L152" s="19">
        <f t="shared" si="123"/>
        <v>0</v>
      </c>
      <c r="M152" s="39" t="s">
        <v>425</v>
      </c>
      <c r="P152" s="44">
        <f t="shared" si="124"/>
        <v>0</v>
      </c>
      <c r="R152" s="44">
        <f t="shared" si="125"/>
        <v>0</v>
      </c>
      <c r="S152" s="44">
        <f t="shared" si="126"/>
        <v>0</v>
      </c>
      <c r="T152" s="44">
        <f t="shared" si="127"/>
        <v>0</v>
      </c>
      <c r="U152" s="44">
        <f t="shared" si="128"/>
        <v>0</v>
      </c>
      <c r="V152" s="44">
        <f t="shared" si="129"/>
        <v>0</v>
      </c>
      <c r="W152" s="44">
        <f t="shared" si="130"/>
        <v>0</v>
      </c>
      <c r="X152" s="44">
        <f t="shared" si="131"/>
        <v>0</v>
      </c>
      <c r="Y152" s="35" t="s">
        <v>118</v>
      </c>
      <c r="Z152" s="19">
        <f t="shared" si="132"/>
        <v>0</v>
      </c>
      <c r="AA152" s="19">
        <f t="shared" si="133"/>
        <v>0</v>
      </c>
      <c r="AB152" s="19">
        <f t="shared" si="134"/>
        <v>0</v>
      </c>
      <c r="AD152" s="44">
        <v>21</v>
      </c>
      <c r="AE152" s="44">
        <f t="shared" si="135"/>
        <v>0</v>
      </c>
      <c r="AF152" s="44">
        <f t="shared" si="136"/>
        <v>0</v>
      </c>
      <c r="AG152" s="39" t="s">
        <v>11</v>
      </c>
      <c r="AM152" s="44">
        <f t="shared" si="137"/>
        <v>0</v>
      </c>
      <c r="AN152" s="44">
        <f t="shared" si="138"/>
        <v>0</v>
      </c>
      <c r="AO152" s="45" t="s">
        <v>456</v>
      </c>
      <c r="AP152" s="45" t="s">
        <v>466</v>
      </c>
      <c r="AQ152" s="35" t="s">
        <v>469</v>
      </c>
      <c r="AS152" s="44">
        <f t="shared" si="139"/>
        <v>0</v>
      </c>
      <c r="AT152" s="44">
        <f t="shared" si="140"/>
        <v>0</v>
      </c>
      <c r="AU152" s="44">
        <v>0</v>
      </c>
      <c r="AV152" s="44">
        <f t="shared" si="141"/>
        <v>0</v>
      </c>
    </row>
    <row r="153" spans="1:48" x14ac:dyDescent="0.25">
      <c r="A153" s="5" t="s">
        <v>110</v>
      </c>
      <c r="B153" s="5" t="s">
        <v>118</v>
      </c>
      <c r="C153" s="5" t="s">
        <v>235</v>
      </c>
      <c r="D153" s="5" t="s">
        <v>386</v>
      </c>
      <c r="E153" s="5" t="s">
        <v>404</v>
      </c>
      <c r="F153" s="19">
        <v>12.2598</v>
      </c>
      <c r="G153" s="26">
        <v>0</v>
      </c>
      <c r="H153" s="19">
        <f t="shared" si="120"/>
        <v>0</v>
      </c>
      <c r="I153" s="19">
        <f t="shared" si="121"/>
        <v>0</v>
      </c>
      <c r="J153" s="19">
        <f t="shared" si="122"/>
        <v>0</v>
      </c>
      <c r="K153" s="19">
        <v>0</v>
      </c>
      <c r="L153" s="19">
        <f t="shared" si="123"/>
        <v>0</v>
      </c>
      <c r="M153" s="39" t="s">
        <v>425</v>
      </c>
      <c r="P153" s="44">
        <f t="shared" si="124"/>
        <v>0</v>
      </c>
      <c r="R153" s="44">
        <f t="shared" si="125"/>
        <v>0</v>
      </c>
      <c r="S153" s="44">
        <f t="shared" si="126"/>
        <v>0</v>
      </c>
      <c r="T153" s="44">
        <f t="shared" si="127"/>
        <v>0</v>
      </c>
      <c r="U153" s="44">
        <f t="shared" si="128"/>
        <v>0</v>
      </c>
      <c r="V153" s="44">
        <f t="shared" si="129"/>
        <v>0</v>
      </c>
      <c r="W153" s="44">
        <f t="shared" si="130"/>
        <v>0</v>
      </c>
      <c r="X153" s="44">
        <f t="shared" si="131"/>
        <v>0</v>
      </c>
      <c r="Y153" s="35" t="s">
        <v>118</v>
      </c>
      <c r="Z153" s="19">
        <f t="shared" si="132"/>
        <v>0</v>
      </c>
      <c r="AA153" s="19">
        <f t="shared" si="133"/>
        <v>0</v>
      </c>
      <c r="AB153" s="19">
        <f t="shared" si="134"/>
        <v>0</v>
      </c>
      <c r="AD153" s="44">
        <v>21</v>
      </c>
      <c r="AE153" s="44">
        <f t="shared" si="135"/>
        <v>0</v>
      </c>
      <c r="AF153" s="44">
        <f t="shared" si="136"/>
        <v>0</v>
      </c>
      <c r="AG153" s="39" t="s">
        <v>11</v>
      </c>
      <c r="AM153" s="44">
        <f t="shared" si="137"/>
        <v>0</v>
      </c>
      <c r="AN153" s="44">
        <f t="shared" si="138"/>
        <v>0</v>
      </c>
      <c r="AO153" s="45" t="s">
        <v>456</v>
      </c>
      <c r="AP153" s="45" t="s">
        <v>466</v>
      </c>
      <c r="AQ153" s="35" t="s">
        <v>469</v>
      </c>
      <c r="AS153" s="44">
        <f t="shared" si="139"/>
        <v>0</v>
      </c>
      <c r="AT153" s="44">
        <f t="shared" si="140"/>
        <v>0</v>
      </c>
      <c r="AU153" s="44">
        <v>0</v>
      </c>
      <c r="AV153" s="44">
        <f t="shared" si="141"/>
        <v>0</v>
      </c>
    </row>
    <row r="154" spans="1:48" x14ac:dyDescent="0.25">
      <c r="A154" s="5" t="s">
        <v>111</v>
      </c>
      <c r="B154" s="5" t="s">
        <v>118</v>
      </c>
      <c r="C154" s="5" t="s">
        <v>236</v>
      </c>
      <c r="D154" s="5" t="s">
        <v>387</v>
      </c>
      <c r="E154" s="5" t="s">
        <v>404</v>
      </c>
      <c r="F154" s="19">
        <v>11.373200000000001</v>
      </c>
      <c r="G154" s="26">
        <v>0</v>
      </c>
      <c r="H154" s="19">
        <f t="shared" si="120"/>
        <v>0</v>
      </c>
      <c r="I154" s="19">
        <f t="shared" si="121"/>
        <v>0</v>
      </c>
      <c r="J154" s="19">
        <f t="shared" si="122"/>
        <v>0</v>
      </c>
      <c r="K154" s="19">
        <v>0</v>
      </c>
      <c r="L154" s="19">
        <f t="shared" si="123"/>
        <v>0</v>
      </c>
      <c r="M154" s="39" t="s">
        <v>425</v>
      </c>
      <c r="P154" s="44">
        <f t="shared" si="124"/>
        <v>0</v>
      </c>
      <c r="R154" s="44">
        <f t="shared" si="125"/>
        <v>0</v>
      </c>
      <c r="S154" s="44">
        <f t="shared" si="126"/>
        <v>0</v>
      </c>
      <c r="T154" s="44">
        <f t="shared" si="127"/>
        <v>0</v>
      </c>
      <c r="U154" s="44">
        <f t="shared" si="128"/>
        <v>0</v>
      </c>
      <c r="V154" s="44">
        <f t="shared" si="129"/>
        <v>0</v>
      </c>
      <c r="W154" s="44">
        <f t="shared" si="130"/>
        <v>0</v>
      </c>
      <c r="X154" s="44">
        <f t="shared" si="131"/>
        <v>0</v>
      </c>
      <c r="Y154" s="35" t="s">
        <v>118</v>
      </c>
      <c r="Z154" s="19">
        <f t="shared" si="132"/>
        <v>0</v>
      </c>
      <c r="AA154" s="19">
        <f t="shared" si="133"/>
        <v>0</v>
      </c>
      <c r="AB154" s="19">
        <f t="shared" si="134"/>
        <v>0</v>
      </c>
      <c r="AD154" s="44">
        <v>21</v>
      </c>
      <c r="AE154" s="44">
        <f t="shared" si="135"/>
        <v>0</v>
      </c>
      <c r="AF154" s="44">
        <f t="shared" si="136"/>
        <v>0</v>
      </c>
      <c r="AG154" s="39" t="s">
        <v>11</v>
      </c>
      <c r="AM154" s="44">
        <f t="shared" si="137"/>
        <v>0</v>
      </c>
      <c r="AN154" s="44">
        <f t="shared" si="138"/>
        <v>0</v>
      </c>
      <c r="AO154" s="45" t="s">
        <v>456</v>
      </c>
      <c r="AP154" s="45" t="s">
        <v>466</v>
      </c>
      <c r="AQ154" s="35" t="s">
        <v>469</v>
      </c>
      <c r="AS154" s="44">
        <f t="shared" si="139"/>
        <v>0</v>
      </c>
      <c r="AT154" s="44">
        <f t="shared" si="140"/>
        <v>0</v>
      </c>
      <c r="AU154" s="44">
        <v>0</v>
      </c>
      <c r="AV154" s="44">
        <f t="shared" si="141"/>
        <v>0</v>
      </c>
    </row>
    <row r="155" spans="1:48" x14ac:dyDescent="0.25">
      <c r="A155" s="5" t="s">
        <v>112</v>
      </c>
      <c r="B155" s="5" t="s">
        <v>118</v>
      </c>
      <c r="C155" s="5" t="s">
        <v>237</v>
      </c>
      <c r="D155" s="5" t="s">
        <v>388</v>
      </c>
      <c r="E155" s="5" t="s">
        <v>404</v>
      </c>
      <c r="F155" s="19">
        <v>0.80659999999999998</v>
      </c>
      <c r="G155" s="26">
        <v>0</v>
      </c>
      <c r="H155" s="19">
        <f t="shared" si="120"/>
        <v>0</v>
      </c>
      <c r="I155" s="19">
        <f t="shared" si="121"/>
        <v>0</v>
      </c>
      <c r="J155" s="19">
        <f t="shared" si="122"/>
        <v>0</v>
      </c>
      <c r="K155" s="19">
        <v>0</v>
      </c>
      <c r="L155" s="19">
        <f t="shared" si="123"/>
        <v>0</v>
      </c>
      <c r="M155" s="39" t="s">
        <v>425</v>
      </c>
      <c r="P155" s="44">
        <f t="shared" si="124"/>
        <v>0</v>
      </c>
      <c r="R155" s="44">
        <f t="shared" si="125"/>
        <v>0</v>
      </c>
      <c r="S155" s="44">
        <f t="shared" si="126"/>
        <v>0</v>
      </c>
      <c r="T155" s="44">
        <f t="shared" si="127"/>
        <v>0</v>
      </c>
      <c r="U155" s="44">
        <f t="shared" si="128"/>
        <v>0</v>
      </c>
      <c r="V155" s="44">
        <f t="shared" si="129"/>
        <v>0</v>
      </c>
      <c r="W155" s="44">
        <f t="shared" si="130"/>
        <v>0</v>
      </c>
      <c r="X155" s="44">
        <f t="shared" si="131"/>
        <v>0</v>
      </c>
      <c r="Y155" s="35" t="s">
        <v>118</v>
      </c>
      <c r="Z155" s="19">
        <f t="shared" si="132"/>
        <v>0</v>
      </c>
      <c r="AA155" s="19">
        <f t="shared" si="133"/>
        <v>0</v>
      </c>
      <c r="AB155" s="19">
        <f t="shared" si="134"/>
        <v>0</v>
      </c>
      <c r="AD155" s="44">
        <v>21</v>
      </c>
      <c r="AE155" s="44">
        <f t="shared" si="135"/>
        <v>0</v>
      </c>
      <c r="AF155" s="44">
        <f t="shared" si="136"/>
        <v>0</v>
      </c>
      <c r="AG155" s="39" t="s">
        <v>11</v>
      </c>
      <c r="AM155" s="44">
        <f t="shared" si="137"/>
        <v>0</v>
      </c>
      <c r="AN155" s="44">
        <f t="shared" si="138"/>
        <v>0</v>
      </c>
      <c r="AO155" s="45" t="s">
        <v>456</v>
      </c>
      <c r="AP155" s="45" t="s">
        <v>466</v>
      </c>
      <c r="AQ155" s="35" t="s">
        <v>469</v>
      </c>
      <c r="AS155" s="44">
        <f t="shared" si="139"/>
        <v>0</v>
      </c>
      <c r="AT155" s="44">
        <f t="shared" si="140"/>
        <v>0</v>
      </c>
      <c r="AU155" s="44">
        <v>0</v>
      </c>
      <c r="AV155" s="44">
        <f t="shared" si="141"/>
        <v>0</v>
      </c>
    </row>
    <row r="156" spans="1:48" x14ac:dyDescent="0.25">
      <c r="A156" s="5" t="s">
        <v>113</v>
      </c>
      <c r="B156" s="5" t="s">
        <v>118</v>
      </c>
      <c r="C156" s="5" t="s">
        <v>238</v>
      </c>
      <c r="D156" s="5" t="s">
        <v>389</v>
      </c>
      <c r="E156" s="5" t="s">
        <v>404</v>
      </c>
      <c r="F156" s="19">
        <v>0.08</v>
      </c>
      <c r="G156" s="26">
        <v>0</v>
      </c>
      <c r="H156" s="19">
        <f t="shared" si="120"/>
        <v>0</v>
      </c>
      <c r="I156" s="19">
        <f t="shared" si="121"/>
        <v>0</v>
      </c>
      <c r="J156" s="19">
        <f t="shared" si="122"/>
        <v>0</v>
      </c>
      <c r="K156" s="19">
        <v>0</v>
      </c>
      <c r="L156" s="19">
        <f t="shared" si="123"/>
        <v>0</v>
      </c>
      <c r="M156" s="39" t="s">
        <v>425</v>
      </c>
      <c r="P156" s="44">
        <f t="shared" si="124"/>
        <v>0</v>
      </c>
      <c r="R156" s="44">
        <f t="shared" si="125"/>
        <v>0</v>
      </c>
      <c r="S156" s="44">
        <f t="shared" si="126"/>
        <v>0</v>
      </c>
      <c r="T156" s="44">
        <f t="shared" si="127"/>
        <v>0</v>
      </c>
      <c r="U156" s="44">
        <f t="shared" si="128"/>
        <v>0</v>
      </c>
      <c r="V156" s="44">
        <f t="shared" si="129"/>
        <v>0</v>
      </c>
      <c r="W156" s="44">
        <f t="shared" si="130"/>
        <v>0</v>
      </c>
      <c r="X156" s="44">
        <f t="shared" si="131"/>
        <v>0</v>
      </c>
      <c r="Y156" s="35" t="s">
        <v>118</v>
      </c>
      <c r="Z156" s="19">
        <f t="shared" si="132"/>
        <v>0</v>
      </c>
      <c r="AA156" s="19">
        <f t="shared" si="133"/>
        <v>0</v>
      </c>
      <c r="AB156" s="19">
        <f t="shared" si="134"/>
        <v>0</v>
      </c>
      <c r="AD156" s="44">
        <v>21</v>
      </c>
      <c r="AE156" s="44">
        <f t="shared" si="135"/>
        <v>0</v>
      </c>
      <c r="AF156" s="44">
        <f t="shared" si="136"/>
        <v>0</v>
      </c>
      <c r="AG156" s="39" t="s">
        <v>11</v>
      </c>
      <c r="AM156" s="44">
        <f t="shared" si="137"/>
        <v>0</v>
      </c>
      <c r="AN156" s="44">
        <f t="shared" si="138"/>
        <v>0</v>
      </c>
      <c r="AO156" s="45" t="s">
        <v>456</v>
      </c>
      <c r="AP156" s="45" t="s">
        <v>466</v>
      </c>
      <c r="AQ156" s="35" t="s">
        <v>469</v>
      </c>
      <c r="AS156" s="44">
        <f t="shared" si="139"/>
        <v>0</v>
      </c>
      <c r="AT156" s="44">
        <f t="shared" si="140"/>
        <v>0</v>
      </c>
      <c r="AU156" s="44">
        <v>0</v>
      </c>
      <c r="AV156" s="44">
        <f t="shared" si="141"/>
        <v>0</v>
      </c>
    </row>
    <row r="157" spans="1:48" x14ac:dyDescent="0.25">
      <c r="A157" s="7"/>
      <c r="B157" s="15" t="s">
        <v>119</v>
      </c>
      <c r="C157" s="15"/>
      <c r="D157" s="15" t="s">
        <v>390</v>
      </c>
      <c r="E157" s="7" t="s">
        <v>6</v>
      </c>
      <c r="F157" s="7" t="s">
        <v>6</v>
      </c>
      <c r="G157" s="29" t="s">
        <v>6</v>
      </c>
      <c r="H157" s="48">
        <f>H158</f>
        <v>0</v>
      </c>
      <c r="I157" s="48">
        <f>I158</f>
        <v>0</v>
      </c>
      <c r="J157" s="48">
        <f>H157+I157</f>
        <v>0</v>
      </c>
      <c r="K157" s="36"/>
      <c r="L157" s="48">
        <f>L158</f>
        <v>0</v>
      </c>
      <c r="M157" s="36"/>
    </row>
    <row r="158" spans="1:48" x14ac:dyDescent="0.25">
      <c r="A158" s="4"/>
      <c r="B158" s="14" t="s">
        <v>119</v>
      </c>
      <c r="C158" s="14" t="s">
        <v>239</v>
      </c>
      <c r="D158" s="14" t="s">
        <v>391</v>
      </c>
      <c r="E158" s="4" t="s">
        <v>6</v>
      </c>
      <c r="F158" s="4" t="s">
        <v>6</v>
      </c>
      <c r="G158" s="25" t="s">
        <v>6</v>
      </c>
      <c r="H158" s="47">
        <f>SUM(H159:H159)</f>
        <v>0</v>
      </c>
      <c r="I158" s="47">
        <f>SUM(I159:I159)</f>
        <v>0</v>
      </c>
      <c r="J158" s="47">
        <f>H158+I158</f>
        <v>0</v>
      </c>
      <c r="K158" s="35"/>
      <c r="L158" s="47">
        <f>SUM(L159:L159)</f>
        <v>0</v>
      </c>
      <c r="M158" s="35"/>
      <c r="Y158" s="35" t="s">
        <v>119</v>
      </c>
      <c r="AI158" s="47">
        <f>SUM(Z159:Z159)</f>
        <v>0</v>
      </c>
      <c r="AJ158" s="47">
        <f>SUM(AA159:AA159)</f>
        <v>0</v>
      </c>
      <c r="AK158" s="47">
        <f>SUM(AB159:AB159)</f>
        <v>0</v>
      </c>
    </row>
    <row r="159" spans="1:48" x14ac:dyDescent="0.25">
      <c r="A159" s="5" t="s">
        <v>114</v>
      </c>
      <c r="B159" s="5" t="s">
        <v>119</v>
      </c>
      <c r="C159" s="5" t="s">
        <v>240</v>
      </c>
      <c r="D159" s="5" t="s">
        <v>392</v>
      </c>
      <c r="E159" s="5" t="s">
        <v>406</v>
      </c>
      <c r="F159" s="19">
        <v>1</v>
      </c>
      <c r="G159" s="26">
        <v>0</v>
      </c>
      <c r="H159" s="19">
        <f>F159*AE159</f>
        <v>0</v>
      </c>
      <c r="I159" s="19">
        <f>J159-H159</f>
        <v>0</v>
      </c>
      <c r="J159" s="19">
        <f>F159*G159</f>
        <v>0</v>
      </c>
      <c r="K159" s="19">
        <v>0</v>
      </c>
      <c r="L159" s="19">
        <f>F159*K159</f>
        <v>0</v>
      </c>
      <c r="M159" s="39"/>
      <c r="P159" s="44">
        <f>IF(AG159="5",J159,0)</f>
        <v>0</v>
      </c>
      <c r="R159" s="44">
        <f>IF(AG159="1",H159,0)</f>
        <v>0</v>
      </c>
      <c r="S159" s="44">
        <f>IF(AG159="1",I159,0)</f>
        <v>0</v>
      </c>
      <c r="T159" s="44">
        <f>IF(AG159="7",H159,0)</f>
        <v>0</v>
      </c>
      <c r="U159" s="44">
        <f>IF(AG159="7",I159,0)</f>
        <v>0</v>
      </c>
      <c r="V159" s="44">
        <f>IF(AG159="2",H159,0)</f>
        <v>0</v>
      </c>
      <c r="W159" s="44">
        <f>IF(AG159="2",I159,0)</f>
        <v>0</v>
      </c>
      <c r="X159" s="44">
        <f>IF(AG159="0",J159,0)</f>
        <v>0</v>
      </c>
      <c r="Y159" s="35" t="s">
        <v>119</v>
      </c>
      <c r="Z159" s="19">
        <f>IF(AD159=0,J159,0)</f>
        <v>0</v>
      </c>
      <c r="AA159" s="19">
        <f>IF(AD159=15,J159,0)</f>
        <v>0</v>
      </c>
      <c r="AB159" s="19">
        <f>IF(AD159=21,J159,0)</f>
        <v>0</v>
      </c>
      <c r="AD159" s="44">
        <v>21</v>
      </c>
      <c r="AE159" s="44">
        <f>G159*0</f>
        <v>0</v>
      </c>
      <c r="AF159" s="44">
        <f>G159*(1-0)</f>
        <v>0</v>
      </c>
      <c r="AG159" s="39" t="s">
        <v>7</v>
      </c>
      <c r="AM159" s="44">
        <f>F159*AE159</f>
        <v>0</v>
      </c>
      <c r="AN159" s="44">
        <f>F159*AF159</f>
        <v>0</v>
      </c>
      <c r="AO159" s="45" t="s">
        <v>457</v>
      </c>
      <c r="AP159" s="45" t="s">
        <v>467</v>
      </c>
      <c r="AQ159" s="35" t="s">
        <v>470</v>
      </c>
      <c r="AS159" s="44">
        <f>AM159+AN159</f>
        <v>0</v>
      </c>
      <c r="AT159" s="44">
        <f>G159/(100-AU159)*100</f>
        <v>0</v>
      </c>
      <c r="AU159" s="44">
        <v>0</v>
      </c>
      <c r="AV159" s="44">
        <f>L159</f>
        <v>0</v>
      </c>
    </row>
    <row r="160" spans="1:48" x14ac:dyDescent="0.25">
      <c r="A160" s="7"/>
      <c r="B160" s="15" t="s">
        <v>120</v>
      </c>
      <c r="C160" s="15"/>
      <c r="D160" s="15" t="s">
        <v>393</v>
      </c>
      <c r="E160" s="7" t="s">
        <v>6</v>
      </c>
      <c r="F160" s="7" t="s">
        <v>6</v>
      </c>
      <c r="G160" s="29" t="s">
        <v>6</v>
      </c>
      <c r="H160" s="48">
        <f>H161</f>
        <v>0</v>
      </c>
      <c r="I160" s="48">
        <f>I161</f>
        <v>0</v>
      </c>
      <c r="J160" s="48">
        <f>H160+I160</f>
        <v>0</v>
      </c>
      <c r="K160" s="36"/>
      <c r="L160" s="48">
        <f>L161</f>
        <v>0</v>
      </c>
      <c r="M160" s="36"/>
    </row>
    <row r="161" spans="1:48" x14ac:dyDescent="0.25">
      <c r="A161" s="4"/>
      <c r="B161" s="14" t="s">
        <v>120</v>
      </c>
      <c r="C161" s="14" t="s">
        <v>241</v>
      </c>
      <c r="D161" s="14" t="s">
        <v>394</v>
      </c>
      <c r="E161" s="4" t="s">
        <v>6</v>
      </c>
      <c r="F161" s="4" t="s">
        <v>6</v>
      </c>
      <c r="G161" s="25" t="s">
        <v>6</v>
      </c>
      <c r="H161" s="47">
        <f>SUM(H162:H162)</f>
        <v>0</v>
      </c>
      <c r="I161" s="47">
        <f>SUM(I162:I162)</f>
        <v>0</v>
      </c>
      <c r="J161" s="47">
        <f>H161+I161</f>
        <v>0</v>
      </c>
      <c r="K161" s="35"/>
      <c r="L161" s="47">
        <f>SUM(L162:L162)</f>
        <v>0</v>
      </c>
      <c r="M161" s="35"/>
      <c r="Y161" s="35" t="s">
        <v>120</v>
      </c>
      <c r="AI161" s="47">
        <f>SUM(Z162:Z162)</f>
        <v>0</v>
      </c>
      <c r="AJ161" s="47">
        <f>SUM(AA162:AA162)</f>
        <v>0</v>
      </c>
      <c r="AK161" s="47">
        <f>SUM(AB162:AB162)</f>
        <v>0</v>
      </c>
    </row>
    <row r="162" spans="1:48" x14ac:dyDescent="0.25">
      <c r="A162" s="8" t="s">
        <v>115</v>
      </c>
      <c r="B162" s="8" t="s">
        <v>120</v>
      </c>
      <c r="C162" s="8" t="s">
        <v>242</v>
      </c>
      <c r="D162" s="8" t="s">
        <v>395</v>
      </c>
      <c r="E162" s="8" t="s">
        <v>406</v>
      </c>
      <c r="F162" s="21">
        <v>1</v>
      </c>
      <c r="G162" s="30">
        <v>0</v>
      </c>
      <c r="H162" s="21">
        <f>F162*AE162</f>
        <v>0</v>
      </c>
      <c r="I162" s="21">
        <f>J162-H162</f>
        <v>0</v>
      </c>
      <c r="J162" s="21">
        <f>F162*G162</f>
        <v>0</v>
      </c>
      <c r="K162" s="21">
        <v>0</v>
      </c>
      <c r="L162" s="21">
        <f>F162*K162</f>
        <v>0</v>
      </c>
      <c r="M162" s="41"/>
      <c r="P162" s="44">
        <f>IF(AG162="5",J162,0)</f>
        <v>0</v>
      </c>
      <c r="R162" s="44">
        <f>IF(AG162="1",H162,0)</f>
        <v>0</v>
      </c>
      <c r="S162" s="44">
        <f>IF(AG162="1",I162,0)</f>
        <v>0</v>
      </c>
      <c r="T162" s="44">
        <f>IF(AG162="7",H162,0)</f>
        <v>0</v>
      </c>
      <c r="U162" s="44">
        <f>IF(AG162="7",I162,0)</f>
        <v>0</v>
      </c>
      <c r="V162" s="44">
        <f>IF(AG162="2",H162,0)</f>
        <v>0</v>
      </c>
      <c r="W162" s="44">
        <f>IF(AG162="2",I162,0)</f>
        <v>0</v>
      </c>
      <c r="X162" s="44">
        <f>IF(AG162="0",J162,0)</f>
        <v>0</v>
      </c>
      <c r="Y162" s="35" t="s">
        <v>120</v>
      </c>
      <c r="Z162" s="19">
        <f>IF(AD162=0,J162,0)</f>
        <v>0</v>
      </c>
      <c r="AA162" s="19">
        <f>IF(AD162=15,J162,0)</f>
        <v>0</v>
      </c>
      <c r="AB162" s="19">
        <f>IF(AD162=21,J162,0)</f>
        <v>0</v>
      </c>
      <c r="AD162" s="44">
        <v>21</v>
      </c>
      <c r="AE162" s="44">
        <f>G162*0</f>
        <v>0</v>
      </c>
      <c r="AF162" s="44">
        <f>G162*(1-0)</f>
        <v>0</v>
      </c>
      <c r="AG162" s="39" t="s">
        <v>7</v>
      </c>
      <c r="AM162" s="44">
        <f>F162*AE162</f>
        <v>0</v>
      </c>
      <c r="AN162" s="44">
        <f>F162*AF162</f>
        <v>0</v>
      </c>
      <c r="AO162" s="45" t="s">
        <v>458</v>
      </c>
      <c r="AP162" s="45" t="s">
        <v>468</v>
      </c>
      <c r="AQ162" s="35" t="s">
        <v>471</v>
      </c>
      <c r="AS162" s="44">
        <f>AM162+AN162</f>
        <v>0</v>
      </c>
      <c r="AT162" s="44">
        <f>G162/(100-AU162)*100</f>
        <v>0</v>
      </c>
      <c r="AU162" s="44">
        <v>0</v>
      </c>
      <c r="AV162" s="44">
        <f>L162</f>
        <v>0</v>
      </c>
    </row>
    <row r="163" spans="1:48" x14ac:dyDescent="0.25">
      <c r="A163" s="9"/>
      <c r="B163" s="9"/>
      <c r="C163" s="9"/>
      <c r="D163" s="9"/>
      <c r="E163" s="9"/>
      <c r="F163" s="9"/>
      <c r="G163" s="9"/>
      <c r="H163" s="126" t="s">
        <v>414</v>
      </c>
      <c r="I163" s="119"/>
      <c r="J163" s="49">
        <f>J13+J17+J20+J29+J31+J40+J47+J52+J58+J61+J79+J88+J104+J116+J123+J130+J132+J134+J136+J139+J148+J150+J158+J161</f>
        <v>0</v>
      </c>
      <c r="K163" s="9"/>
      <c r="L163" s="9"/>
      <c r="M163" s="9"/>
    </row>
    <row r="164" spans="1:48" ht="11.25" customHeight="1" x14ac:dyDescent="0.25">
      <c r="A164" s="10" t="s">
        <v>116</v>
      </c>
    </row>
    <row r="165" spans="1:48" x14ac:dyDescent="0.25">
      <c r="A165" s="87"/>
      <c r="B165" s="88"/>
      <c r="C165" s="88"/>
      <c r="D165" s="88"/>
      <c r="E165" s="88"/>
      <c r="F165" s="88"/>
      <c r="G165" s="88"/>
      <c r="H165" s="88"/>
      <c r="I165" s="88"/>
      <c r="J165" s="88"/>
      <c r="K165" s="88"/>
      <c r="L165" s="88"/>
      <c r="M165" s="88"/>
    </row>
  </sheetData>
  <sheetProtection sheet="1" objects="1" scenarios="1"/>
  <mergeCells count="29">
    <mergeCell ref="A1:M1"/>
    <mergeCell ref="A2:C3"/>
    <mergeCell ref="D2:D3"/>
    <mergeCell ref="E2:F3"/>
    <mergeCell ref="G2:H3"/>
    <mergeCell ref="I2:I3"/>
    <mergeCell ref="J2:M3"/>
    <mergeCell ref="J4:M5"/>
    <mergeCell ref="A6:C7"/>
    <mergeCell ref="D6:D7"/>
    <mergeCell ref="E6:F7"/>
    <mergeCell ref="G6:H7"/>
    <mergeCell ref="I6:I7"/>
    <mergeCell ref="J6:M7"/>
    <mergeCell ref="A4:C5"/>
    <mergeCell ref="D4:D5"/>
    <mergeCell ref="E4:F5"/>
    <mergeCell ref="G4:H5"/>
    <mergeCell ref="I4:I5"/>
    <mergeCell ref="H10:J10"/>
    <mergeCell ref="K10:L10"/>
    <mergeCell ref="H163:I163"/>
    <mergeCell ref="A165:M165"/>
    <mergeCell ref="A8:C9"/>
    <mergeCell ref="D8:D9"/>
    <mergeCell ref="E8:F9"/>
    <mergeCell ref="G8:H9"/>
    <mergeCell ref="I8:I9"/>
    <mergeCell ref="J8:M9"/>
  </mergeCells>
  <pageMargins left="0.39400000000000002" right="0.39400000000000002" top="0.59099999999999997" bottom="0.59099999999999997" header="0.5" footer="0.5"/>
  <pageSetup paperSize="0" fitToHeight="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workbookViewId="0"/>
  </sheetViews>
  <sheetFormatPr defaultColWidth="11.5546875" defaultRowHeight="13.2" x14ac:dyDescent="0.25"/>
  <cols>
    <col min="1" max="1" width="9.109375" customWidth="1"/>
    <col min="2" max="2" width="12.88671875" customWidth="1"/>
    <col min="3" max="3" width="22.88671875" customWidth="1"/>
    <col min="4" max="4" width="10" customWidth="1"/>
    <col min="5" max="5" width="14" customWidth="1"/>
    <col min="6" max="6" width="22.88671875" customWidth="1"/>
    <col min="7" max="7" width="9.109375" customWidth="1"/>
    <col min="8" max="8" width="17.109375" customWidth="1"/>
    <col min="9" max="9" width="22.88671875" customWidth="1"/>
  </cols>
  <sheetData>
    <row r="1" spans="1:10" ht="72.900000000000006" customHeight="1" x14ac:dyDescent="0.25">
      <c r="A1" s="83"/>
      <c r="B1" s="57"/>
      <c r="C1" s="114" t="s">
        <v>619</v>
      </c>
      <c r="D1" s="115"/>
      <c r="E1" s="115"/>
      <c r="F1" s="115"/>
      <c r="G1" s="115"/>
      <c r="H1" s="115"/>
      <c r="I1" s="115"/>
    </row>
    <row r="2" spans="1:10" x14ac:dyDescent="0.25">
      <c r="A2" s="116" t="s">
        <v>1</v>
      </c>
      <c r="B2" s="117"/>
      <c r="C2" s="118" t="str">
        <f>'Stavební rozpočet'!D2</f>
        <v>Rekonstrukce kuželny Zábřeh - III. etapa - hospoda</v>
      </c>
      <c r="D2" s="119"/>
      <c r="E2" s="121" t="s">
        <v>415</v>
      </c>
      <c r="F2" s="121" t="str">
        <f>'Stavební rozpočet'!J2</f>
        <v>město Zábřeh</v>
      </c>
      <c r="G2" s="117"/>
      <c r="H2" s="121" t="s">
        <v>607</v>
      </c>
      <c r="I2" s="122"/>
      <c r="J2" s="42"/>
    </row>
    <row r="3" spans="1:10" x14ac:dyDescent="0.25">
      <c r="A3" s="113"/>
      <c r="B3" s="88"/>
      <c r="C3" s="120"/>
      <c r="D3" s="120"/>
      <c r="E3" s="88"/>
      <c r="F3" s="88"/>
      <c r="G3" s="88"/>
      <c r="H3" s="88"/>
      <c r="I3" s="106"/>
      <c r="J3" s="42"/>
    </row>
    <row r="4" spans="1:10" x14ac:dyDescent="0.25">
      <c r="A4" s="107" t="s">
        <v>2</v>
      </c>
      <c r="B4" s="88"/>
      <c r="C4" s="87" t="str">
        <f>'Stavební rozpočet'!D4</f>
        <v xml:space="preserve"> </v>
      </c>
      <c r="D4" s="88"/>
      <c r="E4" s="87" t="s">
        <v>416</v>
      </c>
      <c r="F4" s="87" t="str">
        <f>'Stavební rozpočet'!J4</f>
        <v xml:space="preserve"> </v>
      </c>
      <c r="G4" s="88"/>
      <c r="H4" s="87" t="s">
        <v>607</v>
      </c>
      <c r="I4" s="105"/>
      <c r="J4" s="42"/>
    </row>
    <row r="5" spans="1:10" x14ac:dyDescent="0.25">
      <c r="A5" s="113"/>
      <c r="B5" s="88"/>
      <c r="C5" s="88"/>
      <c r="D5" s="88"/>
      <c r="E5" s="88"/>
      <c r="F5" s="88"/>
      <c r="G5" s="88"/>
      <c r="H5" s="88"/>
      <c r="I5" s="106"/>
      <c r="J5" s="42"/>
    </row>
    <row r="6" spans="1:10" x14ac:dyDescent="0.25">
      <c r="A6" s="107" t="s">
        <v>3</v>
      </c>
      <c r="B6" s="88"/>
      <c r="C6" s="87" t="str">
        <f>'Stavební rozpočet'!D6</f>
        <v xml:space="preserve"> </v>
      </c>
      <c r="D6" s="88"/>
      <c r="E6" s="87" t="s">
        <v>417</v>
      </c>
      <c r="F6" s="87" t="str">
        <f>'Stavební rozpočet'!J6</f>
        <v xml:space="preserve"> </v>
      </c>
      <c r="G6" s="88"/>
      <c r="H6" s="87" t="s">
        <v>607</v>
      </c>
      <c r="I6" s="105"/>
      <c r="J6" s="42"/>
    </row>
    <row r="7" spans="1:10" x14ac:dyDescent="0.25">
      <c r="A7" s="113"/>
      <c r="B7" s="88"/>
      <c r="C7" s="88"/>
      <c r="D7" s="88"/>
      <c r="E7" s="88"/>
      <c r="F7" s="88"/>
      <c r="G7" s="88"/>
      <c r="H7" s="88"/>
      <c r="I7" s="106"/>
      <c r="J7" s="42"/>
    </row>
    <row r="8" spans="1:10" x14ac:dyDescent="0.25">
      <c r="A8" s="107" t="s">
        <v>397</v>
      </c>
      <c r="B8" s="88"/>
      <c r="C8" s="87" t="str">
        <f>'Stavební rozpočet'!G4</f>
        <v xml:space="preserve"> </v>
      </c>
      <c r="D8" s="88"/>
      <c r="E8" s="87" t="s">
        <v>398</v>
      </c>
      <c r="F8" s="87" t="str">
        <f>'Stavební rozpočet'!G6</f>
        <v xml:space="preserve"> </v>
      </c>
      <c r="G8" s="88"/>
      <c r="H8" s="110" t="s">
        <v>608</v>
      </c>
      <c r="I8" s="105" t="s">
        <v>115</v>
      </c>
      <c r="J8" s="42"/>
    </row>
    <row r="9" spans="1:10" x14ac:dyDescent="0.25">
      <c r="A9" s="113"/>
      <c r="B9" s="88"/>
      <c r="C9" s="88"/>
      <c r="D9" s="88"/>
      <c r="E9" s="88"/>
      <c r="F9" s="88"/>
      <c r="G9" s="88"/>
      <c r="H9" s="88"/>
      <c r="I9" s="106"/>
      <c r="J9" s="42"/>
    </row>
    <row r="10" spans="1:10" x14ac:dyDescent="0.25">
      <c r="A10" s="107" t="s">
        <v>4</v>
      </c>
      <c r="B10" s="88"/>
      <c r="C10" s="87" t="str">
        <f>'Stavební rozpočet'!D8</f>
        <v xml:space="preserve"> </v>
      </c>
      <c r="D10" s="88"/>
      <c r="E10" s="87" t="s">
        <v>418</v>
      </c>
      <c r="F10" s="87" t="str">
        <f>'Stavební rozpočet'!J8</f>
        <v xml:space="preserve"> </v>
      </c>
      <c r="G10" s="88"/>
      <c r="H10" s="110" t="s">
        <v>609</v>
      </c>
      <c r="I10" s="111" t="str">
        <f>'Stavební rozpočet'!G8</f>
        <v>02.03.2019</v>
      </c>
      <c r="J10" s="42"/>
    </row>
    <row r="11" spans="1:10" x14ac:dyDescent="0.25">
      <c r="A11" s="108"/>
      <c r="B11" s="109"/>
      <c r="C11" s="109"/>
      <c r="D11" s="109"/>
      <c r="E11" s="109"/>
      <c r="F11" s="109"/>
      <c r="G11" s="109"/>
      <c r="H11" s="109"/>
      <c r="I11" s="112"/>
      <c r="J11" s="42"/>
    </row>
    <row r="12" spans="1:10" x14ac:dyDescent="0.25">
      <c r="A12" s="9"/>
      <c r="B12" s="9"/>
      <c r="C12" s="9"/>
      <c r="D12" s="9"/>
      <c r="E12" s="9"/>
      <c r="F12" s="9"/>
      <c r="G12" s="9"/>
      <c r="H12" s="9"/>
      <c r="I12" s="9"/>
    </row>
    <row r="13" spans="1:10" ht="15.15" customHeight="1" x14ac:dyDescent="0.25">
      <c r="A13" s="158" t="s">
        <v>611</v>
      </c>
      <c r="B13" s="159"/>
      <c r="C13" s="159"/>
      <c r="D13" s="159"/>
      <c r="E13" s="159"/>
      <c r="F13" s="74"/>
      <c r="G13" s="74"/>
      <c r="H13" s="74"/>
      <c r="I13" s="74"/>
    </row>
    <row r="14" spans="1:10" x14ac:dyDescent="0.25">
      <c r="A14" s="140" t="s">
        <v>612</v>
      </c>
      <c r="B14" s="141"/>
      <c r="C14" s="141"/>
      <c r="D14" s="141"/>
      <c r="E14" s="142"/>
      <c r="F14" s="75" t="s">
        <v>620</v>
      </c>
      <c r="G14" s="75" t="s">
        <v>621</v>
      </c>
      <c r="H14" s="75" t="s">
        <v>622</v>
      </c>
      <c r="I14" s="75" t="s">
        <v>620</v>
      </c>
      <c r="J14" s="43"/>
    </row>
    <row r="15" spans="1:10" x14ac:dyDescent="0.25">
      <c r="A15" s="149" t="s">
        <v>584</v>
      </c>
      <c r="B15" s="150"/>
      <c r="C15" s="150"/>
      <c r="D15" s="150"/>
      <c r="E15" s="151"/>
      <c r="F15" s="76">
        <v>0</v>
      </c>
      <c r="G15" s="79"/>
      <c r="H15" s="79"/>
      <c r="I15" s="76">
        <f>F15</f>
        <v>0</v>
      </c>
      <c r="J15" s="42"/>
    </row>
    <row r="16" spans="1:10" x14ac:dyDescent="0.25">
      <c r="A16" s="149" t="s">
        <v>585</v>
      </c>
      <c r="B16" s="150"/>
      <c r="C16" s="150"/>
      <c r="D16" s="150"/>
      <c r="E16" s="151"/>
      <c r="F16" s="76">
        <v>0</v>
      </c>
      <c r="G16" s="79"/>
      <c r="H16" s="79"/>
      <c r="I16" s="76">
        <f>F16</f>
        <v>0</v>
      </c>
      <c r="J16" s="42"/>
    </row>
    <row r="17" spans="1:10" x14ac:dyDescent="0.25">
      <c r="A17" s="149" t="s">
        <v>586</v>
      </c>
      <c r="B17" s="150"/>
      <c r="C17" s="150"/>
      <c r="D17" s="150"/>
      <c r="E17" s="151"/>
      <c r="F17" s="76">
        <v>0</v>
      </c>
      <c r="G17" s="79"/>
      <c r="H17" s="79"/>
      <c r="I17" s="76">
        <f>F17</f>
        <v>0</v>
      </c>
      <c r="J17" s="42"/>
    </row>
    <row r="18" spans="1:10" x14ac:dyDescent="0.25">
      <c r="A18" s="143" t="s">
        <v>587</v>
      </c>
      <c r="B18" s="144"/>
      <c r="C18" s="144"/>
      <c r="D18" s="144"/>
      <c r="E18" s="145"/>
      <c r="F18" s="77">
        <v>0</v>
      </c>
      <c r="G18" s="80"/>
      <c r="H18" s="80"/>
      <c r="I18" s="77">
        <f>F18</f>
        <v>0</v>
      </c>
      <c r="J18" s="42"/>
    </row>
    <row r="19" spans="1:10" x14ac:dyDescent="0.25">
      <c r="A19" s="146" t="s">
        <v>613</v>
      </c>
      <c r="B19" s="147"/>
      <c r="C19" s="147"/>
      <c r="D19" s="147"/>
      <c r="E19" s="148"/>
      <c r="F19" s="78"/>
      <c r="G19" s="81"/>
      <c r="H19" s="81"/>
      <c r="I19" s="82">
        <f>SUM(I15:I18)</f>
        <v>0</v>
      </c>
      <c r="J19" s="43"/>
    </row>
    <row r="20" spans="1:10" x14ac:dyDescent="0.25">
      <c r="A20" s="73"/>
      <c r="B20" s="73"/>
      <c r="C20" s="73"/>
      <c r="D20" s="73"/>
      <c r="E20" s="73"/>
      <c r="F20" s="73"/>
      <c r="G20" s="73"/>
      <c r="H20" s="73"/>
      <c r="I20" s="73"/>
    </row>
    <row r="21" spans="1:10" x14ac:dyDescent="0.25">
      <c r="A21" s="140" t="s">
        <v>610</v>
      </c>
      <c r="B21" s="141"/>
      <c r="C21" s="141"/>
      <c r="D21" s="141"/>
      <c r="E21" s="142"/>
      <c r="F21" s="75" t="s">
        <v>620</v>
      </c>
      <c r="G21" s="75" t="s">
        <v>621</v>
      </c>
      <c r="H21" s="75" t="s">
        <v>622</v>
      </c>
      <c r="I21" s="75" t="s">
        <v>620</v>
      </c>
      <c r="J21" s="43"/>
    </row>
    <row r="22" spans="1:10" x14ac:dyDescent="0.25">
      <c r="A22" s="149" t="s">
        <v>595</v>
      </c>
      <c r="B22" s="150"/>
      <c r="C22" s="150"/>
      <c r="D22" s="150"/>
      <c r="E22" s="151"/>
      <c r="F22" s="79"/>
      <c r="G22" s="76">
        <v>1</v>
      </c>
      <c r="H22" s="76">
        <f>'Krycí list rozpočtu'!C22</f>
        <v>0</v>
      </c>
      <c r="I22" s="76">
        <f>(G22/100)*H22</f>
        <v>0</v>
      </c>
      <c r="J22" s="42"/>
    </row>
    <row r="23" spans="1:10" x14ac:dyDescent="0.25">
      <c r="A23" s="149" t="s">
        <v>596</v>
      </c>
      <c r="B23" s="150"/>
      <c r="C23" s="150"/>
      <c r="D23" s="150"/>
      <c r="E23" s="151"/>
      <c r="F23" s="76">
        <v>0</v>
      </c>
      <c r="G23" s="79"/>
      <c r="H23" s="79"/>
      <c r="I23" s="76">
        <f>F23</f>
        <v>0</v>
      </c>
      <c r="J23" s="42"/>
    </row>
    <row r="24" spans="1:10" x14ac:dyDescent="0.25">
      <c r="A24" s="149" t="s">
        <v>597</v>
      </c>
      <c r="B24" s="150"/>
      <c r="C24" s="150"/>
      <c r="D24" s="150"/>
      <c r="E24" s="151"/>
      <c r="F24" s="76">
        <v>0</v>
      </c>
      <c r="G24" s="79"/>
      <c r="H24" s="79"/>
      <c r="I24" s="76">
        <f>F24</f>
        <v>0</v>
      </c>
      <c r="J24" s="42"/>
    </row>
    <row r="25" spans="1:10" x14ac:dyDescent="0.25">
      <c r="A25" s="149" t="s">
        <v>598</v>
      </c>
      <c r="B25" s="150"/>
      <c r="C25" s="150"/>
      <c r="D25" s="150"/>
      <c r="E25" s="151"/>
      <c r="F25" s="76">
        <v>0</v>
      </c>
      <c r="G25" s="79"/>
      <c r="H25" s="79"/>
      <c r="I25" s="76">
        <f>F25</f>
        <v>0</v>
      </c>
      <c r="J25" s="42"/>
    </row>
    <row r="26" spans="1:10" x14ac:dyDescent="0.25">
      <c r="A26" s="149" t="s">
        <v>394</v>
      </c>
      <c r="B26" s="150"/>
      <c r="C26" s="150"/>
      <c r="D26" s="150"/>
      <c r="E26" s="151"/>
      <c r="F26" s="76">
        <v>0</v>
      </c>
      <c r="G26" s="79"/>
      <c r="H26" s="79"/>
      <c r="I26" s="76">
        <f>F26</f>
        <v>0</v>
      </c>
      <c r="J26" s="42"/>
    </row>
    <row r="27" spans="1:10" x14ac:dyDescent="0.25">
      <c r="A27" s="143" t="s">
        <v>599</v>
      </c>
      <c r="B27" s="144"/>
      <c r="C27" s="144"/>
      <c r="D27" s="144"/>
      <c r="E27" s="145"/>
      <c r="F27" s="77">
        <v>0</v>
      </c>
      <c r="G27" s="80"/>
      <c r="H27" s="80"/>
      <c r="I27" s="77">
        <f>F27</f>
        <v>0</v>
      </c>
      <c r="J27" s="42"/>
    </row>
    <row r="28" spans="1:10" x14ac:dyDescent="0.25">
      <c r="A28" s="146" t="s">
        <v>614</v>
      </c>
      <c r="B28" s="147"/>
      <c r="C28" s="147"/>
      <c r="D28" s="147"/>
      <c r="E28" s="148"/>
      <c r="F28" s="78"/>
      <c r="G28" s="81"/>
      <c r="H28" s="81"/>
      <c r="I28" s="82">
        <f>SUM(I22:I27)</f>
        <v>0</v>
      </c>
      <c r="J28" s="43"/>
    </row>
    <row r="29" spans="1:10" x14ac:dyDescent="0.25">
      <c r="A29" s="73"/>
      <c r="B29" s="73"/>
      <c r="C29" s="73"/>
      <c r="D29" s="73"/>
      <c r="E29" s="73"/>
      <c r="F29" s="73"/>
      <c r="G29" s="73"/>
      <c r="H29" s="73"/>
      <c r="I29" s="73"/>
    </row>
    <row r="30" spans="1:10" ht="15.15" customHeight="1" x14ac:dyDescent="0.25">
      <c r="A30" s="152" t="s">
        <v>615</v>
      </c>
      <c r="B30" s="153"/>
      <c r="C30" s="153"/>
      <c r="D30" s="153"/>
      <c r="E30" s="154"/>
      <c r="F30" s="155">
        <f>I19+I28</f>
        <v>0</v>
      </c>
      <c r="G30" s="156"/>
      <c r="H30" s="156"/>
      <c r="I30" s="157"/>
      <c r="J30" s="43"/>
    </row>
    <row r="31" spans="1:10" x14ac:dyDescent="0.25">
      <c r="A31" s="64"/>
      <c r="B31" s="64"/>
      <c r="C31" s="64"/>
      <c r="D31" s="64"/>
      <c r="E31" s="64"/>
      <c r="F31" s="64"/>
      <c r="G31" s="64"/>
      <c r="H31" s="64"/>
      <c r="I31" s="64"/>
    </row>
    <row r="34" spans="1:10" ht="15.15" customHeight="1" x14ac:dyDescent="0.25">
      <c r="A34" s="158" t="s">
        <v>616</v>
      </c>
      <c r="B34" s="159"/>
      <c r="C34" s="159"/>
      <c r="D34" s="159"/>
      <c r="E34" s="159"/>
      <c r="F34" s="74"/>
      <c r="G34" s="74"/>
      <c r="H34" s="74"/>
      <c r="I34" s="74"/>
    </row>
    <row r="35" spans="1:10" x14ac:dyDescent="0.25">
      <c r="A35" s="140" t="s">
        <v>617</v>
      </c>
      <c r="B35" s="141"/>
      <c r="C35" s="141"/>
      <c r="D35" s="141"/>
      <c r="E35" s="142"/>
      <c r="F35" s="75" t="s">
        <v>620</v>
      </c>
      <c r="G35" s="75" t="s">
        <v>621</v>
      </c>
      <c r="H35" s="75" t="s">
        <v>622</v>
      </c>
      <c r="I35" s="75" t="s">
        <v>620</v>
      </c>
      <c r="J35" s="43"/>
    </row>
    <row r="36" spans="1:10" x14ac:dyDescent="0.25">
      <c r="A36" s="143"/>
      <c r="B36" s="144"/>
      <c r="C36" s="144"/>
      <c r="D36" s="144"/>
      <c r="E36" s="145"/>
      <c r="F36" s="77">
        <v>0</v>
      </c>
      <c r="G36" s="80"/>
      <c r="H36" s="80"/>
      <c r="I36" s="77">
        <f>F36</f>
        <v>0</v>
      </c>
      <c r="J36" s="42"/>
    </row>
    <row r="37" spans="1:10" x14ac:dyDescent="0.25">
      <c r="A37" s="146" t="s">
        <v>618</v>
      </c>
      <c r="B37" s="147"/>
      <c r="C37" s="147"/>
      <c r="D37" s="147"/>
      <c r="E37" s="148"/>
      <c r="F37" s="78"/>
      <c r="G37" s="81"/>
      <c r="H37" s="81"/>
      <c r="I37" s="82">
        <f>SUM(I36:I36)</f>
        <v>0</v>
      </c>
      <c r="J37" s="43"/>
    </row>
    <row r="38" spans="1:10" x14ac:dyDescent="0.25">
      <c r="A38" s="64"/>
      <c r="B38" s="64"/>
      <c r="C38" s="64"/>
      <c r="D38" s="64"/>
      <c r="E38" s="64"/>
      <c r="F38" s="64"/>
      <c r="G38" s="64"/>
      <c r="H38" s="64"/>
      <c r="I38" s="64"/>
    </row>
  </sheetData>
  <sheetProtection sheet="1" objects="1" scenarios="1"/>
  <mergeCells count="52">
    <mergeCell ref="C1:I1"/>
    <mergeCell ref="A2:B3"/>
    <mergeCell ref="C2:D3"/>
    <mergeCell ref="E2:E3"/>
    <mergeCell ref="F2:G3"/>
    <mergeCell ref="H2:H3"/>
    <mergeCell ref="I2:I3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A13:E13"/>
    <mergeCell ref="A14:E14"/>
    <mergeCell ref="A15:E15"/>
    <mergeCell ref="A16:E16"/>
    <mergeCell ref="A17:E17"/>
    <mergeCell ref="A18:E18"/>
    <mergeCell ref="F30:I30"/>
    <mergeCell ref="A34:E34"/>
    <mergeCell ref="A19:E19"/>
    <mergeCell ref="A21:E21"/>
    <mergeCell ref="A22:E22"/>
    <mergeCell ref="A23:E23"/>
    <mergeCell ref="A24:E24"/>
    <mergeCell ref="A25:E25"/>
    <mergeCell ref="A35:E35"/>
    <mergeCell ref="A36:E36"/>
    <mergeCell ref="A37:E37"/>
    <mergeCell ref="A26:E26"/>
    <mergeCell ref="A27:E27"/>
    <mergeCell ref="A28:E28"/>
    <mergeCell ref="A30:E30"/>
  </mergeCells>
  <pageMargins left="0.39400000000000002" right="0.39400000000000002" top="0.59099999999999997" bottom="0.59099999999999997" header="0.5" footer="0.5"/>
  <pageSetup paperSize="0" fitToHeight="0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5"/>
  <sheetViews>
    <sheetView workbookViewId="0">
      <pane ySplit="10" topLeftCell="A110" activePane="bottomLeft" state="frozenSplit"/>
      <selection pane="bottomLeft" sqref="A1:H1"/>
    </sheetView>
  </sheetViews>
  <sheetFormatPr defaultColWidth="11.5546875" defaultRowHeight="13.2" x14ac:dyDescent="0.25"/>
  <cols>
    <col min="1" max="2" width="9.109375" customWidth="1"/>
    <col min="3" max="3" width="13.33203125" customWidth="1"/>
    <col min="4" max="4" width="78.33203125" customWidth="1"/>
    <col min="5" max="5" width="14.5546875" customWidth="1"/>
    <col min="6" max="6" width="24.109375" customWidth="1"/>
    <col min="7" max="7" width="20.44140625" customWidth="1"/>
    <col min="8" max="8" width="16.44140625" customWidth="1"/>
  </cols>
  <sheetData>
    <row r="1" spans="1:9" ht="72.900000000000006" customHeight="1" x14ac:dyDescent="0.4">
      <c r="A1" s="135" t="s">
        <v>472</v>
      </c>
      <c r="B1" s="115"/>
      <c r="C1" s="115"/>
      <c r="D1" s="115"/>
      <c r="E1" s="115"/>
      <c r="F1" s="115"/>
      <c r="G1" s="115"/>
      <c r="H1" s="115"/>
    </row>
    <row r="2" spans="1:9" x14ac:dyDescent="0.25">
      <c r="A2" s="116" t="s">
        <v>1</v>
      </c>
      <c r="B2" s="117"/>
      <c r="C2" s="118" t="str">
        <f>'Stavební rozpočet'!D2</f>
        <v>Rekonstrukce kuželny Zábřeh - III. etapa - hospoda</v>
      </c>
      <c r="D2" s="119"/>
      <c r="E2" s="121" t="s">
        <v>415</v>
      </c>
      <c r="F2" s="121" t="str">
        <f>'Stavební rozpočet'!J2</f>
        <v>město Zábřeh</v>
      </c>
      <c r="G2" s="117"/>
      <c r="H2" s="139"/>
      <c r="I2" s="42"/>
    </row>
    <row r="3" spans="1:9" x14ac:dyDescent="0.25">
      <c r="A3" s="113"/>
      <c r="B3" s="88"/>
      <c r="C3" s="120"/>
      <c r="D3" s="120"/>
      <c r="E3" s="88"/>
      <c r="F3" s="88"/>
      <c r="G3" s="88"/>
      <c r="H3" s="106"/>
      <c r="I3" s="42"/>
    </row>
    <row r="4" spans="1:9" x14ac:dyDescent="0.25">
      <c r="A4" s="107" t="s">
        <v>2</v>
      </c>
      <c r="B4" s="88"/>
      <c r="C4" s="87" t="str">
        <f>'Stavební rozpočet'!D4</f>
        <v xml:space="preserve"> </v>
      </c>
      <c r="D4" s="88"/>
      <c r="E4" s="87" t="s">
        <v>416</v>
      </c>
      <c r="F4" s="87" t="str">
        <f>'Stavební rozpočet'!J4</f>
        <v xml:space="preserve"> </v>
      </c>
      <c r="G4" s="88"/>
      <c r="H4" s="106"/>
      <c r="I4" s="42"/>
    </row>
    <row r="5" spans="1:9" x14ac:dyDescent="0.25">
      <c r="A5" s="113"/>
      <c r="B5" s="88"/>
      <c r="C5" s="88"/>
      <c r="D5" s="88"/>
      <c r="E5" s="88"/>
      <c r="F5" s="88"/>
      <c r="G5" s="88"/>
      <c r="H5" s="106"/>
      <c r="I5" s="42"/>
    </row>
    <row r="6" spans="1:9" x14ac:dyDescent="0.25">
      <c r="A6" s="107" t="s">
        <v>3</v>
      </c>
      <c r="B6" s="88"/>
      <c r="C6" s="87" t="str">
        <f>'Stavební rozpočet'!D6</f>
        <v xml:space="preserve"> </v>
      </c>
      <c r="D6" s="88"/>
      <c r="E6" s="87" t="s">
        <v>417</v>
      </c>
      <c r="F6" s="87" t="str">
        <f>'Stavební rozpočet'!J6</f>
        <v xml:space="preserve"> </v>
      </c>
      <c r="G6" s="88"/>
      <c r="H6" s="106"/>
      <c r="I6" s="42"/>
    </row>
    <row r="7" spans="1:9" x14ac:dyDescent="0.25">
      <c r="A7" s="113"/>
      <c r="B7" s="88"/>
      <c r="C7" s="88"/>
      <c r="D7" s="88"/>
      <c r="E7" s="88"/>
      <c r="F7" s="88"/>
      <c r="G7" s="88"/>
      <c r="H7" s="106"/>
      <c r="I7" s="42"/>
    </row>
    <row r="8" spans="1:9" x14ac:dyDescent="0.25">
      <c r="A8" s="107" t="s">
        <v>418</v>
      </c>
      <c r="B8" s="88"/>
      <c r="C8" s="87" t="str">
        <f>'Stavební rozpočet'!J8</f>
        <v xml:space="preserve"> </v>
      </c>
      <c r="D8" s="88"/>
      <c r="E8" s="87" t="s">
        <v>399</v>
      </c>
      <c r="F8" s="87" t="str">
        <f>'Stavební rozpočet'!G8</f>
        <v>02.03.2019</v>
      </c>
      <c r="G8" s="88"/>
      <c r="H8" s="106"/>
      <c r="I8" s="42"/>
    </row>
    <row r="9" spans="1:9" x14ac:dyDescent="0.25">
      <c r="A9" s="127"/>
      <c r="B9" s="128"/>
      <c r="C9" s="128"/>
      <c r="D9" s="128"/>
      <c r="E9" s="128"/>
      <c r="F9" s="128"/>
      <c r="G9" s="128"/>
      <c r="H9" s="160"/>
      <c r="I9" s="42"/>
    </row>
    <row r="10" spans="1:9" x14ac:dyDescent="0.25">
      <c r="A10" s="50" t="s">
        <v>5</v>
      </c>
      <c r="B10" s="52" t="s">
        <v>117</v>
      </c>
      <c r="C10" s="52" t="s">
        <v>121</v>
      </c>
      <c r="D10" s="52" t="s">
        <v>244</v>
      </c>
      <c r="E10" s="52" t="s">
        <v>400</v>
      </c>
      <c r="F10" s="52" t="s">
        <v>245</v>
      </c>
      <c r="G10" s="53" t="s">
        <v>408</v>
      </c>
      <c r="H10" s="55" t="s">
        <v>566</v>
      </c>
      <c r="I10" s="43"/>
    </row>
    <row r="11" spans="1:9" x14ac:dyDescent="0.25">
      <c r="A11" s="51" t="s">
        <v>7</v>
      </c>
      <c r="B11" s="51" t="s">
        <v>118</v>
      </c>
      <c r="C11" s="51" t="s">
        <v>122</v>
      </c>
      <c r="D11" s="51" t="s">
        <v>248</v>
      </c>
      <c r="E11" s="51" t="s">
        <v>401</v>
      </c>
      <c r="F11" s="51" t="s">
        <v>473</v>
      </c>
      <c r="G11" s="54">
        <v>1.65</v>
      </c>
      <c r="H11" s="56" t="s">
        <v>425</v>
      </c>
    </row>
    <row r="12" spans="1:9" x14ac:dyDescent="0.25">
      <c r="A12" s="5" t="s">
        <v>8</v>
      </c>
      <c r="B12" s="5" t="s">
        <v>118</v>
      </c>
      <c r="C12" s="5" t="s">
        <v>123</v>
      </c>
      <c r="D12" s="5" t="s">
        <v>249</v>
      </c>
      <c r="E12" s="5" t="s">
        <v>402</v>
      </c>
      <c r="F12" s="5" t="s">
        <v>8</v>
      </c>
      <c r="G12" s="19">
        <v>2</v>
      </c>
      <c r="H12" s="39"/>
    </row>
    <row r="13" spans="1:9" x14ac:dyDescent="0.25">
      <c r="A13" s="5" t="s">
        <v>9</v>
      </c>
      <c r="B13" s="5" t="s">
        <v>118</v>
      </c>
      <c r="C13" s="5" t="s">
        <v>124</v>
      </c>
      <c r="D13" s="5" t="s">
        <v>250</v>
      </c>
      <c r="E13" s="5" t="s">
        <v>403</v>
      </c>
      <c r="F13" s="5" t="s">
        <v>474</v>
      </c>
      <c r="G13" s="19">
        <v>3</v>
      </c>
      <c r="H13" s="39" t="s">
        <v>425</v>
      </c>
    </row>
    <row r="14" spans="1:9" x14ac:dyDescent="0.25">
      <c r="A14" s="5" t="s">
        <v>10</v>
      </c>
      <c r="B14" s="5" t="s">
        <v>118</v>
      </c>
      <c r="C14" s="5" t="s">
        <v>125</v>
      </c>
      <c r="D14" s="5" t="s">
        <v>252</v>
      </c>
      <c r="E14" s="5" t="s">
        <v>404</v>
      </c>
      <c r="G14" s="19">
        <v>1.0999999999999999E-2</v>
      </c>
      <c r="H14" s="39" t="s">
        <v>425</v>
      </c>
    </row>
    <row r="15" spans="1:9" x14ac:dyDescent="0.25">
      <c r="A15" s="6" t="s">
        <v>11</v>
      </c>
      <c r="B15" s="6" t="s">
        <v>118</v>
      </c>
      <c r="C15" s="6" t="s">
        <v>126</v>
      </c>
      <c r="D15" s="6" t="s">
        <v>253</v>
      </c>
      <c r="E15" s="6" t="s">
        <v>404</v>
      </c>
      <c r="G15" s="20">
        <v>1.0999999999999999E-2</v>
      </c>
      <c r="H15" s="40" t="s">
        <v>425</v>
      </c>
    </row>
    <row r="16" spans="1:9" x14ac:dyDescent="0.25">
      <c r="A16" s="5" t="s">
        <v>12</v>
      </c>
      <c r="B16" s="5" t="s">
        <v>118</v>
      </c>
      <c r="C16" s="5" t="s">
        <v>127</v>
      </c>
      <c r="D16" s="5" t="s">
        <v>255</v>
      </c>
      <c r="E16" s="5" t="s">
        <v>403</v>
      </c>
      <c r="F16" s="5" t="s">
        <v>475</v>
      </c>
      <c r="G16" s="19">
        <v>0.63</v>
      </c>
      <c r="H16" s="39" t="s">
        <v>425</v>
      </c>
    </row>
    <row r="17" spans="1:8" x14ac:dyDescent="0.25">
      <c r="A17" s="5" t="s">
        <v>13</v>
      </c>
      <c r="B17" s="5" t="s">
        <v>118</v>
      </c>
      <c r="C17" s="5" t="s">
        <v>128</v>
      </c>
      <c r="D17" s="5" t="s">
        <v>256</v>
      </c>
      <c r="E17" s="5" t="s">
        <v>403</v>
      </c>
      <c r="F17" s="5" t="s">
        <v>476</v>
      </c>
      <c r="G17" s="19">
        <v>0.42</v>
      </c>
      <c r="H17" s="39" t="s">
        <v>425</v>
      </c>
    </row>
    <row r="18" spans="1:8" x14ac:dyDescent="0.25">
      <c r="A18" s="5" t="s">
        <v>14</v>
      </c>
      <c r="B18" s="5" t="s">
        <v>118</v>
      </c>
      <c r="C18" s="5" t="s">
        <v>129</v>
      </c>
      <c r="D18" s="5" t="s">
        <v>257</v>
      </c>
      <c r="E18" s="5" t="s">
        <v>405</v>
      </c>
      <c r="G18" s="19">
        <v>6</v>
      </c>
      <c r="H18" s="39" t="s">
        <v>425</v>
      </c>
    </row>
    <row r="19" spans="1:8" x14ac:dyDescent="0.25">
      <c r="A19" s="5" t="s">
        <v>15</v>
      </c>
      <c r="B19" s="5" t="s">
        <v>118</v>
      </c>
      <c r="C19" s="5" t="s">
        <v>130</v>
      </c>
      <c r="D19" s="5" t="s">
        <v>258</v>
      </c>
      <c r="E19" s="5" t="s">
        <v>403</v>
      </c>
      <c r="G19" s="19">
        <v>8.3699999999999992</v>
      </c>
      <c r="H19" s="39" t="s">
        <v>425</v>
      </c>
    </row>
    <row r="20" spans="1:8" x14ac:dyDescent="0.25">
      <c r="D20" s="17" t="s">
        <v>259</v>
      </c>
      <c r="F20" s="5" t="s">
        <v>477</v>
      </c>
      <c r="G20" s="19">
        <v>8.3699999999999992</v>
      </c>
    </row>
    <row r="21" spans="1:8" x14ac:dyDescent="0.25">
      <c r="A21" s="5" t="s">
        <v>16</v>
      </c>
      <c r="B21" s="5" t="s">
        <v>118</v>
      </c>
      <c r="C21" s="5" t="s">
        <v>131</v>
      </c>
      <c r="D21" s="5" t="s">
        <v>260</v>
      </c>
      <c r="E21" s="5" t="s">
        <v>403</v>
      </c>
      <c r="G21" s="19">
        <v>9.2070000000000007</v>
      </c>
      <c r="H21" s="39" t="s">
        <v>425</v>
      </c>
    </row>
    <row r="22" spans="1:8" x14ac:dyDescent="0.25">
      <c r="D22" s="17" t="s">
        <v>261</v>
      </c>
      <c r="F22" s="5" t="s">
        <v>478</v>
      </c>
      <c r="G22" s="19">
        <v>9.2070000000000007</v>
      </c>
    </row>
    <row r="23" spans="1:8" x14ac:dyDescent="0.25">
      <c r="A23" s="5" t="s">
        <v>17</v>
      </c>
      <c r="B23" s="5" t="s">
        <v>118</v>
      </c>
      <c r="C23" s="5" t="s">
        <v>132</v>
      </c>
      <c r="D23" s="5" t="s">
        <v>262</v>
      </c>
      <c r="E23" s="5" t="s">
        <v>403</v>
      </c>
      <c r="G23" s="19">
        <v>8.3699999999999992</v>
      </c>
      <c r="H23" s="39" t="s">
        <v>425</v>
      </c>
    </row>
    <row r="24" spans="1:8" x14ac:dyDescent="0.25">
      <c r="A24" s="5" t="s">
        <v>18</v>
      </c>
      <c r="B24" s="5" t="s">
        <v>118</v>
      </c>
      <c r="C24" s="5" t="s">
        <v>133</v>
      </c>
      <c r="D24" s="5" t="s">
        <v>264</v>
      </c>
      <c r="E24" s="5" t="s">
        <v>403</v>
      </c>
      <c r="G24" s="19">
        <v>189.57695000000001</v>
      </c>
      <c r="H24" s="39" t="s">
        <v>425</v>
      </c>
    </row>
    <row r="25" spans="1:8" x14ac:dyDescent="0.25">
      <c r="A25" s="5" t="s">
        <v>19</v>
      </c>
      <c r="B25" s="5" t="s">
        <v>118</v>
      </c>
      <c r="C25" s="5" t="s">
        <v>134</v>
      </c>
      <c r="D25" s="5" t="s">
        <v>266</v>
      </c>
      <c r="E25" s="5" t="s">
        <v>403</v>
      </c>
      <c r="G25" s="19">
        <v>19.100000000000001</v>
      </c>
      <c r="H25" s="39" t="s">
        <v>425</v>
      </c>
    </row>
    <row r="26" spans="1:8" x14ac:dyDescent="0.25">
      <c r="D26" s="17" t="s">
        <v>267</v>
      </c>
      <c r="F26" s="5" t="s">
        <v>479</v>
      </c>
      <c r="G26" s="19">
        <v>1.2</v>
      </c>
    </row>
    <row r="27" spans="1:8" x14ac:dyDescent="0.25">
      <c r="A27" s="5"/>
      <c r="B27" s="5"/>
      <c r="C27" s="5"/>
      <c r="D27" s="5"/>
      <c r="E27" s="5"/>
      <c r="F27" s="5" t="s">
        <v>480</v>
      </c>
      <c r="G27" s="19">
        <v>0.9</v>
      </c>
    </row>
    <row r="28" spans="1:8" x14ac:dyDescent="0.25">
      <c r="A28" s="5"/>
      <c r="B28" s="5"/>
      <c r="C28" s="5"/>
      <c r="D28" s="5"/>
      <c r="E28" s="5"/>
      <c r="F28" s="5" t="s">
        <v>481</v>
      </c>
      <c r="G28" s="19">
        <v>7</v>
      </c>
    </row>
    <row r="29" spans="1:8" x14ac:dyDescent="0.25">
      <c r="A29" s="5"/>
      <c r="B29" s="5"/>
      <c r="C29" s="5"/>
      <c r="D29" s="5"/>
      <c r="E29" s="5"/>
      <c r="F29" s="5" t="s">
        <v>482</v>
      </c>
      <c r="G29" s="19">
        <v>10</v>
      </c>
    </row>
    <row r="30" spans="1:8" x14ac:dyDescent="0.25">
      <c r="A30" s="5" t="s">
        <v>20</v>
      </c>
      <c r="B30" s="5" t="s">
        <v>118</v>
      </c>
      <c r="C30" s="5" t="s">
        <v>135</v>
      </c>
      <c r="D30" s="5" t="s">
        <v>268</v>
      </c>
      <c r="E30" s="5" t="s">
        <v>403</v>
      </c>
      <c r="G30" s="19">
        <v>189.57695000000001</v>
      </c>
      <c r="H30" s="39" t="s">
        <v>425</v>
      </c>
    </row>
    <row r="31" spans="1:8" x14ac:dyDescent="0.25">
      <c r="A31" s="5" t="s">
        <v>21</v>
      </c>
      <c r="B31" s="5" t="s">
        <v>118</v>
      </c>
      <c r="C31" s="5" t="s">
        <v>136</v>
      </c>
      <c r="D31" s="5" t="s">
        <v>269</v>
      </c>
      <c r="E31" s="5" t="s">
        <v>403</v>
      </c>
      <c r="F31" s="5" t="s">
        <v>483</v>
      </c>
      <c r="G31" s="19">
        <v>189.57695000000001</v>
      </c>
      <c r="H31" s="39" t="s">
        <v>425</v>
      </c>
    </row>
    <row r="32" spans="1:8" x14ac:dyDescent="0.25">
      <c r="A32" s="5" t="s">
        <v>22</v>
      </c>
      <c r="B32" s="5" t="s">
        <v>118</v>
      </c>
      <c r="C32" s="5" t="s">
        <v>137</v>
      </c>
      <c r="D32" s="5" t="s">
        <v>270</v>
      </c>
      <c r="E32" s="5" t="s">
        <v>403</v>
      </c>
      <c r="G32" s="19">
        <v>5.8049999999999997</v>
      </c>
      <c r="H32" s="39" t="s">
        <v>425</v>
      </c>
    </row>
    <row r="33" spans="1:8" x14ac:dyDescent="0.25">
      <c r="D33" s="17" t="s">
        <v>267</v>
      </c>
      <c r="F33" s="5" t="s">
        <v>484</v>
      </c>
      <c r="G33" s="19">
        <v>7.6050000000000004</v>
      </c>
    </row>
    <row r="34" spans="1:8" x14ac:dyDescent="0.25">
      <c r="A34" s="5"/>
      <c r="B34" s="5"/>
      <c r="C34" s="5"/>
      <c r="D34" s="5"/>
      <c r="E34" s="5"/>
      <c r="F34" s="5" t="s">
        <v>485</v>
      </c>
      <c r="G34" s="19">
        <v>-1.8</v>
      </c>
    </row>
    <row r="35" spans="1:8" x14ac:dyDescent="0.25">
      <c r="A35" s="6" t="s">
        <v>23</v>
      </c>
      <c r="B35" s="6" t="s">
        <v>118</v>
      </c>
      <c r="C35" s="6" t="s">
        <v>138</v>
      </c>
      <c r="D35" s="6" t="s">
        <v>271</v>
      </c>
      <c r="E35" s="6" t="s">
        <v>402</v>
      </c>
      <c r="G35" s="20">
        <v>27.5</v>
      </c>
      <c r="H35" s="40" t="s">
        <v>425</v>
      </c>
    </row>
    <row r="36" spans="1:8" x14ac:dyDescent="0.25">
      <c r="F36" s="6" t="s">
        <v>486</v>
      </c>
      <c r="G36" s="20">
        <v>4.5</v>
      </c>
    </row>
    <row r="37" spans="1:8" x14ac:dyDescent="0.25">
      <c r="A37" s="6"/>
      <c r="B37" s="6"/>
      <c r="C37" s="6"/>
      <c r="D37" s="6"/>
      <c r="E37" s="6"/>
      <c r="F37" s="6" t="s">
        <v>487</v>
      </c>
      <c r="G37" s="20">
        <v>21</v>
      </c>
    </row>
    <row r="38" spans="1:8" x14ac:dyDescent="0.25">
      <c r="A38" s="6"/>
      <c r="B38" s="6"/>
      <c r="C38" s="6"/>
      <c r="D38" s="6"/>
      <c r="E38" s="6"/>
      <c r="F38" s="6" t="s">
        <v>488</v>
      </c>
      <c r="G38" s="20">
        <v>2</v>
      </c>
    </row>
    <row r="39" spans="1:8" x14ac:dyDescent="0.25">
      <c r="A39" s="5" t="s">
        <v>24</v>
      </c>
      <c r="B39" s="5" t="s">
        <v>118</v>
      </c>
      <c r="C39" s="5" t="s">
        <v>139</v>
      </c>
      <c r="D39" s="5" t="s">
        <v>272</v>
      </c>
      <c r="E39" s="5" t="s">
        <v>403</v>
      </c>
      <c r="G39" s="19">
        <v>8.4</v>
      </c>
      <c r="H39" s="39" t="s">
        <v>425</v>
      </c>
    </row>
    <row r="40" spans="1:8" x14ac:dyDescent="0.25">
      <c r="F40" s="5" t="s">
        <v>489</v>
      </c>
      <c r="G40" s="19">
        <v>2.1</v>
      </c>
    </row>
    <row r="41" spans="1:8" x14ac:dyDescent="0.25">
      <c r="A41" s="5"/>
      <c r="B41" s="5"/>
      <c r="C41" s="5"/>
      <c r="D41" s="5"/>
      <c r="E41" s="5"/>
      <c r="F41" s="5" t="s">
        <v>490</v>
      </c>
      <c r="G41" s="19">
        <v>6.3</v>
      </c>
    </row>
    <row r="42" spans="1:8" x14ac:dyDescent="0.25">
      <c r="A42" s="5" t="s">
        <v>25</v>
      </c>
      <c r="B42" s="5" t="s">
        <v>118</v>
      </c>
      <c r="C42" s="5" t="s">
        <v>140</v>
      </c>
      <c r="D42" s="5" t="s">
        <v>274</v>
      </c>
      <c r="E42" s="5" t="s">
        <v>401</v>
      </c>
      <c r="G42" s="19">
        <v>5.3667999999999996</v>
      </c>
      <c r="H42" s="39" t="s">
        <v>425</v>
      </c>
    </row>
    <row r="43" spans="1:8" x14ac:dyDescent="0.25">
      <c r="D43" s="17" t="s">
        <v>275</v>
      </c>
      <c r="F43" s="5" t="s">
        <v>491</v>
      </c>
      <c r="G43" s="19">
        <v>0.88</v>
      </c>
    </row>
    <row r="44" spans="1:8" x14ac:dyDescent="0.25">
      <c r="A44" s="5"/>
      <c r="B44" s="5"/>
      <c r="C44" s="5"/>
      <c r="D44" s="5"/>
      <c r="E44" s="5"/>
      <c r="F44" s="5" t="s">
        <v>492</v>
      </c>
      <c r="G44" s="19">
        <v>0.2</v>
      </c>
    </row>
    <row r="45" spans="1:8" x14ac:dyDescent="0.25">
      <c r="A45" s="5"/>
      <c r="B45" s="5"/>
      <c r="C45" s="5"/>
      <c r="D45" s="5"/>
      <c r="E45" s="5"/>
      <c r="F45" s="5" t="s">
        <v>493</v>
      </c>
      <c r="G45" s="19">
        <v>0.35</v>
      </c>
    </row>
    <row r="46" spans="1:8" x14ac:dyDescent="0.25">
      <c r="A46" s="5"/>
      <c r="B46" s="5"/>
      <c r="C46" s="5"/>
      <c r="D46" s="5"/>
      <c r="E46" s="5"/>
      <c r="F46" s="5" t="s">
        <v>494</v>
      </c>
      <c r="G46" s="19">
        <v>0.79</v>
      </c>
    </row>
    <row r="47" spans="1:8" x14ac:dyDescent="0.25">
      <c r="A47" s="5"/>
      <c r="B47" s="5"/>
      <c r="C47" s="5"/>
      <c r="D47" s="5"/>
      <c r="E47" s="5"/>
      <c r="F47" s="5" t="s">
        <v>495</v>
      </c>
      <c r="G47" s="19">
        <v>3.1467999999999998</v>
      </c>
    </row>
    <row r="48" spans="1:8" x14ac:dyDescent="0.25">
      <c r="A48" s="5" t="s">
        <v>26</v>
      </c>
      <c r="B48" s="5" t="s">
        <v>118</v>
      </c>
      <c r="C48" s="5" t="s">
        <v>141</v>
      </c>
      <c r="D48" s="5" t="s">
        <v>276</v>
      </c>
      <c r="E48" s="5" t="s">
        <v>401</v>
      </c>
      <c r="G48" s="19">
        <v>3.93</v>
      </c>
      <c r="H48" s="39" t="s">
        <v>425</v>
      </c>
    </row>
    <row r="49" spans="1:8" x14ac:dyDescent="0.25">
      <c r="F49" s="5" t="s">
        <v>496</v>
      </c>
      <c r="G49" s="19">
        <v>0.9</v>
      </c>
    </row>
    <row r="50" spans="1:8" x14ac:dyDescent="0.25">
      <c r="A50" s="5"/>
      <c r="B50" s="5"/>
      <c r="C50" s="5"/>
      <c r="D50" s="5"/>
      <c r="E50" s="5"/>
      <c r="F50" s="5" t="s">
        <v>497</v>
      </c>
      <c r="G50" s="19">
        <v>1.32</v>
      </c>
    </row>
    <row r="51" spans="1:8" x14ac:dyDescent="0.25">
      <c r="A51" s="5"/>
      <c r="B51" s="5"/>
      <c r="C51" s="5"/>
      <c r="D51" s="5"/>
      <c r="E51" s="5"/>
      <c r="F51" s="5" t="s">
        <v>498</v>
      </c>
      <c r="G51" s="19">
        <v>1.71</v>
      </c>
    </row>
    <row r="52" spans="1:8" x14ac:dyDescent="0.25">
      <c r="A52" s="5" t="s">
        <v>27</v>
      </c>
      <c r="B52" s="5" t="s">
        <v>118</v>
      </c>
      <c r="C52" s="5" t="s">
        <v>142</v>
      </c>
      <c r="D52" s="5" t="s">
        <v>277</v>
      </c>
      <c r="E52" s="5" t="s">
        <v>402</v>
      </c>
      <c r="G52" s="19">
        <v>46.3</v>
      </c>
      <c r="H52" s="39" t="s">
        <v>425</v>
      </c>
    </row>
    <row r="53" spans="1:8" x14ac:dyDescent="0.25">
      <c r="D53" s="17" t="s">
        <v>278</v>
      </c>
      <c r="F53" s="5" t="s">
        <v>499</v>
      </c>
      <c r="G53" s="19">
        <v>43.3</v>
      </c>
    </row>
    <row r="54" spans="1:8" x14ac:dyDescent="0.25">
      <c r="A54" s="5"/>
      <c r="B54" s="5"/>
      <c r="C54" s="5"/>
      <c r="D54" s="5"/>
      <c r="E54" s="5"/>
      <c r="F54" s="5" t="s">
        <v>9</v>
      </c>
      <c r="G54" s="19">
        <v>3</v>
      </c>
    </row>
    <row r="55" spans="1:8" x14ac:dyDescent="0.25">
      <c r="A55" s="5" t="s">
        <v>28</v>
      </c>
      <c r="B55" s="5" t="s">
        <v>118</v>
      </c>
      <c r="C55" s="5" t="s">
        <v>143</v>
      </c>
      <c r="D55" s="5" t="s">
        <v>279</v>
      </c>
      <c r="E55" s="5" t="s">
        <v>403</v>
      </c>
      <c r="F55" s="5" t="s">
        <v>500</v>
      </c>
      <c r="G55" s="19">
        <v>78.67</v>
      </c>
      <c r="H55" s="39" t="s">
        <v>425</v>
      </c>
    </row>
    <row r="56" spans="1:8" x14ac:dyDescent="0.25">
      <c r="A56" s="5" t="s">
        <v>29</v>
      </c>
      <c r="B56" s="5" t="s">
        <v>118</v>
      </c>
      <c r="C56" s="5" t="s">
        <v>144</v>
      </c>
      <c r="D56" s="5" t="s">
        <v>281</v>
      </c>
      <c r="E56" s="5" t="s">
        <v>405</v>
      </c>
      <c r="G56" s="19">
        <v>1</v>
      </c>
      <c r="H56" s="39" t="s">
        <v>425</v>
      </c>
    </row>
    <row r="57" spans="1:8" x14ac:dyDescent="0.25">
      <c r="D57" s="17" t="s">
        <v>282</v>
      </c>
      <c r="G57" s="19">
        <v>0</v>
      </c>
    </row>
    <row r="58" spans="1:8" x14ac:dyDescent="0.25">
      <c r="A58" s="5" t="s">
        <v>30</v>
      </c>
      <c r="B58" s="5" t="s">
        <v>118</v>
      </c>
      <c r="C58" s="5" t="s">
        <v>145</v>
      </c>
      <c r="D58" s="5" t="s">
        <v>283</v>
      </c>
      <c r="E58" s="5" t="s">
        <v>405</v>
      </c>
      <c r="G58" s="19">
        <v>1</v>
      </c>
      <c r="H58" s="39" t="s">
        <v>425</v>
      </c>
    </row>
    <row r="59" spans="1:8" x14ac:dyDescent="0.25">
      <c r="A59" s="6" t="s">
        <v>31</v>
      </c>
      <c r="B59" s="6" t="s">
        <v>118</v>
      </c>
      <c r="C59" s="6" t="s">
        <v>146</v>
      </c>
      <c r="D59" s="6" t="s">
        <v>284</v>
      </c>
      <c r="E59" s="6" t="s">
        <v>405</v>
      </c>
      <c r="G59" s="20">
        <v>1</v>
      </c>
      <c r="H59" s="40" t="s">
        <v>425</v>
      </c>
    </row>
    <row r="60" spans="1:8" x14ac:dyDescent="0.25">
      <c r="A60" s="5" t="s">
        <v>32</v>
      </c>
      <c r="B60" s="5" t="s">
        <v>118</v>
      </c>
      <c r="C60" s="5" t="s">
        <v>148</v>
      </c>
      <c r="D60" s="5" t="s">
        <v>286</v>
      </c>
      <c r="E60" s="5" t="s">
        <v>403</v>
      </c>
      <c r="G60" s="19">
        <v>11.1</v>
      </c>
      <c r="H60" s="39" t="s">
        <v>425</v>
      </c>
    </row>
    <row r="61" spans="1:8" x14ac:dyDescent="0.25">
      <c r="D61" s="17" t="s">
        <v>287</v>
      </c>
      <c r="F61" s="5" t="s">
        <v>501</v>
      </c>
      <c r="G61" s="19">
        <v>4.4000000000000004</v>
      </c>
    </row>
    <row r="62" spans="1:8" x14ac:dyDescent="0.25">
      <c r="A62" s="5"/>
      <c r="B62" s="5"/>
      <c r="C62" s="5"/>
      <c r="D62" s="5"/>
      <c r="E62" s="5"/>
      <c r="F62" s="5" t="s">
        <v>502</v>
      </c>
      <c r="G62" s="19">
        <v>1</v>
      </c>
    </row>
    <row r="63" spans="1:8" x14ac:dyDescent="0.25">
      <c r="A63" s="5"/>
      <c r="B63" s="5"/>
      <c r="C63" s="5"/>
      <c r="D63" s="5"/>
      <c r="E63" s="5"/>
      <c r="F63" s="5" t="s">
        <v>503</v>
      </c>
      <c r="G63" s="19">
        <v>5.7</v>
      </c>
    </row>
    <row r="64" spans="1:8" x14ac:dyDescent="0.25">
      <c r="A64" s="5" t="s">
        <v>33</v>
      </c>
      <c r="B64" s="5" t="s">
        <v>118</v>
      </c>
      <c r="C64" s="5" t="s">
        <v>149</v>
      </c>
      <c r="D64" s="5" t="s">
        <v>288</v>
      </c>
      <c r="E64" s="5" t="s">
        <v>403</v>
      </c>
      <c r="G64" s="19">
        <v>11.1</v>
      </c>
      <c r="H64" s="39" t="s">
        <v>425</v>
      </c>
    </row>
    <row r="65" spans="1:8" x14ac:dyDescent="0.25">
      <c r="D65" s="17" t="s">
        <v>289</v>
      </c>
      <c r="G65" s="19">
        <v>0</v>
      </c>
    </row>
    <row r="66" spans="1:8" x14ac:dyDescent="0.25">
      <c r="A66" s="5" t="s">
        <v>34</v>
      </c>
      <c r="B66" s="5" t="s">
        <v>118</v>
      </c>
      <c r="C66" s="5" t="s">
        <v>150</v>
      </c>
      <c r="D66" s="5" t="s">
        <v>290</v>
      </c>
      <c r="E66" s="5" t="s">
        <v>404</v>
      </c>
      <c r="G66" s="19">
        <v>6.5699999999999995E-2</v>
      </c>
      <c r="H66" s="39" t="s">
        <v>425</v>
      </c>
    </row>
    <row r="67" spans="1:8" x14ac:dyDescent="0.25">
      <c r="A67" s="5" t="s">
        <v>35</v>
      </c>
      <c r="B67" s="5" t="s">
        <v>118</v>
      </c>
      <c r="C67" s="5" t="s">
        <v>152</v>
      </c>
      <c r="D67" s="5" t="s">
        <v>292</v>
      </c>
      <c r="E67" s="5" t="s">
        <v>402</v>
      </c>
      <c r="G67" s="19">
        <v>50.9</v>
      </c>
      <c r="H67" s="39" t="s">
        <v>425</v>
      </c>
    </row>
    <row r="68" spans="1:8" x14ac:dyDescent="0.25">
      <c r="D68" s="17" t="s">
        <v>293</v>
      </c>
      <c r="F68" s="5" t="s">
        <v>504</v>
      </c>
      <c r="G68" s="19">
        <v>50.9</v>
      </c>
    </row>
    <row r="69" spans="1:8" x14ac:dyDescent="0.25">
      <c r="A69" s="5" t="s">
        <v>36</v>
      </c>
      <c r="B69" s="5" t="s">
        <v>118</v>
      </c>
      <c r="C69" s="5" t="s">
        <v>154</v>
      </c>
      <c r="D69" s="5" t="s">
        <v>295</v>
      </c>
      <c r="E69" s="5" t="s">
        <v>405</v>
      </c>
      <c r="G69" s="19">
        <v>1</v>
      </c>
      <c r="H69" s="39" t="s">
        <v>425</v>
      </c>
    </row>
    <row r="70" spans="1:8" x14ac:dyDescent="0.25">
      <c r="A70" s="5" t="s">
        <v>37</v>
      </c>
      <c r="B70" s="5" t="s">
        <v>118</v>
      </c>
      <c r="C70" s="5" t="s">
        <v>155</v>
      </c>
      <c r="D70" s="5" t="s">
        <v>296</v>
      </c>
      <c r="E70" s="5" t="s">
        <v>405</v>
      </c>
      <c r="F70" s="5" t="s">
        <v>505</v>
      </c>
      <c r="G70" s="19">
        <v>2</v>
      </c>
      <c r="H70" s="39" t="s">
        <v>425</v>
      </c>
    </row>
    <row r="71" spans="1:8" x14ac:dyDescent="0.25">
      <c r="A71" s="5" t="s">
        <v>38</v>
      </c>
      <c r="B71" s="5" t="s">
        <v>118</v>
      </c>
      <c r="C71" s="5" t="s">
        <v>156</v>
      </c>
      <c r="D71" s="5" t="s">
        <v>297</v>
      </c>
      <c r="E71" s="5" t="s">
        <v>405</v>
      </c>
      <c r="G71" s="19">
        <v>1</v>
      </c>
      <c r="H71" s="39" t="s">
        <v>425</v>
      </c>
    </row>
    <row r="72" spans="1:8" x14ac:dyDescent="0.25">
      <c r="A72" s="5" t="s">
        <v>39</v>
      </c>
      <c r="B72" s="5" t="s">
        <v>118</v>
      </c>
      <c r="C72" s="5" t="s">
        <v>157</v>
      </c>
      <c r="D72" s="5" t="s">
        <v>298</v>
      </c>
      <c r="E72" s="5" t="s">
        <v>405</v>
      </c>
      <c r="G72" s="19">
        <v>2</v>
      </c>
      <c r="H72" s="39" t="s">
        <v>425</v>
      </c>
    </row>
    <row r="73" spans="1:8" x14ac:dyDescent="0.25">
      <c r="A73" s="5" t="s">
        <v>40</v>
      </c>
      <c r="B73" s="5" t="s">
        <v>118</v>
      </c>
      <c r="C73" s="5" t="s">
        <v>158</v>
      </c>
      <c r="D73" s="5" t="s">
        <v>299</v>
      </c>
      <c r="E73" s="5" t="s">
        <v>405</v>
      </c>
      <c r="G73" s="19">
        <v>4</v>
      </c>
      <c r="H73" s="39"/>
    </row>
    <row r="74" spans="1:8" x14ac:dyDescent="0.25">
      <c r="D74" s="17" t="s">
        <v>300</v>
      </c>
      <c r="G74" s="19">
        <v>0</v>
      </c>
    </row>
    <row r="75" spans="1:8" x14ac:dyDescent="0.25">
      <c r="A75" s="6" t="s">
        <v>41</v>
      </c>
      <c r="B75" s="6" t="s">
        <v>118</v>
      </c>
      <c r="C75" s="6" t="s">
        <v>159</v>
      </c>
      <c r="D75" s="6" t="s">
        <v>301</v>
      </c>
      <c r="E75" s="6" t="s">
        <v>405</v>
      </c>
      <c r="G75" s="20">
        <v>1</v>
      </c>
      <c r="H75" s="40" t="s">
        <v>425</v>
      </c>
    </row>
    <row r="76" spans="1:8" x14ac:dyDescent="0.25">
      <c r="A76" s="6" t="s">
        <v>42</v>
      </c>
      <c r="B76" s="6" t="s">
        <v>118</v>
      </c>
      <c r="C76" s="6" t="s">
        <v>160</v>
      </c>
      <c r="D76" s="6" t="s">
        <v>302</v>
      </c>
      <c r="E76" s="6" t="s">
        <v>405</v>
      </c>
      <c r="G76" s="20">
        <v>1</v>
      </c>
      <c r="H76" s="40" t="s">
        <v>425</v>
      </c>
    </row>
    <row r="77" spans="1:8" x14ac:dyDescent="0.25">
      <c r="A77" s="5" t="s">
        <v>43</v>
      </c>
      <c r="B77" s="5" t="s">
        <v>118</v>
      </c>
      <c r="C77" s="5" t="s">
        <v>161</v>
      </c>
      <c r="D77" s="5" t="s">
        <v>303</v>
      </c>
      <c r="E77" s="5" t="s">
        <v>403</v>
      </c>
      <c r="G77" s="19">
        <v>23.11</v>
      </c>
      <c r="H77" s="39" t="s">
        <v>425</v>
      </c>
    </row>
    <row r="78" spans="1:8" x14ac:dyDescent="0.25">
      <c r="F78" s="5" t="s">
        <v>506</v>
      </c>
      <c r="G78" s="19">
        <v>12.835000000000001</v>
      </c>
    </row>
    <row r="79" spans="1:8" x14ac:dyDescent="0.25">
      <c r="A79" s="5"/>
      <c r="B79" s="5"/>
      <c r="C79" s="5"/>
      <c r="D79" s="5"/>
      <c r="E79" s="5"/>
      <c r="F79" s="5" t="s">
        <v>507</v>
      </c>
      <c r="G79" s="19">
        <v>10.275</v>
      </c>
    </row>
    <row r="80" spans="1:8" x14ac:dyDescent="0.25">
      <c r="A80" s="5" t="s">
        <v>44</v>
      </c>
      <c r="B80" s="5" t="s">
        <v>118</v>
      </c>
      <c r="C80" s="5" t="s">
        <v>162</v>
      </c>
      <c r="D80" s="5" t="s">
        <v>304</v>
      </c>
      <c r="E80" s="5" t="s">
        <v>403</v>
      </c>
      <c r="G80" s="19">
        <v>23.11</v>
      </c>
      <c r="H80" s="39" t="s">
        <v>425</v>
      </c>
    </row>
    <row r="81" spans="1:8" x14ac:dyDescent="0.25">
      <c r="A81" s="5" t="s">
        <v>45</v>
      </c>
      <c r="B81" s="5" t="s">
        <v>118</v>
      </c>
      <c r="C81" s="5" t="s">
        <v>163</v>
      </c>
      <c r="D81" s="5" t="s">
        <v>305</v>
      </c>
      <c r="E81" s="5" t="s">
        <v>405</v>
      </c>
      <c r="G81" s="19">
        <v>1</v>
      </c>
      <c r="H81" s="39" t="s">
        <v>425</v>
      </c>
    </row>
    <row r="82" spans="1:8" x14ac:dyDescent="0.25">
      <c r="A82" s="6" t="s">
        <v>46</v>
      </c>
      <c r="B82" s="6" t="s">
        <v>118</v>
      </c>
      <c r="C82" s="6" t="s">
        <v>164</v>
      </c>
      <c r="D82" s="6" t="s">
        <v>306</v>
      </c>
      <c r="E82" s="6" t="s">
        <v>405</v>
      </c>
      <c r="G82" s="20">
        <v>1</v>
      </c>
      <c r="H82" s="40" t="s">
        <v>425</v>
      </c>
    </row>
    <row r="83" spans="1:8" x14ac:dyDescent="0.25">
      <c r="A83" s="6" t="s">
        <v>47</v>
      </c>
      <c r="B83" s="6" t="s">
        <v>118</v>
      </c>
      <c r="C83" s="6" t="s">
        <v>165</v>
      </c>
      <c r="D83" s="6" t="s">
        <v>307</v>
      </c>
      <c r="E83" s="6" t="s">
        <v>405</v>
      </c>
      <c r="G83" s="20">
        <v>1</v>
      </c>
      <c r="H83" s="40" t="s">
        <v>425</v>
      </c>
    </row>
    <row r="84" spans="1:8" x14ac:dyDescent="0.25">
      <c r="A84" s="5" t="s">
        <v>48</v>
      </c>
      <c r="B84" s="5" t="s">
        <v>118</v>
      </c>
      <c r="C84" s="5" t="s">
        <v>166</v>
      </c>
      <c r="D84" s="5" t="s">
        <v>308</v>
      </c>
      <c r="E84" s="5" t="s">
        <v>405</v>
      </c>
      <c r="G84" s="19">
        <v>1</v>
      </c>
      <c r="H84" s="39" t="s">
        <v>425</v>
      </c>
    </row>
    <row r="85" spans="1:8" x14ac:dyDescent="0.25">
      <c r="A85" s="5" t="s">
        <v>49</v>
      </c>
      <c r="B85" s="5" t="s">
        <v>118</v>
      </c>
      <c r="C85" s="5" t="s">
        <v>167</v>
      </c>
      <c r="D85" s="5" t="s">
        <v>309</v>
      </c>
      <c r="E85" s="5" t="s">
        <v>405</v>
      </c>
      <c r="G85" s="19">
        <v>1</v>
      </c>
      <c r="H85" s="39" t="s">
        <v>425</v>
      </c>
    </row>
    <row r="86" spans="1:8" x14ac:dyDescent="0.25">
      <c r="A86" s="6" t="s">
        <v>50</v>
      </c>
      <c r="B86" s="6" t="s">
        <v>118</v>
      </c>
      <c r="C86" s="6" t="s">
        <v>168</v>
      </c>
      <c r="D86" s="6" t="s">
        <v>310</v>
      </c>
      <c r="E86" s="6" t="s">
        <v>406</v>
      </c>
      <c r="G86" s="20">
        <v>1</v>
      </c>
      <c r="H86" s="40" t="s">
        <v>425</v>
      </c>
    </row>
    <row r="87" spans="1:8" x14ac:dyDescent="0.25">
      <c r="A87" s="5" t="s">
        <v>51</v>
      </c>
      <c r="B87" s="5" t="s">
        <v>118</v>
      </c>
      <c r="C87" s="5" t="s">
        <v>169</v>
      </c>
      <c r="D87" s="5" t="s">
        <v>311</v>
      </c>
      <c r="E87" s="5" t="s">
        <v>404</v>
      </c>
      <c r="G87" s="19">
        <v>0.8327</v>
      </c>
      <c r="H87" s="39" t="s">
        <v>425</v>
      </c>
    </row>
    <row r="88" spans="1:8" x14ac:dyDescent="0.25">
      <c r="A88" s="5" t="s">
        <v>52</v>
      </c>
      <c r="B88" s="5" t="s">
        <v>118</v>
      </c>
      <c r="C88" s="5" t="s">
        <v>171</v>
      </c>
      <c r="D88" s="5" t="s">
        <v>313</v>
      </c>
      <c r="E88" s="5" t="s">
        <v>403</v>
      </c>
      <c r="F88" s="5" t="s">
        <v>508</v>
      </c>
      <c r="G88" s="19">
        <v>15.22</v>
      </c>
      <c r="H88" s="39" t="s">
        <v>425</v>
      </c>
    </row>
    <row r="89" spans="1:8" x14ac:dyDescent="0.25">
      <c r="A89" s="5" t="s">
        <v>53</v>
      </c>
      <c r="B89" s="5" t="s">
        <v>118</v>
      </c>
      <c r="C89" s="5" t="s">
        <v>172</v>
      </c>
      <c r="D89" s="5" t="s">
        <v>314</v>
      </c>
      <c r="E89" s="5" t="s">
        <v>403</v>
      </c>
      <c r="G89" s="19">
        <v>93.89</v>
      </c>
      <c r="H89" s="39" t="s">
        <v>425</v>
      </c>
    </row>
    <row r="90" spans="1:8" x14ac:dyDescent="0.25">
      <c r="A90" s="5" t="s">
        <v>54</v>
      </c>
      <c r="B90" s="5" t="s">
        <v>118</v>
      </c>
      <c r="C90" s="5" t="s">
        <v>173</v>
      </c>
      <c r="D90" s="5" t="s">
        <v>315</v>
      </c>
      <c r="E90" s="5" t="s">
        <v>403</v>
      </c>
      <c r="F90" s="5" t="s">
        <v>509</v>
      </c>
      <c r="G90" s="19">
        <v>11.89</v>
      </c>
      <c r="H90" s="39" t="s">
        <v>425</v>
      </c>
    </row>
    <row r="91" spans="1:8" x14ac:dyDescent="0.25">
      <c r="A91" s="5" t="s">
        <v>55</v>
      </c>
      <c r="B91" s="5" t="s">
        <v>118</v>
      </c>
      <c r="C91" s="5" t="s">
        <v>174</v>
      </c>
      <c r="D91" s="5" t="s">
        <v>316</v>
      </c>
      <c r="E91" s="5" t="s">
        <v>403</v>
      </c>
      <c r="F91" s="5" t="s">
        <v>509</v>
      </c>
      <c r="G91" s="19">
        <v>11.89</v>
      </c>
      <c r="H91" s="39" t="s">
        <v>425</v>
      </c>
    </row>
    <row r="92" spans="1:8" x14ac:dyDescent="0.25">
      <c r="A92" s="5" t="s">
        <v>56</v>
      </c>
      <c r="B92" s="5" t="s">
        <v>118</v>
      </c>
      <c r="C92" s="5" t="s">
        <v>175</v>
      </c>
      <c r="D92" s="5" t="s">
        <v>317</v>
      </c>
      <c r="E92" s="5" t="s">
        <v>403</v>
      </c>
      <c r="G92" s="19">
        <v>11.89</v>
      </c>
      <c r="H92" s="39" t="s">
        <v>425</v>
      </c>
    </row>
    <row r="93" spans="1:8" x14ac:dyDescent="0.25">
      <c r="A93" s="6" t="s">
        <v>57</v>
      </c>
      <c r="B93" s="6" t="s">
        <v>118</v>
      </c>
      <c r="C93" s="6" t="s">
        <v>176</v>
      </c>
      <c r="D93" s="6" t="s">
        <v>318</v>
      </c>
      <c r="E93" s="6" t="s">
        <v>403</v>
      </c>
      <c r="G93" s="20">
        <v>14</v>
      </c>
      <c r="H93" s="40" t="s">
        <v>425</v>
      </c>
    </row>
    <row r="94" spans="1:8" x14ac:dyDescent="0.25">
      <c r="F94" s="6" t="s">
        <v>510</v>
      </c>
      <c r="G94" s="20">
        <v>13.079000000000001</v>
      </c>
    </row>
    <row r="95" spans="1:8" x14ac:dyDescent="0.25">
      <c r="A95" s="6"/>
      <c r="B95" s="6"/>
      <c r="C95" s="6"/>
      <c r="D95" s="6"/>
      <c r="E95" s="6"/>
      <c r="F95" s="6" t="s">
        <v>511</v>
      </c>
      <c r="G95" s="20">
        <v>8.72E-2</v>
      </c>
    </row>
    <row r="96" spans="1:8" x14ac:dyDescent="0.25">
      <c r="A96" s="6"/>
      <c r="B96" s="6"/>
      <c r="C96" s="6"/>
      <c r="D96" s="6"/>
      <c r="E96" s="6"/>
      <c r="F96" s="6" t="s">
        <v>512</v>
      </c>
      <c r="G96" s="20">
        <v>0.83379999999999999</v>
      </c>
    </row>
    <row r="97" spans="1:8" x14ac:dyDescent="0.25">
      <c r="A97" s="5" t="s">
        <v>58</v>
      </c>
      <c r="B97" s="5" t="s">
        <v>118</v>
      </c>
      <c r="C97" s="5" t="s">
        <v>177</v>
      </c>
      <c r="D97" s="5" t="s">
        <v>319</v>
      </c>
      <c r="E97" s="5" t="s">
        <v>402</v>
      </c>
      <c r="G97" s="19">
        <v>10.48</v>
      </c>
      <c r="H97" s="39" t="s">
        <v>425</v>
      </c>
    </row>
    <row r="98" spans="1:8" x14ac:dyDescent="0.25">
      <c r="F98" s="5" t="s">
        <v>513</v>
      </c>
      <c r="G98" s="19">
        <v>7.58</v>
      </c>
    </row>
    <row r="99" spans="1:8" x14ac:dyDescent="0.25">
      <c r="A99" s="5"/>
      <c r="B99" s="5"/>
      <c r="C99" s="5"/>
      <c r="D99" s="5"/>
      <c r="E99" s="5"/>
      <c r="F99" s="5" t="s">
        <v>514</v>
      </c>
      <c r="G99" s="19">
        <v>2.9</v>
      </c>
    </row>
    <row r="100" spans="1:8" x14ac:dyDescent="0.25">
      <c r="A100" s="5" t="s">
        <v>59</v>
      </c>
      <c r="B100" s="5" t="s">
        <v>118</v>
      </c>
      <c r="C100" s="5" t="s">
        <v>178</v>
      </c>
      <c r="D100" s="5" t="s">
        <v>320</v>
      </c>
      <c r="E100" s="5" t="s">
        <v>404</v>
      </c>
      <c r="G100" s="19">
        <v>0.39939999999999998</v>
      </c>
      <c r="H100" s="39" t="s">
        <v>425</v>
      </c>
    </row>
    <row r="101" spans="1:8" x14ac:dyDescent="0.25">
      <c r="A101" s="5" t="s">
        <v>60</v>
      </c>
      <c r="B101" s="5" t="s">
        <v>118</v>
      </c>
      <c r="C101" s="5" t="s">
        <v>180</v>
      </c>
      <c r="D101" s="5" t="s">
        <v>322</v>
      </c>
      <c r="E101" s="5" t="s">
        <v>403</v>
      </c>
      <c r="F101" s="5" t="s">
        <v>500</v>
      </c>
      <c r="G101" s="19">
        <v>78.67</v>
      </c>
      <c r="H101" s="39" t="s">
        <v>425</v>
      </c>
    </row>
    <row r="102" spans="1:8" x14ac:dyDescent="0.25">
      <c r="A102" s="5" t="s">
        <v>61</v>
      </c>
      <c r="B102" s="5" t="s">
        <v>118</v>
      </c>
      <c r="C102" s="5" t="s">
        <v>181</v>
      </c>
      <c r="D102" s="5" t="s">
        <v>323</v>
      </c>
      <c r="E102" s="5" t="s">
        <v>403</v>
      </c>
      <c r="G102" s="19">
        <v>78.67</v>
      </c>
      <c r="H102" s="39" t="s">
        <v>425</v>
      </c>
    </row>
    <row r="103" spans="1:8" x14ac:dyDescent="0.25">
      <c r="A103" s="5" t="s">
        <v>62</v>
      </c>
      <c r="B103" s="5" t="s">
        <v>118</v>
      </c>
      <c r="C103" s="5" t="s">
        <v>182</v>
      </c>
      <c r="D103" s="5" t="s">
        <v>324</v>
      </c>
      <c r="E103" s="5" t="s">
        <v>403</v>
      </c>
      <c r="G103" s="19">
        <v>78.67</v>
      </c>
      <c r="H103" s="39" t="s">
        <v>425</v>
      </c>
    </row>
    <row r="104" spans="1:8" x14ac:dyDescent="0.25">
      <c r="A104" s="5" t="s">
        <v>63</v>
      </c>
      <c r="B104" s="5" t="s">
        <v>118</v>
      </c>
      <c r="C104" s="5" t="s">
        <v>183</v>
      </c>
      <c r="D104" s="5" t="s">
        <v>325</v>
      </c>
      <c r="E104" s="5" t="s">
        <v>403</v>
      </c>
      <c r="G104" s="19">
        <v>78.67</v>
      </c>
      <c r="H104" s="39" t="s">
        <v>425</v>
      </c>
    </row>
    <row r="105" spans="1:8" x14ac:dyDescent="0.25">
      <c r="A105" s="5" t="s">
        <v>64</v>
      </c>
      <c r="B105" s="5" t="s">
        <v>118</v>
      </c>
      <c r="C105" s="5" t="s">
        <v>184</v>
      </c>
      <c r="D105" s="5" t="s">
        <v>326</v>
      </c>
      <c r="E105" s="5" t="s">
        <v>403</v>
      </c>
      <c r="F105" s="5" t="s">
        <v>515</v>
      </c>
      <c r="G105" s="19">
        <v>78.67</v>
      </c>
      <c r="H105" s="39" t="s">
        <v>425</v>
      </c>
    </row>
    <row r="106" spans="1:8" x14ac:dyDescent="0.25">
      <c r="A106" s="5" t="s">
        <v>65</v>
      </c>
      <c r="B106" s="5" t="s">
        <v>118</v>
      </c>
      <c r="C106" s="5" t="s">
        <v>185</v>
      </c>
      <c r="D106" s="5" t="s">
        <v>327</v>
      </c>
      <c r="E106" s="5" t="s">
        <v>402</v>
      </c>
      <c r="F106" s="5" t="s">
        <v>516</v>
      </c>
      <c r="G106" s="19">
        <v>1.7</v>
      </c>
      <c r="H106" s="39" t="s">
        <v>425</v>
      </c>
    </row>
    <row r="107" spans="1:8" x14ac:dyDescent="0.25">
      <c r="A107" s="5" t="s">
        <v>66</v>
      </c>
      <c r="B107" s="5" t="s">
        <v>118</v>
      </c>
      <c r="C107" s="5" t="s">
        <v>186</v>
      </c>
      <c r="D107" s="5" t="s">
        <v>328</v>
      </c>
      <c r="E107" s="5" t="s">
        <v>402</v>
      </c>
      <c r="G107" s="19">
        <v>2</v>
      </c>
      <c r="H107" s="39" t="s">
        <v>425</v>
      </c>
    </row>
    <row r="108" spans="1:8" x14ac:dyDescent="0.25">
      <c r="A108" s="5" t="s">
        <v>67</v>
      </c>
      <c r="B108" s="5" t="s">
        <v>118</v>
      </c>
      <c r="C108" s="5" t="s">
        <v>183</v>
      </c>
      <c r="D108" s="5" t="s">
        <v>329</v>
      </c>
      <c r="E108" s="5" t="s">
        <v>403</v>
      </c>
      <c r="G108" s="19">
        <v>78.67</v>
      </c>
      <c r="H108" s="39" t="s">
        <v>425</v>
      </c>
    </row>
    <row r="109" spans="1:8" x14ac:dyDescent="0.25">
      <c r="A109" s="5" t="s">
        <v>68</v>
      </c>
      <c r="B109" s="5" t="s">
        <v>118</v>
      </c>
      <c r="C109" s="5" t="s">
        <v>187</v>
      </c>
      <c r="D109" s="5" t="s">
        <v>330</v>
      </c>
      <c r="E109" s="5" t="s">
        <v>402</v>
      </c>
      <c r="G109" s="19">
        <v>48.3</v>
      </c>
      <c r="H109" s="39" t="s">
        <v>425</v>
      </c>
    </row>
    <row r="110" spans="1:8" x14ac:dyDescent="0.25">
      <c r="D110" s="17" t="s">
        <v>331</v>
      </c>
      <c r="F110" s="5" t="s">
        <v>499</v>
      </c>
      <c r="G110" s="19">
        <v>43.3</v>
      </c>
    </row>
    <row r="111" spans="1:8" x14ac:dyDescent="0.25">
      <c r="A111" s="5"/>
      <c r="B111" s="5"/>
      <c r="C111" s="5"/>
      <c r="D111" s="5"/>
      <c r="E111" s="5"/>
      <c r="F111" s="5" t="s">
        <v>517</v>
      </c>
      <c r="G111" s="19">
        <v>5</v>
      </c>
    </row>
    <row r="112" spans="1:8" x14ac:dyDescent="0.25">
      <c r="A112" s="6" t="s">
        <v>69</v>
      </c>
      <c r="B112" s="6" t="s">
        <v>118</v>
      </c>
      <c r="C112" s="6" t="s">
        <v>188</v>
      </c>
      <c r="D112" s="6" t="s">
        <v>332</v>
      </c>
      <c r="E112" s="6" t="s">
        <v>403</v>
      </c>
      <c r="F112" s="6" t="s">
        <v>518</v>
      </c>
      <c r="G112" s="20">
        <v>86.537000000000006</v>
      </c>
      <c r="H112" s="40" t="s">
        <v>425</v>
      </c>
    </row>
    <row r="113" spans="1:8" x14ac:dyDescent="0.25">
      <c r="A113" s="5" t="s">
        <v>70</v>
      </c>
      <c r="B113" s="5" t="s">
        <v>118</v>
      </c>
      <c r="C113" s="5" t="s">
        <v>189</v>
      </c>
      <c r="D113" s="5" t="s">
        <v>333</v>
      </c>
      <c r="E113" s="5" t="s">
        <v>403</v>
      </c>
      <c r="G113" s="19">
        <v>78.67</v>
      </c>
      <c r="H113" s="39" t="s">
        <v>425</v>
      </c>
    </row>
    <row r="114" spans="1:8" x14ac:dyDescent="0.25">
      <c r="D114" s="17" t="s">
        <v>334</v>
      </c>
      <c r="F114" s="5" t="s">
        <v>500</v>
      </c>
      <c r="G114" s="19">
        <v>78.67</v>
      </c>
    </row>
    <row r="115" spans="1:8" x14ac:dyDescent="0.25">
      <c r="A115" s="5" t="s">
        <v>71</v>
      </c>
      <c r="B115" s="5" t="s">
        <v>118</v>
      </c>
      <c r="C115" s="5" t="s">
        <v>190</v>
      </c>
      <c r="D115" s="5" t="s">
        <v>335</v>
      </c>
      <c r="E115" s="5" t="s">
        <v>402</v>
      </c>
      <c r="G115" s="19">
        <v>48.3</v>
      </c>
      <c r="H115" s="39" t="s">
        <v>425</v>
      </c>
    </row>
    <row r="116" spans="1:8" x14ac:dyDescent="0.25">
      <c r="A116" s="5" t="s">
        <v>72</v>
      </c>
      <c r="B116" s="5" t="s">
        <v>118</v>
      </c>
      <c r="C116" s="5" t="s">
        <v>191</v>
      </c>
      <c r="D116" s="5" t="s">
        <v>336</v>
      </c>
      <c r="E116" s="5" t="s">
        <v>404</v>
      </c>
      <c r="G116" s="19">
        <v>0.81</v>
      </c>
      <c r="H116" s="39" t="s">
        <v>425</v>
      </c>
    </row>
    <row r="117" spans="1:8" x14ac:dyDescent="0.25">
      <c r="A117" s="5" t="s">
        <v>73</v>
      </c>
      <c r="B117" s="5" t="s">
        <v>118</v>
      </c>
      <c r="C117" s="5" t="s">
        <v>193</v>
      </c>
      <c r="D117" s="5" t="s">
        <v>338</v>
      </c>
      <c r="E117" s="5" t="s">
        <v>403</v>
      </c>
      <c r="G117" s="19">
        <v>14.422499999999999</v>
      </c>
      <c r="H117" s="39" t="s">
        <v>425</v>
      </c>
    </row>
    <row r="118" spans="1:8" x14ac:dyDescent="0.25">
      <c r="F118" s="5" t="s">
        <v>519</v>
      </c>
      <c r="G118" s="19">
        <v>8.3324999999999996</v>
      </c>
    </row>
    <row r="119" spans="1:8" x14ac:dyDescent="0.25">
      <c r="A119" s="5"/>
      <c r="B119" s="5"/>
      <c r="C119" s="5"/>
      <c r="D119" s="5"/>
      <c r="E119" s="5"/>
      <c r="F119" s="5" t="s">
        <v>520</v>
      </c>
      <c r="G119" s="19">
        <v>6.09</v>
      </c>
    </row>
    <row r="120" spans="1:8" x14ac:dyDescent="0.25">
      <c r="A120" s="5" t="s">
        <v>74</v>
      </c>
      <c r="B120" s="5" t="s">
        <v>118</v>
      </c>
      <c r="C120" s="5" t="s">
        <v>194</v>
      </c>
      <c r="D120" s="5" t="s">
        <v>339</v>
      </c>
      <c r="E120" s="5" t="s">
        <v>403</v>
      </c>
      <c r="G120" s="19">
        <v>14.422499999999999</v>
      </c>
      <c r="H120" s="39" t="s">
        <v>425</v>
      </c>
    </row>
    <row r="121" spans="1:8" x14ac:dyDescent="0.25">
      <c r="A121" s="5" t="s">
        <v>75</v>
      </c>
      <c r="B121" s="5" t="s">
        <v>118</v>
      </c>
      <c r="C121" s="5" t="s">
        <v>195</v>
      </c>
      <c r="D121" s="5" t="s">
        <v>340</v>
      </c>
      <c r="E121" s="5" t="s">
        <v>403</v>
      </c>
      <c r="F121" s="5" t="s">
        <v>521</v>
      </c>
      <c r="G121" s="19">
        <v>9.9749999999999996</v>
      </c>
      <c r="H121" s="39" t="s">
        <v>425</v>
      </c>
    </row>
    <row r="122" spans="1:8" x14ac:dyDescent="0.25">
      <c r="A122" s="5" t="s">
        <v>76</v>
      </c>
      <c r="B122" s="5" t="s">
        <v>118</v>
      </c>
      <c r="C122" s="5" t="s">
        <v>196</v>
      </c>
      <c r="D122" s="5" t="s">
        <v>341</v>
      </c>
      <c r="E122" s="5" t="s">
        <v>403</v>
      </c>
      <c r="G122" s="19">
        <v>9.9749999999999996</v>
      </c>
      <c r="H122" s="39" t="s">
        <v>425</v>
      </c>
    </row>
    <row r="123" spans="1:8" x14ac:dyDescent="0.25">
      <c r="A123" s="5" t="s">
        <v>77</v>
      </c>
      <c r="B123" s="5" t="s">
        <v>118</v>
      </c>
      <c r="C123" s="5" t="s">
        <v>197</v>
      </c>
      <c r="D123" s="5" t="s">
        <v>342</v>
      </c>
      <c r="E123" s="5" t="s">
        <v>405</v>
      </c>
      <c r="G123" s="19">
        <v>6</v>
      </c>
      <c r="H123" s="39" t="s">
        <v>425</v>
      </c>
    </row>
    <row r="124" spans="1:8" x14ac:dyDescent="0.25">
      <c r="A124" s="5" t="s">
        <v>78</v>
      </c>
      <c r="B124" s="5" t="s">
        <v>118</v>
      </c>
      <c r="C124" s="5" t="s">
        <v>198</v>
      </c>
      <c r="D124" s="5" t="s">
        <v>343</v>
      </c>
      <c r="E124" s="5" t="s">
        <v>403</v>
      </c>
      <c r="G124" s="19">
        <v>9.9749999999999996</v>
      </c>
      <c r="H124" s="39" t="s">
        <v>425</v>
      </c>
    </row>
    <row r="125" spans="1:8" x14ac:dyDescent="0.25">
      <c r="A125" s="5" t="s">
        <v>79</v>
      </c>
      <c r="B125" s="5" t="s">
        <v>118</v>
      </c>
      <c r="C125" s="5" t="s">
        <v>199</v>
      </c>
      <c r="D125" s="5" t="s">
        <v>344</v>
      </c>
      <c r="E125" s="5" t="s">
        <v>403</v>
      </c>
      <c r="G125" s="19">
        <v>9.9749999999999996</v>
      </c>
      <c r="H125" s="39" t="s">
        <v>425</v>
      </c>
    </row>
    <row r="126" spans="1:8" x14ac:dyDescent="0.25">
      <c r="A126" s="5" t="s">
        <v>80</v>
      </c>
      <c r="B126" s="5" t="s">
        <v>118</v>
      </c>
      <c r="C126" s="5" t="s">
        <v>200</v>
      </c>
      <c r="D126" s="5" t="s">
        <v>345</v>
      </c>
      <c r="E126" s="5" t="s">
        <v>402</v>
      </c>
      <c r="G126" s="19">
        <v>14</v>
      </c>
      <c r="H126" s="39" t="s">
        <v>425</v>
      </c>
    </row>
    <row r="127" spans="1:8" x14ac:dyDescent="0.25">
      <c r="D127" s="17" t="s">
        <v>346</v>
      </c>
      <c r="F127" s="5" t="s">
        <v>522</v>
      </c>
      <c r="G127" s="19">
        <v>7</v>
      </c>
    </row>
    <row r="128" spans="1:8" x14ac:dyDescent="0.25">
      <c r="A128" s="5"/>
      <c r="B128" s="5"/>
      <c r="C128" s="5"/>
      <c r="D128" s="5"/>
      <c r="E128" s="5"/>
      <c r="F128" s="5" t="s">
        <v>523</v>
      </c>
      <c r="G128" s="19">
        <v>5.7</v>
      </c>
    </row>
    <row r="129" spans="1:8" x14ac:dyDescent="0.25">
      <c r="A129" s="5"/>
      <c r="B129" s="5"/>
      <c r="C129" s="5"/>
      <c r="D129" s="5"/>
      <c r="E129" s="5"/>
      <c r="F129" s="5" t="s">
        <v>524</v>
      </c>
      <c r="G129" s="19">
        <v>1.3</v>
      </c>
    </row>
    <row r="130" spans="1:8" x14ac:dyDescent="0.25">
      <c r="A130" s="6" t="s">
        <v>81</v>
      </c>
      <c r="B130" s="6" t="s">
        <v>118</v>
      </c>
      <c r="C130" s="6" t="s">
        <v>201</v>
      </c>
      <c r="D130" s="6" t="s">
        <v>347</v>
      </c>
      <c r="E130" s="6" t="s">
        <v>403</v>
      </c>
      <c r="G130" s="20">
        <v>12</v>
      </c>
      <c r="H130" s="40" t="s">
        <v>425</v>
      </c>
    </row>
    <row r="131" spans="1:8" x14ac:dyDescent="0.25">
      <c r="F131" s="6" t="s">
        <v>525</v>
      </c>
      <c r="G131" s="20">
        <v>11.47125</v>
      </c>
    </row>
    <row r="132" spans="1:8" x14ac:dyDescent="0.25">
      <c r="A132" s="6"/>
      <c r="B132" s="6"/>
      <c r="C132" s="6"/>
      <c r="D132" s="6"/>
      <c r="E132" s="6"/>
      <c r="F132" s="6" t="s">
        <v>526</v>
      </c>
      <c r="G132" s="20">
        <v>0.52875000000000005</v>
      </c>
    </row>
    <row r="133" spans="1:8" x14ac:dyDescent="0.25">
      <c r="A133" s="5" t="s">
        <v>82</v>
      </c>
      <c r="B133" s="5" t="s">
        <v>118</v>
      </c>
      <c r="C133" s="5" t="s">
        <v>202</v>
      </c>
      <c r="D133" s="5" t="s">
        <v>348</v>
      </c>
      <c r="E133" s="5" t="s">
        <v>404</v>
      </c>
      <c r="G133" s="19">
        <v>1.1712</v>
      </c>
      <c r="H133" s="39" t="s">
        <v>425</v>
      </c>
    </row>
    <row r="134" spans="1:8" x14ac:dyDescent="0.25">
      <c r="A134" s="5" t="s">
        <v>83</v>
      </c>
      <c r="B134" s="5" t="s">
        <v>118</v>
      </c>
      <c r="C134" s="5" t="s">
        <v>204</v>
      </c>
      <c r="D134" s="5" t="s">
        <v>350</v>
      </c>
      <c r="E134" s="5" t="s">
        <v>403</v>
      </c>
      <c r="G134" s="19">
        <v>3</v>
      </c>
      <c r="H134" s="39" t="s">
        <v>425</v>
      </c>
    </row>
    <row r="135" spans="1:8" x14ac:dyDescent="0.25">
      <c r="F135" s="5" t="s">
        <v>527</v>
      </c>
      <c r="G135" s="19">
        <v>1.6</v>
      </c>
    </row>
    <row r="136" spans="1:8" x14ac:dyDescent="0.25">
      <c r="A136" s="5"/>
      <c r="B136" s="5"/>
      <c r="C136" s="5"/>
      <c r="D136" s="5"/>
      <c r="E136" s="5"/>
      <c r="F136" s="5" t="s">
        <v>528</v>
      </c>
      <c r="G136" s="19">
        <v>1.4</v>
      </c>
    </row>
    <row r="137" spans="1:8" x14ac:dyDescent="0.25">
      <c r="A137" s="5" t="s">
        <v>84</v>
      </c>
      <c r="B137" s="5" t="s">
        <v>118</v>
      </c>
      <c r="C137" s="5" t="s">
        <v>205</v>
      </c>
      <c r="D137" s="5" t="s">
        <v>351</v>
      </c>
      <c r="E137" s="5" t="s">
        <v>403</v>
      </c>
      <c r="G137" s="19">
        <v>3</v>
      </c>
      <c r="H137" s="39" t="s">
        <v>425</v>
      </c>
    </row>
    <row r="138" spans="1:8" x14ac:dyDescent="0.25">
      <c r="A138" s="5" t="s">
        <v>85</v>
      </c>
      <c r="B138" s="5" t="s">
        <v>118</v>
      </c>
      <c r="C138" s="5" t="s">
        <v>206</v>
      </c>
      <c r="D138" s="5" t="s">
        <v>352</v>
      </c>
      <c r="E138" s="5" t="s">
        <v>403</v>
      </c>
      <c r="G138" s="19">
        <v>4.7300000000000004</v>
      </c>
      <c r="H138" s="39" t="s">
        <v>425</v>
      </c>
    </row>
    <row r="139" spans="1:8" x14ac:dyDescent="0.25">
      <c r="A139" s="5" t="s">
        <v>86</v>
      </c>
      <c r="B139" s="5" t="s">
        <v>118</v>
      </c>
      <c r="C139" s="5" t="s">
        <v>207</v>
      </c>
      <c r="D139" s="5" t="s">
        <v>353</v>
      </c>
      <c r="E139" s="5" t="s">
        <v>403</v>
      </c>
      <c r="G139" s="19">
        <v>4.7300000000000004</v>
      </c>
      <c r="H139" s="39" t="s">
        <v>425</v>
      </c>
    </row>
    <row r="140" spans="1:8" x14ac:dyDescent="0.25">
      <c r="F140" s="5" t="s">
        <v>529</v>
      </c>
      <c r="G140" s="19">
        <v>3.33</v>
      </c>
    </row>
    <row r="141" spans="1:8" x14ac:dyDescent="0.25">
      <c r="A141" s="5"/>
      <c r="B141" s="5"/>
      <c r="C141" s="5"/>
      <c r="D141" s="5"/>
      <c r="E141" s="5"/>
      <c r="F141" s="5" t="s">
        <v>530</v>
      </c>
      <c r="G141" s="19">
        <v>1.4</v>
      </c>
    </row>
    <row r="142" spans="1:8" x14ac:dyDescent="0.25">
      <c r="A142" s="5" t="s">
        <v>87</v>
      </c>
      <c r="B142" s="5" t="s">
        <v>118</v>
      </c>
      <c r="C142" s="5" t="s">
        <v>208</v>
      </c>
      <c r="D142" s="5" t="s">
        <v>354</v>
      </c>
      <c r="E142" s="5" t="s">
        <v>403</v>
      </c>
      <c r="G142" s="19">
        <v>5.07</v>
      </c>
      <c r="H142" s="39" t="s">
        <v>425</v>
      </c>
    </row>
    <row r="143" spans="1:8" x14ac:dyDescent="0.25">
      <c r="F143" s="5" t="s">
        <v>531</v>
      </c>
      <c r="G143" s="19">
        <v>3.6</v>
      </c>
    </row>
    <row r="144" spans="1:8" x14ac:dyDescent="0.25">
      <c r="A144" s="5"/>
      <c r="B144" s="5"/>
      <c r="C144" s="5"/>
      <c r="D144" s="5"/>
      <c r="E144" s="5"/>
      <c r="F144" s="5" t="s">
        <v>532</v>
      </c>
      <c r="G144" s="19">
        <v>1.47</v>
      </c>
    </row>
    <row r="145" spans="1:8" x14ac:dyDescent="0.25">
      <c r="A145" s="5" t="s">
        <v>88</v>
      </c>
      <c r="B145" s="5" t="s">
        <v>118</v>
      </c>
      <c r="C145" s="5" t="s">
        <v>209</v>
      </c>
      <c r="D145" s="5" t="s">
        <v>355</v>
      </c>
      <c r="E145" s="5" t="s">
        <v>403</v>
      </c>
      <c r="G145" s="19">
        <v>5.07</v>
      </c>
      <c r="H145" s="39" t="s">
        <v>425</v>
      </c>
    </row>
    <row r="146" spans="1:8" x14ac:dyDescent="0.25">
      <c r="A146" s="5" t="s">
        <v>89</v>
      </c>
      <c r="B146" s="5" t="s">
        <v>118</v>
      </c>
      <c r="C146" s="5" t="s">
        <v>211</v>
      </c>
      <c r="D146" s="5" t="s">
        <v>357</v>
      </c>
      <c r="E146" s="5" t="s">
        <v>403</v>
      </c>
      <c r="G146" s="19">
        <v>199.55195000000001</v>
      </c>
      <c r="H146" s="39" t="s">
        <v>425</v>
      </c>
    </row>
    <row r="147" spans="1:8" x14ac:dyDescent="0.25">
      <c r="F147" s="5" t="s">
        <v>533</v>
      </c>
      <c r="G147" s="19">
        <v>108.57599999999999</v>
      </c>
    </row>
    <row r="148" spans="1:8" x14ac:dyDescent="0.25">
      <c r="A148" s="5"/>
      <c r="B148" s="5"/>
      <c r="C148" s="5"/>
      <c r="D148" s="5"/>
      <c r="E148" s="5"/>
      <c r="F148" s="5" t="s">
        <v>485</v>
      </c>
      <c r="G148" s="19">
        <v>-1.8</v>
      </c>
    </row>
    <row r="149" spans="1:8" x14ac:dyDescent="0.25">
      <c r="A149" s="5"/>
      <c r="B149" s="5"/>
      <c r="C149" s="5"/>
      <c r="D149" s="5"/>
      <c r="E149" s="5"/>
      <c r="F149" s="5" t="s">
        <v>534</v>
      </c>
      <c r="G149" s="19">
        <v>-3.83338</v>
      </c>
    </row>
    <row r="150" spans="1:8" x14ac:dyDescent="0.25">
      <c r="A150" s="5"/>
      <c r="B150" s="5"/>
      <c r="C150" s="5"/>
      <c r="D150" s="5"/>
      <c r="E150" s="5"/>
      <c r="F150" s="5" t="s">
        <v>535</v>
      </c>
      <c r="G150" s="19">
        <v>-1.68</v>
      </c>
    </row>
    <row r="151" spans="1:8" x14ac:dyDescent="0.25">
      <c r="A151" s="5"/>
      <c r="B151" s="5"/>
      <c r="C151" s="5"/>
      <c r="D151" s="5"/>
      <c r="E151" s="5"/>
      <c r="F151" s="5" t="s">
        <v>536</v>
      </c>
      <c r="G151" s="19">
        <v>-8.9657999999999998</v>
      </c>
    </row>
    <row r="152" spans="1:8" x14ac:dyDescent="0.25">
      <c r="A152" s="5"/>
      <c r="B152" s="5"/>
      <c r="C152" s="5"/>
      <c r="D152" s="5"/>
      <c r="E152" s="5"/>
      <c r="F152" s="5" t="s">
        <v>537</v>
      </c>
      <c r="G152" s="19">
        <v>-1.5542</v>
      </c>
    </row>
    <row r="153" spans="1:8" x14ac:dyDescent="0.25">
      <c r="A153" s="5"/>
      <c r="B153" s="5"/>
      <c r="C153" s="5"/>
      <c r="D153" s="5"/>
      <c r="E153" s="5"/>
      <c r="F153" s="5" t="s">
        <v>538</v>
      </c>
      <c r="G153" s="19">
        <v>4.9904999999999999</v>
      </c>
    </row>
    <row r="154" spans="1:8" x14ac:dyDescent="0.25">
      <c r="A154" s="5"/>
      <c r="B154" s="5"/>
      <c r="C154" s="5"/>
      <c r="D154" s="5"/>
      <c r="E154" s="5"/>
      <c r="F154" s="5" t="s">
        <v>539</v>
      </c>
      <c r="G154" s="19">
        <v>1.488</v>
      </c>
    </row>
    <row r="155" spans="1:8" x14ac:dyDescent="0.25">
      <c r="A155" s="5"/>
      <c r="B155" s="5"/>
      <c r="C155" s="5"/>
      <c r="D155" s="5"/>
      <c r="E155" s="5"/>
      <c r="F155" s="5" t="s">
        <v>540</v>
      </c>
      <c r="G155" s="19">
        <v>1.1223000000000001</v>
      </c>
    </row>
    <row r="156" spans="1:8" x14ac:dyDescent="0.25">
      <c r="A156" s="5"/>
      <c r="B156" s="5"/>
      <c r="C156" s="5"/>
      <c r="D156" s="5"/>
      <c r="E156" s="5"/>
      <c r="F156" s="5" t="s">
        <v>541</v>
      </c>
      <c r="G156" s="19">
        <v>27.922899999999998</v>
      </c>
    </row>
    <row r="157" spans="1:8" x14ac:dyDescent="0.25">
      <c r="A157" s="5"/>
      <c r="B157" s="5"/>
      <c r="C157" s="5"/>
      <c r="D157" s="5"/>
      <c r="E157" s="5"/>
      <c r="F157" s="5" t="s">
        <v>534</v>
      </c>
      <c r="G157" s="19">
        <v>-3.83338</v>
      </c>
    </row>
    <row r="158" spans="1:8" x14ac:dyDescent="0.25">
      <c r="A158" s="5"/>
      <c r="B158" s="5"/>
      <c r="C158" s="5"/>
      <c r="D158" s="5"/>
      <c r="E158" s="5"/>
      <c r="F158" s="5" t="s">
        <v>542</v>
      </c>
      <c r="G158" s="19">
        <v>5.5412499999999998</v>
      </c>
    </row>
    <row r="159" spans="1:8" x14ac:dyDescent="0.25">
      <c r="A159" s="5"/>
      <c r="B159" s="5"/>
      <c r="C159" s="5"/>
      <c r="D159" s="5"/>
      <c r="E159" s="5"/>
      <c r="F159" s="5" t="s">
        <v>543</v>
      </c>
      <c r="G159" s="19">
        <v>26.697500000000002</v>
      </c>
    </row>
    <row r="160" spans="1:8" x14ac:dyDescent="0.25">
      <c r="A160" s="5"/>
      <c r="B160" s="5"/>
      <c r="C160" s="5"/>
      <c r="D160" s="5"/>
      <c r="E160" s="5"/>
      <c r="F160" s="5" t="s">
        <v>544</v>
      </c>
      <c r="G160" s="19">
        <v>-1.6</v>
      </c>
    </row>
    <row r="161" spans="1:8" x14ac:dyDescent="0.25">
      <c r="A161" s="5"/>
      <c r="B161" s="5"/>
      <c r="C161" s="5"/>
      <c r="D161" s="5"/>
      <c r="E161" s="5"/>
      <c r="F161" s="5" t="s">
        <v>545</v>
      </c>
      <c r="G161" s="19">
        <v>-1.4</v>
      </c>
    </row>
    <row r="162" spans="1:8" x14ac:dyDescent="0.25">
      <c r="A162" s="5"/>
      <c r="B162" s="5"/>
      <c r="C162" s="5"/>
      <c r="D162" s="5"/>
      <c r="E162" s="5"/>
      <c r="F162" s="5" t="s">
        <v>546</v>
      </c>
      <c r="G162" s="19">
        <v>22.946000000000002</v>
      </c>
    </row>
    <row r="163" spans="1:8" x14ac:dyDescent="0.25">
      <c r="A163" s="5"/>
      <c r="B163" s="5"/>
      <c r="C163" s="5"/>
      <c r="D163" s="5"/>
      <c r="E163" s="5"/>
      <c r="F163" s="5" t="s">
        <v>545</v>
      </c>
      <c r="G163" s="19">
        <v>-1.4</v>
      </c>
    </row>
    <row r="164" spans="1:8" x14ac:dyDescent="0.25">
      <c r="A164" s="5"/>
      <c r="B164" s="5"/>
      <c r="C164" s="5"/>
      <c r="D164" s="5"/>
      <c r="E164" s="5"/>
      <c r="F164" s="5" t="s">
        <v>547</v>
      </c>
      <c r="G164" s="19">
        <v>29.633459999999999</v>
      </c>
    </row>
    <row r="165" spans="1:8" x14ac:dyDescent="0.25">
      <c r="A165" s="5"/>
      <c r="B165" s="5"/>
      <c r="C165" s="5"/>
      <c r="D165" s="5"/>
      <c r="E165" s="5"/>
      <c r="F165" s="5" t="s">
        <v>548</v>
      </c>
      <c r="G165" s="19">
        <v>-3.2</v>
      </c>
    </row>
    <row r="166" spans="1:8" x14ac:dyDescent="0.25">
      <c r="A166" s="5"/>
      <c r="B166" s="5"/>
      <c r="C166" s="5"/>
      <c r="D166" s="5"/>
      <c r="E166" s="5"/>
      <c r="F166" s="5" t="s">
        <v>537</v>
      </c>
      <c r="G166" s="19">
        <v>-1.5542</v>
      </c>
    </row>
    <row r="167" spans="1:8" x14ac:dyDescent="0.25">
      <c r="A167" s="5"/>
      <c r="B167" s="5"/>
      <c r="C167" s="5"/>
      <c r="D167" s="5"/>
      <c r="E167" s="5"/>
      <c r="F167" s="5" t="s">
        <v>549</v>
      </c>
      <c r="G167" s="19">
        <v>1.4550000000000001</v>
      </c>
    </row>
    <row r="168" spans="1:8" x14ac:dyDescent="0.25">
      <c r="A168" s="5" t="s">
        <v>90</v>
      </c>
      <c r="B168" s="5" t="s">
        <v>118</v>
      </c>
      <c r="C168" s="5" t="s">
        <v>212</v>
      </c>
      <c r="D168" s="5" t="s">
        <v>358</v>
      </c>
      <c r="E168" s="5" t="s">
        <v>403</v>
      </c>
      <c r="G168" s="19">
        <v>45.61</v>
      </c>
      <c r="H168" s="39" t="s">
        <v>425</v>
      </c>
    </row>
    <row r="169" spans="1:8" x14ac:dyDescent="0.25">
      <c r="D169" s="17" t="s">
        <v>359</v>
      </c>
      <c r="F169" s="5" t="s">
        <v>531</v>
      </c>
      <c r="G169" s="19">
        <v>3.6</v>
      </c>
    </row>
    <row r="170" spans="1:8" x14ac:dyDescent="0.25">
      <c r="A170" s="5"/>
      <c r="B170" s="5"/>
      <c r="C170" s="5"/>
      <c r="D170" s="5"/>
      <c r="E170" s="5"/>
      <c r="F170" s="5" t="s">
        <v>550</v>
      </c>
      <c r="G170" s="19">
        <v>6.4</v>
      </c>
    </row>
    <row r="171" spans="1:8" x14ac:dyDescent="0.25">
      <c r="A171" s="5"/>
      <c r="B171" s="5"/>
      <c r="C171" s="5"/>
      <c r="D171" s="5"/>
      <c r="E171" s="5"/>
      <c r="F171" s="5" t="s">
        <v>551</v>
      </c>
      <c r="G171" s="19">
        <v>2.8</v>
      </c>
    </row>
    <row r="172" spans="1:8" x14ac:dyDescent="0.25">
      <c r="A172" s="5"/>
      <c r="B172" s="5"/>
      <c r="C172" s="5"/>
      <c r="D172" s="5"/>
      <c r="E172" s="5"/>
      <c r="F172" s="5" t="s">
        <v>552</v>
      </c>
      <c r="G172" s="19">
        <v>9.4499999999999993</v>
      </c>
    </row>
    <row r="173" spans="1:8" x14ac:dyDescent="0.25">
      <c r="A173" s="5"/>
      <c r="B173" s="5"/>
      <c r="C173" s="5"/>
      <c r="D173" s="5"/>
      <c r="E173" s="5"/>
      <c r="F173" s="5" t="s">
        <v>553</v>
      </c>
      <c r="G173" s="19">
        <v>3.36</v>
      </c>
    </row>
    <row r="174" spans="1:8" x14ac:dyDescent="0.25">
      <c r="A174" s="5"/>
      <c r="B174" s="5"/>
      <c r="C174" s="5"/>
      <c r="D174" s="5"/>
      <c r="E174" s="5"/>
      <c r="F174" s="5" t="s">
        <v>26</v>
      </c>
      <c r="G174" s="19">
        <v>20</v>
      </c>
    </row>
    <row r="175" spans="1:8" x14ac:dyDescent="0.25">
      <c r="A175" s="5" t="s">
        <v>91</v>
      </c>
      <c r="B175" s="5" t="s">
        <v>118</v>
      </c>
      <c r="C175" s="5" t="s">
        <v>213</v>
      </c>
      <c r="D175" s="5" t="s">
        <v>360</v>
      </c>
      <c r="E175" s="5" t="s">
        <v>403</v>
      </c>
      <c r="G175" s="19">
        <v>203.75194999999999</v>
      </c>
      <c r="H175" s="39" t="s">
        <v>425</v>
      </c>
    </row>
    <row r="176" spans="1:8" x14ac:dyDescent="0.25">
      <c r="F176" s="5" t="s">
        <v>554</v>
      </c>
      <c r="G176" s="19">
        <v>189.57695000000001</v>
      </c>
    </row>
    <row r="177" spans="1:8" x14ac:dyDescent="0.25">
      <c r="A177" s="5"/>
      <c r="B177" s="5"/>
      <c r="C177" s="5"/>
      <c r="D177" s="5"/>
      <c r="E177" s="5"/>
      <c r="F177" s="5" t="s">
        <v>555</v>
      </c>
      <c r="G177" s="19">
        <v>5.8049999999999997</v>
      </c>
    </row>
    <row r="178" spans="1:8" x14ac:dyDescent="0.25">
      <c r="A178" s="5"/>
      <c r="B178" s="5"/>
      <c r="C178" s="5"/>
      <c r="D178" s="5"/>
      <c r="E178" s="5"/>
      <c r="F178" s="5" t="s">
        <v>477</v>
      </c>
      <c r="G178" s="19">
        <v>8.3699999999999992</v>
      </c>
    </row>
    <row r="179" spans="1:8" x14ac:dyDescent="0.25">
      <c r="A179" s="5" t="s">
        <v>92</v>
      </c>
      <c r="B179" s="5" t="s">
        <v>118</v>
      </c>
      <c r="C179" s="5" t="s">
        <v>214</v>
      </c>
      <c r="D179" s="5" t="s">
        <v>361</v>
      </c>
      <c r="E179" s="5" t="s">
        <v>403</v>
      </c>
      <c r="G179" s="19">
        <v>203.75194999999999</v>
      </c>
      <c r="H179" s="39" t="s">
        <v>425</v>
      </c>
    </row>
    <row r="180" spans="1:8" x14ac:dyDescent="0.25">
      <c r="A180" s="5" t="s">
        <v>93</v>
      </c>
      <c r="B180" s="5" t="s">
        <v>118</v>
      </c>
      <c r="C180" s="5" t="s">
        <v>215</v>
      </c>
      <c r="D180" s="5" t="s">
        <v>362</v>
      </c>
      <c r="E180" s="5" t="s">
        <v>402</v>
      </c>
      <c r="F180" s="5" t="s">
        <v>556</v>
      </c>
      <c r="G180" s="19">
        <v>37.9</v>
      </c>
      <c r="H180" s="39" t="s">
        <v>425</v>
      </c>
    </row>
    <row r="181" spans="1:8" x14ac:dyDescent="0.25">
      <c r="A181" s="5" t="s">
        <v>94</v>
      </c>
      <c r="B181" s="5" t="s">
        <v>118</v>
      </c>
      <c r="C181" s="5" t="s">
        <v>216</v>
      </c>
      <c r="D181" s="5" t="s">
        <v>364</v>
      </c>
      <c r="E181" s="5" t="s">
        <v>407</v>
      </c>
      <c r="F181" s="5" t="s">
        <v>557</v>
      </c>
      <c r="G181" s="19">
        <v>24</v>
      </c>
      <c r="H181" s="39" t="s">
        <v>425</v>
      </c>
    </row>
    <row r="182" spans="1:8" x14ac:dyDescent="0.25">
      <c r="A182" s="5" t="s">
        <v>95</v>
      </c>
      <c r="B182" s="5" t="s">
        <v>118</v>
      </c>
      <c r="C182" s="5" t="s">
        <v>218</v>
      </c>
      <c r="D182" s="5" t="s">
        <v>366</v>
      </c>
      <c r="E182" s="5" t="s">
        <v>404</v>
      </c>
      <c r="F182" s="5" t="s">
        <v>558</v>
      </c>
      <c r="G182" s="19">
        <v>17.4742</v>
      </c>
      <c r="H182" s="39" t="s">
        <v>425</v>
      </c>
    </row>
    <row r="183" spans="1:8" x14ac:dyDescent="0.25">
      <c r="A183" s="5" t="s">
        <v>96</v>
      </c>
      <c r="B183" s="5" t="s">
        <v>118</v>
      </c>
      <c r="C183" s="5" t="s">
        <v>219</v>
      </c>
      <c r="D183" s="5" t="s">
        <v>368</v>
      </c>
      <c r="E183" s="5" t="s">
        <v>403</v>
      </c>
      <c r="F183" s="5" t="s">
        <v>559</v>
      </c>
      <c r="G183" s="19">
        <v>83.89</v>
      </c>
      <c r="H183" s="39" t="s">
        <v>425</v>
      </c>
    </row>
    <row r="184" spans="1:8" x14ac:dyDescent="0.25">
      <c r="A184" s="5" t="s">
        <v>97</v>
      </c>
      <c r="B184" s="5" t="s">
        <v>118</v>
      </c>
      <c r="C184" s="5" t="s">
        <v>220</v>
      </c>
      <c r="D184" s="5" t="s">
        <v>370</v>
      </c>
      <c r="E184" s="5" t="s">
        <v>403</v>
      </c>
      <c r="F184" s="5" t="s">
        <v>559</v>
      </c>
      <c r="G184" s="19">
        <v>83.89</v>
      </c>
      <c r="H184" s="39" t="s">
        <v>425</v>
      </c>
    </row>
    <row r="185" spans="1:8" x14ac:dyDescent="0.25">
      <c r="A185" s="5" t="s">
        <v>98</v>
      </c>
      <c r="B185" s="5" t="s">
        <v>118</v>
      </c>
      <c r="C185" s="5" t="s">
        <v>221</v>
      </c>
      <c r="D185" s="5" t="s">
        <v>371</v>
      </c>
      <c r="E185" s="5" t="s">
        <v>405</v>
      </c>
      <c r="G185" s="19">
        <v>1</v>
      </c>
      <c r="H185" s="39"/>
    </row>
    <row r="186" spans="1:8" x14ac:dyDescent="0.25">
      <c r="A186" s="5" t="s">
        <v>99</v>
      </c>
      <c r="B186" s="5" t="s">
        <v>118</v>
      </c>
      <c r="C186" s="5" t="s">
        <v>222</v>
      </c>
      <c r="D186" s="5" t="s">
        <v>373</v>
      </c>
      <c r="E186" s="5" t="s">
        <v>403</v>
      </c>
      <c r="F186" s="5" t="s">
        <v>509</v>
      </c>
      <c r="G186" s="19">
        <v>11.89</v>
      </c>
      <c r="H186" s="39" t="s">
        <v>425</v>
      </c>
    </row>
    <row r="187" spans="1:8" x14ac:dyDescent="0.25">
      <c r="A187" s="5" t="s">
        <v>100</v>
      </c>
      <c r="B187" s="5" t="s">
        <v>118</v>
      </c>
      <c r="C187" s="5" t="s">
        <v>223</v>
      </c>
      <c r="D187" s="5" t="s">
        <v>374</v>
      </c>
      <c r="E187" s="5" t="s">
        <v>403</v>
      </c>
      <c r="F187" s="5" t="s">
        <v>560</v>
      </c>
      <c r="G187" s="19">
        <v>90.56</v>
      </c>
      <c r="H187" s="39" t="s">
        <v>425</v>
      </c>
    </row>
    <row r="188" spans="1:8" x14ac:dyDescent="0.25">
      <c r="A188" s="5" t="s">
        <v>101</v>
      </c>
      <c r="B188" s="5" t="s">
        <v>118</v>
      </c>
      <c r="C188" s="5" t="s">
        <v>224</v>
      </c>
      <c r="D188" s="5" t="s">
        <v>375</v>
      </c>
      <c r="E188" s="5" t="s">
        <v>403</v>
      </c>
      <c r="F188" s="5" t="s">
        <v>476</v>
      </c>
      <c r="G188" s="19">
        <v>0.42</v>
      </c>
      <c r="H188" s="39" t="s">
        <v>425</v>
      </c>
    </row>
    <row r="189" spans="1:8" x14ac:dyDescent="0.25">
      <c r="A189" s="5" t="s">
        <v>102</v>
      </c>
      <c r="B189" s="5" t="s">
        <v>118</v>
      </c>
      <c r="C189" s="5" t="s">
        <v>225</v>
      </c>
      <c r="D189" s="5" t="s">
        <v>376</v>
      </c>
      <c r="E189" s="5" t="s">
        <v>403</v>
      </c>
      <c r="F189" s="5" t="s">
        <v>561</v>
      </c>
      <c r="G189" s="19">
        <v>4.7249999999999996</v>
      </c>
      <c r="H189" s="39" t="s">
        <v>425</v>
      </c>
    </row>
    <row r="190" spans="1:8" x14ac:dyDescent="0.25">
      <c r="A190" s="5" t="s">
        <v>103</v>
      </c>
      <c r="B190" s="5" t="s">
        <v>118</v>
      </c>
      <c r="C190" s="5" t="s">
        <v>226</v>
      </c>
      <c r="D190" s="5" t="s">
        <v>377</v>
      </c>
      <c r="E190" s="5" t="s">
        <v>403</v>
      </c>
      <c r="F190" s="5" t="s">
        <v>527</v>
      </c>
      <c r="G190" s="19">
        <v>1.6</v>
      </c>
      <c r="H190" s="39" t="s">
        <v>425</v>
      </c>
    </row>
    <row r="191" spans="1:8" x14ac:dyDescent="0.25">
      <c r="A191" s="5" t="s">
        <v>104</v>
      </c>
      <c r="B191" s="5" t="s">
        <v>118</v>
      </c>
      <c r="C191" s="5" t="s">
        <v>227</v>
      </c>
      <c r="D191" s="5" t="s">
        <v>378</v>
      </c>
      <c r="E191" s="5" t="s">
        <v>405</v>
      </c>
      <c r="F191" s="5" t="s">
        <v>8</v>
      </c>
      <c r="G191" s="19">
        <v>2</v>
      </c>
      <c r="H191" s="39" t="s">
        <v>425</v>
      </c>
    </row>
    <row r="192" spans="1:8" x14ac:dyDescent="0.25">
      <c r="A192" s="5" t="s">
        <v>105</v>
      </c>
      <c r="B192" s="5" t="s">
        <v>118</v>
      </c>
      <c r="C192" s="5" t="s">
        <v>228</v>
      </c>
      <c r="D192" s="5" t="s">
        <v>379</v>
      </c>
      <c r="E192" s="5" t="s">
        <v>403</v>
      </c>
      <c r="F192" s="5" t="s">
        <v>562</v>
      </c>
      <c r="G192" s="19">
        <v>2.94</v>
      </c>
      <c r="H192" s="39" t="s">
        <v>425</v>
      </c>
    </row>
    <row r="193" spans="1:8" x14ac:dyDescent="0.25">
      <c r="A193" s="5" t="s">
        <v>106</v>
      </c>
      <c r="B193" s="5" t="s">
        <v>118</v>
      </c>
      <c r="C193" s="5" t="s">
        <v>229</v>
      </c>
      <c r="D193" s="5" t="s">
        <v>380</v>
      </c>
      <c r="E193" s="5" t="s">
        <v>403</v>
      </c>
      <c r="F193" s="5" t="s">
        <v>515</v>
      </c>
      <c r="G193" s="19">
        <v>78.67</v>
      </c>
      <c r="H193" s="39" t="s">
        <v>425</v>
      </c>
    </row>
    <row r="194" spans="1:8" x14ac:dyDescent="0.25">
      <c r="A194" s="5" t="s">
        <v>107</v>
      </c>
      <c r="B194" s="5" t="s">
        <v>118</v>
      </c>
      <c r="C194" s="5" t="s">
        <v>231</v>
      </c>
      <c r="D194" s="5" t="s">
        <v>382</v>
      </c>
      <c r="E194" s="5" t="s">
        <v>405</v>
      </c>
      <c r="F194" s="5" t="s">
        <v>12</v>
      </c>
      <c r="G194" s="19">
        <v>6</v>
      </c>
      <c r="H194" s="39" t="s">
        <v>425</v>
      </c>
    </row>
    <row r="195" spans="1:8" x14ac:dyDescent="0.25">
      <c r="A195" s="5" t="s">
        <v>108</v>
      </c>
      <c r="B195" s="5" t="s">
        <v>118</v>
      </c>
      <c r="C195" s="5" t="s">
        <v>233</v>
      </c>
      <c r="D195" s="5" t="s">
        <v>384</v>
      </c>
      <c r="E195" s="5" t="s">
        <v>404</v>
      </c>
      <c r="F195" s="5" t="s">
        <v>563</v>
      </c>
      <c r="G195" s="19">
        <v>12.2598</v>
      </c>
      <c r="H195" s="39" t="s">
        <v>425</v>
      </c>
    </row>
    <row r="196" spans="1:8" x14ac:dyDescent="0.25">
      <c r="A196" s="5" t="s">
        <v>109</v>
      </c>
      <c r="B196" s="5" t="s">
        <v>118</v>
      </c>
      <c r="C196" s="5" t="s">
        <v>234</v>
      </c>
      <c r="D196" s="5" t="s">
        <v>385</v>
      </c>
      <c r="E196" s="5" t="s">
        <v>404</v>
      </c>
      <c r="G196" s="19">
        <v>12.2598</v>
      </c>
      <c r="H196" s="39" t="s">
        <v>425</v>
      </c>
    </row>
    <row r="197" spans="1:8" x14ac:dyDescent="0.25">
      <c r="A197" s="5" t="s">
        <v>110</v>
      </c>
      <c r="B197" s="5" t="s">
        <v>118</v>
      </c>
      <c r="C197" s="5" t="s">
        <v>235</v>
      </c>
      <c r="D197" s="5" t="s">
        <v>386</v>
      </c>
      <c r="E197" s="5" t="s">
        <v>404</v>
      </c>
      <c r="G197" s="19">
        <v>12.2598</v>
      </c>
      <c r="H197" s="39" t="s">
        <v>425</v>
      </c>
    </row>
    <row r="198" spans="1:8" x14ac:dyDescent="0.25">
      <c r="A198" s="5" t="s">
        <v>111</v>
      </c>
      <c r="B198" s="5" t="s">
        <v>118</v>
      </c>
      <c r="C198" s="5" t="s">
        <v>236</v>
      </c>
      <c r="D198" s="5" t="s">
        <v>387</v>
      </c>
      <c r="E198" s="5" t="s">
        <v>404</v>
      </c>
      <c r="F198" s="5" t="s">
        <v>564</v>
      </c>
      <c r="G198" s="19">
        <v>11.373200000000001</v>
      </c>
      <c r="H198" s="39" t="s">
        <v>425</v>
      </c>
    </row>
    <row r="199" spans="1:8" x14ac:dyDescent="0.25">
      <c r="A199" s="5" t="s">
        <v>112</v>
      </c>
      <c r="B199" s="5" t="s">
        <v>118</v>
      </c>
      <c r="C199" s="5" t="s">
        <v>237</v>
      </c>
      <c r="D199" s="5" t="s">
        <v>388</v>
      </c>
      <c r="E199" s="5" t="s">
        <v>404</v>
      </c>
      <c r="F199" s="5" t="s">
        <v>565</v>
      </c>
      <c r="G199" s="19">
        <v>0.80659999999999998</v>
      </c>
      <c r="H199" s="39" t="s">
        <v>425</v>
      </c>
    </row>
    <row r="200" spans="1:8" x14ac:dyDescent="0.25">
      <c r="A200" s="5" t="s">
        <v>113</v>
      </c>
      <c r="B200" s="5" t="s">
        <v>118</v>
      </c>
      <c r="C200" s="5" t="s">
        <v>238</v>
      </c>
      <c r="D200" s="5" t="s">
        <v>389</v>
      </c>
      <c r="E200" s="5" t="s">
        <v>404</v>
      </c>
      <c r="G200" s="19">
        <v>0.08</v>
      </c>
      <c r="H200" s="39" t="s">
        <v>425</v>
      </c>
    </row>
    <row r="201" spans="1:8" x14ac:dyDescent="0.25">
      <c r="A201" s="5" t="s">
        <v>114</v>
      </c>
      <c r="B201" s="5" t="s">
        <v>119</v>
      </c>
      <c r="C201" s="5" t="s">
        <v>240</v>
      </c>
      <c r="D201" s="5" t="s">
        <v>392</v>
      </c>
      <c r="E201" s="5" t="s">
        <v>406</v>
      </c>
      <c r="G201" s="19">
        <v>1</v>
      </c>
      <c r="H201" s="39"/>
    </row>
    <row r="202" spans="1:8" x14ac:dyDescent="0.25">
      <c r="A202" s="5" t="s">
        <v>115</v>
      </c>
      <c r="B202" s="5" t="s">
        <v>120</v>
      </c>
      <c r="C202" s="5" t="s">
        <v>242</v>
      </c>
      <c r="D202" s="5" t="s">
        <v>395</v>
      </c>
      <c r="E202" s="5" t="s">
        <v>406</v>
      </c>
      <c r="G202" s="19">
        <v>1</v>
      </c>
      <c r="H202" s="39"/>
    </row>
    <row r="204" spans="1:8" ht="11.25" customHeight="1" x14ac:dyDescent="0.25">
      <c r="A204" s="10" t="s">
        <v>116</v>
      </c>
    </row>
    <row r="205" spans="1:8" x14ac:dyDescent="0.25">
      <c r="A205" s="87"/>
      <c r="B205" s="88"/>
      <c r="C205" s="88"/>
      <c r="D205" s="88"/>
      <c r="E205" s="88"/>
      <c r="F205" s="88"/>
      <c r="G205" s="88"/>
    </row>
  </sheetData>
  <sheetProtection sheet="1" objects="1" scenarios="1"/>
  <mergeCells count="18">
    <mergeCell ref="A1:H1"/>
    <mergeCell ref="A2:B3"/>
    <mergeCell ref="C2:D3"/>
    <mergeCell ref="E2:E3"/>
    <mergeCell ref="F2:H3"/>
    <mergeCell ref="A4:B5"/>
    <mergeCell ref="C4:D5"/>
    <mergeCell ref="E4:E5"/>
    <mergeCell ref="F4:H5"/>
    <mergeCell ref="A205:G205"/>
    <mergeCell ref="A6:B7"/>
    <mergeCell ref="C6:D7"/>
    <mergeCell ref="E6:E7"/>
    <mergeCell ref="F6:H7"/>
    <mergeCell ref="A8:B9"/>
    <mergeCell ref="C8:D9"/>
    <mergeCell ref="E8:E9"/>
    <mergeCell ref="F8:H9"/>
  </mergeCells>
  <pageMargins left="0.39400000000000002" right="0.39400000000000002" top="0.59099999999999997" bottom="0.59099999999999997" header="0.5" footer="0.5"/>
  <pageSetup paperSize="0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Krycí list rozpočtu</vt:lpstr>
      <vt:lpstr>Stavební rozpočet</vt:lpstr>
      <vt:lpstr>VORN</vt:lpstr>
      <vt:lpstr>Výkaz výměr</vt:lpstr>
      <vt:lpstr>vorn_sum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Bartoň Dalibor</dc:creator>
  <cp:lastModifiedBy>Bartoň Dalibor, Ing.</cp:lastModifiedBy>
  <dcterms:created xsi:type="dcterms:W3CDTF">2019-03-13T06:48:08Z</dcterms:created>
  <dcterms:modified xsi:type="dcterms:W3CDTF">2019-04-12T08:44:42Z</dcterms:modified>
</cp:coreProperties>
</file>