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105" windowWidth="14310" windowHeight="11235" activeTab="6"/>
  </bookViews>
  <sheets>
    <sheet name="SUMA" sheetId="12" r:id="rId1"/>
    <sheet name="LOK 1 " sheetId="7" r:id="rId2"/>
    <sheet name="LOK 2" sheetId="10" r:id="rId3"/>
    <sheet name="LOK 3" sheetId="11" r:id="rId4"/>
    <sheet name="LOK 4" sheetId="17" r:id="rId5"/>
    <sheet name="SUMÁŘ NÁSLEDNÁ PÉČE" sheetId="16" r:id="rId6"/>
    <sheet name="následná péče 1-5" sheetId="18" r:id="rId7"/>
  </sheets>
  <calcPr calcId="145621"/>
</workbook>
</file>

<file path=xl/calcChain.xml><?xml version="1.0" encoding="utf-8"?>
<calcChain xmlns="http://schemas.openxmlformats.org/spreadsheetml/2006/main">
  <c r="G63" i="18" l="1"/>
  <c r="D19" i="11" l="1"/>
  <c r="F19" i="11" s="1"/>
  <c r="D32" i="10"/>
  <c r="F32" i="10" s="1"/>
  <c r="D51" i="10"/>
  <c r="F51" i="10" s="1"/>
  <c r="D33" i="17" l="1"/>
  <c r="D17" i="11"/>
  <c r="D50" i="10"/>
  <c r="D17" i="7"/>
  <c r="D33" i="7"/>
  <c r="D57" i="7"/>
  <c r="D82" i="7"/>
  <c r="D17" i="17"/>
  <c r="D58" i="12"/>
  <c r="D57" i="12"/>
  <c r="D56" i="12"/>
  <c r="D73" i="17"/>
  <c r="D63" i="17"/>
  <c r="D36" i="17"/>
  <c r="F36" i="17"/>
  <c r="D291" i="18"/>
  <c r="D293" i="18" s="1"/>
  <c r="G293" i="18" s="1"/>
  <c r="G289" i="18"/>
  <c r="D296" i="18"/>
  <c r="D290" i="18" s="1"/>
  <c r="G290" i="18" s="1"/>
  <c r="G285" i="18"/>
  <c r="G225" i="18"/>
  <c r="G93" i="18"/>
  <c r="G164" i="18"/>
  <c r="D236" i="18"/>
  <c r="G236" i="18" s="1"/>
  <c r="D106" i="18"/>
  <c r="G106" i="18" s="1"/>
  <c r="D175" i="18"/>
  <c r="G175" i="18" s="1"/>
  <c r="G229" i="18"/>
  <c r="D234" i="18"/>
  <c r="G234" i="18" s="1"/>
  <c r="D231" i="18"/>
  <c r="D232" i="18" s="1"/>
  <c r="G232" i="18" s="1"/>
  <c r="D171" i="18"/>
  <c r="G171" i="18" s="1"/>
  <c r="D170" i="18"/>
  <c r="D108" i="18"/>
  <c r="G108" i="18" s="1"/>
  <c r="D101" i="18"/>
  <c r="G101" i="18" s="1"/>
  <c r="G168" i="18"/>
  <c r="G97" i="18"/>
  <c r="D33" i="18"/>
  <c r="G33" i="18" s="1"/>
  <c r="D29" i="18"/>
  <c r="D102" i="18"/>
  <c r="G102" i="18" s="1"/>
  <c r="G25" i="18"/>
  <c r="G100" i="18"/>
  <c r="G22" i="18"/>
  <c r="G322" i="18"/>
  <c r="D321" i="18"/>
  <c r="G321" i="18" s="1"/>
  <c r="D320" i="18"/>
  <c r="G318" i="18"/>
  <c r="G311" i="18"/>
  <c r="D310" i="18"/>
  <c r="G310" i="18" s="1"/>
  <c r="D308" i="18"/>
  <c r="G308" i="18" s="1"/>
  <c r="D305" i="18"/>
  <c r="D306" i="18" s="1"/>
  <c r="D304" i="18"/>
  <c r="G304" i="18" s="1"/>
  <c r="G303" i="18"/>
  <c r="G302" i="18"/>
  <c r="G297" i="18"/>
  <c r="D294" i="18"/>
  <c r="D295" i="18" s="1"/>
  <c r="G295" i="18" s="1"/>
  <c r="G288" i="18"/>
  <c r="G287" i="18"/>
  <c r="G286" i="18"/>
  <c r="G284" i="18"/>
  <c r="G283" i="18"/>
  <c r="G258" i="18"/>
  <c r="D257" i="18"/>
  <c r="G257" i="18" s="1"/>
  <c r="D256" i="18"/>
  <c r="D255" i="18" s="1"/>
  <c r="G254" i="18"/>
  <c r="G250" i="18"/>
  <c r="D249" i="18"/>
  <c r="G249" i="18" s="1"/>
  <c r="D247" i="18"/>
  <c r="G247" i="18" s="1"/>
  <c r="D244" i="18"/>
  <c r="G244" i="18" s="1"/>
  <c r="D243" i="18"/>
  <c r="G243" i="18" s="1"/>
  <c r="G242" i="18"/>
  <c r="G241" i="18"/>
  <c r="G237" i="18"/>
  <c r="G228" i="18"/>
  <c r="G227" i="18"/>
  <c r="G226" i="18"/>
  <c r="G224" i="18"/>
  <c r="G223" i="18"/>
  <c r="G199" i="18"/>
  <c r="D198" i="18"/>
  <c r="G198" i="18" s="1"/>
  <c r="D197" i="18"/>
  <c r="G197" i="18" s="1"/>
  <c r="G195" i="18"/>
  <c r="G191" i="18"/>
  <c r="G190" i="18"/>
  <c r="D189" i="18"/>
  <c r="G189" i="18" s="1"/>
  <c r="D187" i="18"/>
  <c r="G187" i="18" s="1"/>
  <c r="D184" i="18"/>
  <c r="D185" i="18" s="1"/>
  <c r="D183" i="18"/>
  <c r="G183" i="18" s="1"/>
  <c r="G182" i="18"/>
  <c r="G181" i="18"/>
  <c r="G177" i="18"/>
  <c r="D173" i="18"/>
  <c r="G174" i="18" s="1"/>
  <c r="G167" i="18"/>
  <c r="G166" i="18"/>
  <c r="G165" i="18"/>
  <c r="G163" i="18"/>
  <c r="G162" i="18"/>
  <c r="G132" i="18"/>
  <c r="D131" i="18"/>
  <c r="G131" i="18" s="1"/>
  <c r="D130" i="18"/>
  <c r="G128" i="18"/>
  <c r="G124" i="18"/>
  <c r="D123" i="18"/>
  <c r="D118" i="18" s="1"/>
  <c r="D122" i="18"/>
  <c r="G122" i="18" s="1"/>
  <c r="D120" i="18"/>
  <c r="G120" i="18" s="1"/>
  <c r="D119" i="18"/>
  <c r="G119" i="18" s="1"/>
  <c r="D116" i="18"/>
  <c r="G116" i="18" s="1"/>
  <c r="D115" i="18"/>
  <c r="G115" i="18" s="1"/>
  <c r="G114" i="18"/>
  <c r="G113" i="18"/>
  <c r="G109" i="18"/>
  <c r="D99" i="18"/>
  <c r="D104" i="18" s="1"/>
  <c r="G96" i="18"/>
  <c r="G95" i="18"/>
  <c r="G94" i="18"/>
  <c r="G92" i="18"/>
  <c r="G91" i="18"/>
  <c r="G56" i="18"/>
  <c r="D55" i="18"/>
  <c r="G55" i="18" s="1"/>
  <c r="D52" i="18"/>
  <c r="D53" i="18" s="1"/>
  <c r="G50" i="18"/>
  <c r="G46" i="18"/>
  <c r="D42" i="18"/>
  <c r="G35" i="18"/>
  <c r="G32" i="18"/>
  <c r="G31" i="18"/>
  <c r="G27" i="18"/>
  <c r="G26" i="18"/>
  <c r="G24" i="18"/>
  <c r="G23" i="18"/>
  <c r="G21" i="18"/>
  <c r="G278" i="18"/>
  <c r="G277" i="18"/>
  <c r="G276" i="18"/>
  <c r="D274" i="18"/>
  <c r="D279" i="18" s="1"/>
  <c r="G279" i="18" s="1"/>
  <c r="G326" i="18" s="1"/>
  <c r="D273" i="18"/>
  <c r="G273" i="18" s="1"/>
  <c r="G272" i="18"/>
  <c r="G218" i="18"/>
  <c r="G217" i="18"/>
  <c r="D215" i="18"/>
  <c r="D219" i="18" s="1"/>
  <c r="G219" i="18" s="1"/>
  <c r="G214" i="18"/>
  <c r="G156" i="18"/>
  <c r="G155" i="18"/>
  <c r="G154" i="18"/>
  <c r="D83" i="18"/>
  <c r="G83" i="18" s="1"/>
  <c r="G82" i="18"/>
  <c r="D80" i="18"/>
  <c r="G80" i="18" s="1"/>
  <c r="G79" i="18"/>
  <c r="G78" i="18"/>
  <c r="G72" i="18"/>
  <c r="G71" i="18"/>
  <c r="D15" i="18"/>
  <c r="G15" i="18" s="1"/>
  <c r="G14" i="18"/>
  <c r="G13" i="18"/>
  <c r="F12" i="18"/>
  <c r="G10" i="18"/>
  <c r="G296" i="18" l="1"/>
  <c r="D319" i="18"/>
  <c r="G319" i="18" s="1"/>
  <c r="D246" i="18"/>
  <c r="D307" i="18"/>
  <c r="G307" i="18" s="1"/>
  <c r="G255" i="18"/>
  <c r="D230" i="18"/>
  <c r="G230" i="18" s="1"/>
  <c r="D169" i="18"/>
  <c r="G169" i="18" s="1"/>
  <c r="D98" i="18"/>
  <c r="G98" i="18" s="1"/>
  <c r="D196" i="18"/>
  <c r="G196" i="18" s="1"/>
  <c r="D129" i="18"/>
  <c r="G129" i="18" s="1"/>
  <c r="D28" i="18"/>
  <c r="G28" i="18" s="1"/>
  <c r="D186" i="18"/>
  <c r="G186" i="18" s="1"/>
  <c r="D51" i="18"/>
  <c r="G51" i="18" s="1"/>
  <c r="G118" i="18"/>
  <c r="G170" i="18"/>
  <c r="G291" i="18"/>
  <c r="G305" i="18"/>
  <c r="D292" i="18"/>
  <c r="G292" i="18" s="1"/>
  <c r="D309" i="18"/>
  <c r="G309" i="18" s="1"/>
  <c r="G306" i="18"/>
  <c r="G294" i="18"/>
  <c r="G320" i="18"/>
  <c r="D245" i="18"/>
  <c r="G245" i="18" s="1"/>
  <c r="G235" i="18"/>
  <c r="G256" i="18"/>
  <c r="G246" i="18"/>
  <c r="D233" i="18"/>
  <c r="G233" i="18" s="1"/>
  <c r="G231" i="18"/>
  <c r="G185" i="18"/>
  <c r="D188" i="18"/>
  <c r="G188" i="18" s="1"/>
  <c r="G173" i="18"/>
  <c r="G184" i="18"/>
  <c r="D172" i="18"/>
  <c r="G172" i="18" s="1"/>
  <c r="D176" i="18"/>
  <c r="G176" i="18" s="1"/>
  <c r="G99" i="18"/>
  <c r="D107" i="18"/>
  <c r="G107" i="18" s="1"/>
  <c r="G123" i="18"/>
  <c r="D103" i="18"/>
  <c r="G103" i="18" s="1"/>
  <c r="D117" i="18"/>
  <c r="G130" i="18"/>
  <c r="G105" i="18"/>
  <c r="G104" i="18"/>
  <c r="G53" i="18"/>
  <c r="D54" i="18"/>
  <c r="G54" i="18" s="1"/>
  <c r="D43" i="18"/>
  <c r="G42" i="18"/>
  <c r="G274" i="18"/>
  <c r="G40" i="18"/>
  <c r="G215" i="18"/>
  <c r="D275" i="18"/>
  <c r="G275" i="18" s="1"/>
  <c r="G41" i="18"/>
  <c r="G52" i="18"/>
  <c r="D216" i="18"/>
  <c r="G216" i="18" s="1"/>
  <c r="D44" i="18"/>
  <c r="G44" i="18" s="1"/>
  <c r="D31" i="17"/>
  <c r="D11" i="17"/>
  <c r="D8" i="18" s="1"/>
  <c r="G8" i="18" s="1"/>
  <c r="F85" i="17"/>
  <c r="F84" i="17"/>
  <c r="F83" i="17"/>
  <c r="F82" i="17"/>
  <c r="F81" i="17"/>
  <c r="G57" i="18" l="1"/>
  <c r="D69" i="18"/>
  <c r="D17" i="18"/>
  <c r="G17" i="18" s="1"/>
  <c r="D11" i="18"/>
  <c r="D12" i="18" s="1"/>
  <c r="G12" i="18" s="1"/>
  <c r="G298" i="18"/>
  <c r="G327" i="18" s="1"/>
  <c r="G312" i="18"/>
  <c r="G328" i="18" s="1"/>
  <c r="D248" i="18"/>
  <c r="G248" i="18" s="1"/>
  <c r="G251" i="18" s="1"/>
  <c r="G264" i="18" s="1"/>
  <c r="G200" i="18"/>
  <c r="G206" i="18" s="1"/>
  <c r="G323" i="18"/>
  <c r="G329" i="18" s="1"/>
  <c r="G259" i="18"/>
  <c r="G265" i="18" s="1"/>
  <c r="G238" i="18"/>
  <c r="G263" i="18" s="1"/>
  <c r="G110" i="18"/>
  <c r="G137" i="18" s="1"/>
  <c r="G178" i="18"/>
  <c r="G204" i="18" s="1"/>
  <c r="G192" i="18"/>
  <c r="G205" i="18" s="1"/>
  <c r="G133" i="18"/>
  <c r="G139" i="18" s="1"/>
  <c r="D121" i="18"/>
  <c r="G121" i="18" s="1"/>
  <c r="G117" i="18"/>
  <c r="G280" i="18"/>
  <c r="G62" i="18"/>
  <c r="G43" i="18"/>
  <c r="D45" i="18"/>
  <c r="G45" i="18" s="1"/>
  <c r="D30" i="18"/>
  <c r="G30" i="18" s="1"/>
  <c r="G29" i="18"/>
  <c r="D34" i="18"/>
  <c r="G34" i="18" s="1"/>
  <c r="F88" i="17"/>
  <c r="F86" i="17"/>
  <c r="F80" i="17"/>
  <c r="F73" i="17"/>
  <c r="D72" i="17"/>
  <c r="F72" i="17" s="1"/>
  <c r="F63" i="17"/>
  <c r="D54" i="17"/>
  <c r="D57" i="17" s="1"/>
  <c r="F57" i="17" s="1"/>
  <c r="D52" i="17"/>
  <c r="F52" i="17" s="1"/>
  <c r="D47" i="17"/>
  <c r="D53" i="17" s="1"/>
  <c r="F53" i="17" s="1"/>
  <c r="F46" i="17"/>
  <c r="F35" i="17"/>
  <c r="D32" i="17"/>
  <c r="F11" i="17"/>
  <c r="D86" i="18" l="1"/>
  <c r="G86" i="18" s="1"/>
  <c r="D85" i="18"/>
  <c r="D73" i="18"/>
  <c r="D84" i="18" s="1"/>
  <c r="G84" i="18" s="1"/>
  <c r="D75" i="18"/>
  <c r="G75" i="18" s="1"/>
  <c r="D74" i="18"/>
  <c r="G74" i="18" s="1"/>
  <c r="D146" i="18"/>
  <c r="G11" i="18"/>
  <c r="D16" i="18"/>
  <c r="G16" i="18" s="1"/>
  <c r="D9" i="18"/>
  <c r="G9" i="18" s="1"/>
  <c r="G69" i="18"/>
  <c r="G330" i="18"/>
  <c r="B9" i="16" s="1"/>
  <c r="B69" i="12" s="1"/>
  <c r="C69" i="12" s="1"/>
  <c r="D69" i="12" s="1"/>
  <c r="G125" i="18"/>
  <c r="G138" i="18" s="1"/>
  <c r="G47" i="18"/>
  <c r="G61" i="18" s="1"/>
  <c r="G36" i="18"/>
  <c r="G60" i="18" s="1"/>
  <c r="D48" i="17"/>
  <c r="F48" i="17" s="1"/>
  <c r="F47" i="17"/>
  <c r="F31" i="17"/>
  <c r="D14" i="17"/>
  <c r="D19" i="17" s="1"/>
  <c r="F19" i="17" s="1"/>
  <c r="F90" i="17"/>
  <c r="F97" i="17" s="1"/>
  <c r="D12" i="17"/>
  <c r="D71" i="17" s="1"/>
  <c r="F32" i="17"/>
  <c r="F33" i="17"/>
  <c r="D64" i="17"/>
  <c r="F64" i="17" s="1"/>
  <c r="D13" i="17"/>
  <c r="D34" i="17"/>
  <c r="F34" i="17" s="1"/>
  <c r="D15" i="17"/>
  <c r="F54" i="17"/>
  <c r="D49" i="17"/>
  <c r="F49" i="17" s="1"/>
  <c r="D55" i="17"/>
  <c r="D76" i="18" l="1"/>
  <c r="G76" i="18" s="1"/>
  <c r="G73" i="18"/>
  <c r="C9" i="16"/>
  <c r="D9" i="16" s="1"/>
  <c r="D22" i="12"/>
  <c r="D153" i="18"/>
  <c r="D157" i="18"/>
  <c r="D70" i="18"/>
  <c r="G70" i="18" s="1"/>
  <c r="G85" i="18"/>
  <c r="D151" i="18"/>
  <c r="G151" i="18" s="1"/>
  <c r="D81" i="18"/>
  <c r="G81" i="18" s="1"/>
  <c r="D77" i="18"/>
  <c r="G77" i="18" s="1"/>
  <c r="D149" i="18"/>
  <c r="G149" i="18" s="1"/>
  <c r="G146" i="18"/>
  <c r="G18" i="18"/>
  <c r="B5" i="16" s="1"/>
  <c r="B65" i="12" s="1"/>
  <c r="C65" i="12" s="1"/>
  <c r="D65" i="12" s="1"/>
  <c r="D147" i="18"/>
  <c r="G147" i="18" s="1"/>
  <c r="D152" i="18"/>
  <c r="G152" i="18" s="1"/>
  <c r="G220" i="18" s="1"/>
  <c r="G262" i="18" s="1"/>
  <c r="G266" i="18" s="1"/>
  <c r="B8" i="16" s="1"/>
  <c r="B68" i="12" s="1"/>
  <c r="C68" i="12" s="1"/>
  <c r="D68" i="12" s="1"/>
  <c r="D50" i="17"/>
  <c r="D51" i="17" s="1"/>
  <c r="F51" i="17" s="1"/>
  <c r="D74" i="17"/>
  <c r="F74" i="17" s="1"/>
  <c r="F71" i="17"/>
  <c r="F14" i="17"/>
  <c r="D69" i="17"/>
  <c r="F69" i="17" s="1"/>
  <c r="F12" i="17"/>
  <c r="D21" i="17"/>
  <c r="D20" i="17" s="1"/>
  <c r="D70" i="17" s="1"/>
  <c r="F70" i="17" s="1"/>
  <c r="D18" i="17"/>
  <c r="F18" i="17" s="1"/>
  <c r="F17" i="17"/>
  <c r="D16" i="17"/>
  <c r="F16" i="17" s="1"/>
  <c r="F15" i="17"/>
  <c r="D68" i="17"/>
  <c r="F68" i="17" s="1"/>
  <c r="D56" i="17"/>
  <c r="F56" i="17" s="1"/>
  <c r="F55" i="17"/>
  <c r="D37" i="17"/>
  <c r="F13" i="17"/>
  <c r="D67" i="17"/>
  <c r="F67" i="17" s="1"/>
  <c r="D65" i="17"/>
  <c r="D11" i="7"/>
  <c r="F123" i="7"/>
  <c r="D71" i="10"/>
  <c r="D70" i="10"/>
  <c r="D69" i="10"/>
  <c r="D68" i="10"/>
  <c r="D67" i="10"/>
  <c r="D66" i="10"/>
  <c r="D65" i="10"/>
  <c r="D64" i="10"/>
  <c r="D63" i="10"/>
  <c r="D24" i="10"/>
  <c r="D31" i="10" s="1"/>
  <c r="F31" i="10" s="1"/>
  <c r="F23" i="10"/>
  <c r="D25" i="10"/>
  <c r="D26" i="10" s="1"/>
  <c r="F26" i="10" s="1"/>
  <c r="F24" i="10"/>
  <c r="G153" i="18" l="1"/>
  <c r="C8" i="16"/>
  <c r="D8" i="16" s="1"/>
  <c r="D21" i="12"/>
  <c r="D150" i="18"/>
  <c r="G150" i="18" s="1"/>
  <c r="G87" i="18"/>
  <c r="G136" i="18" s="1"/>
  <c r="G140" i="18" s="1"/>
  <c r="B6" i="16" s="1"/>
  <c r="C5" i="16"/>
  <c r="D5" i="16" s="1"/>
  <c r="D18" i="12"/>
  <c r="D148" i="18"/>
  <c r="G148" i="18" s="1"/>
  <c r="G157" i="18"/>
  <c r="G59" i="18"/>
  <c r="D158" i="18"/>
  <c r="G158" i="18" s="1"/>
  <c r="F20" i="17"/>
  <c r="F50" i="17"/>
  <c r="D22" i="17"/>
  <c r="F22" i="17" s="1"/>
  <c r="F21" i="17"/>
  <c r="F65" i="17"/>
  <c r="D66" i="17"/>
  <c r="F66" i="17" s="1"/>
  <c r="D40" i="17"/>
  <c r="F40" i="17" s="1"/>
  <c r="F37" i="17"/>
  <c r="D38" i="17"/>
  <c r="F58" i="17"/>
  <c r="D35" i="10"/>
  <c r="F35" i="10" s="1"/>
  <c r="D34" i="10"/>
  <c r="F34" i="10" s="1"/>
  <c r="D36" i="10"/>
  <c r="D27" i="10"/>
  <c r="F27" i="10" s="1"/>
  <c r="D33" i="10"/>
  <c r="F33" i="10" s="1"/>
  <c r="D28" i="10"/>
  <c r="F28" i="10" s="1"/>
  <c r="D30" i="10"/>
  <c r="F30" i="10" s="1"/>
  <c r="D29" i="10"/>
  <c r="F29" i="10" s="1"/>
  <c r="F25" i="10"/>
  <c r="D19" i="12" l="1"/>
  <c r="B66" i="12"/>
  <c r="C66" i="12" s="1"/>
  <c r="D66" i="12" s="1"/>
  <c r="G159" i="18"/>
  <c r="G203" i="18" s="1"/>
  <c r="G207" i="18" s="1"/>
  <c r="B7" i="16" s="1"/>
  <c r="B67" i="12" s="1"/>
  <c r="C67" i="12" s="1"/>
  <c r="D67" i="12" s="1"/>
  <c r="C6" i="16"/>
  <c r="D6" i="16" s="1"/>
  <c r="D23" i="17"/>
  <c r="F23" i="17" s="1"/>
  <c r="F24" i="17" s="1"/>
  <c r="F94" i="17" s="1"/>
  <c r="F38" i="17"/>
  <c r="D39" i="17"/>
  <c r="F39" i="17" s="1"/>
  <c r="F75" i="17"/>
  <c r="F96" i="17" s="1"/>
  <c r="D37" i="10"/>
  <c r="F37" i="10" s="1"/>
  <c r="F38" i="10" s="1"/>
  <c r="F84" i="10" s="1"/>
  <c r="F36" i="10"/>
  <c r="D93" i="7"/>
  <c r="D114" i="7"/>
  <c r="F114" i="7" s="1"/>
  <c r="C7" i="16" l="1"/>
  <c r="C10" i="16" s="1"/>
  <c r="D20" i="12"/>
  <c r="D23" i="12" s="1"/>
  <c r="F41" i="17"/>
  <c r="F95" i="17" s="1"/>
  <c r="F99" i="17" s="1"/>
  <c r="D12" i="12" s="1"/>
  <c r="F103" i="7"/>
  <c r="F101" i="7"/>
  <c r="D113" i="7"/>
  <c r="F113" i="7" s="1"/>
  <c r="D112" i="7"/>
  <c r="D49" i="7"/>
  <c r="F49" i="7" s="1"/>
  <c r="D47" i="7"/>
  <c r="D107" i="7"/>
  <c r="F107" i="7" s="1"/>
  <c r="D106" i="7"/>
  <c r="D105" i="7" s="1"/>
  <c r="F105" i="7" s="1"/>
  <c r="D7" i="16" l="1"/>
  <c r="D10" i="16" s="1"/>
  <c r="D55" i="12"/>
  <c r="F111" i="7"/>
  <c r="F109" i="7"/>
  <c r="F60" i="7"/>
  <c r="F59" i="7"/>
  <c r="D58" i="7"/>
  <c r="F58" i="7" s="1"/>
  <c r="D54" i="7"/>
  <c r="D56" i="7" s="1"/>
  <c r="D179" i="7"/>
  <c r="D174" i="7"/>
  <c r="D170" i="7"/>
  <c r="D167" i="7"/>
  <c r="D148" i="7"/>
  <c r="D132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78" i="7"/>
  <c r="F177" i="7"/>
  <c r="F176" i="7"/>
  <c r="F175" i="7"/>
  <c r="F173" i="7"/>
  <c r="F172" i="7"/>
  <c r="F171" i="7"/>
  <c r="D115" i="7"/>
  <c r="D84" i="7"/>
  <c r="D87" i="7" s="1"/>
  <c r="F82" i="7"/>
  <c r="D77" i="7"/>
  <c r="D78" i="7" s="1"/>
  <c r="D71" i="7" l="1"/>
  <c r="F47" i="7"/>
  <c r="D62" i="7"/>
  <c r="F54" i="7"/>
  <c r="D53" i="7"/>
  <c r="F53" i="7" s="1"/>
  <c r="F84" i="7"/>
  <c r="D85" i="7"/>
  <c r="F85" i="7" s="1"/>
  <c r="D83" i="7"/>
  <c r="F83" i="7" s="1"/>
  <c r="F78" i="7"/>
  <c r="D80" i="7"/>
  <c r="D79" i="7"/>
  <c r="F79" i="7" s="1"/>
  <c r="F77" i="7"/>
  <c r="F62" i="7" l="1"/>
  <c r="D63" i="7"/>
  <c r="D65" i="7"/>
  <c r="F65" i="7" s="1"/>
  <c r="D86" i="7"/>
  <c r="F80" i="7"/>
  <c r="D81" i="7"/>
  <c r="F81" i="7" s="1"/>
  <c r="F63" i="7" l="1"/>
  <c r="D64" i="7"/>
  <c r="F64" i="7" s="1"/>
  <c r="F76" i="7"/>
  <c r="F71" i="7"/>
  <c r="D35" i="7" l="1"/>
  <c r="F169" i="7" l="1"/>
  <c r="D10" i="11" l="1"/>
  <c r="F48" i="11"/>
  <c r="F47" i="11"/>
  <c r="F46" i="11" l="1"/>
  <c r="F49" i="11" s="1"/>
  <c r="D43" i="10"/>
  <c r="F43" i="10" s="1"/>
  <c r="F20" i="10"/>
  <c r="F19" i="10"/>
  <c r="F78" i="10"/>
  <c r="F79" i="10" s="1"/>
  <c r="F88" i="10" s="1"/>
  <c r="F18" i="10"/>
  <c r="F21" i="10" s="1"/>
  <c r="F13" i="10"/>
  <c r="F12" i="10"/>
  <c r="F11" i="10"/>
  <c r="F10" i="10"/>
  <c r="F9" i="10"/>
  <c r="D126" i="7"/>
  <c r="F168" i="7"/>
  <c r="F131" i="7"/>
  <c r="F130" i="7"/>
  <c r="F129" i="7"/>
  <c r="F128" i="7"/>
  <c r="D31" i="7" l="1"/>
  <c r="D34" i="7" s="1"/>
  <c r="F34" i="7" s="1"/>
  <c r="F126" i="7"/>
  <c r="D52" i="10"/>
  <c r="D62" i="10" s="1"/>
  <c r="F62" i="10" s="1"/>
  <c r="F93" i="7"/>
  <c r="F115" i="7"/>
  <c r="D13" i="11"/>
  <c r="D18" i="11" s="1"/>
  <c r="F10" i="11"/>
  <c r="F54" i="11"/>
  <c r="D12" i="11"/>
  <c r="D15" i="11" s="1"/>
  <c r="D11" i="11"/>
  <c r="D39" i="11" s="1"/>
  <c r="F39" i="11" s="1"/>
  <c r="D14" i="11"/>
  <c r="F50" i="10"/>
  <c r="D46" i="10"/>
  <c r="F46" i="10" s="1"/>
  <c r="D44" i="10"/>
  <c r="F70" i="10"/>
  <c r="F83" i="10"/>
  <c r="F14" i="10"/>
  <c r="F82" i="10" s="1"/>
  <c r="D30" i="7"/>
  <c r="F125" i="7"/>
  <c r="F122" i="7"/>
  <c r="F57" i="7"/>
  <c r="D55" i="7"/>
  <c r="D61" i="7" s="1"/>
  <c r="F61" i="7" s="1"/>
  <c r="D52" i="7"/>
  <c r="F52" i="7" s="1"/>
  <c r="D51" i="7"/>
  <c r="F51" i="7" s="1"/>
  <c r="D48" i="7"/>
  <c r="D50" i="7" s="1"/>
  <c r="F46" i="7"/>
  <c r="D35" i="11" l="1"/>
  <c r="F35" i="11" s="1"/>
  <c r="F15" i="11"/>
  <c r="F71" i="10"/>
  <c r="F52" i="10"/>
  <c r="F30" i="7"/>
  <c r="D36" i="7"/>
  <c r="F180" i="7"/>
  <c r="F189" i="7" s="1"/>
  <c r="F55" i="7"/>
  <c r="F56" i="7"/>
  <c r="D12" i="7"/>
  <c r="D18" i="7" s="1"/>
  <c r="D94" i="7"/>
  <c r="F94" i="7" s="1"/>
  <c r="D36" i="11"/>
  <c r="F36" i="11" s="1"/>
  <c r="D38" i="11"/>
  <c r="F38" i="11" s="1"/>
  <c r="F18" i="11"/>
  <c r="D30" i="11"/>
  <c r="F30" i="11" s="1"/>
  <c r="F13" i="11"/>
  <c r="D33" i="11"/>
  <c r="F33" i="11" s="1"/>
  <c r="F12" i="11"/>
  <c r="D31" i="11"/>
  <c r="D21" i="11"/>
  <c r="D20" i="11" s="1"/>
  <c r="D16" i="11"/>
  <c r="F11" i="11"/>
  <c r="F17" i="11"/>
  <c r="D34" i="11"/>
  <c r="F34" i="11" s="1"/>
  <c r="F14" i="11"/>
  <c r="F44" i="10"/>
  <c r="D47" i="10"/>
  <c r="F66" i="10" s="1"/>
  <c r="D45" i="10"/>
  <c r="D48" i="10" s="1"/>
  <c r="D54" i="10"/>
  <c r="D49" i="10"/>
  <c r="F49" i="10" s="1"/>
  <c r="D32" i="7"/>
  <c r="F29" i="7"/>
  <c r="D15" i="7"/>
  <c r="F18" i="7" s="1"/>
  <c r="F11" i="7"/>
  <c r="D14" i="7"/>
  <c r="D19" i="7" s="1"/>
  <c r="F19" i="7" s="1"/>
  <c r="D13" i="7"/>
  <c r="F48" i="7"/>
  <c r="F72" i="7"/>
  <c r="F187" i="7" s="1"/>
  <c r="F50" i="7"/>
  <c r="F47" i="10" l="1"/>
  <c r="D108" i="7"/>
  <c r="F108" i="7" s="1"/>
  <c r="D116" i="7"/>
  <c r="F116" i="7" s="1"/>
  <c r="F36" i="7"/>
  <c r="D37" i="7"/>
  <c r="F66" i="7"/>
  <c r="F186" i="7" s="1"/>
  <c r="D16" i="7"/>
  <c r="F16" i="7" s="1"/>
  <c r="D99" i="7"/>
  <c r="F99" i="7" s="1"/>
  <c r="F12" i="7"/>
  <c r="F17" i="7"/>
  <c r="F15" i="7"/>
  <c r="D98" i="7"/>
  <c r="F98" i="7" s="1"/>
  <c r="F67" i="10"/>
  <c r="F48" i="10"/>
  <c r="F13" i="7"/>
  <c r="D95" i="7"/>
  <c r="D97" i="7"/>
  <c r="F97" i="7" s="1"/>
  <c r="D21" i="7"/>
  <c r="F20" i="11"/>
  <c r="D37" i="11"/>
  <c r="F37" i="11" s="1"/>
  <c r="F16" i="11"/>
  <c r="F31" i="11"/>
  <c r="D32" i="11"/>
  <c r="F32" i="11" s="1"/>
  <c r="F21" i="11"/>
  <c r="D22" i="11"/>
  <c r="D55" i="10"/>
  <c r="D56" i="10" s="1"/>
  <c r="F56" i="10" s="1"/>
  <c r="F45" i="10"/>
  <c r="F63" i="10"/>
  <c r="F65" i="10"/>
  <c r="F69" i="10"/>
  <c r="F64" i="10"/>
  <c r="D53" i="10"/>
  <c r="F54" i="10"/>
  <c r="F32" i="7"/>
  <c r="F33" i="7"/>
  <c r="F35" i="7"/>
  <c r="F31" i="7"/>
  <c r="F14" i="7"/>
  <c r="D38" i="7" l="1"/>
  <c r="D40" i="7"/>
  <c r="F40" i="7" s="1"/>
  <c r="F37" i="7"/>
  <c r="F40" i="11"/>
  <c r="F53" i="11" s="1"/>
  <c r="F53" i="10"/>
  <c r="F68" i="10"/>
  <c r="F72" i="10" s="1"/>
  <c r="F21" i="7"/>
  <c r="D22" i="7"/>
  <c r="D20" i="7"/>
  <c r="F95" i="7"/>
  <c r="D96" i="7"/>
  <c r="F96" i="7" s="1"/>
  <c r="F22" i="11"/>
  <c r="D23" i="11"/>
  <c r="F23" i="11" s="1"/>
  <c r="F55" i="10"/>
  <c r="F57" i="10" s="1"/>
  <c r="F86" i="10" s="1"/>
  <c r="F38" i="7" l="1"/>
  <c r="D39" i="7"/>
  <c r="F39" i="7" s="1"/>
  <c r="F20" i="7"/>
  <c r="D100" i="7"/>
  <c r="F100" i="7" s="1"/>
  <c r="F117" i="7" s="1"/>
  <c r="F188" i="7" s="1"/>
  <c r="D23" i="7"/>
  <c r="F23" i="7" s="1"/>
  <c r="F22" i="7"/>
  <c r="F87" i="10"/>
  <c r="F90" i="10" s="1"/>
  <c r="D10" i="12" s="1"/>
  <c r="F24" i="11"/>
  <c r="D53" i="12" l="1"/>
  <c r="F41" i="7"/>
  <c r="F185" i="7" s="1"/>
  <c r="F24" i="7"/>
  <c r="F184" i="7" s="1"/>
  <c r="F52" i="11"/>
  <c r="F56" i="11" s="1"/>
  <c r="D54" i="12" l="1"/>
  <c r="D11" i="12"/>
  <c r="B10" i="16"/>
  <c r="F191" i="7"/>
  <c r="D9" i="12" s="1"/>
  <c r="D52" i="12" s="1"/>
  <c r="D59" i="12" l="1"/>
  <c r="D60" i="12" s="1"/>
  <c r="D61" i="12" s="1"/>
  <c r="D16" i="12"/>
  <c r="D25" i="12" s="1"/>
  <c r="D26" i="12" s="1"/>
  <c r="D27" i="12" s="1"/>
  <c r="F86" i="7"/>
  <c r="F87" i="7"/>
  <c r="F88" i="7" l="1"/>
</calcChain>
</file>

<file path=xl/sharedStrings.xml><?xml version="1.0" encoding="utf-8"?>
<sst xmlns="http://schemas.openxmlformats.org/spreadsheetml/2006/main" count="1884" uniqueCount="409">
  <si>
    <t>P.Č.</t>
  </si>
  <si>
    <t>PRACOVNÍ OPERACE</t>
  </si>
  <si>
    <t>M.J.</t>
  </si>
  <si>
    <t>POČET M.J.</t>
  </si>
  <si>
    <t>CENA ZA M.J.</t>
  </si>
  <si>
    <t xml:space="preserve">CENA CELKEM </t>
  </si>
  <si>
    <t>kus</t>
  </si>
  <si>
    <t>m2</t>
  </si>
  <si>
    <t>Řez stromu výchovný alejových stromů výšky přes 4 do 6 m</t>
  </si>
  <si>
    <t>t</t>
  </si>
  <si>
    <t>m3</t>
  </si>
  <si>
    <t xml:space="preserve">Mulčovací kůra vrstva 8-10 cm </t>
  </si>
  <si>
    <t>ks</t>
  </si>
  <si>
    <t>m</t>
  </si>
  <si>
    <t>l</t>
  </si>
  <si>
    <t>stromy</t>
  </si>
  <si>
    <t>keře</t>
  </si>
  <si>
    <t>k12</t>
  </si>
  <si>
    <t>cibuloviny</t>
  </si>
  <si>
    <t>184 10-2116</t>
  </si>
  <si>
    <t>183 10-1315</t>
  </si>
  <si>
    <t>Výsadba dřeviny s balem do předem vyhloubené jamky se zalitím v rovině nebo na svahu do 1:5, při průměru balu přes 600 do 800 mm</t>
  </si>
  <si>
    <t>184 21-5133</t>
  </si>
  <si>
    <t>Ukotvení dřeviny třemi kůly, délky přes 2 do 3m</t>
  </si>
  <si>
    <t>Zhotovení závlahové mísy u soliterních dřevin v rovině nebo na svahu do 1:5, o průměru mísy přes 0,5 do 1 m</t>
  </si>
  <si>
    <t>184 21-5412</t>
  </si>
  <si>
    <t>Zhotovení obalu kmene a spodních částí větví stromu z juty ve dvou vrstvách, v rovině nebo na svahu do 1:5</t>
  </si>
  <si>
    <t>184 50-1131</t>
  </si>
  <si>
    <t>184 85-2312</t>
  </si>
  <si>
    <t>185 80-2114</t>
  </si>
  <si>
    <t>Hnojení půdy v rovině nebo na svahu do 1:5 umělým hnojivem s rozdělením k jednotlivým rostlinám</t>
  </si>
  <si>
    <t>184 91-1431</t>
  </si>
  <si>
    <t>998 23-1411</t>
  </si>
  <si>
    <t>167 10-1101</t>
  </si>
  <si>
    <t>Mulčování vysazených rostlin mulčovací kůrou tl. Přes 100 do 150 mm v rovině nebo na svahu do 1:5</t>
  </si>
  <si>
    <t>Přesun hmot pro sadovnické a krajinářské úpravy - ručně bez užití mechanizace, vodorovná dopravní vzdálenost do 100 m</t>
  </si>
  <si>
    <t>Nakládání, skládání a překládání neulehlého výkopku nebo sypaniny, nakládání do 100 m3, z hornin 1. až 4. třídy (naložení biolog. odpadu - výměna půdy)</t>
  </si>
  <si>
    <t>162 70-1103</t>
  </si>
  <si>
    <t>Vodorovné přemístění výkopku nebo sypaniny po suchu z hor.1-4 přes 7000 do 8000 m (odvoz biolog odpadu)</t>
  </si>
  <si>
    <t>ROZPOČET</t>
  </si>
  <si>
    <t>VÝSADBA STROMŮ</t>
  </si>
  <si>
    <t>-</t>
  </si>
  <si>
    <t>VÝSADBA KEŘŮ</t>
  </si>
  <si>
    <t>184 80-2111</t>
  </si>
  <si>
    <t>183 20-5121</t>
  </si>
  <si>
    <t>183 10-1113</t>
  </si>
  <si>
    <t>184 10-2112</t>
  </si>
  <si>
    <t>Poplatek za uložení biologického odpadu - zemina s kamenivem, kód odpadu 170504</t>
  </si>
  <si>
    <t>Chemické odplevelení před založením kultury nad 20 m2, postřikem na široko, v rovině a svahu do 1:5 (záhony keřů)</t>
  </si>
  <si>
    <t>Založení záhonu pro výsadbu dřevin v trávníku, v rovině nebo na svahu do 1:5</t>
  </si>
  <si>
    <t>Hloubení jamek pro vysazování rostlin v zemině tř. 1 až 4 s výměnou půdy ze100 % přes 0,125 do 0,4 m3</t>
  </si>
  <si>
    <t xml:space="preserve">Výsadba dřeviny s balem do předem vyhloubené jamky se zalitím, v rovině nebo na svahu do 1:5, při průměru balu přes 200 mm do 300 mm </t>
  </si>
  <si>
    <t>Hnojení půdy umělým hnojivem k jednotlivým rostlinám v rovině a svahu do 1:5 (keře 2ks po 10g, solitérní 4ks po 10g)</t>
  </si>
  <si>
    <t>POMOCNÝ MATERIÁL</t>
  </si>
  <si>
    <t>Výsadbové kůly (250/6)</t>
  </si>
  <si>
    <t>Výsadbové příčky</t>
  </si>
  <si>
    <t>Úvazek</t>
  </si>
  <si>
    <t xml:space="preserve">Hnojivé tablety 10g (5ks na strom, 4ks solitérní keř) </t>
  </si>
  <si>
    <t>Juta bal 25m/20cm š, spotřeba na strom 2m2</t>
  </si>
  <si>
    <t>ROSTLINNÝ MATERIÁL</t>
  </si>
  <si>
    <t>ZKRATKA</t>
  </si>
  <si>
    <t>Acer campestre</t>
  </si>
  <si>
    <t>ROSTLINNÝ MATERIÁL CELKEM</t>
  </si>
  <si>
    <t>OK 12/14</t>
  </si>
  <si>
    <t>OK 14/16</t>
  </si>
  <si>
    <t>VÝSADBA</t>
  </si>
  <si>
    <t>1.1 |</t>
  </si>
  <si>
    <t>VÝSADBA TRVALEK</t>
  </si>
  <si>
    <t xml:space="preserve">Chemické odplevelení před založením kultury nad 20 m2 postřikem na široko v rovině a svahu do 1:5 </t>
  </si>
  <si>
    <t>183 40-3111</t>
  </si>
  <si>
    <t>183 40-3153</t>
  </si>
  <si>
    <t>183 11-1111</t>
  </si>
  <si>
    <t>183 21-1322</t>
  </si>
  <si>
    <t>183 21-1313</t>
  </si>
  <si>
    <t>Obdělání půdy nakopáním na hloubku přes 50 do 100 mm, v rovině nebo na svahu do 1:5</t>
  </si>
  <si>
    <t>Obdělání půdy hrabáním v rovině nebo na svahu do 1:5</t>
  </si>
  <si>
    <t>Hloubení jamek pro vysazování rostlin v zemině tř. 1 až 4 bez výměny půdy,  v rovině a svahu do 1:5, přes 0,002 do 0,005 m3</t>
  </si>
  <si>
    <t>183 11-1112</t>
  </si>
  <si>
    <t>Výsadba květin do připravené půdy se zalitím - květiny hrnkované, o průměru květináče přes 120 do 250 mm</t>
  </si>
  <si>
    <t>Výsadba cibulí nebo hlíz do předem připravené půdy se zalitím</t>
  </si>
  <si>
    <t>Hnojení půdy umělým hnojivem k jednotlivým rostlinám v rovině a svahu do 1:5 ( trvalky 1ks po 10g)</t>
  </si>
  <si>
    <t xml:space="preserve">Mulčování rostlin kůrou (štěpkou) tl. do 100 mm v rovině nebo na svahu do 1:5 </t>
  </si>
  <si>
    <t>ODSTRANĚNÍ DŘEVIN</t>
  </si>
  <si>
    <t>OŠETŘENÍ DŘEVIN</t>
  </si>
  <si>
    <t>R</t>
  </si>
  <si>
    <t>112 20-1114</t>
  </si>
  <si>
    <t>Odstranění pařezu v rovině nebo na svahu do 1:5, o průměru na řezné ploše přes 400 do 500 mm</t>
  </si>
  <si>
    <t>162 30-1402</t>
  </si>
  <si>
    <t>Vodorovné přemístění větví, kmenů nebo pařezů stromů, s naložením, složením a dopravou do 5 km - větve listnatých stromů, průměr kmene stromu přes 300 do 500 mm</t>
  </si>
  <si>
    <t>Vodorovné přemístění větví, kmenů nebo pařezů stromů, s naložením, složením a dopravou do 5 km - kmeny listnatých stromů, průměr kmene stromu přes 300 do 500 mm</t>
  </si>
  <si>
    <t>162 30-1412</t>
  </si>
  <si>
    <t>poplatek za uložení biologického odpadu-dřevo čisté (pařezy,větve nedrcené, štěpka)</t>
  </si>
  <si>
    <t>CELKEM</t>
  </si>
  <si>
    <t>Hnojení umělým hnojivem s rozdělením k jednotlivým rostlinám</t>
  </si>
  <si>
    <t>Znovuuvázání dřeviny ke stávajícímu kůlu</t>
  </si>
  <si>
    <t>Zalití rostlin vodou plochy do 20 m2</t>
  </si>
  <si>
    <t>mimostaveništní doprava</t>
  </si>
  <si>
    <t>kpl</t>
  </si>
  <si>
    <t>POČET OPERACÍ/ ROK</t>
  </si>
  <si>
    <t>185 80-4513</t>
  </si>
  <si>
    <t>184 91-1111</t>
  </si>
  <si>
    <t>184 21-5123</t>
  </si>
  <si>
    <t>185 85-1121</t>
  </si>
  <si>
    <t>185 80-4311</t>
  </si>
  <si>
    <t>184 21-5173</t>
  </si>
  <si>
    <t>184 85-2411</t>
  </si>
  <si>
    <t>Znovuukotvení  dřeviny, výměna kůlů</t>
  </si>
  <si>
    <t xml:space="preserve">Dovoz vody pro zálivku rostlin na vzdálenost do 1000m </t>
  </si>
  <si>
    <t>M</t>
  </si>
  <si>
    <t>Úvazky (1,5 bm/strom)</t>
  </si>
  <si>
    <t>kůly pr. 6cm, délka 2,5m, příčky</t>
  </si>
  <si>
    <t>voda na zálivku</t>
  </si>
  <si>
    <t>mulčovací kůra (výška mulče 15cm)-zálivkové mísy- spotřeba 0,25m3 na 1 strom</t>
  </si>
  <si>
    <t>Hloubení jamek pro vysazování rostlin v zemině tř. 1 až 4 bez výměny půdy, v rovině a svahu do 1:5,DO 0,002 M3</t>
  </si>
  <si>
    <t>kg</t>
  </si>
  <si>
    <t xml:space="preserve">POMOCNÝ MATERIÁL CELKEM </t>
  </si>
  <si>
    <t>2.1 |</t>
  </si>
  <si>
    <t>Hloubení jamek pro vysazování rostlin v zemině tř. 1 až 4 bez výměny půdy, v rovině nebo na svahu do 1:5, přes 0,02 do 0,05 m3</t>
  </si>
  <si>
    <t xml:space="preserve">Mulčovací kůra vrstva 10-15 cm </t>
  </si>
  <si>
    <t>trvalky</t>
  </si>
  <si>
    <t>Epimedium rubrum</t>
  </si>
  <si>
    <t>Deschampsia caespitosa</t>
  </si>
  <si>
    <t>cibule</t>
  </si>
  <si>
    <t>2.2 |</t>
  </si>
  <si>
    <t>2.3 |</t>
  </si>
  <si>
    <t>2.4 |</t>
  </si>
  <si>
    <r>
      <t xml:space="preserve">Obvodová redukce do 30 m2 </t>
    </r>
    <r>
      <rPr>
        <i/>
        <sz val="10"/>
        <rFont val="Calibri Light"/>
        <family val="2"/>
        <charset val="238"/>
      </rPr>
      <t>(Crataugus</t>
    </r>
    <r>
      <rPr>
        <sz val="10"/>
        <rFont val="Calibri Light"/>
        <family val="2"/>
        <charset val="238"/>
      </rPr>
      <t xml:space="preserve"> na kmínku)</t>
    </r>
  </si>
  <si>
    <t xml:space="preserve">Znovuuvázání dřeviny </t>
  </si>
  <si>
    <t>Pokácení stromu volné vcelku s odřezáním kmene a s odvětvením, průměr kmene přes 400 do 500 mm</t>
  </si>
  <si>
    <t>112 15-1014</t>
  </si>
  <si>
    <t>3.1 |</t>
  </si>
  <si>
    <t>Hloubení jamek pro vysazování rostlin v zemině tř. 1 až 4 s výměnou půdy ze 100 % přes 0,125 do 0,4 m3</t>
  </si>
  <si>
    <t>.</t>
  </si>
  <si>
    <r>
      <rPr>
        <i/>
        <sz val="10"/>
        <rFont val="Calibri Light"/>
        <family val="2"/>
        <charset val="238"/>
      </rPr>
      <t>Geranium himalayense</t>
    </r>
    <r>
      <rPr>
        <sz val="10"/>
        <rFont val="Calibri Light"/>
        <family val="2"/>
        <charset val="238"/>
      </rPr>
      <t xml:space="preserve"> 'Baby blue'</t>
    </r>
  </si>
  <si>
    <r>
      <rPr>
        <i/>
        <sz val="10"/>
        <rFont val="Calibri Light"/>
        <family val="2"/>
        <charset val="238"/>
      </rPr>
      <t>Aruncus aestifolius</t>
    </r>
    <r>
      <rPr>
        <sz val="10"/>
        <rFont val="Calibri Light"/>
        <family val="2"/>
        <charset val="238"/>
      </rPr>
      <t xml:space="preserve"> 'Charakter'</t>
    </r>
  </si>
  <si>
    <r>
      <rPr>
        <i/>
        <sz val="10"/>
        <rFont val="Calibri Light"/>
        <family val="2"/>
        <charset val="238"/>
      </rPr>
      <t>Rosa</t>
    </r>
    <r>
      <rPr>
        <sz val="10"/>
        <rFont val="Calibri Light"/>
        <family val="2"/>
        <charset val="238"/>
      </rPr>
      <t xml:space="preserve"> 'Lavander Dream'</t>
    </r>
  </si>
  <si>
    <r>
      <rPr>
        <i/>
        <sz val="10"/>
        <rFont val="Calibri Light"/>
        <family val="2"/>
        <charset val="238"/>
      </rPr>
      <t>Malus thoringo</t>
    </r>
    <r>
      <rPr>
        <sz val="10"/>
        <rFont val="Calibri Light"/>
        <family val="2"/>
        <charset val="238"/>
      </rPr>
      <t xml:space="preserve"> 'Scarlett'</t>
    </r>
  </si>
  <si>
    <t>NÁZEV</t>
  </si>
  <si>
    <t>LOK.</t>
  </si>
  <si>
    <t>Ul. Dobrovolského</t>
  </si>
  <si>
    <t>Parkování, ul. Okružní a Jižní</t>
  </si>
  <si>
    <t>Bažantnice II</t>
  </si>
  <si>
    <r>
      <rPr>
        <i/>
        <sz val="10"/>
        <rFont val="Calibri Light"/>
        <family val="2"/>
        <charset val="238"/>
      </rPr>
      <t xml:space="preserve">Quercus robur </t>
    </r>
    <r>
      <rPr>
        <sz val="10"/>
        <rFont val="Calibri Light"/>
        <family val="2"/>
        <charset val="238"/>
      </rPr>
      <t>'Fastigiata Koster'</t>
    </r>
  </si>
  <si>
    <t>OK 12-14</t>
  </si>
  <si>
    <t>Substrát (1t = 1,4 m3 zeminy)</t>
  </si>
  <si>
    <t>SHRNUTÍ :</t>
  </si>
  <si>
    <t>Voda na zalití</t>
  </si>
  <si>
    <r>
      <rPr>
        <i/>
        <sz val="10"/>
        <rFont val="Calibri Light"/>
        <family val="2"/>
        <charset val="238"/>
      </rPr>
      <t>Acer platanoides</t>
    </r>
    <r>
      <rPr>
        <sz val="10"/>
        <rFont val="Calibri Light"/>
        <family val="2"/>
        <charset val="238"/>
      </rPr>
      <t xml:space="preserve"> 'Columnare'</t>
    </r>
  </si>
  <si>
    <r>
      <rPr>
        <i/>
        <sz val="10"/>
        <rFont val="Calibri Light"/>
        <family val="2"/>
        <charset val="238"/>
      </rPr>
      <t>Fraxinus angustifolia</t>
    </r>
    <r>
      <rPr>
        <sz val="10"/>
        <rFont val="Calibri Light"/>
        <family val="2"/>
        <charset val="238"/>
      </rPr>
      <t xml:space="preserve"> 'Raywood'</t>
    </r>
  </si>
  <si>
    <t>30-40 cm</t>
  </si>
  <si>
    <t>VELIKOST</t>
  </si>
  <si>
    <t>Doprava matariálu + doprava na staveništi</t>
  </si>
  <si>
    <t>Zhotovené ochrany kmene z pletiva (1,5 m2/strom)</t>
  </si>
  <si>
    <t>Pletivo pozinkované Zn výška 160 cm se zapleteným napínacím drátem, průměr 2mm, 50 x 50 mm velikost ok</t>
  </si>
  <si>
    <r>
      <rPr>
        <i/>
        <sz val="10"/>
        <rFont val="Calibri Light"/>
        <family val="2"/>
        <charset val="238"/>
      </rPr>
      <t>Prunus laurocerasus</t>
    </r>
    <r>
      <rPr>
        <sz val="10"/>
        <rFont val="Calibri Light"/>
        <family val="2"/>
        <charset val="238"/>
      </rPr>
      <t xml:space="preserve"> 'Caucasica'</t>
    </r>
  </si>
  <si>
    <t>60-80</t>
  </si>
  <si>
    <r>
      <rPr>
        <sz val="10"/>
        <rFont val="Calibri Light"/>
        <family val="2"/>
        <charset val="238"/>
      </rPr>
      <t xml:space="preserve">směs drobných cibulovin - </t>
    </r>
    <r>
      <rPr>
        <i/>
        <sz val="10"/>
        <rFont val="Calibri Light"/>
        <family val="2"/>
        <charset val="238"/>
      </rPr>
      <t>Scilla sibirica Alba</t>
    </r>
  </si>
  <si>
    <t>směs drobných cibulovin -Tulipa polychroma</t>
  </si>
  <si>
    <t>184 80-6186</t>
  </si>
  <si>
    <t>Řez a tvarování živých plotů a stěn přes 0,8 do 1,5m výšky  a do 1m šířky</t>
  </si>
  <si>
    <t>184 80-3112</t>
  </si>
  <si>
    <t>184 80-3113</t>
  </si>
  <si>
    <t>Řez a tvarování živých plotů a stěn přes 1,5 do 3m výšky  a pro jakoukoli šířku</t>
  </si>
  <si>
    <t>Odplevelení výsadeb- záhonů růží</t>
  </si>
  <si>
    <t>185 80-4512</t>
  </si>
  <si>
    <t>185 80-4514</t>
  </si>
  <si>
    <t>Odplevelení výsadeb v rovině- souvislé keřové skupiny</t>
  </si>
  <si>
    <t>mulčovací kůra (výška mulče 10cm)</t>
  </si>
  <si>
    <t>skládkovné- dřevo čisté k drcení</t>
  </si>
  <si>
    <t>skládkovné- biologicky rozložitelný odpad</t>
  </si>
  <si>
    <t>celkem</t>
  </si>
  <si>
    <t>3.2 |</t>
  </si>
  <si>
    <t>4.1 |</t>
  </si>
  <si>
    <t>5.1 |</t>
  </si>
  <si>
    <t>5.2 |</t>
  </si>
  <si>
    <t>Následná péče - stromy</t>
  </si>
  <si>
    <t>Následná péče -keře</t>
  </si>
  <si>
    <t>KEŘE_</t>
  </si>
  <si>
    <t>KEŘE</t>
  </si>
  <si>
    <t>4.2|</t>
  </si>
  <si>
    <t>STROMY</t>
  </si>
  <si>
    <t>ROK 2020</t>
  </si>
  <si>
    <t>PODZIMNÍ VÝSADBA</t>
  </si>
  <si>
    <t>DPH 21%</t>
  </si>
  <si>
    <t>CELKEM VČETNĚ DPH</t>
  </si>
  <si>
    <t>ROK 2021</t>
  </si>
  <si>
    <t>ROK 2022</t>
  </si>
  <si>
    <t>ROK 2023</t>
  </si>
  <si>
    <t>ROK 2024</t>
  </si>
  <si>
    <t>NÁSLEDNÁ PÉČE - 1.rok od podzimní výsadby (rok 2020)</t>
  </si>
  <si>
    <t>NÁSLEDNÁ PÉČE - 3.rok od podzimní výsadby (rok 2022)</t>
  </si>
  <si>
    <t>NÁSLEDNÁ PÉČE -2.rok od podzimní výsadby (rok 2021)</t>
  </si>
  <si>
    <t>NÁSLEDNÁ PÉČE - 4.rok od podzimní výsadby (rok 2023)</t>
  </si>
  <si>
    <t xml:space="preserve">Hnojivé tablety 10g (5ks na strom, 2ks  keř) </t>
  </si>
  <si>
    <t>LOKALITA 1 - HODONÍN, UL. DOBROVOLSKÉHO</t>
  </si>
  <si>
    <t>LOKALITA 2 - HODONÍN, PARKOVÁNÍ UL. OKRUŽNÍ A JIŽNÍ</t>
  </si>
  <si>
    <t>LOKALITA 3 - HODONÍN, BAŽANTNICE II</t>
  </si>
  <si>
    <t>Následná péče- trvalky</t>
  </si>
  <si>
    <t>1.2 |</t>
  </si>
  <si>
    <t>1.3 |</t>
  </si>
  <si>
    <t>TRVALKY</t>
  </si>
  <si>
    <t>185 80-4511</t>
  </si>
  <si>
    <t>Odplevelení záhon květin v rovině</t>
  </si>
  <si>
    <t>Odstranění odkvetlých a odumřelých částí cibulovin s odklizením odpadu do 20km</t>
  </si>
  <si>
    <t>185 80-4252</t>
  </si>
  <si>
    <t>Odstranění odkvetlých a odumřelých částí trvalek s odklizením odpadu do 20km</t>
  </si>
  <si>
    <t>Odstranění odkvetlých a odumřelých částí růží s odklizením odpadu do 20km</t>
  </si>
  <si>
    <t>Řez růží mnohokvětých (jaro )</t>
  </si>
  <si>
    <t>185 80-4253</t>
  </si>
  <si>
    <t>Řez růží mnohokvětých (jaro)</t>
  </si>
  <si>
    <t>185 80-4312</t>
  </si>
  <si>
    <t>185 80-2113</t>
  </si>
  <si>
    <t>Hnojení umělým hnojivem na široko v rovině</t>
  </si>
  <si>
    <t xml:space="preserve">Hnojivé tablety 10g ( 2ks  keř) </t>
  </si>
  <si>
    <t xml:space="preserve">Hnojivé tablety 10g (5ks na strom) </t>
  </si>
  <si>
    <t xml:space="preserve"> kombinované granulované hnojivo( trvalky)- dávka 30g/m2</t>
  </si>
  <si>
    <t>Zalití rostlin vodou plochy přes 20 m2 (15l/m2)</t>
  </si>
  <si>
    <t>3.3 |</t>
  </si>
  <si>
    <t>4.3 |</t>
  </si>
  <si>
    <t>5.3 |</t>
  </si>
  <si>
    <t>VÝSADBA CIBULOVIN- podzim 2019</t>
  </si>
  <si>
    <t>CELKEM VČ. DPH 21%</t>
  </si>
  <si>
    <t>rok 2020</t>
  </si>
  <si>
    <t>rok 2021</t>
  </si>
  <si>
    <t>rok 2022</t>
  </si>
  <si>
    <t>rok 2023</t>
  </si>
  <si>
    <t>rok 2024</t>
  </si>
  <si>
    <t>půdní hydrogel (350g/ strom, trvalky a keře 120g/m2, trávníky 100g/m2)</t>
  </si>
  <si>
    <t>VÝSADBA CIBULOVIN V TRÁVNÍKU A DO ZÁHONŮ</t>
  </si>
  <si>
    <t>ZALOŽENÍ TRÁVNÍKOVÝCH PLOCH</t>
  </si>
  <si>
    <t>Plošná úprava terénu přes 500 m2 zemina tř 1 až 4 nerovnosti do +/- 150 mm v rovinně a svahu do 1:5- bez doplnění ornice</t>
  </si>
  <si>
    <t>Obdělání půdy frézováním v rovině a na svahu do 1:5 (plocha 2x)</t>
  </si>
  <si>
    <t xml:space="preserve">Obdělání půdy vláčením v rovině a svahu do 1:5 </t>
  </si>
  <si>
    <t xml:space="preserve">Obdělání půdy hrabáním v rovině a na svahu do 1:5(plocha 2x) s vyhrabáním stařiny a případných stavebních zbytků </t>
  </si>
  <si>
    <t>183 40-3152</t>
  </si>
  <si>
    <t>183 40-3113</t>
  </si>
  <si>
    <t>Obdělání půdy Válením v rovině a na svahu do 1:5(2x)</t>
  </si>
  <si>
    <t>183 40-3161</t>
  </si>
  <si>
    <t>Založení trávníku parkového výsevem v rovině a na svahu do 1:5</t>
  </si>
  <si>
    <t>181 41-1131</t>
  </si>
  <si>
    <t>181 15-1321</t>
  </si>
  <si>
    <t>Hnojení půdy před založením trávníku umělým hnojivem na široko (30g/m2)</t>
  </si>
  <si>
    <t>PAMÁTNÍK</t>
  </si>
  <si>
    <t>PAEONIA LACTIFLORA ´SARAH BERNDHARDT´</t>
  </si>
  <si>
    <t>SMÍŠENÉ TRVALK. ZÁHONY - POLOSTÍN</t>
  </si>
  <si>
    <t>PAEONIA LACTIFLORA ´NYMPHE´</t>
  </si>
  <si>
    <t>K1,5</t>
  </si>
  <si>
    <t>ARUNCUS AETHUSIFOLIUS ´CHARAKTER´</t>
  </si>
  <si>
    <t>ASTER FRIKARTII ´FLORA´S DELIGHT´</t>
  </si>
  <si>
    <t>BERGENIA CORDIFOLIA ´WINTERGLUT´</t>
  </si>
  <si>
    <t>DICENTRA SPECTABILIS ´ALBA´</t>
  </si>
  <si>
    <t>DORONICUM ORIENTALE ´LEONARDO COMPACT´</t>
  </si>
  <si>
    <t>EPIMEDIUM RUBRUM</t>
  </si>
  <si>
    <t>EUPHORBIA POLYCHROMA</t>
  </si>
  <si>
    <t>HELLEBORUS PURPURASCENS</t>
  </si>
  <si>
    <t>HEUCHERA SANQUINEA ´LEUCHTKAFER´</t>
  </si>
  <si>
    <t>PRIMULA VERRIS ´PURE YELLOW´</t>
  </si>
  <si>
    <t>GERANIUM X CANTABRIGIENSE ´BIOKOVO´</t>
  </si>
  <si>
    <t>OMPHALODES VERNA</t>
  </si>
  <si>
    <t>VINCA MINOR ´ALBA´</t>
  </si>
  <si>
    <t>183 21-1323</t>
  </si>
  <si>
    <t>Výsadba květin do připravené půdy se zalitím - květiny hrnkované, o průměru květináče do 120mm</t>
  </si>
  <si>
    <t xml:space="preserve"> SMÍŠENÉ TRVALK. ZÁHONY - SLUNCE</t>
  </si>
  <si>
    <t>ARTEMISIA ARBORESCENS ´POWIS CASTLE´</t>
  </si>
  <si>
    <t>PEROVSKIA ´MINI BLUE´</t>
  </si>
  <si>
    <t>SALVIA VERTICILLATA ´ENDLESS LOVE´</t>
  </si>
  <si>
    <t>ASTER DUMOSUS ´PROF. A. KIPPENBERG´</t>
  </si>
  <si>
    <t>ASTER PTARMICOIDES ´MAJOR´</t>
  </si>
  <si>
    <t>COREOPSIS ´AMERICAN DREAM´</t>
  </si>
  <si>
    <t>GAURA LINDHEIMERI ´BUTTERFLY WHITE´</t>
  </si>
  <si>
    <t>GERANIUM HIMALAYENSE ´BABY BLUE´</t>
  </si>
  <si>
    <t>KNAUTIA MACEDONICA ´RED KNIGHT´</t>
  </si>
  <si>
    <t>LAVANDULA ANGUSTIFOLIA ´HIDCOTE BLUE STRAIN´</t>
  </si>
  <si>
    <t>LYCHNIS CORONARIA ´ALBA´</t>
  </si>
  <si>
    <t>NEPETA FAASSENII´BLUE WONDER´</t>
  </si>
  <si>
    <t>ORIGANUM VULGARE ´COMPACTUM´</t>
  </si>
  <si>
    <t>SEDUM ´MATRONA´</t>
  </si>
  <si>
    <t>THYMUS PULEGIOIDES</t>
  </si>
  <si>
    <t>GERANIUM SANQUINEUM ´JOHN ELSLEY´</t>
  </si>
  <si>
    <t>ARTEMISIA SCHMIDTIANA ´NANA´</t>
  </si>
  <si>
    <t>NARCISSUS ´BELL SONG´</t>
  </si>
  <si>
    <t>SCILLA SIBERICA ´ALBA´</t>
  </si>
  <si>
    <t>TULIPA KAUFMANNIANA ´HEART´S DELIGHT´</t>
  </si>
  <si>
    <t>NARCISSUS ´BRIDAL CROWN´</t>
  </si>
  <si>
    <t>ALLIUM SPHAEROCEPHALON</t>
  </si>
  <si>
    <t>ALLIUM CAERULEUM</t>
  </si>
  <si>
    <t>TULIPA FOSTERIANA ´ALBERT HEIJN´</t>
  </si>
  <si>
    <t>121 10-1101</t>
  </si>
  <si>
    <t xml:space="preserve">Založení záhonu pro výsadbu rostlin v rovině a svahu do 1:5 </t>
  </si>
  <si>
    <t xml:space="preserve">Sejmutí ornice s přemístěním na vzdálenost do 50m( pro mulč výška 10cm) </t>
  </si>
  <si>
    <t>916 37-1211</t>
  </si>
  <si>
    <t>Osazení obrubníku z ocelové pásoviny s jednostranným odkopáním zeminy</t>
  </si>
  <si>
    <t>Zhotovení oplocení z půlkulatiny, výška plůtku 30cm</t>
  </si>
  <si>
    <t>svislá kulatina pr. 6cm - ukotvení vodorvné pulkulatiny plůtků, délka 0,6m, pr. 6cm</t>
  </si>
  <si>
    <t>křemičitý písek SH 01-10 na vylehčení trvalkových záhonů, 5cm/m2( 1m3=1,8t)</t>
  </si>
  <si>
    <t>(11+239+86)*0,05=16,8m3</t>
  </si>
  <si>
    <t>zahradnický substrát pro vylehčení a vylepšení půdy u trvalkových záhonů, 5cm/m2</t>
  </si>
  <si>
    <t xml:space="preserve">Sejmutí zeminy s přemístěním na vzdálenost do 50m( pro mulč a doplnění susbtrátu-výška 15cm) </t>
  </si>
  <si>
    <t>181 30-1101</t>
  </si>
  <si>
    <t>Rozprostření subtrátu a písku plošně tl. Vrstvy do 100mm v rovině</t>
  </si>
  <si>
    <t>183 40-3114</t>
  </si>
  <si>
    <t>Obdělání půdy kultivátorováním ( zapravení substrátu a vylehčení stávající zeminy)  v rovině a svahu do 1:5- opakování 2x</t>
  </si>
  <si>
    <t>47m*1,15</t>
  </si>
  <si>
    <t>47*0,6*1,5</t>
  </si>
  <si>
    <t>TRVALKY A CIBULOVINY</t>
  </si>
  <si>
    <t>Následná péče -trávníky</t>
  </si>
  <si>
    <t>1.4 |</t>
  </si>
  <si>
    <t>TRÁVNÍKY</t>
  </si>
  <si>
    <t>111 15-1112</t>
  </si>
  <si>
    <t>Pokosení trávníku parkového plochy do 1000m2 s odvozem do 20km, v rovině</t>
  </si>
  <si>
    <t xml:space="preserve"> kombinované trávníkové granulované hnojivo jarní- dávka 30g/m2</t>
  </si>
  <si>
    <t>Hnojení umělým hnojivem na široko v rovině (30g/m2)</t>
  </si>
  <si>
    <t xml:space="preserve"> kombinované trávníkové granulované hnojivo letní- dávka 30g/m2</t>
  </si>
  <si>
    <t xml:space="preserve"> kombinované trávníkové granulované hnojivo podzimní- dávka 30g/m2</t>
  </si>
  <si>
    <t>3.4 |</t>
  </si>
  <si>
    <t>4.4 |</t>
  </si>
  <si>
    <t>5.4 |</t>
  </si>
  <si>
    <t xml:space="preserve"> kombinované trávníkové granulované hnojivo jarní- dávka 30g/m2- v rámci založení trávníku</t>
  </si>
  <si>
    <t>kotvení po 1,5m 98/1,5*1,2</t>
  </si>
  <si>
    <t>půlkulatina pr.7cm, délka průměrně 2m ( materiál na   zhotovení bezpečnostních plůtku kolem trvalk. Záhonů)</t>
  </si>
  <si>
    <t>ocel kruhová( roksor) ke kotvení průměr 6mm, délka 40cm</t>
  </si>
  <si>
    <t>NÁHRADNÍ VÝSADBA ZELENĚ NA VYBRANÝCH LOKALITÁCH – MĚSTO HODONÍN</t>
  </si>
  <si>
    <t xml:space="preserve">ROZPOČET SUMÁRNÍ- NÁSLEDNÁ PÉČE </t>
  </si>
  <si>
    <t>PŘEDPOKLAD REALIZACE A PLATEB</t>
  </si>
  <si>
    <t>travní parková směs univerzální 30g/m2</t>
  </si>
  <si>
    <t>ocelová pásovina na ohraničení záhonů- tl 5mm, výška 10cm+ roksor ke kotvení pr.8mm, délka 40cm</t>
  </si>
  <si>
    <t xml:space="preserve"> 98m*1,2</t>
  </si>
  <si>
    <t>NÁHRADNÍ VÝSADBA ZELENĚ NA VYBRANÝCH LOKALITÁCH-MĚSTO HODONÍN</t>
  </si>
  <si>
    <t>CENA CELKEM BEZ DPH</t>
  </si>
  <si>
    <t>odstranění ochranných plůtků z kulatiny</t>
  </si>
  <si>
    <t>obv.12/14</t>
  </si>
  <si>
    <t xml:space="preserve">Dočasná dopravní opatření </t>
  </si>
  <si>
    <t>Zařízení staveniště</t>
  </si>
  <si>
    <t>1.5 |</t>
  </si>
  <si>
    <t>OŠETŘENÍ  DŘEVIN</t>
  </si>
  <si>
    <t xml:space="preserve"> PŘESAZENÍ DŘEVIN</t>
  </si>
  <si>
    <t>184 50-2111</t>
  </si>
  <si>
    <t>Vyzvednutí dřeviny k přesazení s balem do 0,4m, v rovině</t>
  </si>
  <si>
    <t>PŘESAZENÍ DŘEVIN</t>
  </si>
  <si>
    <t>4.1.</t>
  </si>
  <si>
    <r>
      <rPr>
        <i/>
        <sz val="10"/>
        <rFont val="Calibri Light"/>
        <family val="2"/>
        <charset val="238"/>
      </rPr>
      <t xml:space="preserve">Syringa vulgaris </t>
    </r>
    <r>
      <rPr>
        <sz val="10"/>
        <rFont val="Calibri Light"/>
        <family val="2"/>
        <charset val="238"/>
      </rPr>
      <t>'Charles Joly'</t>
    </r>
  </si>
  <si>
    <t>OK 8/10</t>
  </si>
  <si>
    <t xml:space="preserve">Odplevelení dřevin solitérních v rovině ( včetně přesazeného stromu) </t>
  </si>
  <si>
    <t xml:space="preserve">Zalití rostlin vodou plochy do 20 m2 ( včetně přesazeného stromu) </t>
  </si>
  <si>
    <t>Řez stromu výchovný alejových stromů výšky přes 4 do 6 m ( včetně přesazeného stromu)</t>
  </si>
  <si>
    <t xml:space="preserve">Hnojení umělým hnojivem s rozdělením k jednotlivým rostlinám ( včetně přesazeného stromu) </t>
  </si>
  <si>
    <t>Zhotovení závlahové mísy dřevin průměr do 1,0 m v rovině nebo na svahu do 1:5( po 2 letech)- včetně přesazeného stromu</t>
  </si>
  <si>
    <t>Znovu zhotovení obalu z juty ve dvou vrstvách v rovině a svahu do 1:5( po 2 letech) včetně přesazeného stromu</t>
  </si>
  <si>
    <t>Odstranění ukotvení kmene třemi kůly do délky 3m, do pr. 0,1m (po 2-3 letech dle zakořenění stromu) - včetně přesazeného stromu</t>
  </si>
  <si>
    <t>Acer platanoides "Columnare"- javor mléč</t>
  </si>
  <si>
    <t>Crataegus laevigata "Pauls Scarlet"-hloh</t>
  </si>
  <si>
    <t>Liriodendron tulipifera- liliovník tulipánokvětý</t>
  </si>
  <si>
    <t>Catalpa bignonioides Aurea- katalpa trubačovitá</t>
  </si>
  <si>
    <t>Gleditschia triacanthos "Skyline"- dřezovec</t>
  </si>
  <si>
    <t>Gingo biloba "Tremonia"- jinan dvojlaločný</t>
  </si>
  <si>
    <t>ZALOŽENÍ TRÁVNÍKOVÝCH PLOCH- pouze na místech poškozených výsadbou</t>
  </si>
  <si>
    <t xml:space="preserve"> kombinované trávníkové granulované hnojivo podzimní- dávka 30g/m2- v rámci založení trávníku</t>
  </si>
  <si>
    <t>totální herbicid</t>
  </si>
  <si>
    <t>ROZPOČET- NÁSLEDNÁ PÉČE LOKALITA 1-4 - 1.až 5.rok</t>
  </si>
  <si>
    <t>184 50-3131</t>
  </si>
  <si>
    <t>Následná péče  CELKEM 1.rok po podzimní výsadbě (2020)</t>
  </si>
  <si>
    <t>NÁSLEDNÁ PÉČE - 5.rok od podzimní výsadby (rok 2024)</t>
  </si>
  <si>
    <t>184 21-5411</t>
  </si>
  <si>
    <t>184 85-1411</t>
  </si>
  <si>
    <t>Zhotovení závlahové mísy u solitréních dřevin v rovině o průmeru mísy do 0,5m ( keře Budlea)</t>
  </si>
  <si>
    <t>skládkovné- biologicky rozložitelný odpad-pletí</t>
  </si>
  <si>
    <t>skládkovné- biologicky rozložitelný odpad-ořez živých plotů</t>
  </si>
  <si>
    <t>184 80-6161</t>
  </si>
  <si>
    <t>184 80-6162</t>
  </si>
  <si>
    <t>185 80-3511</t>
  </si>
  <si>
    <t xml:space="preserve">Odstranění přerostlého drnu u cest a záhonů s naložením a odvozem odpadu do 20km( obrytí  solitérních výsadeb) </t>
  </si>
  <si>
    <t>Odstranění obalu kmene z juty ve dvou vrstvách (po 3 letech)-včetně přesazeného stromu</t>
  </si>
  <si>
    <t>Následná péče  CELKEM 2.rok po podzimní výsadbě -rok 2021</t>
  </si>
  <si>
    <t>Následná péče CELKEM 3.rok po podzimní výsadbě-rok 2022</t>
  </si>
  <si>
    <t>Následná péče CELKEM 4.rok po podzimní výsadbě-rok 2023</t>
  </si>
  <si>
    <t>Následá péče CELKEM 5.rok po podzimní výsadbě-rok 2024</t>
  </si>
  <si>
    <t>30-40</t>
  </si>
  <si>
    <t>Hnojení půdy umělým hnojivem k jednotlivým rostlinám v rovině a svahu do 1:5 (keře 2ks po 10g)</t>
  </si>
  <si>
    <t>ul. Vančurova</t>
  </si>
  <si>
    <t>1.rok 2020</t>
  </si>
  <si>
    <t>A</t>
  </si>
  <si>
    <t>B</t>
  </si>
  <si>
    <t>2.rok 2021</t>
  </si>
  <si>
    <t>3.rok 2022</t>
  </si>
  <si>
    <t>4.rok 2023</t>
  </si>
  <si>
    <t>5.rok 2024</t>
  </si>
  <si>
    <t>celkem realizace bez DPH</t>
  </si>
  <si>
    <t>celkem následná péče  bez DPH</t>
  </si>
  <si>
    <t>celkem bez DPH</t>
  </si>
  <si>
    <t xml:space="preserve">Buddleja davidii Empire Blue-9ks a White Profusion -9ks </t>
  </si>
  <si>
    <t xml:space="preserve">Odplevelení dřevin solitérních v rovině (keře Buddleja) </t>
  </si>
  <si>
    <t>Odplevelení dřevin solitérních v rovině (lokalita 4- Buddleja-0,5m2 /keř-18ks)</t>
  </si>
  <si>
    <t xml:space="preserve">Zpětný řez keřů netrnitých po výsadbě-jaro, výška do 0,5m( Buddleja) </t>
  </si>
  <si>
    <t>Zmlazení keřů netrnitých oprůměru koruny do 1,5m ( jarní řez keřů Buddleja-lokalita 4)</t>
  </si>
  <si>
    <t>Zmlazení keřů netrnitých oprůměru koruny přes do 1,5m do 3m( jarní řez keřů Buddleja-lokalita 4)</t>
  </si>
  <si>
    <t>Amelanchier arborea "Robin Hill"-muchovník</t>
  </si>
  <si>
    <t>zahájení výsadeb 1.10.2019 dokončení podzimní výsadby do 15.12.2019</t>
  </si>
  <si>
    <t>LOKALITA 4 - HODONÍN- SÍDLIŠTNÍ,  VANČUROVA, 2. ČÁST , III.ETAPA</t>
  </si>
  <si>
    <t>Hodonín-Ul. Dobrovolského</t>
  </si>
  <si>
    <t>Hodonín-Parkování, ul. Okružní a Jižní</t>
  </si>
  <si>
    <t>Hodonín- Bažantnice II</t>
  </si>
  <si>
    <t>Hodonín- Sídlištní, Vančurova, 2. část, III.etapa</t>
  </si>
  <si>
    <t>následná péče LOKALITA 1-4- 5- let- rok 2020-2024</t>
  </si>
  <si>
    <t>CENA bez DPH</t>
  </si>
  <si>
    <t>ROK</t>
  </si>
  <si>
    <t>CEKEM s DPH</t>
  </si>
  <si>
    <t>CELKEM bez DPH</t>
  </si>
  <si>
    <t>REALIZACE</t>
  </si>
  <si>
    <t>NÁSLEDNÁ PÉČE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</si>
</sst>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\ [$Kč-405];[Red]\-#,##0.00\ [$Kč-405]"/>
    <numFmt numFmtId="165" formatCode="#,##0.00000"/>
    <numFmt numFmtId="166" formatCode="#,##0.0000"/>
    <numFmt numFmtId="167" formatCode="#,##0.00&quot; Kč&quot;"/>
    <numFmt numFmtId="168" formatCode="#,##0.00\ &quot;Kč&quot;"/>
    <numFmt numFmtId="169" formatCode="#,##0.000"/>
    <numFmt numFmtId="170" formatCode="#,##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1"/>
    </font>
    <font>
      <sz val="10"/>
      <name val="Arial CE"/>
      <family val="2"/>
      <charset val="238"/>
    </font>
    <font>
      <b/>
      <sz val="10"/>
      <name val="Calibri Light"/>
      <family val="2"/>
      <charset val="238"/>
    </font>
    <font>
      <sz val="10"/>
      <name val="Calibri Light"/>
      <family val="2"/>
      <charset val="238"/>
    </font>
    <font>
      <sz val="10"/>
      <color theme="1"/>
      <name val="Calibri Light"/>
      <family val="2"/>
      <charset val="238"/>
    </font>
    <font>
      <sz val="10"/>
      <color indexed="8"/>
      <name val="Calibri Light"/>
      <family val="2"/>
      <charset val="238"/>
    </font>
    <font>
      <i/>
      <sz val="10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20"/>
      <name val="Calibri Light"/>
      <family val="2"/>
      <charset val="238"/>
    </font>
    <font>
      <sz val="14"/>
      <name val="Calibri Light"/>
      <family val="2"/>
      <charset val="238"/>
    </font>
    <font>
      <b/>
      <sz val="14"/>
      <name val="Calibri Light"/>
      <family val="2"/>
      <charset val="238"/>
    </font>
    <font>
      <sz val="11"/>
      <color indexed="8"/>
      <name val="Calibri Light"/>
      <family val="2"/>
      <charset val="238"/>
    </font>
    <font>
      <b/>
      <sz val="11"/>
      <color indexed="8"/>
      <name val="Calibri Light"/>
      <family val="2"/>
      <charset val="238"/>
    </font>
    <font>
      <sz val="12"/>
      <color theme="1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name val="Calibri Light"/>
      <family val="2"/>
      <charset val="238"/>
    </font>
    <font>
      <b/>
      <sz val="12"/>
      <name val="Calibri Light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0"/>
      <color rgb="FFFF0000"/>
      <name val="Calibri Light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i/>
      <sz val="10"/>
      <name val="Calibri Light"/>
      <family val="2"/>
      <charset val="238"/>
    </font>
    <font>
      <sz val="10"/>
      <color rgb="FF0000FF"/>
      <name val="Calibri Light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 Light"/>
      <family val="2"/>
      <charset val="238"/>
    </font>
    <font>
      <b/>
      <sz val="16"/>
      <color theme="1"/>
      <name val="Calibri Light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 Light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3"/>
      <color theme="1"/>
      <name val="Calibri Light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hair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349">
    <xf numFmtId="0" fontId="0" fillId="0" borderId="0" xfId="0"/>
    <xf numFmtId="0" fontId="1" fillId="0" borderId="0" xfId="1"/>
    <xf numFmtId="0" fontId="5" fillId="0" borderId="0" xfId="1" applyFont="1" applyFill="1"/>
    <xf numFmtId="0" fontId="5" fillId="0" borderId="0" xfId="1" applyFont="1" applyFill="1" applyBorder="1"/>
    <xf numFmtId="0" fontId="5" fillId="0" borderId="0" xfId="1" applyFont="1" applyFill="1" applyBorder="1" applyAlignment="1">
      <alignment wrapText="1"/>
    </xf>
    <xf numFmtId="0" fontId="5" fillId="0" borderId="0" xfId="1" applyFont="1" applyFill="1" applyAlignment="1">
      <alignment wrapText="1"/>
    </xf>
    <xf numFmtId="49" fontId="5" fillId="0" borderId="4" xfId="3" applyNumberFormat="1" applyFont="1" applyFill="1" applyBorder="1" applyAlignment="1">
      <alignment horizontal="left" vertical="center" wrapText="1" shrinkToFit="1"/>
    </xf>
    <xf numFmtId="0" fontId="4" fillId="3" borderId="1" xfId="1" applyFont="1" applyFill="1" applyBorder="1" applyAlignment="1">
      <alignment horizontal="left"/>
    </xf>
    <xf numFmtId="0" fontId="4" fillId="3" borderId="2" xfId="1" applyFont="1" applyFill="1" applyBorder="1"/>
    <xf numFmtId="0" fontId="5" fillId="3" borderId="2" xfId="1" applyFont="1" applyFill="1" applyBorder="1"/>
    <xf numFmtId="0" fontId="5" fillId="3" borderId="3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/>
    <xf numFmtId="49" fontId="5" fillId="0" borderId="4" xfId="3" applyNumberFormat="1" applyFont="1" applyFill="1" applyBorder="1" applyAlignment="1">
      <alignment vertical="center" wrapText="1" shrinkToFit="1"/>
    </xf>
    <xf numFmtId="49" fontId="5" fillId="0" borderId="0" xfId="3" applyNumberFormat="1" applyFont="1" applyFill="1" applyBorder="1" applyAlignment="1">
      <alignment vertical="center" wrapText="1" shrinkToFit="1"/>
    </xf>
    <xf numFmtId="164" fontId="5" fillId="0" borderId="4" xfId="1" applyNumberFormat="1" applyFont="1" applyFill="1" applyBorder="1" applyAlignment="1"/>
    <xf numFmtId="0" fontId="5" fillId="0" borderId="4" xfId="4" applyNumberFormat="1" applyFont="1" applyFill="1" applyBorder="1" applyAlignment="1">
      <alignment vertical="center" wrapText="1"/>
    </xf>
    <xf numFmtId="49" fontId="5" fillId="0" borderId="4" xfId="3" applyNumberFormat="1" applyFont="1" applyFill="1" applyBorder="1" applyAlignment="1">
      <alignment vertical="center" wrapText="1"/>
    </xf>
    <xf numFmtId="0" fontId="4" fillId="3" borderId="6" xfId="1" applyFont="1" applyFill="1" applyBorder="1" applyAlignment="1">
      <alignment wrapText="1"/>
    </xf>
    <xf numFmtId="0" fontId="5" fillId="2" borderId="4" xfId="1" applyFont="1" applyFill="1" applyBorder="1" applyAlignment="1">
      <alignment wrapText="1"/>
    </xf>
    <xf numFmtId="0" fontId="5" fillId="2" borderId="4" xfId="1" applyFont="1" applyFill="1" applyBorder="1" applyAlignment="1">
      <alignment horizontal="center" wrapText="1"/>
    </xf>
    <xf numFmtId="4" fontId="5" fillId="0" borderId="4" xfId="3" applyNumberFormat="1" applyFont="1" applyFill="1" applyBorder="1" applyAlignment="1">
      <alignment vertical="center" wrapText="1"/>
    </xf>
    <xf numFmtId="164" fontId="5" fillId="0" borderId="4" xfId="1" applyNumberFormat="1" applyFont="1" applyFill="1" applyBorder="1" applyAlignment="1">
      <alignment vertical="center" wrapText="1"/>
    </xf>
    <xf numFmtId="165" fontId="5" fillId="0" borderId="4" xfId="3" applyNumberFormat="1" applyFont="1" applyFill="1" applyBorder="1" applyAlignment="1">
      <alignment vertical="center" wrapText="1"/>
    </xf>
    <xf numFmtId="49" fontId="5" fillId="0" borderId="4" xfId="3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wrapText="1"/>
    </xf>
    <xf numFmtId="0" fontId="5" fillId="0" borderId="4" xfId="0" applyFont="1" applyFill="1" applyBorder="1" applyAlignment="1"/>
    <xf numFmtId="2" fontId="5" fillId="0" borderId="4" xfId="1" applyNumberFormat="1" applyFont="1" applyFill="1" applyBorder="1" applyAlignment="1">
      <alignment wrapText="1"/>
    </xf>
    <xf numFmtId="16" fontId="4" fillId="3" borderId="1" xfId="1" applyNumberFormat="1" applyFont="1" applyFill="1" applyBorder="1" applyAlignment="1">
      <alignment horizontal="left"/>
    </xf>
    <xf numFmtId="49" fontId="7" fillId="0" borderId="4" xfId="3" applyNumberFormat="1" applyFont="1" applyFill="1" applyBorder="1" applyAlignment="1">
      <alignment horizontal="left" vertical="center" wrapText="1" shrinkToFit="1"/>
    </xf>
    <xf numFmtId="4" fontId="7" fillId="0" borderId="4" xfId="3" applyNumberFormat="1" applyFont="1" applyFill="1" applyBorder="1" applyAlignment="1">
      <alignment horizontal="right" vertical="center" wrapText="1"/>
    </xf>
    <xf numFmtId="166" fontId="7" fillId="0" borderId="4" xfId="3" applyNumberFormat="1" applyFont="1" applyFill="1" applyBorder="1" applyAlignment="1">
      <alignment horizontal="right" vertical="center" wrapText="1"/>
    </xf>
    <xf numFmtId="4" fontId="5" fillId="0" borderId="4" xfId="3" applyNumberFormat="1" applyFont="1" applyFill="1" applyBorder="1" applyAlignment="1">
      <alignment horizontal="right" vertical="center" wrapText="1"/>
    </xf>
    <xf numFmtId="164" fontId="5" fillId="0" borderId="4" xfId="1" applyNumberFormat="1" applyFont="1" applyBorder="1" applyAlignment="1">
      <alignment vertical="center" wrapText="1"/>
    </xf>
    <xf numFmtId="49" fontId="7" fillId="4" borderId="4" xfId="3" applyNumberFormat="1" applyFont="1" applyFill="1" applyBorder="1" applyAlignment="1">
      <alignment horizontal="center" vertical="center" wrapText="1"/>
    </xf>
    <xf numFmtId="0" fontId="7" fillId="4" borderId="4" xfId="3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wrapText="1"/>
    </xf>
    <xf numFmtId="0" fontId="4" fillId="3" borderId="2" xfId="1" applyFont="1" applyFill="1" applyBorder="1" applyAlignment="1">
      <alignment wrapText="1"/>
    </xf>
    <xf numFmtId="0" fontId="5" fillId="3" borderId="2" xfId="1" applyFont="1" applyFill="1" applyBorder="1" applyAlignment="1">
      <alignment wrapText="1"/>
    </xf>
    <xf numFmtId="0" fontId="5" fillId="3" borderId="3" xfId="1" applyFont="1" applyFill="1" applyBorder="1" applyAlignment="1">
      <alignment wrapText="1"/>
    </xf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wrapText="1"/>
    </xf>
    <xf numFmtId="0" fontId="5" fillId="2" borderId="4" xfId="1" applyFont="1" applyFill="1" applyBorder="1" applyAlignment="1">
      <alignment horizontal="center" wrapText="1" shrinkToFit="1"/>
    </xf>
    <xf numFmtId="0" fontId="5" fillId="0" borderId="4" xfId="4" applyNumberFormat="1" applyFont="1" applyFill="1" applyBorder="1" applyAlignment="1">
      <alignment horizontal="center" vertical="center" wrapText="1"/>
    </xf>
    <xf numFmtId="2" fontId="5" fillId="0" borderId="4" xfId="4" applyNumberFormat="1" applyFont="1" applyFill="1" applyBorder="1" applyAlignment="1">
      <alignment vertical="center" wrapText="1" shrinkToFit="1"/>
    </xf>
    <xf numFmtId="2" fontId="5" fillId="0" borderId="4" xfId="3" applyNumberFormat="1" applyFont="1" applyFill="1" applyBorder="1" applyAlignment="1">
      <alignment vertical="center" wrapText="1" shrinkToFit="1"/>
    </xf>
    <xf numFmtId="0" fontId="5" fillId="0" borderId="4" xfId="5" applyNumberFormat="1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left" vertical="top" wrapText="1"/>
    </xf>
    <xf numFmtId="0" fontId="1" fillId="2" borderId="4" xfId="1" applyFill="1" applyBorder="1"/>
    <xf numFmtId="0" fontId="5" fillId="0" borderId="4" xfId="5" applyNumberFormat="1" applyFont="1" applyBorder="1" applyAlignment="1">
      <alignment horizontal="center" vertical="top" wrapText="1"/>
    </xf>
    <xf numFmtId="0" fontId="5" fillId="0" borderId="4" xfId="5" applyFont="1" applyBorder="1" applyAlignment="1">
      <alignment horizontal="center" vertical="center" wrapText="1" shrinkToFit="1"/>
    </xf>
    <xf numFmtId="4" fontId="5" fillId="0" borderId="4" xfId="5" applyNumberFormat="1" applyFont="1" applyBorder="1" applyAlignment="1">
      <alignment vertical="center" wrapText="1" shrinkToFit="1"/>
    </xf>
    <xf numFmtId="168" fontId="5" fillId="0" borderId="4" xfId="0" applyNumberFormat="1" applyFont="1" applyBorder="1" applyAlignment="1">
      <alignment vertical="center" wrapText="1" shrinkToFit="1"/>
    </xf>
    <xf numFmtId="49" fontId="7" fillId="0" borderId="4" xfId="3" applyNumberFormat="1" applyFont="1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right" vertical="center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4" xfId="7" applyFont="1" applyFill="1" applyBorder="1" applyAlignment="1">
      <alignment horizontal="center"/>
    </xf>
    <xf numFmtId="0" fontId="5" fillId="0" borderId="4" xfId="7" applyFont="1" applyFill="1" applyBorder="1" applyAlignment="1">
      <alignment vertical="center" wrapText="1"/>
    </xf>
    <xf numFmtId="0" fontId="5" fillId="0" borderId="4" xfId="7" applyFont="1" applyFill="1" applyBorder="1" applyAlignment="1">
      <alignment horizontal="center" vertical="center"/>
    </xf>
    <xf numFmtId="2" fontId="6" fillId="0" borderId="4" xfId="7" applyNumberFormat="1" applyFont="1" applyFill="1" applyBorder="1" applyAlignment="1">
      <alignment vertical="center"/>
    </xf>
    <xf numFmtId="2" fontId="5" fillId="0" borderId="4" xfId="7" applyNumberFormat="1" applyFont="1" applyFill="1" applyBorder="1" applyAlignment="1">
      <alignment vertical="center"/>
    </xf>
    <xf numFmtId="2" fontId="5" fillId="0" borderId="4" xfId="7" applyNumberFormat="1" applyFont="1" applyFill="1" applyBorder="1" applyAlignment="1">
      <alignment horizontal="right" vertical="center"/>
    </xf>
    <xf numFmtId="0" fontId="5" fillId="0" borderId="4" xfId="5" applyNumberFormat="1" applyFont="1" applyBorder="1" applyAlignment="1">
      <alignment horizontal="left" vertical="center" wrapText="1"/>
    </xf>
    <xf numFmtId="49" fontId="5" fillId="0" borderId="4" xfId="1" applyNumberFormat="1" applyFont="1" applyBorder="1" applyAlignment="1">
      <alignment horizontal="left" vertical="center" wrapText="1"/>
    </xf>
    <xf numFmtId="49" fontId="5" fillId="0" borderId="0" xfId="3" applyNumberFormat="1" applyFont="1" applyFill="1" applyBorder="1" applyAlignment="1">
      <alignment horizontal="center" vertical="center" wrapText="1"/>
    </xf>
    <xf numFmtId="49" fontId="5" fillId="0" borderId="0" xfId="3" applyNumberFormat="1" applyFont="1" applyFill="1" applyBorder="1" applyAlignment="1">
      <alignment vertical="center" wrapText="1"/>
    </xf>
    <xf numFmtId="0" fontId="1" fillId="0" borderId="0" xfId="1" applyAlignment="1">
      <alignment wrapText="1"/>
    </xf>
    <xf numFmtId="0" fontId="11" fillId="0" borderId="0" xfId="1" applyFont="1" applyFill="1" applyAlignment="1">
      <alignment wrapText="1"/>
    </xf>
    <xf numFmtId="0" fontId="5" fillId="0" borderId="4" xfId="5" applyNumberFormat="1" applyFont="1" applyBorder="1" applyAlignment="1">
      <alignment horizontal="center" vertical="center" wrapText="1"/>
    </xf>
    <xf numFmtId="167" fontId="5" fillId="0" borderId="4" xfId="1" applyNumberFormat="1" applyFont="1" applyBorder="1" applyAlignment="1">
      <alignment vertical="center" wrapText="1" shrinkToFit="1"/>
    </xf>
    <xf numFmtId="49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4" fontId="5" fillId="0" borderId="4" xfId="1" applyNumberFormat="1" applyFont="1" applyBorder="1" applyAlignment="1">
      <alignment vertical="center" wrapText="1" shrinkToFit="1"/>
    </xf>
    <xf numFmtId="16" fontId="4" fillId="3" borderId="1" xfId="1" applyNumberFormat="1" applyFont="1" applyFill="1" applyBorder="1" applyAlignment="1">
      <alignment horizontal="left" wrapText="1"/>
    </xf>
    <xf numFmtId="4" fontId="5" fillId="0" borderId="0" xfId="3" applyNumberFormat="1" applyFont="1" applyFill="1" applyBorder="1" applyAlignment="1">
      <alignment vertical="center" wrapText="1"/>
    </xf>
    <xf numFmtId="0" fontId="4" fillId="3" borderId="5" xfId="1" applyFont="1" applyFill="1" applyBorder="1" applyAlignment="1">
      <alignment horizontal="left" wrapText="1"/>
    </xf>
    <xf numFmtId="0" fontId="5" fillId="3" borderId="6" xfId="1" applyFont="1" applyFill="1" applyBorder="1" applyAlignment="1">
      <alignment wrapText="1"/>
    </xf>
    <xf numFmtId="164" fontId="5" fillId="3" borderId="7" xfId="1" applyNumberFormat="1" applyFont="1" applyFill="1" applyBorder="1" applyAlignment="1">
      <alignment wrapText="1"/>
    </xf>
    <xf numFmtId="0" fontId="5" fillId="0" borderId="0" xfId="1" applyFont="1" applyFill="1" applyBorder="1" applyAlignment="1">
      <alignment horizontal="left" wrapText="1"/>
    </xf>
    <xf numFmtId="164" fontId="5" fillId="0" borderId="0" xfId="1" applyNumberFormat="1" applyFont="1" applyFill="1" applyBorder="1" applyAlignment="1">
      <alignment wrapText="1"/>
    </xf>
    <xf numFmtId="0" fontId="4" fillId="3" borderId="7" xfId="1" applyFont="1" applyFill="1" applyBorder="1" applyAlignment="1">
      <alignment wrapText="1"/>
    </xf>
    <xf numFmtId="0" fontId="4" fillId="0" borderId="13" xfId="1" applyFont="1" applyFill="1" applyBorder="1" applyAlignment="1">
      <alignment horizontal="left" wrapText="1"/>
    </xf>
    <xf numFmtId="0" fontId="4" fillId="0" borderId="14" xfId="1" applyFont="1" applyFill="1" applyBorder="1" applyAlignment="1">
      <alignment wrapText="1"/>
    </xf>
    <xf numFmtId="0" fontId="4" fillId="0" borderId="15" xfId="1" applyFont="1" applyFill="1" applyBorder="1" applyAlignment="1">
      <alignment wrapText="1"/>
    </xf>
    <xf numFmtId="164" fontId="5" fillId="0" borderId="4" xfId="1" applyNumberFormat="1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9" xfId="1" applyFont="1" applyFill="1" applyBorder="1" applyAlignment="1">
      <alignment wrapText="1"/>
    </xf>
    <xf numFmtId="0" fontId="5" fillId="0" borderId="10" xfId="1" applyFont="1" applyFill="1" applyBorder="1" applyAlignment="1">
      <alignment wrapText="1"/>
    </xf>
    <xf numFmtId="0" fontId="5" fillId="0" borderId="6" xfId="1" applyFont="1" applyFill="1" applyBorder="1" applyAlignment="1">
      <alignment wrapText="1"/>
    </xf>
    <xf numFmtId="164" fontId="5" fillId="0" borderId="12" xfId="1" applyNumberFormat="1" applyFont="1" applyFill="1" applyBorder="1" applyAlignment="1">
      <alignment wrapText="1"/>
    </xf>
    <xf numFmtId="0" fontId="7" fillId="0" borderId="0" xfId="1" applyFont="1" applyAlignment="1">
      <alignment wrapText="1"/>
    </xf>
    <xf numFmtId="0" fontId="11" fillId="0" borderId="0" xfId="1" applyFont="1" applyFill="1" applyAlignment="1"/>
    <xf numFmtId="0" fontId="12" fillId="0" borderId="0" xfId="1" applyFont="1" applyFill="1" applyAlignment="1"/>
    <xf numFmtId="167" fontId="4" fillId="0" borderId="4" xfId="1" applyNumberFormat="1" applyFont="1" applyBorder="1" applyAlignment="1">
      <alignment vertical="center" wrapText="1" shrinkToFit="1"/>
    </xf>
    <xf numFmtId="164" fontId="4" fillId="0" borderId="4" xfId="1" applyNumberFormat="1" applyFont="1" applyFill="1" applyBorder="1" applyAlignment="1">
      <alignment wrapText="1"/>
    </xf>
    <xf numFmtId="164" fontId="4" fillId="0" borderId="8" xfId="1" applyNumberFormat="1" applyFont="1" applyFill="1" applyBorder="1" applyAlignment="1">
      <alignment wrapText="1"/>
    </xf>
    <xf numFmtId="0" fontId="5" fillId="0" borderId="14" xfId="1" applyFont="1" applyFill="1" applyBorder="1" applyAlignment="1">
      <alignment wrapText="1"/>
    </xf>
    <xf numFmtId="167" fontId="5" fillId="0" borderId="4" xfId="1" applyNumberFormat="1" applyFont="1" applyFill="1" applyBorder="1" applyAlignment="1">
      <alignment wrapText="1"/>
    </xf>
    <xf numFmtId="167" fontId="5" fillId="0" borderId="19" xfId="1" applyNumberFormat="1" applyFont="1" applyFill="1" applyBorder="1" applyAlignment="1">
      <alignment wrapText="1"/>
    </xf>
    <xf numFmtId="0" fontId="5" fillId="0" borderId="4" xfId="1" applyFont="1" applyFill="1" applyBorder="1" applyAlignment="1">
      <alignment horizontal="right" wrapText="1"/>
    </xf>
    <xf numFmtId="0" fontId="4" fillId="0" borderId="5" xfId="1" applyFont="1" applyFill="1" applyBorder="1" applyAlignment="1">
      <alignment horizontal="left" wrapText="1"/>
    </xf>
    <xf numFmtId="0" fontId="4" fillId="0" borderId="4" xfId="0" applyFont="1" applyFill="1" applyBorder="1" applyAlignment="1"/>
    <xf numFmtId="167" fontId="5" fillId="0" borderId="11" xfId="1" applyNumberFormat="1" applyFont="1" applyFill="1" applyBorder="1" applyAlignment="1">
      <alignment wrapText="1"/>
    </xf>
    <xf numFmtId="0" fontId="1" fillId="0" borderId="0" xfId="1" applyBorder="1" applyAlignment="1">
      <alignment wrapText="1"/>
    </xf>
    <xf numFmtId="4" fontId="5" fillId="0" borderId="0" xfId="5" applyNumberFormat="1" applyFont="1" applyBorder="1" applyAlignment="1">
      <alignment vertical="center" wrapText="1" shrinkToFit="1"/>
    </xf>
    <xf numFmtId="168" fontId="5" fillId="0" borderId="0" xfId="0" applyNumberFormat="1" applyFont="1" applyBorder="1" applyAlignment="1">
      <alignment vertical="center" wrapText="1" shrinkToFit="1"/>
    </xf>
    <xf numFmtId="0" fontId="5" fillId="2" borderId="18" xfId="1" applyFont="1" applyFill="1" applyBorder="1" applyAlignment="1">
      <alignment horizontal="center" wrapText="1" shrinkToFit="1"/>
    </xf>
    <xf numFmtId="0" fontId="8" fillId="0" borderId="4" xfId="0" applyFont="1" applyFill="1" applyBorder="1" applyAlignment="1">
      <alignment wrapText="1"/>
    </xf>
    <xf numFmtId="0" fontId="8" fillId="0" borderId="4" xfId="0" applyFont="1" applyFill="1" applyBorder="1" applyAlignment="1"/>
    <xf numFmtId="0" fontId="5" fillId="0" borderId="4" xfId="1" applyNumberFormat="1" applyFont="1" applyFill="1" applyBorder="1" applyAlignment="1">
      <alignment horizontal="right" wrapText="1"/>
    </xf>
    <xf numFmtId="0" fontId="1" fillId="0" borderId="0" xfId="1" applyFill="1" applyAlignment="1">
      <alignment wrapText="1"/>
    </xf>
    <xf numFmtId="0" fontId="13" fillId="0" borderId="0" xfId="1" applyFont="1"/>
    <xf numFmtId="168" fontId="13" fillId="0" borderId="4" xfId="1" applyNumberFormat="1" applyFont="1" applyBorder="1"/>
    <xf numFmtId="0" fontId="5" fillId="0" borderId="4" xfId="1" applyFont="1" applyFill="1" applyBorder="1" applyAlignment="1">
      <alignment horizontal="center" wrapText="1"/>
    </xf>
    <xf numFmtId="0" fontId="5" fillId="0" borderId="6" xfId="1" applyFont="1" applyFill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168" fontId="15" fillId="0" borderId="4" xfId="0" applyNumberFormat="1" applyFont="1" applyBorder="1"/>
    <xf numFmtId="168" fontId="16" fillId="0" borderId="4" xfId="0" applyNumberFormat="1" applyFont="1" applyBorder="1"/>
    <xf numFmtId="0" fontId="16" fillId="0" borderId="4" xfId="0" applyFont="1" applyBorder="1" applyAlignment="1">
      <alignment horizontal="center" vertical="center"/>
    </xf>
    <xf numFmtId="0" fontId="5" fillId="0" borderId="0" xfId="1" applyFont="1" applyFill="1" applyAlignment="1">
      <alignment horizontal="center" wrapText="1"/>
    </xf>
    <xf numFmtId="0" fontId="5" fillId="3" borderId="2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5" fillId="3" borderId="6" xfId="1" applyFont="1" applyFill="1" applyBorder="1" applyAlignment="1">
      <alignment horizontal="center" wrapText="1"/>
    </xf>
    <xf numFmtId="0" fontId="4" fillId="3" borderId="6" xfId="1" applyFont="1" applyFill="1" applyBorder="1" applyAlignment="1">
      <alignment horizontal="center" wrapText="1"/>
    </xf>
    <xf numFmtId="0" fontId="4" fillId="0" borderId="14" xfId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9" xfId="1" applyFont="1" applyFill="1" applyBorder="1" applyAlignment="1">
      <alignment horizontal="center" wrapText="1"/>
    </xf>
    <xf numFmtId="0" fontId="5" fillId="0" borderId="10" xfId="1" applyFont="1" applyFill="1" applyBorder="1" applyAlignment="1">
      <alignment horizontal="center" wrapText="1"/>
    </xf>
    <xf numFmtId="0" fontId="7" fillId="0" borderId="0" xfId="1" applyFont="1" applyAlignment="1">
      <alignment horizontal="center" wrapText="1"/>
    </xf>
    <xf numFmtId="0" fontId="1" fillId="0" borderId="0" xfId="1" applyAlignment="1">
      <alignment horizontal="center" wrapText="1"/>
    </xf>
    <xf numFmtId="0" fontId="5" fillId="0" borderId="4" xfId="4" applyFont="1" applyFill="1" applyBorder="1" applyAlignment="1">
      <alignment horizontal="center" vertical="center" wrapText="1" shrinkToFi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 wrapText="1"/>
    </xf>
    <xf numFmtId="0" fontId="5" fillId="3" borderId="2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8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8" fillId="0" borderId="0" xfId="1" applyFont="1"/>
    <xf numFmtId="168" fontId="18" fillId="0" borderId="0" xfId="1" applyNumberFormat="1" applyFont="1"/>
    <xf numFmtId="168" fontId="19" fillId="0" borderId="4" xfId="0" applyNumberFormat="1" applyFont="1" applyBorder="1"/>
    <xf numFmtId="166" fontId="5" fillId="0" borderId="4" xfId="5" applyNumberFormat="1" applyFont="1" applyBorder="1" applyAlignment="1">
      <alignment vertical="center" wrapText="1" shrinkToFit="1"/>
    </xf>
    <xf numFmtId="168" fontId="14" fillId="6" borderId="4" xfId="1" applyNumberFormat="1" applyFont="1" applyFill="1" applyBorder="1"/>
    <xf numFmtId="169" fontId="5" fillId="0" borderId="4" xfId="5" applyNumberFormat="1" applyFont="1" applyBorder="1" applyAlignment="1">
      <alignment vertical="center" wrapText="1" shrinkToFit="1"/>
    </xf>
    <xf numFmtId="168" fontId="0" fillId="0" borderId="4" xfId="0" applyNumberFormat="1" applyBorder="1"/>
    <xf numFmtId="168" fontId="21" fillId="0" borderId="4" xfId="0" applyNumberFormat="1" applyFont="1" applyBorder="1"/>
    <xf numFmtId="168" fontId="15" fillId="0" borderId="0" xfId="0" applyNumberFormat="1" applyFont="1"/>
    <xf numFmtId="0" fontId="15" fillId="0" borderId="19" xfId="0" applyFont="1" applyBorder="1" applyAlignment="1">
      <alignment horizontal="center" vertical="center"/>
    </xf>
    <xf numFmtId="168" fontId="15" fillId="0" borderId="19" xfId="0" applyNumberFormat="1" applyFont="1" applyBorder="1"/>
    <xf numFmtId="0" fontId="16" fillId="0" borderId="21" xfId="0" applyFont="1" applyBorder="1" applyAlignment="1">
      <alignment horizontal="center" vertical="center"/>
    </xf>
    <xf numFmtId="168" fontId="15" fillId="0" borderId="21" xfId="0" applyNumberFormat="1" applyFont="1" applyBorder="1"/>
    <xf numFmtId="3" fontId="5" fillId="0" borderId="4" xfId="5" applyNumberFormat="1" applyFont="1" applyBorder="1" applyAlignment="1">
      <alignment horizontal="center" vertical="top" wrapText="1"/>
    </xf>
    <xf numFmtId="16" fontId="13" fillId="0" borderId="4" xfId="1" applyNumberFormat="1" applyFont="1" applyBorder="1"/>
    <xf numFmtId="0" fontId="15" fillId="0" borderId="0" xfId="0" applyFont="1" applyAlignment="1">
      <alignment horizontal="center" vertical="center"/>
    </xf>
    <xf numFmtId="170" fontId="15" fillId="0" borderId="0" xfId="0" applyNumberFormat="1" applyFont="1"/>
    <xf numFmtId="0" fontId="15" fillId="6" borderId="0" xfId="0" applyFont="1" applyFill="1" applyAlignment="1">
      <alignment horizontal="center" vertical="center"/>
    </xf>
    <xf numFmtId="170" fontId="16" fillId="6" borderId="0" xfId="0" applyNumberFormat="1" applyFont="1" applyFill="1"/>
    <xf numFmtId="0" fontId="22" fillId="0" borderId="4" xfId="1" applyFont="1" applyFill="1" applyBorder="1" applyAlignment="1">
      <alignment horizontal="center" wrapText="1"/>
    </xf>
    <xf numFmtId="49" fontId="4" fillId="0" borderId="0" xfId="1" applyNumberFormat="1" applyFont="1" applyBorder="1" applyAlignment="1">
      <alignment horizontal="right" vertical="center" wrapText="1"/>
    </xf>
    <xf numFmtId="167" fontId="4" fillId="0" borderId="0" xfId="1" applyNumberFormat="1" applyFont="1" applyBorder="1" applyAlignment="1">
      <alignment vertical="center" wrapText="1" shrinkToFit="1"/>
    </xf>
    <xf numFmtId="49" fontId="7" fillId="0" borderId="4" xfId="3" applyNumberFormat="1" applyFont="1" applyFill="1" applyBorder="1" applyAlignment="1">
      <alignment horizontal="left" vertical="center"/>
    </xf>
    <xf numFmtId="4" fontId="7" fillId="0" borderId="4" xfId="3" applyNumberFormat="1" applyFont="1" applyFill="1" applyBorder="1" applyAlignment="1">
      <alignment horizontal="right" vertical="center"/>
    </xf>
    <xf numFmtId="0" fontId="5" fillId="0" borderId="4" xfId="1" applyFont="1" applyBorder="1"/>
    <xf numFmtId="2" fontId="5" fillId="0" borderId="4" xfId="1" applyNumberFormat="1" applyFont="1" applyFill="1" applyBorder="1"/>
    <xf numFmtId="2" fontId="7" fillId="0" borderId="4" xfId="3" applyNumberFormat="1" applyFont="1" applyFill="1" applyBorder="1" applyAlignment="1">
      <alignment horizontal="right" vertical="center"/>
    </xf>
    <xf numFmtId="49" fontId="7" fillId="4" borderId="4" xfId="3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/>
    </xf>
    <xf numFmtId="0" fontId="5" fillId="0" borderId="4" xfId="0" applyFont="1" applyBorder="1"/>
    <xf numFmtId="0" fontId="5" fillId="0" borderId="4" xfId="0" applyFont="1" applyFill="1" applyBorder="1"/>
    <xf numFmtId="164" fontId="5" fillId="0" borderId="4" xfId="1" applyNumberFormat="1" applyFont="1" applyBorder="1" applyAlignment="1">
      <alignment horizontal="right" vertical="center" wrapText="1"/>
    </xf>
    <xf numFmtId="164" fontId="5" fillId="0" borderId="4" xfId="1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164" fontId="5" fillId="0" borderId="4" xfId="1" applyNumberFormat="1" applyFont="1" applyFill="1" applyBorder="1" applyAlignment="1">
      <alignment horizontal="right" vertical="center" wrapText="1"/>
    </xf>
    <xf numFmtId="0" fontId="23" fillId="0" borderId="4" xfId="1" applyFont="1" applyFill="1" applyBorder="1"/>
    <xf numFmtId="0" fontId="23" fillId="0" borderId="4" xfId="1" applyFont="1" applyBorder="1"/>
    <xf numFmtId="0" fontId="24" fillId="0" borderId="4" xfId="1" applyFont="1" applyFill="1" applyBorder="1" applyAlignment="1">
      <alignment horizontal="left"/>
    </xf>
    <xf numFmtId="0" fontId="24" fillId="0" borderId="4" xfId="1" applyFont="1" applyBorder="1"/>
    <xf numFmtId="0" fontId="5" fillId="8" borderId="4" xfId="0" applyFont="1" applyFill="1" applyBorder="1" applyAlignment="1"/>
    <xf numFmtId="0" fontId="5" fillId="8" borderId="4" xfId="0" applyFont="1" applyFill="1" applyBorder="1" applyAlignment="1">
      <alignment horizontal="center"/>
    </xf>
    <xf numFmtId="2" fontId="5" fillId="8" borderId="4" xfId="1" applyNumberFormat="1" applyFont="1" applyFill="1" applyBorder="1" applyAlignment="1"/>
    <xf numFmtId="164" fontId="5" fillId="8" borderId="4" xfId="1" applyNumberFormat="1" applyFont="1" applyFill="1" applyBorder="1" applyAlignment="1"/>
    <xf numFmtId="0" fontId="23" fillId="8" borderId="4" xfId="1" applyFont="1" applyFill="1" applyBorder="1"/>
    <xf numFmtId="0" fontId="25" fillId="8" borderId="4" xfId="1" applyFont="1" applyFill="1" applyBorder="1"/>
    <xf numFmtId="0" fontId="26" fillId="8" borderId="4" xfId="0" applyFont="1" applyFill="1" applyBorder="1" applyAlignment="1"/>
    <xf numFmtId="0" fontId="5" fillId="0" borderId="0" xfId="0" applyFont="1" applyFill="1" applyBorder="1" applyAlignment="1"/>
    <xf numFmtId="0" fontId="23" fillId="0" borderId="0" xfId="1" applyFont="1" applyBorder="1"/>
    <xf numFmtId="0" fontId="5" fillId="0" borderId="0" xfId="0" applyFont="1" applyFill="1" applyBorder="1" applyAlignment="1">
      <alignment horizontal="center"/>
    </xf>
    <xf numFmtId="2" fontId="5" fillId="0" borderId="0" xfId="1" applyNumberFormat="1" applyFont="1" applyFill="1" applyBorder="1" applyAlignment="1"/>
    <xf numFmtId="0" fontId="27" fillId="0" borderId="4" xfId="1" applyFont="1" applyFill="1" applyBorder="1" applyAlignment="1">
      <alignment wrapText="1"/>
    </xf>
    <xf numFmtId="0" fontId="27" fillId="0" borderId="4" xfId="1" applyFont="1" applyFill="1" applyBorder="1" applyAlignment="1">
      <alignment horizontal="center" wrapText="1"/>
    </xf>
    <xf numFmtId="2" fontId="27" fillId="0" borderId="4" xfId="1" applyNumberFormat="1" applyFont="1" applyFill="1" applyBorder="1" applyAlignment="1">
      <alignment wrapText="1"/>
    </xf>
    <xf numFmtId="164" fontId="27" fillId="0" borderId="4" xfId="1" applyNumberFormat="1" applyFont="1" applyFill="1" applyBorder="1" applyAlignment="1">
      <alignment wrapText="1"/>
    </xf>
    <xf numFmtId="0" fontId="18" fillId="0" borderId="5" xfId="1" applyFont="1" applyBorder="1"/>
    <xf numFmtId="0" fontId="18" fillId="0" borderId="6" xfId="1" applyFont="1" applyBorder="1"/>
    <xf numFmtId="168" fontId="18" fillId="0" borderId="4" xfId="1" applyNumberFormat="1" applyFont="1" applyBorder="1"/>
    <xf numFmtId="0" fontId="18" fillId="0" borderId="0" xfId="1" applyFont="1" applyBorder="1"/>
    <xf numFmtId="168" fontId="18" fillId="0" borderId="0" xfId="1" applyNumberFormat="1" applyFont="1" applyBorder="1"/>
    <xf numFmtId="16" fontId="8" fillId="0" borderId="19" xfId="1" applyNumberFormat="1" applyFont="1" applyFill="1" applyBorder="1" applyAlignment="1">
      <alignment horizontal="right" wrapText="1"/>
    </xf>
    <xf numFmtId="167" fontId="8" fillId="0" borderId="4" xfId="1" applyNumberFormat="1" applyFont="1" applyFill="1" applyBorder="1" applyAlignment="1">
      <alignment wrapText="1"/>
    </xf>
    <xf numFmtId="164" fontId="8" fillId="0" borderId="4" xfId="1" applyNumberFormat="1" applyFont="1" applyFill="1" applyBorder="1" applyAlignment="1">
      <alignment wrapText="1"/>
    </xf>
    <xf numFmtId="0" fontId="28" fillId="0" borderId="0" xfId="0" applyFont="1"/>
    <xf numFmtId="0" fontId="30" fillId="0" borderId="0" xfId="1" applyFont="1" applyFill="1"/>
    <xf numFmtId="0" fontId="11" fillId="0" borderId="0" xfId="1" applyFont="1" applyFill="1"/>
    <xf numFmtId="0" fontId="31" fillId="0" borderId="0" xfId="0" applyFont="1" applyAlignment="1">
      <alignment horizontal="center" vertical="center"/>
    </xf>
    <xf numFmtId="0" fontId="32" fillId="0" borderId="0" xfId="0" applyFont="1" applyAlignment="1"/>
    <xf numFmtId="0" fontId="0" fillId="0" borderId="0" xfId="0" applyAlignment="1"/>
    <xf numFmtId="0" fontId="7" fillId="6" borderId="4" xfId="1" applyFont="1" applyFill="1" applyBorder="1" applyAlignment="1">
      <alignment horizontal="right" wrapText="1"/>
    </xf>
    <xf numFmtId="167" fontId="9" fillId="6" borderId="4" xfId="1" applyNumberFormat="1" applyFont="1" applyFill="1" applyBorder="1" applyAlignment="1">
      <alignment wrapText="1"/>
    </xf>
    <xf numFmtId="168" fontId="9" fillId="6" borderId="4" xfId="1" applyNumberFormat="1" applyFont="1" applyFill="1" applyBorder="1" applyAlignment="1">
      <alignment wrapText="1"/>
    </xf>
    <xf numFmtId="0" fontId="1" fillId="0" borderId="0" xfId="1" applyFill="1"/>
    <xf numFmtId="16" fontId="4" fillId="3" borderId="22" xfId="1" applyNumberFormat="1" applyFont="1" applyFill="1" applyBorder="1" applyAlignment="1">
      <alignment horizontal="left"/>
    </xf>
    <xf numFmtId="0" fontId="1" fillId="0" borderId="0" xfId="1" applyFill="1" applyBorder="1"/>
    <xf numFmtId="0" fontId="20" fillId="0" borderId="0" xfId="1" applyFont="1" applyFill="1" applyBorder="1" applyAlignment="1">
      <alignment horizontal="left"/>
    </xf>
    <xf numFmtId="16" fontId="8" fillId="0" borderId="4" xfId="1" applyNumberFormat="1" applyFont="1" applyFill="1" applyBorder="1" applyAlignment="1">
      <alignment horizontal="right" wrapText="1"/>
    </xf>
    <xf numFmtId="0" fontId="4" fillId="3" borderId="6" xfId="1" applyFont="1" applyFill="1" applyBorder="1" applyAlignment="1">
      <alignment wrapText="1"/>
    </xf>
    <xf numFmtId="0" fontId="11" fillId="0" borderId="0" xfId="1" applyFont="1" applyFill="1" applyAlignment="1">
      <alignment wrapText="1"/>
    </xf>
    <xf numFmtId="0" fontId="4" fillId="0" borderId="5" xfId="1" applyFont="1" applyFill="1" applyBorder="1" applyAlignment="1">
      <alignment horizontal="left" wrapText="1"/>
    </xf>
    <xf numFmtId="0" fontId="14" fillId="6" borderId="4" xfId="1" applyFont="1" applyFill="1" applyBorder="1" applyAlignment="1">
      <alignment horizontal="left"/>
    </xf>
    <xf numFmtId="0" fontId="13" fillId="0" borderId="5" xfId="1" applyFont="1" applyBorder="1" applyAlignment="1">
      <alignment horizontal="left"/>
    </xf>
    <xf numFmtId="0" fontId="0" fillId="0" borderId="6" xfId="0" applyBorder="1" applyAlignment="1">
      <alignment horizontal="left"/>
    </xf>
    <xf numFmtId="0" fontId="20" fillId="5" borderId="0" xfId="1" applyFont="1" applyFill="1" applyBorder="1" applyAlignment="1">
      <alignment horizontal="left"/>
    </xf>
    <xf numFmtId="0" fontId="31" fillId="0" borderId="0" xfId="0" applyFont="1" applyAlignment="1">
      <alignment horizontal="center" vertical="center"/>
    </xf>
    <xf numFmtId="0" fontId="0" fillId="0" borderId="0" xfId="0" applyAlignment="1"/>
    <xf numFmtId="0" fontId="11" fillId="0" borderId="0" xfId="1" applyFont="1" applyFill="1" applyAlignment="1">
      <alignment wrapText="1"/>
    </xf>
    <xf numFmtId="49" fontId="7" fillId="0" borderId="4" xfId="3" applyNumberFormat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6" fillId="0" borderId="18" xfId="0" applyFont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168" fontId="15" fillId="5" borderId="7" xfId="0" applyNumberFormat="1" applyFont="1" applyFill="1" applyBorder="1"/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/>
    <xf numFmtId="168" fontId="16" fillId="0" borderId="0" xfId="0" applyNumberFormat="1" applyFont="1" applyBorder="1"/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/>
    </xf>
    <xf numFmtId="49" fontId="5" fillId="4" borderId="4" xfId="3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0" borderId="0" xfId="0" applyFont="1" applyAlignment="1"/>
    <xf numFmtId="0" fontId="33" fillId="7" borderId="0" xfId="0" applyFont="1" applyFill="1" applyAlignment="1">
      <alignment horizontal="center" vertical="center"/>
    </xf>
    <xf numFmtId="170" fontId="33" fillId="7" borderId="0" xfId="0" applyNumberFormat="1" applyFont="1" applyFill="1"/>
    <xf numFmtId="0" fontId="35" fillId="0" borderId="0" xfId="0" applyFont="1" applyBorder="1" applyAlignment="1"/>
    <xf numFmtId="170" fontId="35" fillId="0" borderId="0" xfId="0" applyNumberFormat="1" applyFont="1" applyBorder="1"/>
    <xf numFmtId="0" fontId="11" fillId="0" borderId="0" xfId="1" applyFont="1" applyFill="1" applyAlignment="1">
      <alignment horizontal="center" wrapText="1"/>
    </xf>
    <xf numFmtId="168" fontId="0" fillId="0" borderId="19" xfId="0" applyNumberFormat="1" applyBorder="1"/>
    <xf numFmtId="168" fontId="21" fillId="0" borderId="19" xfId="0" applyNumberFormat="1" applyFont="1" applyBorder="1"/>
    <xf numFmtId="0" fontId="0" fillId="2" borderId="21" xfId="0" applyFill="1" applyBorder="1"/>
    <xf numFmtId="168" fontId="0" fillId="0" borderId="21" xfId="0" applyNumberFormat="1" applyBorder="1"/>
    <xf numFmtId="168" fontId="21" fillId="0" borderId="21" xfId="0" applyNumberFormat="1" applyFont="1" applyBorder="1"/>
    <xf numFmtId="170" fontId="37" fillId="0" borderId="19" xfId="0" applyNumberFormat="1" applyFont="1" applyFill="1" applyBorder="1"/>
    <xf numFmtId="170" fontId="38" fillId="0" borderId="19" xfId="0" applyNumberFormat="1" applyFont="1" applyFill="1" applyBorder="1"/>
    <xf numFmtId="0" fontId="0" fillId="2" borderId="24" xfId="0" applyFill="1" applyBorder="1"/>
    <xf numFmtId="168" fontId="0" fillId="0" borderId="15" xfId="0" applyNumberFormat="1" applyBorder="1"/>
    <xf numFmtId="168" fontId="0" fillId="0" borderId="7" xfId="0" applyNumberFormat="1" applyBorder="1"/>
    <xf numFmtId="168" fontId="0" fillId="0" borderId="24" xfId="0" applyNumberFormat="1" applyBorder="1"/>
    <xf numFmtId="170" fontId="37" fillId="0" borderId="15" xfId="0" applyNumberFormat="1" applyFont="1" applyFill="1" applyBorder="1"/>
    <xf numFmtId="0" fontId="0" fillId="2" borderId="29" xfId="0" applyFill="1" applyBorder="1"/>
    <xf numFmtId="0" fontId="0" fillId="0" borderId="30" xfId="0" applyFill="1" applyBorder="1"/>
    <xf numFmtId="0" fontId="0" fillId="0" borderId="28" xfId="0" applyFill="1" applyBorder="1"/>
    <xf numFmtId="0" fontId="0" fillId="0" borderId="29" xfId="0" applyFill="1" applyBorder="1"/>
    <xf numFmtId="0" fontId="37" fillId="0" borderId="30" xfId="0" applyFont="1" applyFill="1" applyBorder="1"/>
    <xf numFmtId="0" fontId="22" fillId="0" borderId="4" xfId="0" applyNumberFormat="1" applyFont="1" applyBorder="1" applyAlignment="1">
      <alignment horizontal="center" vertical="top" wrapText="1"/>
    </xf>
    <xf numFmtId="0" fontId="22" fillId="0" borderId="4" xfId="0" applyNumberFormat="1" applyFont="1" applyBorder="1" applyAlignment="1">
      <alignment horizontal="left" vertical="top" wrapText="1"/>
    </xf>
    <xf numFmtId="0" fontId="22" fillId="0" borderId="4" xfId="5" applyFont="1" applyBorder="1" applyAlignment="1">
      <alignment horizontal="center" vertical="center" wrapText="1" shrinkToFit="1"/>
    </xf>
    <xf numFmtId="4" fontId="22" fillId="0" borderId="4" xfId="5" applyNumberFormat="1" applyFont="1" applyBorder="1" applyAlignment="1">
      <alignment vertical="center" wrapText="1" shrinkToFit="1"/>
    </xf>
    <xf numFmtId="4" fontId="22" fillId="0" borderId="4" xfId="3" applyNumberFormat="1" applyFont="1" applyFill="1" applyBorder="1" applyAlignment="1">
      <alignment vertical="center" wrapText="1"/>
    </xf>
    <xf numFmtId="168" fontId="5" fillId="0" borderId="4" xfId="3" applyNumberFormat="1" applyFont="1" applyFill="1" applyBorder="1" applyAlignment="1">
      <alignment vertical="center" wrapText="1"/>
    </xf>
    <xf numFmtId="168" fontId="22" fillId="0" borderId="4" xfId="1" applyNumberFormat="1" applyFont="1" applyBorder="1" applyAlignment="1">
      <alignment vertical="center" wrapText="1"/>
    </xf>
    <xf numFmtId="168" fontId="5" fillId="0" borderId="4" xfId="1" applyNumberFormat="1" applyFont="1" applyFill="1" applyBorder="1" applyAlignment="1">
      <alignment vertical="center" wrapText="1"/>
    </xf>
    <xf numFmtId="168" fontId="5" fillId="0" borderId="4" xfId="5" applyNumberFormat="1" applyFont="1" applyBorder="1" applyAlignment="1">
      <alignment vertical="center" wrapText="1" shrinkToFit="1"/>
    </xf>
    <xf numFmtId="0" fontId="36" fillId="0" borderId="0" xfId="0" applyFont="1" applyAlignment="1"/>
    <xf numFmtId="0" fontId="33" fillId="7" borderId="0" xfId="0" applyFont="1" applyFill="1" applyAlignment="1"/>
    <xf numFmtId="0" fontId="34" fillId="0" borderId="0" xfId="0" applyFont="1" applyAlignment="1"/>
    <xf numFmtId="0" fontId="15" fillId="0" borderId="5" xfId="0" applyFont="1" applyBorder="1" applyAlignment="1"/>
    <xf numFmtId="0" fontId="0" fillId="0" borderId="7" xfId="0" applyBorder="1" applyAlignment="1"/>
    <xf numFmtId="0" fontId="16" fillId="6" borderId="0" xfId="0" applyFont="1" applyFill="1" applyAlignment="1"/>
    <xf numFmtId="0" fontId="0" fillId="0" borderId="0" xfId="0" applyAlignment="1"/>
    <xf numFmtId="0" fontId="15" fillId="0" borderId="5" xfId="0" applyFont="1" applyBorder="1" applyAlignment="1">
      <alignment wrapText="1"/>
    </xf>
    <xf numFmtId="0" fontId="0" fillId="0" borderId="7" xfId="0" applyBorder="1" applyAlignment="1">
      <alignment wrapText="1"/>
    </xf>
    <xf numFmtId="0" fontId="15" fillId="0" borderId="23" xfId="0" applyFont="1" applyBorder="1" applyAlignment="1">
      <alignment wrapText="1"/>
    </xf>
    <xf numFmtId="0" fontId="0" fillId="0" borderId="24" xfId="0" applyBorder="1" applyAlignment="1">
      <alignment wrapText="1"/>
    </xf>
    <xf numFmtId="0" fontId="15" fillId="2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25" xfId="0" applyFont="1" applyBorder="1" applyAlignment="1"/>
    <xf numFmtId="0" fontId="0" fillId="0" borderId="26" xfId="0" applyBorder="1" applyAlignment="1"/>
    <xf numFmtId="0" fontId="15" fillId="0" borderId="27" xfId="0" applyFont="1" applyBorder="1" applyAlignment="1"/>
    <xf numFmtId="0" fontId="0" fillId="0" borderId="27" xfId="0" applyBorder="1" applyAlignment="1"/>
    <xf numFmtId="0" fontId="16" fillId="0" borderId="14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wrapText="1"/>
    </xf>
    <xf numFmtId="0" fontId="12" fillId="0" borderId="0" xfId="1" applyFont="1" applyFill="1" applyAlignment="1">
      <alignment wrapText="1"/>
    </xf>
    <xf numFmtId="0" fontId="0" fillId="0" borderId="0" xfId="0" applyAlignment="1">
      <alignment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/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0" fillId="0" borderId="6" xfId="0" applyBorder="1" applyAlignment="1"/>
    <xf numFmtId="0" fontId="15" fillId="2" borderId="5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6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5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49" fontId="4" fillId="0" borderId="5" xfId="1" applyNumberFormat="1" applyFont="1" applyBorder="1" applyAlignment="1">
      <alignment horizontal="right" vertical="center" wrapText="1"/>
    </xf>
    <xf numFmtId="49" fontId="4" fillId="0" borderId="6" xfId="1" applyNumberFormat="1" applyFont="1" applyBorder="1" applyAlignment="1">
      <alignment horizontal="right" vertical="center" wrapText="1"/>
    </xf>
    <xf numFmtId="49" fontId="4" fillId="0" borderId="7" xfId="1" applyNumberFormat="1" applyFont="1" applyBorder="1" applyAlignment="1">
      <alignment horizontal="right" vertical="center" wrapText="1"/>
    </xf>
    <xf numFmtId="0" fontId="4" fillId="3" borderId="6" xfId="1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11" fillId="0" borderId="0" xfId="1" applyFont="1" applyFill="1" applyAlignment="1">
      <alignment wrapText="1"/>
    </xf>
    <xf numFmtId="0" fontId="7" fillId="0" borderId="5" xfId="1" applyFont="1" applyBorder="1" applyAlignment="1">
      <alignment horizontal="left" wrapText="1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9" fillId="6" borderId="5" xfId="1" applyFont="1" applyFill="1" applyBorder="1" applyAlignment="1">
      <alignment horizontal="left" wrapText="1"/>
    </xf>
    <xf numFmtId="0" fontId="9" fillId="6" borderId="6" xfId="1" applyFont="1" applyFill="1" applyBorder="1" applyAlignment="1">
      <alignment horizontal="left" wrapText="1"/>
    </xf>
    <xf numFmtId="0" fontId="9" fillId="6" borderId="7" xfId="1" applyFont="1" applyFill="1" applyBorder="1" applyAlignment="1">
      <alignment horizontal="left" wrapText="1"/>
    </xf>
    <xf numFmtId="0" fontId="4" fillId="0" borderId="5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0" fontId="4" fillId="0" borderId="7" xfId="1" applyFont="1" applyFill="1" applyBorder="1" applyAlignment="1">
      <alignment horizontal="left" wrapText="1"/>
    </xf>
    <xf numFmtId="0" fontId="5" fillId="0" borderId="5" xfId="1" applyFont="1" applyFill="1" applyBorder="1" applyAlignment="1">
      <alignment horizontal="left" wrapText="1"/>
    </xf>
    <xf numFmtId="0" fontId="5" fillId="0" borderId="6" xfId="1" applyFont="1" applyFill="1" applyBorder="1" applyAlignment="1">
      <alignment horizontal="left" wrapText="1"/>
    </xf>
    <xf numFmtId="0" fontId="5" fillId="0" borderId="7" xfId="1" applyFont="1" applyFill="1" applyBorder="1" applyAlignment="1">
      <alignment horizontal="left" wrapText="1"/>
    </xf>
    <xf numFmtId="0" fontId="8" fillId="0" borderId="5" xfId="1" applyFont="1" applyFill="1" applyBorder="1" applyAlignment="1">
      <alignment horizontal="left" wrapText="1"/>
    </xf>
    <xf numFmtId="0" fontId="8" fillId="0" borderId="6" xfId="1" applyFont="1" applyFill="1" applyBorder="1" applyAlignment="1">
      <alignment horizontal="left" wrapText="1"/>
    </xf>
    <xf numFmtId="0" fontId="8" fillId="0" borderId="7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4" fillId="0" borderId="16" xfId="1" applyFont="1" applyFill="1" applyBorder="1" applyAlignment="1">
      <alignment horizontal="left" wrapText="1"/>
    </xf>
    <xf numFmtId="0" fontId="4" fillId="0" borderId="20" xfId="1" applyFont="1" applyFill="1" applyBorder="1" applyAlignment="1">
      <alignment horizontal="left" wrapText="1"/>
    </xf>
    <xf numFmtId="0" fontId="4" fillId="0" borderId="17" xfId="1" applyFont="1" applyFill="1" applyBorder="1" applyAlignment="1">
      <alignment horizontal="left" wrapText="1"/>
    </xf>
    <xf numFmtId="0" fontId="10" fillId="0" borderId="0" xfId="1" applyFont="1" applyFill="1" applyAlignment="1">
      <alignment wrapText="1"/>
    </xf>
    <xf numFmtId="0" fontId="9" fillId="6" borderId="4" xfId="1" applyFont="1" applyFill="1" applyBorder="1" applyAlignment="1">
      <alignment horizontal="left" wrapText="1"/>
    </xf>
    <xf numFmtId="0" fontId="7" fillId="0" borderId="4" xfId="1" applyFont="1" applyBorder="1" applyAlignment="1">
      <alignment horizontal="left" wrapText="1"/>
    </xf>
    <xf numFmtId="0" fontId="29" fillId="0" borderId="0" xfId="0" applyFont="1" applyAlignment="1">
      <alignment wrapText="1"/>
    </xf>
    <xf numFmtId="0" fontId="20" fillId="5" borderId="0" xfId="1" applyFont="1" applyFill="1" applyBorder="1" applyAlignment="1">
      <alignment horizontal="left"/>
    </xf>
    <xf numFmtId="0" fontId="4" fillId="3" borderId="19" xfId="1" applyFont="1" applyFill="1" applyBorder="1" applyAlignment="1">
      <alignment horizontal="left"/>
    </xf>
    <xf numFmtId="0" fontId="14" fillId="6" borderId="4" xfId="1" applyFont="1" applyFill="1" applyBorder="1" applyAlignment="1">
      <alignment horizontal="left"/>
    </xf>
    <xf numFmtId="0" fontId="13" fillId="0" borderId="5" xfId="1" applyFont="1" applyBorder="1" applyAlignment="1">
      <alignment horizontal="left"/>
    </xf>
    <xf numFmtId="0" fontId="0" fillId="0" borderId="6" xfId="0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13" fillId="0" borderId="4" xfId="1" applyFont="1" applyBorder="1" applyAlignment="1">
      <alignment horizontal="left"/>
    </xf>
    <xf numFmtId="0" fontId="13" fillId="0" borderId="6" xfId="1" applyFont="1" applyBorder="1" applyAlignment="1">
      <alignment horizontal="left"/>
    </xf>
    <xf numFmtId="0" fontId="13" fillId="0" borderId="7" xfId="1" applyFont="1" applyBorder="1" applyAlignment="1">
      <alignment horizontal="left"/>
    </xf>
  </cellXfs>
  <cellStyles count="8">
    <cellStyle name="Excel Built-in Normal" xfId="1"/>
    <cellStyle name="Excel Built-in Normal 1" xfId="3"/>
    <cellStyle name="Excel Built-in Normal 2" xfId="2"/>
    <cellStyle name="Normální" xfId="0" builtinId="0"/>
    <cellStyle name="Normální 10" xfId="5"/>
    <cellStyle name="Normální 3" xfId="6"/>
    <cellStyle name="Normální 4" xfId="7"/>
    <cellStyle name="Normální 9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topLeftCell="A2" workbookViewId="0">
      <selection activeCell="H27" sqref="H27"/>
    </sheetView>
  </sheetViews>
  <sheetFormatPr defaultColWidth="8.85546875" defaultRowHeight="15.75" x14ac:dyDescent="0.25"/>
  <cols>
    <col min="1" max="1" width="10.7109375" style="116" customWidth="1"/>
    <col min="2" max="2" width="30.140625" style="158" customWidth="1"/>
    <col min="3" max="3" width="18.7109375" style="117" customWidth="1"/>
    <col min="4" max="4" width="26.42578125" style="117" customWidth="1"/>
    <col min="5" max="5" width="12.85546875" style="117" bestFit="1" customWidth="1"/>
    <col min="6" max="6" width="16.85546875" style="117" customWidth="1"/>
    <col min="7" max="7" width="14.140625" style="117" bestFit="1" customWidth="1"/>
    <col min="8" max="8" width="8.85546875" style="117"/>
    <col min="9" max="9" width="15.85546875" style="117" bestFit="1" customWidth="1"/>
    <col min="10" max="16384" width="8.85546875" style="117"/>
  </cols>
  <sheetData>
    <row r="1" spans="1:7" ht="5.25" hidden="1" customHeight="1" x14ac:dyDescent="0.25"/>
    <row r="2" spans="1:7" ht="54" customHeight="1" x14ac:dyDescent="0.3">
      <c r="A2" s="295" t="s">
        <v>327</v>
      </c>
      <c r="B2" s="295"/>
      <c r="C2" s="296"/>
      <c r="D2" s="296"/>
      <c r="E2" s="296"/>
      <c r="F2" s="5"/>
      <c r="G2" s="5"/>
    </row>
    <row r="3" spans="1:7" ht="12" customHeight="1" x14ac:dyDescent="0.3">
      <c r="A3" s="93"/>
      <c r="B3" s="93"/>
      <c r="C3" s="5"/>
      <c r="D3" s="124"/>
      <c r="E3" s="5"/>
      <c r="F3" s="5"/>
      <c r="G3" s="5"/>
    </row>
    <row r="4" spans="1:7" ht="18.75" x14ac:dyDescent="0.3">
      <c r="A4" s="92" t="s">
        <v>39</v>
      </c>
      <c r="B4" s="92"/>
      <c r="C4" s="5"/>
      <c r="D4" s="5"/>
      <c r="E4" s="5"/>
      <c r="F4" s="5"/>
      <c r="G4" s="5"/>
    </row>
    <row r="5" spans="1:7" ht="13.5" customHeight="1" x14ac:dyDescent="0.25"/>
    <row r="6" spans="1:7" x14ac:dyDescent="0.25">
      <c r="A6" s="118" t="s">
        <v>138</v>
      </c>
      <c r="B6" s="305" t="s">
        <v>137</v>
      </c>
      <c r="C6" s="306"/>
      <c r="D6" s="119" t="s">
        <v>403</v>
      </c>
    </row>
    <row r="7" spans="1:7" ht="4.1500000000000004" customHeight="1" x14ac:dyDescent="0.25">
      <c r="A7" s="299"/>
      <c r="B7" s="300"/>
      <c r="C7" s="300"/>
      <c r="D7" s="301"/>
    </row>
    <row r="8" spans="1:7" ht="17.25" customHeight="1" x14ac:dyDescent="0.25">
      <c r="A8" s="233" t="s">
        <v>380</v>
      </c>
      <c r="B8" s="307" t="s">
        <v>407</v>
      </c>
      <c r="C8" s="308"/>
      <c r="D8" s="234"/>
    </row>
    <row r="9" spans="1:7" x14ac:dyDescent="0.25">
      <c r="A9" s="123">
        <v>1</v>
      </c>
      <c r="B9" s="278" t="s">
        <v>139</v>
      </c>
      <c r="C9" s="279"/>
      <c r="D9" s="145">
        <f>'LOK 1 '!F191</f>
        <v>0</v>
      </c>
    </row>
    <row r="10" spans="1:7" x14ac:dyDescent="0.25">
      <c r="A10" s="123">
        <v>2</v>
      </c>
      <c r="B10" s="278" t="s">
        <v>140</v>
      </c>
      <c r="C10" s="279"/>
      <c r="D10" s="121">
        <f>'LOK 2'!F90</f>
        <v>0</v>
      </c>
    </row>
    <row r="11" spans="1:7" x14ac:dyDescent="0.25">
      <c r="A11" s="123">
        <v>3</v>
      </c>
      <c r="B11" s="278" t="s">
        <v>141</v>
      </c>
      <c r="C11" s="279"/>
      <c r="D11" s="121">
        <f>'LOK 3'!F56</f>
        <v>0</v>
      </c>
    </row>
    <row r="12" spans="1:7" x14ac:dyDescent="0.25">
      <c r="A12" s="123">
        <v>4</v>
      </c>
      <c r="B12" s="278" t="s">
        <v>378</v>
      </c>
      <c r="C12" s="279"/>
      <c r="D12" s="121">
        <f>'LOK 4'!F99</f>
        <v>0</v>
      </c>
    </row>
    <row r="13" spans="1:7" x14ac:dyDescent="0.25">
      <c r="A13" s="123" t="s">
        <v>41</v>
      </c>
      <c r="B13" s="278" t="s">
        <v>151</v>
      </c>
      <c r="C13" s="279"/>
      <c r="D13" s="21">
        <v>0</v>
      </c>
    </row>
    <row r="14" spans="1:7" x14ac:dyDescent="0.25">
      <c r="A14" s="123" t="s">
        <v>41</v>
      </c>
      <c r="B14" s="278" t="s">
        <v>331</v>
      </c>
      <c r="C14" s="279"/>
      <c r="D14" s="21">
        <v>0</v>
      </c>
    </row>
    <row r="15" spans="1:7" x14ac:dyDescent="0.25">
      <c r="A15" s="232" t="s">
        <v>41</v>
      </c>
      <c r="B15" s="278" t="s">
        <v>332</v>
      </c>
      <c r="C15" s="279"/>
      <c r="D15" s="21">
        <v>0</v>
      </c>
    </row>
    <row r="16" spans="1:7" x14ac:dyDescent="0.25">
      <c r="A16" s="302" t="s">
        <v>386</v>
      </c>
      <c r="B16" s="303"/>
      <c r="C16" s="304"/>
      <c r="D16" s="122">
        <f>SUM(D9:D15)</f>
        <v>0</v>
      </c>
    </row>
    <row r="17" spans="1:4" x14ac:dyDescent="0.25">
      <c r="A17" s="233" t="s">
        <v>381</v>
      </c>
      <c r="B17" s="309" t="s">
        <v>408</v>
      </c>
      <c r="C17" s="310"/>
      <c r="D17" s="235"/>
    </row>
    <row r="18" spans="1:4" x14ac:dyDescent="0.25">
      <c r="A18" s="152">
        <v>1</v>
      </c>
      <c r="B18" s="278" t="s">
        <v>379</v>
      </c>
      <c r="C18" s="279"/>
      <c r="D18" s="153">
        <f>'SUMÁŘ NÁSLEDNÁ PÉČE'!B5</f>
        <v>0</v>
      </c>
    </row>
    <row r="19" spans="1:4" x14ac:dyDescent="0.25">
      <c r="A19" s="152">
        <v>2</v>
      </c>
      <c r="B19" s="278" t="s">
        <v>382</v>
      </c>
      <c r="C19" s="279"/>
      <c r="D19" s="153">
        <f>'SUMÁŘ NÁSLEDNÁ PÉČE'!B6</f>
        <v>0</v>
      </c>
    </row>
    <row r="20" spans="1:4" ht="14.25" customHeight="1" x14ac:dyDescent="0.25">
      <c r="A20" s="152">
        <v>3</v>
      </c>
      <c r="B20" s="278" t="s">
        <v>383</v>
      </c>
      <c r="C20" s="279"/>
      <c r="D20" s="153">
        <f>'SUMÁŘ NÁSLEDNÁ PÉČE'!B7</f>
        <v>0</v>
      </c>
    </row>
    <row r="21" spans="1:4" ht="14.25" customHeight="1" x14ac:dyDescent="0.25">
      <c r="A21" s="152">
        <v>4</v>
      </c>
      <c r="B21" s="278" t="s">
        <v>384</v>
      </c>
      <c r="C21" s="279"/>
      <c r="D21" s="153">
        <f>'SUMÁŘ NÁSLEDNÁ PÉČE'!B8</f>
        <v>0</v>
      </c>
    </row>
    <row r="22" spans="1:4" ht="14.25" customHeight="1" x14ac:dyDescent="0.25">
      <c r="A22" s="152">
        <v>5</v>
      </c>
      <c r="B22" s="278" t="s">
        <v>385</v>
      </c>
      <c r="C22" s="279"/>
      <c r="D22" s="153">
        <f>'SUMÁŘ NÁSLEDNÁ PÉČE'!B9</f>
        <v>0</v>
      </c>
    </row>
    <row r="23" spans="1:4" x14ac:dyDescent="0.25">
      <c r="A23" s="302" t="s">
        <v>387</v>
      </c>
      <c r="B23" s="303"/>
      <c r="C23" s="304"/>
      <c r="D23" s="122">
        <f>SUM(D18:D22)</f>
        <v>0</v>
      </c>
    </row>
    <row r="24" spans="1:4" x14ac:dyDescent="0.25">
      <c r="A24" s="236"/>
      <c r="B24" s="236"/>
      <c r="C24" s="237"/>
      <c r="D24" s="238"/>
    </row>
    <row r="25" spans="1:4" ht="26.25" customHeight="1" x14ac:dyDescent="0.3">
      <c r="A25" s="246"/>
      <c r="B25" s="275" t="s">
        <v>388</v>
      </c>
      <c r="C25" s="275"/>
      <c r="D25" s="247">
        <f>D23+D16</f>
        <v>0</v>
      </c>
    </row>
    <row r="26" spans="1:4" ht="26.25" customHeight="1" x14ac:dyDescent="0.25">
      <c r="B26" s="243" t="s">
        <v>183</v>
      </c>
      <c r="C26" s="227"/>
      <c r="D26" s="159">
        <f>D25*0.21</f>
        <v>0</v>
      </c>
    </row>
    <row r="27" spans="1:4" ht="31.5" customHeight="1" x14ac:dyDescent="0.3">
      <c r="A27" s="244"/>
      <c r="B27" s="276" t="s">
        <v>221</v>
      </c>
      <c r="C27" s="277"/>
      <c r="D27" s="245">
        <f>D26+D25</f>
        <v>0</v>
      </c>
    </row>
    <row r="29" spans="1:4" ht="30" customHeight="1" x14ac:dyDescent="0.25">
      <c r="A29" s="158"/>
    </row>
    <row r="30" spans="1:4" hidden="1" x14ac:dyDescent="0.25">
      <c r="A30" s="158"/>
    </row>
    <row r="31" spans="1:4" hidden="1" x14ac:dyDescent="0.25">
      <c r="A31" s="158"/>
    </row>
    <row r="32" spans="1:4" ht="39.75" customHeight="1" x14ac:dyDescent="0.25">
      <c r="A32" s="158"/>
    </row>
    <row r="33" spans="1:4" ht="7.5" customHeight="1" x14ac:dyDescent="0.25">
      <c r="A33" s="158"/>
    </row>
    <row r="35" spans="1:4" ht="16.5" customHeight="1" x14ac:dyDescent="0.25"/>
    <row r="36" spans="1:4" ht="33.75" customHeight="1" x14ac:dyDescent="0.25"/>
    <row r="37" spans="1:4" ht="33.75" customHeight="1" x14ac:dyDescent="0.25"/>
    <row r="48" spans="1:4" ht="35.25" customHeight="1" x14ac:dyDescent="0.35">
      <c r="A48" s="297" t="s">
        <v>323</v>
      </c>
      <c r="B48" s="297"/>
      <c r="C48" s="298"/>
      <c r="D48" s="281"/>
    </row>
    <row r="49" spans="1:4" ht="22.5" customHeight="1" x14ac:dyDescent="0.35">
      <c r="A49" s="208"/>
      <c r="B49" s="226"/>
      <c r="C49" s="209"/>
      <c r="D49" s="210"/>
    </row>
    <row r="50" spans="1:4" ht="22.5" customHeight="1" x14ac:dyDescent="0.25">
      <c r="A50" s="292" t="s">
        <v>396</v>
      </c>
      <c r="B50" s="292"/>
      <c r="C50" s="293"/>
      <c r="D50" s="294"/>
    </row>
    <row r="51" spans="1:4" x14ac:dyDescent="0.25">
      <c r="A51" s="118" t="s">
        <v>138</v>
      </c>
      <c r="B51" s="286" t="s">
        <v>137</v>
      </c>
      <c r="C51" s="287"/>
      <c r="D51" s="118" t="s">
        <v>403</v>
      </c>
    </row>
    <row r="52" spans="1:4" x14ac:dyDescent="0.25">
      <c r="A52" s="123">
        <v>1</v>
      </c>
      <c r="B52" s="278" t="s">
        <v>398</v>
      </c>
      <c r="C52" s="279"/>
      <c r="D52" s="145">
        <f>D9</f>
        <v>0</v>
      </c>
    </row>
    <row r="53" spans="1:4" x14ac:dyDescent="0.25">
      <c r="A53" s="123">
        <v>2</v>
      </c>
      <c r="B53" s="278" t="s">
        <v>399</v>
      </c>
      <c r="C53" s="279"/>
      <c r="D53" s="121">
        <f>'LOK 2'!F90</f>
        <v>0</v>
      </c>
    </row>
    <row r="54" spans="1:4" x14ac:dyDescent="0.25">
      <c r="A54" s="123">
        <v>3</v>
      </c>
      <c r="B54" s="282" t="s">
        <v>400</v>
      </c>
      <c r="C54" s="283"/>
      <c r="D54" s="121">
        <f>'LOK 3'!F56</f>
        <v>0</v>
      </c>
    </row>
    <row r="55" spans="1:4" x14ac:dyDescent="0.25">
      <c r="A55" s="123">
        <v>4</v>
      </c>
      <c r="B55" s="282" t="s">
        <v>401</v>
      </c>
      <c r="C55" s="283"/>
      <c r="D55" s="121">
        <f>D12</f>
        <v>0</v>
      </c>
    </row>
    <row r="56" spans="1:4" x14ac:dyDescent="0.25">
      <c r="A56" s="123" t="s">
        <v>41</v>
      </c>
      <c r="B56" s="282" t="s">
        <v>151</v>
      </c>
      <c r="C56" s="283"/>
      <c r="D56" s="121">
        <f>D13</f>
        <v>0</v>
      </c>
    </row>
    <row r="57" spans="1:4" x14ac:dyDescent="0.25">
      <c r="A57" s="123" t="s">
        <v>41</v>
      </c>
      <c r="B57" s="282" t="s">
        <v>331</v>
      </c>
      <c r="C57" s="283"/>
      <c r="D57" s="121">
        <f>D14</f>
        <v>0</v>
      </c>
    </row>
    <row r="58" spans="1:4" ht="16.5" thickBot="1" x14ac:dyDescent="0.3">
      <c r="A58" s="154" t="s">
        <v>41</v>
      </c>
      <c r="B58" s="284" t="s">
        <v>332</v>
      </c>
      <c r="C58" s="285"/>
      <c r="D58" s="155">
        <f>D15</f>
        <v>0</v>
      </c>
    </row>
    <row r="59" spans="1:4" ht="16.5" thickTop="1" x14ac:dyDescent="0.25">
      <c r="A59" s="120"/>
      <c r="B59" s="288" t="s">
        <v>92</v>
      </c>
      <c r="C59" s="289"/>
      <c r="D59" s="122">
        <f>SUM(D52:D58)</f>
        <v>0</v>
      </c>
    </row>
    <row r="60" spans="1:4" x14ac:dyDescent="0.25">
      <c r="A60" s="158"/>
      <c r="B60" s="290" t="s">
        <v>183</v>
      </c>
      <c r="C60" s="291"/>
      <c r="D60" s="151">
        <f>D59*0.21</f>
        <v>0</v>
      </c>
    </row>
    <row r="61" spans="1:4" x14ac:dyDescent="0.25">
      <c r="A61" s="160"/>
      <c r="B61" s="280" t="s">
        <v>221</v>
      </c>
      <c r="C61" s="281"/>
      <c r="D61" s="161">
        <f>D60+D59</f>
        <v>0</v>
      </c>
    </row>
    <row r="62" spans="1:4" x14ac:dyDescent="0.25">
      <c r="A62" s="158"/>
    </row>
    <row r="63" spans="1:4" x14ac:dyDescent="0.25">
      <c r="A63" s="239" t="s">
        <v>402</v>
      </c>
      <c r="B63" s="239"/>
      <c r="C63" s="240"/>
    </row>
    <row r="64" spans="1:4" x14ac:dyDescent="0.25">
      <c r="A64" s="242" t="s">
        <v>404</v>
      </c>
      <c r="B64" s="118" t="s">
        <v>406</v>
      </c>
      <c r="C64" s="118" t="s">
        <v>183</v>
      </c>
      <c r="D64" s="118" t="s">
        <v>405</v>
      </c>
    </row>
    <row r="65" spans="1:4" x14ac:dyDescent="0.25">
      <c r="A65" s="120" t="s">
        <v>222</v>
      </c>
      <c r="B65" s="121">
        <f>'SUMÁŘ NÁSLEDNÁ PÉČE'!B5</f>
        <v>0</v>
      </c>
      <c r="C65" s="121">
        <f>B65*0.21</f>
        <v>0</v>
      </c>
      <c r="D65" s="122">
        <f>C65+B65</f>
        <v>0</v>
      </c>
    </row>
    <row r="66" spans="1:4" x14ac:dyDescent="0.25">
      <c r="A66" s="120" t="s">
        <v>223</v>
      </c>
      <c r="B66" s="121">
        <f>'SUMÁŘ NÁSLEDNÁ PÉČE'!B6</f>
        <v>0</v>
      </c>
      <c r="C66" s="121">
        <f t="shared" ref="C66:C69" si="0">B66*0.21</f>
        <v>0</v>
      </c>
      <c r="D66" s="122">
        <f t="shared" ref="D66:D69" si="1">C66+B66</f>
        <v>0</v>
      </c>
    </row>
    <row r="67" spans="1:4" x14ac:dyDescent="0.25">
      <c r="A67" s="120" t="s">
        <v>224</v>
      </c>
      <c r="B67" s="121">
        <f>'SUMÁŘ NÁSLEDNÁ PÉČE'!B7</f>
        <v>0</v>
      </c>
      <c r="C67" s="121">
        <f t="shared" si="0"/>
        <v>0</v>
      </c>
      <c r="D67" s="122">
        <f t="shared" si="1"/>
        <v>0</v>
      </c>
    </row>
    <row r="68" spans="1:4" x14ac:dyDescent="0.25">
      <c r="A68" s="120" t="s">
        <v>225</v>
      </c>
      <c r="B68" s="121">
        <f>'SUMÁŘ NÁSLEDNÁ PÉČE'!B8</f>
        <v>0</v>
      </c>
      <c r="C68" s="121">
        <f t="shared" si="0"/>
        <v>0</v>
      </c>
      <c r="D68" s="122">
        <f t="shared" si="1"/>
        <v>0</v>
      </c>
    </row>
    <row r="69" spans="1:4" x14ac:dyDescent="0.25">
      <c r="A69" s="120" t="s">
        <v>226</v>
      </c>
      <c r="B69" s="121">
        <f>'SUMÁŘ NÁSLEDNÁ PÉČE'!B9</f>
        <v>0</v>
      </c>
      <c r="C69" s="121">
        <f t="shared" si="0"/>
        <v>0</v>
      </c>
      <c r="D69" s="122">
        <f t="shared" si="1"/>
        <v>0</v>
      </c>
    </row>
  </sheetData>
  <mergeCells count="34">
    <mergeCell ref="A50:D50"/>
    <mergeCell ref="A2:E2"/>
    <mergeCell ref="A48:D48"/>
    <mergeCell ref="A7:D7"/>
    <mergeCell ref="A16:C16"/>
    <mergeCell ref="A23:C23"/>
    <mergeCell ref="B9:C9"/>
    <mergeCell ref="B10:C10"/>
    <mergeCell ref="B11:C11"/>
    <mergeCell ref="B12:C12"/>
    <mergeCell ref="B13:C13"/>
    <mergeCell ref="B14:C14"/>
    <mergeCell ref="B15:C15"/>
    <mergeCell ref="B6:C6"/>
    <mergeCell ref="B8:C8"/>
    <mergeCell ref="B17:C17"/>
    <mergeCell ref="B61:C61"/>
    <mergeCell ref="B57:C57"/>
    <mergeCell ref="B58:C58"/>
    <mergeCell ref="B51:C51"/>
    <mergeCell ref="B59:C59"/>
    <mergeCell ref="B60:C60"/>
    <mergeCell ref="B52:C52"/>
    <mergeCell ref="B53:C53"/>
    <mergeCell ref="B54:C54"/>
    <mergeCell ref="B55:C55"/>
    <mergeCell ref="B56:C56"/>
    <mergeCell ref="B25:C25"/>
    <mergeCell ref="B27:C27"/>
    <mergeCell ref="B18:C18"/>
    <mergeCell ref="B19:C19"/>
    <mergeCell ref="B20:C20"/>
    <mergeCell ref="B21:C21"/>
    <mergeCell ref="B22:C2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1"/>
  <sheetViews>
    <sheetView showGridLines="0" topLeftCell="A14" workbookViewId="0">
      <selection activeCell="A18" sqref="A18:F18"/>
    </sheetView>
  </sheetViews>
  <sheetFormatPr defaultColWidth="11.5703125" defaultRowHeight="15" x14ac:dyDescent="0.25"/>
  <cols>
    <col min="1" max="1" width="11.140625" style="66" customWidth="1"/>
    <col min="2" max="2" width="39.7109375" style="66" customWidth="1"/>
    <col min="3" max="3" width="7.85546875" style="134" customWidth="1"/>
    <col min="4" max="4" width="8.28515625" style="66" customWidth="1"/>
    <col min="5" max="5" width="10.140625" style="66" customWidth="1"/>
    <col min="6" max="6" width="16" style="66" customWidth="1"/>
    <col min="7" max="16384" width="11.5703125" style="66"/>
  </cols>
  <sheetData>
    <row r="1" spans="1:6" ht="18.75" x14ac:dyDescent="0.3">
      <c r="A1" s="295" t="s">
        <v>321</v>
      </c>
      <c r="B1" s="295"/>
      <c r="C1" s="295"/>
      <c r="D1" s="295"/>
      <c r="E1" s="295"/>
      <c r="F1" s="295"/>
    </row>
    <row r="2" spans="1:6" ht="15.75" x14ac:dyDescent="0.3">
      <c r="A2" s="316" t="s">
        <v>39</v>
      </c>
      <c r="B2" s="296"/>
      <c r="C2" s="124"/>
      <c r="D2" s="5"/>
      <c r="E2" s="5"/>
      <c r="F2" s="5"/>
    </row>
    <row r="3" spans="1:6" ht="18.75" x14ac:dyDescent="0.3">
      <c r="A3" s="67"/>
      <c r="B3" s="5"/>
      <c r="C3" s="124"/>
      <c r="D3" s="5"/>
      <c r="E3" s="5"/>
      <c r="F3" s="5"/>
    </row>
    <row r="4" spans="1:6" ht="18.75" x14ac:dyDescent="0.3">
      <c r="A4" s="92" t="s">
        <v>194</v>
      </c>
      <c r="B4" s="5"/>
      <c r="C4" s="124"/>
      <c r="D4" s="5"/>
      <c r="E4" s="5"/>
      <c r="F4" s="5"/>
    </row>
    <row r="5" spans="1:6" ht="18.75" x14ac:dyDescent="0.3">
      <c r="A5" s="93"/>
      <c r="B5" s="5"/>
      <c r="C5" s="124"/>
      <c r="D5" s="5"/>
      <c r="E5" s="5"/>
      <c r="F5" s="5"/>
    </row>
    <row r="6" spans="1:6" ht="5.25" customHeight="1" x14ac:dyDescent="0.25">
      <c r="A6" s="5"/>
      <c r="B6" s="5"/>
      <c r="C6" s="124"/>
      <c r="D6" s="5"/>
      <c r="E6" s="5"/>
      <c r="F6" s="5"/>
    </row>
    <row r="7" spans="1:6" x14ac:dyDescent="0.25">
      <c r="A7" s="7">
        <v>1</v>
      </c>
      <c r="B7" s="8" t="s">
        <v>65</v>
      </c>
      <c r="C7" s="139"/>
      <c r="D7" s="9"/>
      <c r="E7" s="9"/>
      <c r="F7" s="10"/>
    </row>
    <row r="8" spans="1:6" x14ac:dyDescent="0.25">
      <c r="A8" s="28" t="s">
        <v>66</v>
      </c>
      <c r="B8" s="8" t="s">
        <v>40</v>
      </c>
      <c r="C8" s="139"/>
      <c r="D8" s="9"/>
      <c r="E8" s="9"/>
      <c r="F8" s="10"/>
    </row>
    <row r="9" spans="1:6" ht="5.45" customHeight="1" x14ac:dyDescent="0.25">
      <c r="A9" s="11"/>
      <c r="B9" s="12"/>
      <c r="C9" s="140"/>
      <c r="D9" s="3"/>
      <c r="E9" s="3"/>
      <c r="F9" s="3"/>
    </row>
    <row r="10" spans="1:6" ht="26.25" x14ac:dyDescent="0.25">
      <c r="A10" s="19" t="s">
        <v>0</v>
      </c>
      <c r="B10" s="19" t="s">
        <v>1</v>
      </c>
      <c r="C10" s="42" t="s">
        <v>2</v>
      </c>
      <c r="D10" s="20" t="s">
        <v>3</v>
      </c>
      <c r="E10" s="20" t="s">
        <v>4</v>
      </c>
      <c r="F10" s="42" t="s">
        <v>5</v>
      </c>
    </row>
    <row r="11" spans="1:6" ht="38.25" x14ac:dyDescent="0.25">
      <c r="A11" s="24" t="s">
        <v>20</v>
      </c>
      <c r="B11" s="13" t="s">
        <v>50</v>
      </c>
      <c r="C11" s="24" t="s">
        <v>6</v>
      </c>
      <c r="D11" s="21">
        <f>D122+D123</f>
        <v>9</v>
      </c>
      <c r="E11" s="21">
        <v>0</v>
      </c>
      <c r="F11" s="21">
        <f t="shared" ref="F11:F20" si="0">E11*D11</f>
        <v>0</v>
      </c>
    </row>
    <row r="12" spans="1:6" ht="38.25" x14ac:dyDescent="0.25">
      <c r="A12" s="24" t="s">
        <v>19</v>
      </c>
      <c r="B12" s="13" t="s">
        <v>21</v>
      </c>
      <c r="C12" s="24" t="s">
        <v>6</v>
      </c>
      <c r="D12" s="21">
        <f>D11</f>
        <v>9</v>
      </c>
      <c r="E12" s="21">
        <v>0</v>
      </c>
      <c r="F12" s="21">
        <f t="shared" si="0"/>
        <v>0</v>
      </c>
    </row>
    <row r="13" spans="1:6" x14ac:dyDescent="0.25">
      <c r="A13" s="24" t="s">
        <v>22</v>
      </c>
      <c r="B13" s="13" t="s">
        <v>23</v>
      </c>
      <c r="C13" s="24" t="s">
        <v>6</v>
      </c>
      <c r="D13" s="21">
        <f>D11</f>
        <v>9</v>
      </c>
      <c r="E13" s="21">
        <v>0</v>
      </c>
      <c r="F13" s="21">
        <f t="shared" si="0"/>
        <v>0</v>
      </c>
    </row>
    <row r="14" spans="1:6" ht="38.25" x14ac:dyDescent="0.25">
      <c r="A14" s="24" t="s">
        <v>25</v>
      </c>
      <c r="B14" s="13" t="s">
        <v>24</v>
      </c>
      <c r="C14" s="24" t="s">
        <v>6</v>
      </c>
      <c r="D14" s="21">
        <f>D11</f>
        <v>9</v>
      </c>
      <c r="E14" s="21">
        <v>0</v>
      </c>
      <c r="F14" s="21">
        <f t="shared" si="0"/>
        <v>0</v>
      </c>
    </row>
    <row r="15" spans="1:6" ht="38.25" x14ac:dyDescent="0.25">
      <c r="A15" s="24" t="s">
        <v>27</v>
      </c>
      <c r="B15" s="13" t="s">
        <v>26</v>
      </c>
      <c r="C15" s="24" t="s">
        <v>7</v>
      </c>
      <c r="D15" s="21">
        <f>2*D11</f>
        <v>18</v>
      </c>
      <c r="E15" s="21">
        <v>0</v>
      </c>
      <c r="F15" s="21">
        <f t="shared" si="0"/>
        <v>0</v>
      </c>
    </row>
    <row r="16" spans="1:6" ht="25.5" x14ac:dyDescent="0.25">
      <c r="A16" s="24" t="s">
        <v>28</v>
      </c>
      <c r="B16" s="13" t="s">
        <v>8</v>
      </c>
      <c r="C16" s="24" t="s">
        <v>6</v>
      </c>
      <c r="D16" s="21">
        <f>D12</f>
        <v>9</v>
      </c>
      <c r="E16" s="21">
        <v>0</v>
      </c>
      <c r="F16" s="21">
        <f t="shared" si="0"/>
        <v>0</v>
      </c>
    </row>
    <row r="17" spans="1:6" ht="38.25" x14ac:dyDescent="0.25">
      <c r="A17" s="24" t="s">
        <v>29</v>
      </c>
      <c r="B17" s="13" t="s">
        <v>30</v>
      </c>
      <c r="C17" s="24" t="s">
        <v>9</v>
      </c>
      <c r="D17" s="23">
        <f>D12*0.00005</f>
        <v>4.5000000000000004E-4</v>
      </c>
      <c r="E17" s="21">
        <v>0</v>
      </c>
      <c r="F17" s="21">
        <f t="shared" si="0"/>
        <v>0</v>
      </c>
    </row>
    <row r="18" spans="1:6" ht="25.5" x14ac:dyDescent="0.25">
      <c r="A18" s="55" t="s">
        <v>102</v>
      </c>
      <c r="B18" s="47" t="s">
        <v>107</v>
      </c>
      <c r="C18" s="50" t="s">
        <v>10</v>
      </c>
      <c r="D18" s="51">
        <f>D12*0.1</f>
        <v>0.9</v>
      </c>
      <c r="E18" s="21">
        <v>0</v>
      </c>
      <c r="F18" s="33">
        <f t="shared" ref="F18" si="1">D18*E18</f>
        <v>0</v>
      </c>
    </row>
    <row r="19" spans="1:6" ht="38.25" x14ac:dyDescent="0.25">
      <c r="A19" s="24" t="s">
        <v>31</v>
      </c>
      <c r="B19" s="13" t="s">
        <v>34</v>
      </c>
      <c r="C19" s="24" t="s">
        <v>7</v>
      </c>
      <c r="D19" s="21">
        <f>D14</f>
        <v>9</v>
      </c>
      <c r="E19" s="21">
        <v>0</v>
      </c>
      <c r="F19" s="21">
        <f t="shared" si="0"/>
        <v>0</v>
      </c>
    </row>
    <row r="20" spans="1:6" ht="38.25" x14ac:dyDescent="0.25">
      <c r="A20" s="24" t="s">
        <v>32</v>
      </c>
      <c r="B20" s="13" t="s">
        <v>35</v>
      </c>
      <c r="C20" s="24" t="s">
        <v>9</v>
      </c>
      <c r="D20" s="21">
        <f>(D12*0.1)+(D21*2.4)</f>
        <v>5.2200000000000006</v>
      </c>
      <c r="E20" s="21">
        <v>0</v>
      </c>
      <c r="F20" s="21">
        <f t="shared" si="0"/>
        <v>0</v>
      </c>
    </row>
    <row r="21" spans="1:6" ht="51" x14ac:dyDescent="0.25">
      <c r="A21" s="43" t="s">
        <v>33</v>
      </c>
      <c r="B21" s="16" t="s">
        <v>36</v>
      </c>
      <c r="C21" s="135" t="s">
        <v>10</v>
      </c>
      <c r="D21" s="44">
        <f>D12*0.2</f>
        <v>1.8</v>
      </c>
      <c r="E21" s="21">
        <v>0</v>
      </c>
      <c r="F21" s="22">
        <f t="shared" ref="F21:F23" si="2">D21*E21</f>
        <v>0</v>
      </c>
    </row>
    <row r="22" spans="1:6" ht="38.25" x14ac:dyDescent="0.25">
      <c r="A22" s="43" t="s">
        <v>37</v>
      </c>
      <c r="B22" s="16" t="s">
        <v>38</v>
      </c>
      <c r="C22" s="135" t="s">
        <v>10</v>
      </c>
      <c r="D22" s="44">
        <f>D21</f>
        <v>1.8</v>
      </c>
      <c r="E22" s="21">
        <v>0</v>
      </c>
      <c r="F22" s="22">
        <f t="shared" si="2"/>
        <v>0</v>
      </c>
    </row>
    <row r="23" spans="1:6" ht="25.5" x14ac:dyDescent="0.25">
      <c r="A23" s="24" t="s">
        <v>41</v>
      </c>
      <c r="B23" s="17" t="s">
        <v>47</v>
      </c>
      <c r="C23" s="136" t="s">
        <v>9</v>
      </c>
      <c r="D23" s="45">
        <f>D22*2.4</f>
        <v>4.32</v>
      </c>
      <c r="E23" s="21">
        <v>0</v>
      </c>
      <c r="F23" s="22">
        <f t="shared" si="2"/>
        <v>0</v>
      </c>
    </row>
    <row r="24" spans="1:6" ht="23.25" customHeight="1" x14ac:dyDescent="0.25">
      <c r="A24" s="311" t="s">
        <v>92</v>
      </c>
      <c r="B24" s="312"/>
      <c r="C24" s="312"/>
      <c r="D24" s="312"/>
      <c r="E24" s="313"/>
      <c r="F24" s="94">
        <f>SUM(F11:F23)</f>
        <v>0</v>
      </c>
    </row>
    <row r="25" spans="1:6" x14ac:dyDescent="0.25">
      <c r="A25" s="65"/>
      <c r="B25" s="14"/>
      <c r="C25" s="64"/>
      <c r="D25" s="74"/>
      <c r="E25" s="74"/>
      <c r="F25" s="74"/>
    </row>
    <row r="26" spans="1:6" ht="18" customHeight="1" x14ac:dyDescent="0.25">
      <c r="A26" s="75" t="s">
        <v>198</v>
      </c>
      <c r="B26" s="18" t="s">
        <v>42</v>
      </c>
      <c r="C26" s="127"/>
      <c r="D26" s="76"/>
      <c r="E26" s="76"/>
      <c r="F26" s="77"/>
    </row>
    <row r="27" spans="1:6" x14ac:dyDescent="0.25">
      <c r="A27" s="78"/>
      <c r="B27" s="4"/>
      <c r="C27" s="126"/>
      <c r="D27" s="4"/>
      <c r="E27" s="4"/>
      <c r="F27" s="79"/>
    </row>
    <row r="28" spans="1:6" ht="26.25" x14ac:dyDescent="0.25">
      <c r="A28" s="19" t="s">
        <v>0</v>
      </c>
      <c r="B28" s="19" t="s">
        <v>1</v>
      </c>
      <c r="C28" s="42" t="s">
        <v>2</v>
      </c>
      <c r="D28" s="20" t="s">
        <v>3</v>
      </c>
      <c r="E28" s="20" t="s">
        <v>4</v>
      </c>
      <c r="F28" s="42" t="s">
        <v>5</v>
      </c>
    </row>
    <row r="29" spans="1:6" ht="38.25" x14ac:dyDescent="0.25">
      <c r="A29" s="24" t="s">
        <v>43</v>
      </c>
      <c r="B29" s="6" t="s">
        <v>48</v>
      </c>
      <c r="C29" s="24" t="s">
        <v>7</v>
      </c>
      <c r="D29" s="21">
        <v>116</v>
      </c>
      <c r="E29" s="21">
        <v>0</v>
      </c>
      <c r="F29" s="22">
        <f t="shared" ref="F29:F40" si="3">D29*E29</f>
        <v>0</v>
      </c>
    </row>
    <row r="30" spans="1:6" ht="25.5" x14ac:dyDescent="0.25">
      <c r="A30" s="24" t="s">
        <v>44</v>
      </c>
      <c r="B30" s="6" t="s">
        <v>49</v>
      </c>
      <c r="C30" s="24" t="s">
        <v>7</v>
      </c>
      <c r="D30" s="21">
        <f>D29</f>
        <v>116</v>
      </c>
      <c r="E30" s="21">
        <v>0</v>
      </c>
      <c r="F30" s="22">
        <f t="shared" si="3"/>
        <v>0</v>
      </c>
    </row>
    <row r="31" spans="1:6" ht="38.25" x14ac:dyDescent="0.25">
      <c r="A31" s="24" t="s">
        <v>45</v>
      </c>
      <c r="B31" s="6" t="s">
        <v>117</v>
      </c>
      <c r="C31" s="24" t="s">
        <v>6</v>
      </c>
      <c r="D31" s="21">
        <f>D125+D126</f>
        <v>187</v>
      </c>
      <c r="E31" s="21">
        <v>0</v>
      </c>
      <c r="F31" s="22">
        <f t="shared" si="3"/>
        <v>0</v>
      </c>
    </row>
    <row r="32" spans="1:6" ht="38.25" x14ac:dyDescent="0.25">
      <c r="A32" s="24" t="s">
        <v>46</v>
      </c>
      <c r="B32" s="6" t="s">
        <v>51</v>
      </c>
      <c r="C32" s="24" t="s">
        <v>6</v>
      </c>
      <c r="D32" s="21">
        <f>D31</f>
        <v>187</v>
      </c>
      <c r="E32" s="21">
        <v>0</v>
      </c>
      <c r="F32" s="22">
        <f t="shared" si="3"/>
        <v>0</v>
      </c>
    </row>
    <row r="33" spans="1:6" ht="38.25" x14ac:dyDescent="0.25">
      <c r="A33" s="24" t="s">
        <v>29</v>
      </c>
      <c r="B33" s="6" t="s">
        <v>52</v>
      </c>
      <c r="C33" s="24" t="s">
        <v>9</v>
      </c>
      <c r="D33" s="23">
        <f>D32*0.00002</f>
        <v>3.7400000000000003E-3</v>
      </c>
      <c r="E33" s="21">
        <v>0</v>
      </c>
      <c r="F33" s="22">
        <f t="shared" si="3"/>
        <v>0</v>
      </c>
    </row>
    <row r="34" spans="1:6" ht="25.5" x14ac:dyDescent="0.25">
      <c r="A34" s="55" t="s">
        <v>102</v>
      </c>
      <c r="B34" s="47" t="s">
        <v>107</v>
      </c>
      <c r="C34" s="50" t="s">
        <v>10</v>
      </c>
      <c r="D34" s="51">
        <f>D31*0.03</f>
        <v>5.6099999999999994</v>
      </c>
      <c r="E34" s="21">
        <v>0</v>
      </c>
      <c r="F34" s="33">
        <f t="shared" si="3"/>
        <v>0</v>
      </c>
    </row>
    <row r="35" spans="1:6" ht="38.25" x14ac:dyDescent="0.25">
      <c r="A35" s="24" t="s">
        <v>31</v>
      </c>
      <c r="B35" s="13" t="s">
        <v>34</v>
      </c>
      <c r="C35" s="24" t="s">
        <v>7</v>
      </c>
      <c r="D35" s="21">
        <f>D29</f>
        <v>116</v>
      </c>
      <c r="E35" s="21">
        <v>0</v>
      </c>
      <c r="F35" s="21">
        <f t="shared" ref="F35" si="4">E35*D35</f>
        <v>0</v>
      </c>
    </row>
    <row r="36" spans="1:6" ht="25.5" x14ac:dyDescent="0.25">
      <c r="A36" s="34" t="s">
        <v>287</v>
      </c>
      <c r="B36" s="29" t="s">
        <v>289</v>
      </c>
      <c r="C36" s="53" t="s">
        <v>10</v>
      </c>
      <c r="D36" s="30">
        <f>D30*0.1</f>
        <v>11.600000000000001</v>
      </c>
      <c r="E36" s="21">
        <v>0</v>
      </c>
      <c r="F36" s="22">
        <f t="shared" si="3"/>
        <v>0</v>
      </c>
    </row>
    <row r="37" spans="1:6" ht="38.25" x14ac:dyDescent="0.25">
      <c r="A37" s="24" t="s">
        <v>32</v>
      </c>
      <c r="B37" s="13" t="s">
        <v>35</v>
      </c>
      <c r="C37" s="24" t="s">
        <v>9</v>
      </c>
      <c r="D37" s="21">
        <f>D36*1.8</f>
        <v>20.880000000000003</v>
      </c>
      <c r="E37" s="21">
        <v>0</v>
      </c>
      <c r="F37" s="175">
        <f t="shared" si="3"/>
        <v>0</v>
      </c>
    </row>
    <row r="38" spans="1:6" ht="51" x14ac:dyDescent="0.25">
      <c r="A38" s="43" t="s">
        <v>33</v>
      </c>
      <c r="B38" s="16" t="s">
        <v>36</v>
      </c>
      <c r="C38" s="135" t="s">
        <v>10</v>
      </c>
      <c r="D38" s="44">
        <f>D37/1.6</f>
        <v>13.05</v>
      </c>
      <c r="E38" s="21">
        <v>0</v>
      </c>
      <c r="F38" s="177">
        <f t="shared" si="3"/>
        <v>0</v>
      </c>
    </row>
    <row r="39" spans="1:6" ht="38.25" x14ac:dyDescent="0.25">
      <c r="A39" s="43" t="s">
        <v>37</v>
      </c>
      <c r="B39" s="16" t="s">
        <v>38</v>
      </c>
      <c r="C39" s="135" t="s">
        <v>10</v>
      </c>
      <c r="D39" s="44">
        <f>D38</f>
        <v>13.05</v>
      </c>
      <c r="E39" s="21">
        <v>0</v>
      </c>
      <c r="F39" s="177">
        <f t="shared" si="3"/>
        <v>0</v>
      </c>
    </row>
    <row r="40" spans="1:6" ht="25.5" x14ac:dyDescent="0.25">
      <c r="A40" s="24" t="s">
        <v>41</v>
      </c>
      <c r="B40" s="17" t="s">
        <v>47</v>
      </c>
      <c r="C40" s="136" t="s">
        <v>9</v>
      </c>
      <c r="D40" s="45">
        <f>D37</f>
        <v>20.880000000000003</v>
      </c>
      <c r="E40" s="21">
        <v>0</v>
      </c>
      <c r="F40" s="177">
        <f t="shared" si="3"/>
        <v>0</v>
      </c>
    </row>
    <row r="41" spans="1:6" ht="24.75" customHeight="1" x14ac:dyDescent="0.25">
      <c r="A41" s="311" t="s">
        <v>92</v>
      </c>
      <c r="B41" s="312"/>
      <c r="C41" s="312"/>
      <c r="D41" s="312"/>
      <c r="E41" s="313"/>
      <c r="F41" s="94">
        <f>SUM(F29:F40)</f>
        <v>0</v>
      </c>
    </row>
    <row r="42" spans="1:6" ht="23.25" customHeight="1" x14ac:dyDescent="0.25">
      <c r="A42" s="64"/>
      <c r="B42" s="14"/>
      <c r="C42" s="64"/>
      <c r="D42" s="74"/>
      <c r="E42" s="74"/>
      <c r="F42" s="74"/>
    </row>
    <row r="43" spans="1:6" x14ac:dyDescent="0.25">
      <c r="A43" s="75" t="s">
        <v>199</v>
      </c>
      <c r="B43" s="18" t="s">
        <v>67</v>
      </c>
      <c r="C43" s="127"/>
      <c r="D43" s="76"/>
      <c r="E43" s="76"/>
      <c r="F43" s="77"/>
    </row>
    <row r="44" spans="1:6" ht="8.25" customHeight="1" x14ac:dyDescent="0.25">
      <c r="A44" s="78"/>
      <c r="B44" s="4"/>
      <c r="C44" s="126"/>
      <c r="D44" s="4"/>
      <c r="E44" s="4"/>
      <c r="F44" s="79"/>
    </row>
    <row r="45" spans="1:6" ht="26.25" x14ac:dyDescent="0.25">
      <c r="A45" s="19" t="s">
        <v>0</v>
      </c>
      <c r="B45" s="19" t="s">
        <v>1</v>
      </c>
      <c r="C45" s="42" t="s">
        <v>2</v>
      </c>
      <c r="D45" s="20" t="s">
        <v>3</v>
      </c>
      <c r="E45" s="20" t="s">
        <v>4</v>
      </c>
      <c r="F45" s="42" t="s">
        <v>5</v>
      </c>
    </row>
    <row r="46" spans="1:6" ht="38.25" x14ac:dyDescent="0.25">
      <c r="A46" s="34" t="s">
        <v>43</v>
      </c>
      <c r="B46" s="29" t="s">
        <v>68</v>
      </c>
      <c r="C46" s="53" t="s">
        <v>7</v>
      </c>
      <c r="D46" s="30">
        <v>336</v>
      </c>
      <c r="E46" s="21">
        <v>0</v>
      </c>
      <c r="F46" s="33">
        <f t="shared" ref="F46:F57" si="5">D46*E46</f>
        <v>0</v>
      </c>
    </row>
    <row r="47" spans="1:6" ht="25.5" x14ac:dyDescent="0.25">
      <c r="A47" s="34" t="s">
        <v>287</v>
      </c>
      <c r="B47" s="29" t="s">
        <v>297</v>
      </c>
      <c r="C47" s="53" t="s">
        <v>10</v>
      </c>
      <c r="D47" s="30">
        <f>D46*0.15</f>
        <v>50.4</v>
      </c>
      <c r="E47" s="21">
        <v>0</v>
      </c>
      <c r="F47" s="33">
        <f t="shared" si="5"/>
        <v>0</v>
      </c>
    </row>
    <row r="48" spans="1:6" ht="25.5" x14ac:dyDescent="0.25">
      <c r="A48" s="34" t="s">
        <v>44</v>
      </c>
      <c r="B48" s="29" t="s">
        <v>288</v>
      </c>
      <c r="C48" s="53" t="s">
        <v>7</v>
      </c>
      <c r="D48" s="30">
        <f>D46</f>
        <v>336</v>
      </c>
      <c r="E48" s="21">
        <v>0</v>
      </c>
      <c r="F48" s="33">
        <f t="shared" si="5"/>
        <v>0</v>
      </c>
    </row>
    <row r="49" spans="1:7" ht="25.5" x14ac:dyDescent="0.25">
      <c r="A49" s="34" t="s">
        <v>298</v>
      </c>
      <c r="B49" s="29" t="s">
        <v>299</v>
      </c>
      <c r="C49" s="53" t="s">
        <v>7</v>
      </c>
      <c r="D49" s="30">
        <f>D46</f>
        <v>336</v>
      </c>
      <c r="E49" s="21">
        <v>0</v>
      </c>
      <c r="F49" s="33">
        <f t="shared" si="5"/>
        <v>0</v>
      </c>
    </row>
    <row r="50" spans="1:7" ht="38.25" x14ac:dyDescent="0.25">
      <c r="A50" s="34" t="s">
        <v>300</v>
      </c>
      <c r="B50" s="29" t="s">
        <v>301</v>
      </c>
      <c r="C50" s="53" t="s">
        <v>7</v>
      </c>
      <c r="D50" s="30">
        <f>D48*2</f>
        <v>672</v>
      </c>
      <c r="E50" s="21">
        <v>0</v>
      </c>
      <c r="F50" s="33">
        <f t="shared" si="5"/>
        <v>0</v>
      </c>
    </row>
    <row r="51" spans="1:7" ht="25.5" x14ac:dyDescent="0.25">
      <c r="A51" s="34" t="s">
        <v>69</v>
      </c>
      <c r="B51" s="29" t="s">
        <v>74</v>
      </c>
      <c r="C51" s="53" t="s">
        <v>7</v>
      </c>
      <c r="D51" s="30">
        <f>D46</f>
        <v>336</v>
      </c>
      <c r="E51" s="21">
        <v>0</v>
      </c>
      <c r="F51" s="33">
        <f t="shared" si="5"/>
        <v>0</v>
      </c>
    </row>
    <row r="52" spans="1:7" ht="25.5" x14ac:dyDescent="0.25">
      <c r="A52" s="34" t="s">
        <v>70</v>
      </c>
      <c r="B52" s="29" t="s">
        <v>75</v>
      </c>
      <c r="C52" s="53" t="s">
        <v>7</v>
      </c>
      <c r="D52" s="30">
        <f>D46</f>
        <v>336</v>
      </c>
      <c r="E52" s="21">
        <v>0</v>
      </c>
      <c r="F52" s="33">
        <f t="shared" si="5"/>
        <v>0</v>
      </c>
    </row>
    <row r="53" spans="1:7" ht="38.25" x14ac:dyDescent="0.25">
      <c r="A53" s="34" t="s">
        <v>71</v>
      </c>
      <c r="B53" s="29" t="s">
        <v>113</v>
      </c>
      <c r="C53" s="53" t="s">
        <v>6</v>
      </c>
      <c r="D53" s="30">
        <f>(D132+D148+D167)-D54</f>
        <v>2462</v>
      </c>
      <c r="E53" s="21">
        <v>0</v>
      </c>
      <c r="F53" s="33">
        <f t="shared" si="5"/>
        <v>0</v>
      </c>
    </row>
    <row r="54" spans="1:7" ht="38.25" x14ac:dyDescent="0.25">
      <c r="A54" s="34" t="s">
        <v>77</v>
      </c>
      <c r="B54" s="29" t="s">
        <v>76</v>
      </c>
      <c r="C54" s="53" t="s">
        <v>6</v>
      </c>
      <c r="D54" s="30">
        <f>D133+D134+D138+D142+D150</f>
        <v>125</v>
      </c>
      <c r="E54" s="21">
        <v>0</v>
      </c>
      <c r="F54" s="33">
        <f t="shared" ref="F54" si="6">D54*E54</f>
        <v>0</v>
      </c>
    </row>
    <row r="55" spans="1:7" ht="38.25" x14ac:dyDescent="0.25">
      <c r="A55" s="34" t="s">
        <v>72</v>
      </c>
      <c r="B55" s="29" t="s">
        <v>261</v>
      </c>
      <c r="C55" s="53" t="s">
        <v>6</v>
      </c>
      <c r="D55" s="30">
        <f>D53</f>
        <v>2462</v>
      </c>
      <c r="E55" s="21">
        <v>0</v>
      </c>
      <c r="F55" s="33">
        <f t="shared" si="5"/>
        <v>0</v>
      </c>
    </row>
    <row r="56" spans="1:7" ht="38.25" x14ac:dyDescent="0.25">
      <c r="A56" s="34" t="s">
        <v>260</v>
      </c>
      <c r="B56" s="29" t="s">
        <v>78</v>
      </c>
      <c r="C56" s="53" t="s">
        <v>6</v>
      </c>
      <c r="D56" s="30">
        <f>D54</f>
        <v>125</v>
      </c>
      <c r="E56" s="21">
        <v>0</v>
      </c>
      <c r="F56" s="33">
        <f t="shared" ref="F56" si="7">D56*E56</f>
        <v>0</v>
      </c>
    </row>
    <row r="57" spans="1:7" ht="38.25" x14ac:dyDescent="0.25">
      <c r="A57" s="35" t="s">
        <v>29</v>
      </c>
      <c r="B57" s="29" t="s">
        <v>80</v>
      </c>
      <c r="C57" s="53" t="s">
        <v>9</v>
      </c>
      <c r="D57" s="31">
        <f>D53*0.00001</f>
        <v>2.4620000000000003E-2</v>
      </c>
      <c r="E57" s="21">
        <v>0</v>
      </c>
      <c r="F57" s="33">
        <f t="shared" si="5"/>
        <v>0</v>
      </c>
    </row>
    <row r="58" spans="1:7" ht="25.5" x14ac:dyDescent="0.25">
      <c r="A58" s="35" t="s">
        <v>31</v>
      </c>
      <c r="B58" s="29" t="s">
        <v>81</v>
      </c>
      <c r="C58" s="53" t="s">
        <v>7</v>
      </c>
      <c r="D58" s="30">
        <f>D47</f>
        <v>50.4</v>
      </c>
      <c r="E58" s="21">
        <v>0</v>
      </c>
      <c r="F58" s="33">
        <f t="shared" ref="F58:F65" si="8">D58*E58</f>
        <v>0</v>
      </c>
    </row>
    <row r="59" spans="1:7" ht="25.5" x14ac:dyDescent="0.25">
      <c r="A59" s="35" t="s">
        <v>290</v>
      </c>
      <c r="B59" s="29" t="s">
        <v>291</v>
      </c>
      <c r="C59" s="53" t="s">
        <v>13</v>
      </c>
      <c r="D59" s="30">
        <v>89</v>
      </c>
      <c r="E59" s="21">
        <v>0</v>
      </c>
      <c r="F59" s="33">
        <f t="shared" si="8"/>
        <v>0</v>
      </c>
      <c r="G59" s="106"/>
    </row>
    <row r="60" spans="1:7" ht="25.5" x14ac:dyDescent="0.25">
      <c r="A60" s="24" t="s">
        <v>41</v>
      </c>
      <c r="B60" s="29" t="s">
        <v>292</v>
      </c>
      <c r="C60" s="53" t="s">
        <v>13</v>
      </c>
      <c r="D60" s="30">
        <v>47</v>
      </c>
      <c r="E60" s="21">
        <v>0</v>
      </c>
      <c r="F60" s="33">
        <f t="shared" si="8"/>
        <v>0</v>
      </c>
    </row>
    <row r="61" spans="1:7" ht="25.5" x14ac:dyDescent="0.25">
      <c r="A61" s="55" t="s">
        <v>102</v>
      </c>
      <c r="B61" s="47" t="s">
        <v>107</v>
      </c>
      <c r="C61" s="50" t="s">
        <v>10</v>
      </c>
      <c r="D61" s="51">
        <f>D55*0.001</f>
        <v>2.4620000000000002</v>
      </c>
      <c r="E61" s="21">
        <v>0</v>
      </c>
      <c r="F61" s="33">
        <f t="shared" si="8"/>
        <v>0</v>
      </c>
    </row>
    <row r="62" spans="1:7" ht="38.25" x14ac:dyDescent="0.25">
      <c r="A62" s="24" t="s">
        <v>32</v>
      </c>
      <c r="B62" s="13" t="s">
        <v>35</v>
      </c>
      <c r="C62" s="24" t="s">
        <v>9</v>
      </c>
      <c r="D62" s="21">
        <f>(D47*1.6)</f>
        <v>80.64</v>
      </c>
      <c r="E62" s="21">
        <v>0</v>
      </c>
      <c r="F62" s="175">
        <f t="shared" si="8"/>
        <v>0</v>
      </c>
    </row>
    <row r="63" spans="1:7" ht="51" x14ac:dyDescent="0.25">
      <c r="A63" s="43" t="s">
        <v>33</v>
      </c>
      <c r="B63" s="16" t="s">
        <v>36</v>
      </c>
      <c r="C63" s="135" t="s">
        <v>10</v>
      </c>
      <c r="D63" s="44">
        <f>D62/1.6</f>
        <v>50.4</v>
      </c>
      <c r="E63" s="21">
        <v>0</v>
      </c>
      <c r="F63" s="177">
        <f t="shared" si="8"/>
        <v>0</v>
      </c>
    </row>
    <row r="64" spans="1:7" ht="38.25" x14ac:dyDescent="0.25">
      <c r="A64" s="43" t="s">
        <v>37</v>
      </c>
      <c r="B64" s="16" t="s">
        <v>38</v>
      </c>
      <c r="C64" s="135" t="s">
        <v>10</v>
      </c>
      <c r="D64" s="44">
        <f>D63</f>
        <v>50.4</v>
      </c>
      <c r="E64" s="21">
        <v>0</v>
      </c>
      <c r="F64" s="177">
        <f t="shared" si="8"/>
        <v>0</v>
      </c>
    </row>
    <row r="65" spans="1:6" ht="25.5" x14ac:dyDescent="0.25">
      <c r="A65" s="24" t="s">
        <v>41</v>
      </c>
      <c r="B65" s="17" t="s">
        <v>47</v>
      </c>
      <c r="C65" s="136" t="s">
        <v>9</v>
      </c>
      <c r="D65" s="45">
        <f>D62</f>
        <v>80.64</v>
      </c>
      <c r="E65" s="21">
        <v>0</v>
      </c>
      <c r="F65" s="177">
        <f t="shared" si="8"/>
        <v>0</v>
      </c>
    </row>
    <row r="66" spans="1:6" ht="25.5" customHeight="1" x14ac:dyDescent="0.25">
      <c r="A66" s="311" t="s">
        <v>92</v>
      </c>
      <c r="B66" s="312"/>
      <c r="C66" s="312"/>
      <c r="D66" s="312"/>
      <c r="E66" s="313"/>
      <c r="F66" s="94">
        <f>SUM(F46:F65)</f>
        <v>0</v>
      </c>
    </row>
    <row r="67" spans="1:6" ht="36" customHeight="1" x14ac:dyDescent="0.25">
      <c r="A67" s="64"/>
      <c r="B67" s="14"/>
      <c r="C67" s="64"/>
      <c r="D67" s="74"/>
      <c r="E67" s="74"/>
      <c r="F67" s="74"/>
    </row>
    <row r="68" spans="1:6" x14ac:dyDescent="0.25">
      <c r="A68" s="75" t="s">
        <v>306</v>
      </c>
      <c r="B68" s="314" t="s">
        <v>228</v>
      </c>
      <c r="C68" s="315"/>
      <c r="D68" s="315"/>
      <c r="E68" s="315"/>
      <c r="F68" s="283"/>
    </row>
    <row r="69" spans="1:6" x14ac:dyDescent="0.25">
      <c r="A69" s="78"/>
      <c r="B69" s="4"/>
      <c r="C69" s="126"/>
      <c r="D69" s="4"/>
      <c r="E69" s="4"/>
      <c r="F69" s="79"/>
    </row>
    <row r="70" spans="1:6" ht="26.25" x14ac:dyDescent="0.25">
      <c r="A70" s="19" t="s">
        <v>0</v>
      </c>
      <c r="B70" s="19" t="s">
        <v>1</v>
      </c>
      <c r="C70" s="42" t="s">
        <v>2</v>
      </c>
      <c r="D70" s="20" t="s">
        <v>3</v>
      </c>
      <c r="E70" s="20" t="s">
        <v>4</v>
      </c>
      <c r="F70" s="42" t="s">
        <v>5</v>
      </c>
    </row>
    <row r="71" spans="1:6" ht="25.5" x14ac:dyDescent="0.25">
      <c r="A71" s="34" t="s">
        <v>73</v>
      </c>
      <c r="B71" s="29" t="s">
        <v>79</v>
      </c>
      <c r="C71" s="53" t="s">
        <v>6</v>
      </c>
      <c r="D71" s="30">
        <f>D170+D174+D179</f>
        <v>9685</v>
      </c>
      <c r="E71" s="21">
        <v>0</v>
      </c>
      <c r="F71" s="33">
        <f t="shared" ref="F71" si="9">D71*E71</f>
        <v>0</v>
      </c>
    </row>
    <row r="72" spans="1:6" ht="22.5" customHeight="1" x14ac:dyDescent="0.25">
      <c r="A72" s="311" t="s">
        <v>92</v>
      </c>
      <c r="B72" s="312"/>
      <c r="C72" s="312"/>
      <c r="D72" s="312"/>
      <c r="E72" s="313"/>
      <c r="F72" s="94">
        <f>SUM(F71:F71)</f>
        <v>0</v>
      </c>
    </row>
    <row r="73" spans="1:6" x14ac:dyDescent="0.25">
      <c r="A73" s="163"/>
      <c r="B73" s="163"/>
      <c r="C73" s="163"/>
      <c r="D73" s="163"/>
      <c r="E73" s="163"/>
      <c r="F73" s="164"/>
    </row>
    <row r="74" spans="1:6" x14ac:dyDescent="0.25">
      <c r="A74" s="75" t="s">
        <v>333</v>
      </c>
      <c r="B74" s="18" t="s">
        <v>229</v>
      </c>
      <c r="C74" s="127"/>
      <c r="D74" s="76"/>
      <c r="E74" s="76"/>
      <c r="F74" s="77"/>
    </row>
    <row r="75" spans="1:6" ht="26.25" x14ac:dyDescent="0.25">
      <c r="A75" s="19" t="s">
        <v>0</v>
      </c>
      <c r="B75" s="19" t="s">
        <v>1</v>
      </c>
      <c r="C75" s="42" t="s">
        <v>2</v>
      </c>
      <c r="D75" s="20" t="s">
        <v>3</v>
      </c>
      <c r="E75" s="20" t="s">
        <v>4</v>
      </c>
      <c r="F75" s="42" t="s">
        <v>5</v>
      </c>
    </row>
    <row r="76" spans="1:6" ht="38.25" x14ac:dyDescent="0.25">
      <c r="A76" s="34" t="s">
        <v>43</v>
      </c>
      <c r="B76" s="29" t="s">
        <v>68</v>
      </c>
      <c r="C76" s="53" t="s">
        <v>7</v>
      </c>
      <c r="D76" s="30">
        <v>641</v>
      </c>
      <c r="E76" s="21">
        <v>0</v>
      </c>
      <c r="F76" s="174">
        <f t="shared" ref="F76:F85" si="10">D76*E76</f>
        <v>0</v>
      </c>
    </row>
    <row r="77" spans="1:6" ht="38.25" x14ac:dyDescent="0.25">
      <c r="A77" s="170" t="s">
        <v>240</v>
      </c>
      <c r="B77" s="29" t="s">
        <v>230</v>
      </c>
      <c r="C77" s="165" t="s">
        <v>7</v>
      </c>
      <c r="D77" s="166">
        <f>D76</f>
        <v>641</v>
      </c>
      <c r="E77" s="21">
        <v>0</v>
      </c>
      <c r="F77" s="175">
        <f t="shared" si="10"/>
        <v>0</v>
      </c>
    </row>
    <row r="78" spans="1:6" ht="26.25" x14ac:dyDescent="0.25">
      <c r="A78" s="171" t="s">
        <v>235</v>
      </c>
      <c r="B78" s="25" t="s">
        <v>231</v>
      </c>
      <c r="C78" s="167" t="s">
        <v>7</v>
      </c>
      <c r="D78" s="168">
        <f>D77*2</f>
        <v>1282</v>
      </c>
      <c r="E78" s="21">
        <v>0</v>
      </c>
      <c r="F78" s="175">
        <f t="shared" si="10"/>
        <v>0</v>
      </c>
    </row>
    <row r="79" spans="1:6" x14ac:dyDescent="0.25">
      <c r="A79" s="170" t="s">
        <v>234</v>
      </c>
      <c r="B79" s="29" t="s">
        <v>232</v>
      </c>
      <c r="C79" s="165" t="s">
        <v>7</v>
      </c>
      <c r="D79" s="169">
        <f>D77</f>
        <v>641</v>
      </c>
      <c r="E79" s="21">
        <v>0</v>
      </c>
      <c r="F79" s="175">
        <f t="shared" si="10"/>
        <v>0</v>
      </c>
    </row>
    <row r="80" spans="1:6" ht="39" x14ac:dyDescent="0.25">
      <c r="A80" s="34" t="s">
        <v>70</v>
      </c>
      <c r="B80" s="25" t="s">
        <v>233</v>
      </c>
      <c r="C80" s="167" t="s">
        <v>7</v>
      </c>
      <c r="D80" s="168">
        <f>D78</f>
        <v>1282</v>
      </c>
      <c r="E80" s="21">
        <v>0</v>
      </c>
      <c r="F80" s="175">
        <f t="shared" si="10"/>
        <v>0</v>
      </c>
    </row>
    <row r="81" spans="1:6" ht="26.25" x14ac:dyDescent="0.25">
      <c r="A81" s="170" t="s">
        <v>237</v>
      </c>
      <c r="B81" s="25" t="s">
        <v>236</v>
      </c>
      <c r="C81" s="167" t="s">
        <v>7</v>
      </c>
      <c r="D81" s="168">
        <f>D80</f>
        <v>1282</v>
      </c>
      <c r="E81" s="21">
        <v>0</v>
      </c>
      <c r="F81" s="175">
        <f t="shared" si="10"/>
        <v>0</v>
      </c>
    </row>
    <row r="82" spans="1:6" ht="26.25" x14ac:dyDescent="0.25">
      <c r="A82" s="137" t="s">
        <v>211</v>
      </c>
      <c r="B82" s="86" t="s">
        <v>241</v>
      </c>
      <c r="C82" s="172" t="s">
        <v>9</v>
      </c>
      <c r="D82" s="173">
        <f>D76*0.00003</f>
        <v>1.9230000000000001E-2</v>
      </c>
      <c r="E82" s="21">
        <v>0</v>
      </c>
      <c r="F82" s="176">
        <f t="shared" si="10"/>
        <v>0</v>
      </c>
    </row>
    <row r="83" spans="1:6" ht="26.25" x14ac:dyDescent="0.25">
      <c r="A83" s="171" t="s">
        <v>239</v>
      </c>
      <c r="B83" s="25" t="s">
        <v>238</v>
      </c>
      <c r="C83" s="167" t="s">
        <v>7</v>
      </c>
      <c r="D83" s="168">
        <f>D77</f>
        <v>641</v>
      </c>
      <c r="E83" s="21">
        <v>0</v>
      </c>
      <c r="F83" s="175">
        <f t="shared" si="10"/>
        <v>0</v>
      </c>
    </row>
    <row r="84" spans="1:6" ht="38.25" x14ac:dyDescent="0.25">
      <c r="A84" s="24" t="s">
        <v>32</v>
      </c>
      <c r="B84" s="13" t="s">
        <v>35</v>
      </c>
      <c r="C84" s="24" t="s">
        <v>9</v>
      </c>
      <c r="D84" s="21">
        <f>(D76*0.02)*1.6</f>
        <v>20.512</v>
      </c>
      <c r="E84" s="21">
        <v>0</v>
      </c>
      <c r="F84" s="175">
        <f t="shared" si="10"/>
        <v>0</v>
      </c>
    </row>
    <row r="85" spans="1:6" ht="51" x14ac:dyDescent="0.25">
      <c r="A85" s="43" t="s">
        <v>33</v>
      </c>
      <c r="B85" s="16" t="s">
        <v>36</v>
      </c>
      <c r="C85" s="135" t="s">
        <v>10</v>
      </c>
      <c r="D85" s="44">
        <f>D84/1.6</f>
        <v>12.82</v>
      </c>
      <c r="E85" s="21">
        <v>0</v>
      </c>
      <c r="F85" s="177">
        <f t="shared" si="10"/>
        <v>0</v>
      </c>
    </row>
    <row r="86" spans="1:6" ht="38.25" x14ac:dyDescent="0.25">
      <c r="A86" s="43" t="s">
        <v>37</v>
      </c>
      <c r="B86" s="16" t="s">
        <v>38</v>
      </c>
      <c r="C86" s="135" t="s">
        <v>10</v>
      </c>
      <c r="D86" s="44">
        <f>D85</f>
        <v>12.82</v>
      </c>
      <c r="E86" s="21">
        <v>0</v>
      </c>
      <c r="F86" s="177">
        <f t="shared" ref="F86:F87" si="11">D86*E86</f>
        <v>0</v>
      </c>
    </row>
    <row r="87" spans="1:6" ht="25.5" x14ac:dyDescent="0.25">
      <c r="A87" s="24" t="s">
        <v>41</v>
      </c>
      <c r="B87" s="17" t="s">
        <v>47</v>
      </c>
      <c r="C87" s="136" t="s">
        <v>9</v>
      </c>
      <c r="D87" s="45">
        <f>D84</f>
        <v>20.512</v>
      </c>
      <c r="E87" s="21">
        <v>0</v>
      </c>
      <c r="F87" s="177">
        <f t="shared" si="11"/>
        <v>0</v>
      </c>
    </row>
    <row r="88" spans="1:6" ht="20.25" customHeight="1" x14ac:dyDescent="0.25">
      <c r="A88" s="311" t="s">
        <v>92</v>
      </c>
      <c r="B88" s="312"/>
      <c r="C88" s="312"/>
      <c r="D88" s="312"/>
      <c r="E88" s="313"/>
      <c r="F88" s="94">
        <f>SUM(F76:F87)</f>
        <v>0</v>
      </c>
    </row>
    <row r="89" spans="1:6" ht="10.5" customHeight="1" x14ac:dyDescent="0.25">
      <c r="A89" s="4"/>
      <c r="B89" s="4"/>
      <c r="C89" s="126"/>
      <c r="D89" s="4"/>
      <c r="E89" s="4"/>
      <c r="F89" s="79"/>
    </row>
    <row r="90" spans="1:6" x14ac:dyDescent="0.25">
      <c r="A90" s="75">
        <v>2</v>
      </c>
      <c r="B90" s="18" t="s">
        <v>53</v>
      </c>
      <c r="C90" s="128"/>
      <c r="D90" s="18"/>
      <c r="E90" s="18"/>
      <c r="F90" s="80"/>
    </row>
    <row r="91" spans="1:6" ht="5.25" customHeight="1" x14ac:dyDescent="0.25">
      <c r="A91" s="81"/>
      <c r="B91" s="82"/>
      <c r="C91" s="129"/>
      <c r="D91" s="82"/>
      <c r="E91" s="82"/>
      <c r="F91" s="83"/>
    </row>
    <row r="92" spans="1:6" ht="26.25" x14ac:dyDescent="0.25">
      <c r="A92" s="19" t="s">
        <v>0</v>
      </c>
      <c r="B92" s="19" t="s">
        <v>53</v>
      </c>
      <c r="C92" s="42" t="s">
        <v>2</v>
      </c>
      <c r="D92" s="20" t="s">
        <v>3</v>
      </c>
      <c r="E92" s="20" t="s">
        <v>4</v>
      </c>
      <c r="F92" s="42" t="s">
        <v>5</v>
      </c>
    </row>
    <row r="93" spans="1:6" x14ac:dyDescent="0.25">
      <c r="A93" s="114" t="s">
        <v>108</v>
      </c>
      <c r="B93" s="25" t="s">
        <v>11</v>
      </c>
      <c r="C93" s="114" t="s">
        <v>10</v>
      </c>
      <c r="D93" s="25">
        <f>(D29+D46)*0.1</f>
        <v>45.2</v>
      </c>
      <c r="E93" s="21">
        <v>0</v>
      </c>
      <c r="F93" s="84">
        <f t="shared" ref="F93:F116" si="12">D93*E93</f>
        <v>0</v>
      </c>
    </row>
    <row r="94" spans="1:6" x14ac:dyDescent="0.25">
      <c r="A94" s="114" t="s">
        <v>108</v>
      </c>
      <c r="B94" s="25" t="s">
        <v>118</v>
      </c>
      <c r="C94" s="114" t="s">
        <v>10</v>
      </c>
      <c r="D94" s="25">
        <f>D11*0.15</f>
        <v>1.3499999999999999</v>
      </c>
      <c r="E94" s="21">
        <v>0</v>
      </c>
      <c r="F94" s="84">
        <f t="shared" si="12"/>
        <v>0</v>
      </c>
    </row>
    <row r="95" spans="1:6" x14ac:dyDescent="0.25">
      <c r="A95" s="114" t="s">
        <v>108</v>
      </c>
      <c r="B95" s="25" t="s">
        <v>54</v>
      </c>
      <c r="C95" s="114" t="s">
        <v>12</v>
      </c>
      <c r="D95" s="27">
        <f>D13*3</f>
        <v>27</v>
      </c>
      <c r="E95" s="21">
        <v>0</v>
      </c>
      <c r="F95" s="84">
        <f t="shared" si="12"/>
        <v>0</v>
      </c>
    </row>
    <row r="96" spans="1:6" x14ac:dyDescent="0.25">
      <c r="A96" s="114" t="s">
        <v>108</v>
      </c>
      <c r="B96" s="25" t="s">
        <v>55</v>
      </c>
      <c r="C96" s="114" t="s">
        <v>12</v>
      </c>
      <c r="D96" s="27">
        <f>D95</f>
        <v>27</v>
      </c>
      <c r="E96" s="21">
        <v>0</v>
      </c>
      <c r="F96" s="84">
        <f t="shared" si="12"/>
        <v>0</v>
      </c>
    </row>
    <row r="97" spans="1:6" x14ac:dyDescent="0.25">
      <c r="A97" s="114" t="s">
        <v>108</v>
      </c>
      <c r="B97" s="25" t="s">
        <v>56</v>
      </c>
      <c r="C97" s="114" t="s">
        <v>13</v>
      </c>
      <c r="D97" s="27">
        <f>(1.5*D13)</f>
        <v>13.5</v>
      </c>
      <c r="E97" s="21">
        <v>0</v>
      </c>
      <c r="F97" s="84">
        <f t="shared" si="12"/>
        <v>0</v>
      </c>
    </row>
    <row r="98" spans="1:6" x14ac:dyDescent="0.25">
      <c r="A98" s="114" t="s">
        <v>108</v>
      </c>
      <c r="B98" s="85" t="s">
        <v>58</v>
      </c>
      <c r="C98" s="114" t="s">
        <v>7</v>
      </c>
      <c r="D98" s="27">
        <f>D15</f>
        <v>18</v>
      </c>
      <c r="E98" s="21">
        <v>0</v>
      </c>
      <c r="F98" s="84">
        <f t="shared" si="12"/>
        <v>0</v>
      </c>
    </row>
    <row r="99" spans="1:6" x14ac:dyDescent="0.25">
      <c r="A99" s="114" t="s">
        <v>108</v>
      </c>
      <c r="B99" s="25" t="s">
        <v>193</v>
      </c>
      <c r="C99" s="114" t="s">
        <v>12</v>
      </c>
      <c r="D99" s="27">
        <f>(D12*5)+(D31*2)</f>
        <v>419</v>
      </c>
      <c r="E99" s="21">
        <v>0</v>
      </c>
      <c r="F99" s="84">
        <f t="shared" si="12"/>
        <v>0</v>
      </c>
    </row>
    <row r="100" spans="1:6" x14ac:dyDescent="0.25">
      <c r="A100" s="114" t="s">
        <v>108</v>
      </c>
      <c r="B100" s="25" t="s">
        <v>144</v>
      </c>
      <c r="C100" s="114" t="s">
        <v>10</v>
      </c>
      <c r="D100" s="27">
        <f>D20*1.4*0.5</f>
        <v>3.6540000000000004</v>
      </c>
      <c r="E100" s="21">
        <v>0</v>
      </c>
      <c r="F100" s="84">
        <f>D100*E100</f>
        <v>0</v>
      </c>
    </row>
    <row r="101" spans="1:6" ht="39" x14ac:dyDescent="0.25">
      <c r="A101" s="114" t="s">
        <v>108</v>
      </c>
      <c r="B101" s="25" t="s">
        <v>325</v>
      </c>
      <c r="C101" s="114" t="s">
        <v>13</v>
      </c>
      <c r="D101" s="27">
        <v>119</v>
      </c>
      <c r="E101" s="21">
        <v>0</v>
      </c>
      <c r="F101" s="84">
        <f>D101*E101</f>
        <v>0</v>
      </c>
    </row>
    <row r="102" spans="1:6" x14ac:dyDescent="0.25">
      <c r="A102" s="114"/>
      <c r="B102" s="193" t="s">
        <v>326</v>
      </c>
      <c r="C102" s="194"/>
      <c r="D102" s="195">
        <v>119</v>
      </c>
      <c r="E102" s="195"/>
      <c r="F102" s="196"/>
    </row>
    <row r="103" spans="1:6" ht="26.25" x14ac:dyDescent="0.25">
      <c r="A103" s="114" t="s">
        <v>108</v>
      </c>
      <c r="B103" s="25" t="s">
        <v>320</v>
      </c>
      <c r="C103" s="114" t="s">
        <v>12</v>
      </c>
      <c r="D103" s="27">
        <v>78</v>
      </c>
      <c r="E103" s="21">
        <v>0</v>
      </c>
      <c r="F103" s="84">
        <f>D103*E103</f>
        <v>0</v>
      </c>
    </row>
    <row r="104" spans="1:6" x14ac:dyDescent="0.25">
      <c r="A104" s="194"/>
      <c r="B104" s="193" t="s">
        <v>318</v>
      </c>
      <c r="C104" s="194" t="s">
        <v>12</v>
      </c>
      <c r="D104" s="195">
        <v>78</v>
      </c>
      <c r="E104" s="195"/>
      <c r="F104" s="196"/>
    </row>
    <row r="105" spans="1:6" ht="26.25" x14ac:dyDescent="0.25">
      <c r="A105" s="114" t="s">
        <v>108</v>
      </c>
      <c r="B105" s="25" t="s">
        <v>294</v>
      </c>
      <c r="C105" s="114" t="s">
        <v>9</v>
      </c>
      <c r="D105" s="27">
        <f>D106</f>
        <v>30.293999999999997</v>
      </c>
      <c r="E105" s="21">
        <v>0</v>
      </c>
      <c r="F105" s="84">
        <f>D105*E105</f>
        <v>0</v>
      </c>
    </row>
    <row r="106" spans="1:6" x14ac:dyDescent="0.25">
      <c r="A106" s="162"/>
      <c r="B106" s="193" t="s">
        <v>295</v>
      </c>
      <c r="C106" s="194" t="s">
        <v>9</v>
      </c>
      <c r="D106" s="195">
        <f>16.83*1.8</f>
        <v>30.293999999999997</v>
      </c>
      <c r="E106" s="195"/>
      <c r="F106" s="196"/>
    </row>
    <row r="107" spans="1:6" ht="26.25" x14ac:dyDescent="0.25">
      <c r="A107" s="114" t="s">
        <v>108</v>
      </c>
      <c r="B107" s="25" t="s">
        <v>296</v>
      </c>
      <c r="C107" s="114" t="s">
        <v>10</v>
      </c>
      <c r="D107" s="27">
        <f>D46*0.05</f>
        <v>16.8</v>
      </c>
      <c r="E107" s="21">
        <v>0</v>
      </c>
      <c r="F107" s="84">
        <f>D107*E107</f>
        <v>0</v>
      </c>
    </row>
    <row r="108" spans="1:6" ht="26.25" x14ac:dyDescent="0.25">
      <c r="A108" s="114" t="s">
        <v>108</v>
      </c>
      <c r="B108" s="25" t="s">
        <v>227</v>
      </c>
      <c r="C108" s="114" t="s">
        <v>114</v>
      </c>
      <c r="D108" s="27">
        <f>(0.35*D12)+((D46+D29)*0.12)+(D83*0.1)</f>
        <v>121.49000000000001</v>
      </c>
      <c r="E108" s="21">
        <v>0</v>
      </c>
      <c r="F108" s="84">
        <f>D108*E108</f>
        <v>0</v>
      </c>
    </row>
    <row r="109" spans="1:6" ht="39" x14ac:dyDescent="0.25">
      <c r="A109" s="114" t="s">
        <v>108</v>
      </c>
      <c r="B109" s="25" t="s">
        <v>319</v>
      </c>
      <c r="C109" s="114" t="s">
        <v>13</v>
      </c>
      <c r="D109" s="27">
        <v>54</v>
      </c>
      <c r="E109" s="21">
        <v>0</v>
      </c>
      <c r="F109" s="84">
        <f t="shared" ref="F109:F111" si="13">D109*E109</f>
        <v>0</v>
      </c>
    </row>
    <row r="110" spans="1:6" x14ac:dyDescent="0.25">
      <c r="A110" s="162"/>
      <c r="B110" s="193" t="s">
        <v>302</v>
      </c>
      <c r="C110" s="194" t="s">
        <v>13</v>
      </c>
      <c r="D110" s="195">
        <v>54</v>
      </c>
      <c r="E110" s="195"/>
      <c r="F110" s="196"/>
    </row>
    <row r="111" spans="1:6" ht="30.75" customHeight="1" x14ac:dyDescent="0.25">
      <c r="A111" s="114" t="s">
        <v>108</v>
      </c>
      <c r="B111" s="25" t="s">
        <v>293</v>
      </c>
      <c r="C111" s="114" t="s">
        <v>13</v>
      </c>
      <c r="D111" s="27">
        <v>42.3</v>
      </c>
      <c r="E111" s="21">
        <v>0</v>
      </c>
      <c r="F111" s="84">
        <f t="shared" si="13"/>
        <v>0</v>
      </c>
    </row>
    <row r="112" spans="1:6" ht="14.45" customHeight="1" x14ac:dyDescent="0.25">
      <c r="A112" s="194"/>
      <c r="B112" s="193" t="s">
        <v>303</v>
      </c>
      <c r="C112" s="194" t="s">
        <v>13</v>
      </c>
      <c r="D112" s="195">
        <f>47*0.6*1.5</f>
        <v>42.3</v>
      </c>
      <c r="E112" s="195"/>
      <c r="F112" s="196"/>
    </row>
    <row r="113" spans="1:8" ht="25.5" customHeight="1" x14ac:dyDescent="0.25">
      <c r="A113" s="34" t="s">
        <v>108</v>
      </c>
      <c r="B113" s="29" t="s">
        <v>317</v>
      </c>
      <c r="C113" s="53" t="s">
        <v>114</v>
      </c>
      <c r="D113" s="30">
        <f>D76*0.03</f>
        <v>19.23</v>
      </c>
      <c r="E113" s="21">
        <v>0</v>
      </c>
      <c r="F113" s="84">
        <f>D113*E113</f>
        <v>0</v>
      </c>
    </row>
    <row r="114" spans="1:8" ht="25.5" customHeight="1" x14ac:dyDescent="0.25">
      <c r="A114" s="34" t="s">
        <v>108</v>
      </c>
      <c r="B114" s="29" t="s">
        <v>324</v>
      </c>
      <c r="C114" s="53" t="s">
        <v>114</v>
      </c>
      <c r="D114" s="30">
        <f>641*0.03</f>
        <v>19.23</v>
      </c>
      <c r="E114" s="21">
        <v>0</v>
      </c>
      <c r="F114" s="22">
        <f>D114*E114</f>
        <v>0</v>
      </c>
    </row>
    <row r="115" spans="1:8" ht="14.45" customHeight="1" x14ac:dyDescent="0.25">
      <c r="A115" s="114" t="s">
        <v>108</v>
      </c>
      <c r="B115" s="25" t="s">
        <v>357</v>
      </c>
      <c r="C115" s="114" t="s">
        <v>14</v>
      </c>
      <c r="D115" s="25">
        <f>(D29+D46+D76)/750</f>
        <v>1.4573333333333334</v>
      </c>
      <c r="E115" s="21">
        <v>0</v>
      </c>
      <c r="F115" s="84">
        <f t="shared" si="12"/>
        <v>0</v>
      </c>
    </row>
    <row r="116" spans="1:8" x14ac:dyDescent="0.25">
      <c r="A116" s="114" t="s">
        <v>108</v>
      </c>
      <c r="B116" s="25" t="s">
        <v>146</v>
      </c>
      <c r="C116" s="114" t="s">
        <v>10</v>
      </c>
      <c r="D116" s="25">
        <f>D12*0.1+D31*0.03+D55*0.001</f>
        <v>8.9719999999999995</v>
      </c>
      <c r="E116" s="21">
        <v>0</v>
      </c>
      <c r="F116" s="84">
        <f t="shared" si="12"/>
        <v>0</v>
      </c>
    </row>
    <row r="117" spans="1:8" ht="23.25" customHeight="1" x14ac:dyDescent="0.25">
      <c r="A117" s="323" t="s">
        <v>115</v>
      </c>
      <c r="B117" s="324"/>
      <c r="C117" s="324"/>
      <c r="D117" s="324"/>
      <c r="E117" s="325"/>
      <c r="F117" s="95">
        <f>SUM(F93:F116)</f>
        <v>0</v>
      </c>
    </row>
    <row r="118" spans="1:8" ht="12.75" customHeight="1" x14ac:dyDescent="0.25">
      <c r="A118" s="4"/>
      <c r="B118" s="4"/>
      <c r="C118" s="126"/>
      <c r="D118" s="4"/>
      <c r="E118" s="4"/>
      <c r="F118" s="79"/>
    </row>
    <row r="119" spans="1:8" ht="20.25" customHeight="1" x14ac:dyDescent="0.25">
      <c r="A119" s="75">
        <v>3</v>
      </c>
      <c r="B119" s="18" t="s">
        <v>59</v>
      </c>
      <c r="C119" s="128"/>
      <c r="D119" s="18"/>
      <c r="E119" s="18"/>
      <c r="F119" s="80"/>
      <c r="H119" s="111"/>
    </row>
    <row r="120" spans="1:8" ht="26.25" x14ac:dyDescent="0.25">
      <c r="A120" s="19" t="s">
        <v>60</v>
      </c>
      <c r="B120" s="19" t="s">
        <v>59</v>
      </c>
      <c r="C120" s="42" t="s">
        <v>150</v>
      </c>
      <c r="D120" s="20" t="s">
        <v>3</v>
      </c>
      <c r="E120" s="20" t="s">
        <v>4</v>
      </c>
      <c r="F120" s="42" t="s">
        <v>5</v>
      </c>
      <c r="H120" s="111"/>
    </row>
    <row r="121" spans="1:8" x14ac:dyDescent="0.25">
      <c r="A121" s="323" t="s">
        <v>15</v>
      </c>
      <c r="B121" s="324"/>
      <c r="C121" s="324"/>
      <c r="D121" s="324"/>
      <c r="E121" s="324"/>
      <c r="F121" s="325"/>
      <c r="H121" s="111"/>
    </row>
    <row r="122" spans="1:8" ht="26.25" x14ac:dyDescent="0.25">
      <c r="A122" s="86"/>
      <c r="B122" s="86" t="s">
        <v>136</v>
      </c>
      <c r="C122" s="114" t="s">
        <v>63</v>
      </c>
      <c r="D122" s="86">
        <v>6</v>
      </c>
      <c r="E122" s="21">
        <v>0</v>
      </c>
      <c r="F122" s="84">
        <f t="shared" ref="F122" si="14">D122*E122</f>
        <v>0</v>
      </c>
      <c r="H122" s="111"/>
    </row>
    <row r="123" spans="1:8" x14ac:dyDescent="0.25">
      <c r="A123" s="86"/>
      <c r="B123" s="86" t="s">
        <v>340</v>
      </c>
      <c r="C123" s="114" t="s">
        <v>341</v>
      </c>
      <c r="D123" s="86">
        <v>3</v>
      </c>
      <c r="E123" s="21">
        <v>0</v>
      </c>
      <c r="F123" s="84">
        <f t="shared" ref="F123" si="15">D123*E123</f>
        <v>0</v>
      </c>
      <c r="H123" s="111"/>
    </row>
    <row r="124" spans="1:8" x14ac:dyDescent="0.25">
      <c r="A124" s="323" t="s">
        <v>16</v>
      </c>
      <c r="B124" s="324"/>
      <c r="C124" s="324"/>
      <c r="D124" s="324"/>
      <c r="E124" s="324"/>
      <c r="F124" s="325"/>
      <c r="H124" s="111"/>
    </row>
    <row r="125" spans="1:8" x14ac:dyDescent="0.25">
      <c r="A125" s="101"/>
      <c r="B125" s="26" t="s">
        <v>154</v>
      </c>
      <c r="C125" s="137" t="s">
        <v>155</v>
      </c>
      <c r="D125" s="26">
        <v>39</v>
      </c>
      <c r="E125" s="21">
        <v>0</v>
      </c>
      <c r="F125" s="15">
        <f t="shared" ref="F125" si="16">D125*E125</f>
        <v>0</v>
      </c>
      <c r="H125" s="111"/>
    </row>
    <row r="126" spans="1:8" ht="26.25" x14ac:dyDescent="0.25">
      <c r="A126" s="101"/>
      <c r="B126" s="86" t="s">
        <v>135</v>
      </c>
      <c r="C126" s="130" t="s">
        <v>149</v>
      </c>
      <c r="D126" s="86">
        <f>33+115</f>
        <v>148</v>
      </c>
      <c r="E126" s="21">
        <v>0</v>
      </c>
      <c r="F126" s="84">
        <f t="shared" ref="F126" si="17">D126*E126</f>
        <v>0</v>
      </c>
    </row>
    <row r="127" spans="1:8" x14ac:dyDescent="0.25">
      <c r="A127" s="102" t="s">
        <v>119</v>
      </c>
      <c r="B127" s="188" t="s">
        <v>242</v>
      </c>
      <c r="C127" s="183"/>
      <c r="D127" s="182"/>
      <c r="E127" s="184"/>
      <c r="F127" s="185"/>
    </row>
    <row r="128" spans="1:8" x14ac:dyDescent="0.25">
      <c r="A128" s="26"/>
      <c r="B128" s="26" t="s">
        <v>134</v>
      </c>
      <c r="C128" s="137" t="s">
        <v>17</v>
      </c>
      <c r="D128" s="26">
        <v>20</v>
      </c>
      <c r="E128" s="21">
        <v>0</v>
      </c>
      <c r="F128" s="15">
        <f>D128*E128</f>
        <v>0</v>
      </c>
    </row>
    <row r="129" spans="1:6" x14ac:dyDescent="0.25">
      <c r="A129" s="26"/>
      <c r="B129" s="109" t="s">
        <v>120</v>
      </c>
      <c r="C129" s="137" t="s">
        <v>17</v>
      </c>
      <c r="D129" s="26">
        <v>20</v>
      </c>
      <c r="E129" s="21">
        <v>0</v>
      </c>
      <c r="F129" s="15">
        <f>D129*E129</f>
        <v>0</v>
      </c>
    </row>
    <row r="130" spans="1:6" x14ac:dyDescent="0.25">
      <c r="A130" s="26"/>
      <c r="B130" s="26" t="s">
        <v>133</v>
      </c>
      <c r="C130" s="137" t="s">
        <v>17</v>
      </c>
      <c r="D130" s="26">
        <v>20</v>
      </c>
      <c r="E130" s="21">
        <v>0</v>
      </c>
      <c r="F130" s="15">
        <f>D130*E130</f>
        <v>0</v>
      </c>
    </row>
    <row r="131" spans="1:6" x14ac:dyDescent="0.25">
      <c r="A131" s="26"/>
      <c r="B131" s="109" t="s">
        <v>121</v>
      </c>
      <c r="C131" s="137" t="s">
        <v>17</v>
      </c>
      <c r="D131" s="26">
        <v>20</v>
      </c>
      <c r="E131" s="21">
        <v>0</v>
      </c>
      <c r="F131" s="15">
        <f>D131*E131</f>
        <v>0</v>
      </c>
    </row>
    <row r="132" spans="1:6" x14ac:dyDescent="0.25">
      <c r="A132" s="182"/>
      <c r="B132" s="188" t="s">
        <v>244</v>
      </c>
      <c r="C132" s="183"/>
      <c r="D132" s="182">
        <f>SUM(D128:D131)</f>
        <v>80</v>
      </c>
      <c r="E132" s="184"/>
      <c r="F132" s="185"/>
    </row>
    <row r="133" spans="1:6" x14ac:dyDescent="0.25">
      <c r="A133" s="26"/>
      <c r="B133" s="109" t="s">
        <v>243</v>
      </c>
      <c r="C133" s="137" t="s">
        <v>246</v>
      </c>
      <c r="D133" s="26">
        <v>9</v>
      </c>
      <c r="E133" s="21">
        <v>0</v>
      </c>
      <c r="F133" s="15">
        <f t="shared" ref="F133:F147" si="18">D133*E133</f>
        <v>0</v>
      </c>
    </row>
    <row r="134" spans="1:6" x14ac:dyDescent="0.25">
      <c r="A134" s="26"/>
      <c r="B134" s="109" t="s">
        <v>245</v>
      </c>
      <c r="C134" s="137" t="s">
        <v>246</v>
      </c>
      <c r="D134" s="26">
        <v>9</v>
      </c>
      <c r="E134" s="21">
        <v>0</v>
      </c>
      <c r="F134" s="15">
        <f t="shared" si="18"/>
        <v>0</v>
      </c>
    </row>
    <row r="135" spans="1:6" x14ac:dyDescent="0.25">
      <c r="A135" s="26"/>
      <c r="B135" s="180" t="s">
        <v>247</v>
      </c>
      <c r="C135" s="137" t="s">
        <v>17</v>
      </c>
      <c r="D135" s="26">
        <v>59</v>
      </c>
      <c r="E135" s="21">
        <v>0</v>
      </c>
      <c r="F135" s="15">
        <f t="shared" si="18"/>
        <v>0</v>
      </c>
    </row>
    <row r="136" spans="1:6" x14ac:dyDescent="0.25">
      <c r="A136" s="26"/>
      <c r="B136" s="180" t="s">
        <v>248</v>
      </c>
      <c r="C136" s="137" t="s">
        <v>17</v>
      </c>
      <c r="D136" s="26">
        <v>34</v>
      </c>
      <c r="E136" s="21">
        <v>0</v>
      </c>
      <c r="F136" s="15">
        <f t="shared" si="18"/>
        <v>0</v>
      </c>
    </row>
    <row r="137" spans="1:6" x14ac:dyDescent="0.25">
      <c r="A137" s="26"/>
      <c r="B137" s="180" t="s">
        <v>249</v>
      </c>
      <c r="C137" s="137" t="s">
        <v>17</v>
      </c>
      <c r="D137" s="178">
        <v>37</v>
      </c>
      <c r="E137" s="21">
        <v>0</v>
      </c>
      <c r="F137" s="15">
        <f t="shared" si="18"/>
        <v>0</v>
      </c>
    </row>
    <row r="138" spans="1:6" x14ac:dyDescent="0.25">
      <c r="A138" s="26"/>
      <c r="B138" s="180" t="s">
        <v>250</v>
      </c>
      <c r="C138" s="137" t="s">
        <v>246</v>
      </c>
      <c r="D138" s="178">
        <v>26</v>
      </c>
      <c r="E138" s="21">
        <v>0</v>
      </c>
      <c r="F138" s="15">
        <f t="shared" si="18"/>
        <v>0</v>
      </c>
    </row>
    <row r="139" spans="1:6" x14ac:dyDescent="0.25">
      <c r="A139" s="26"/>
      <c r="B139" s="180" t="s">
        <v>251</v>
      </c>
      <c r="C139" s="137" t="s">
        <v>17</v>
      </c>
      <c r="D139" s="178">
        <v>43</v>
      </c>
      <c r="E139" s="21">
        <v>0</v>
      </c>
      <c r="F139" s="15">
        <f t="shared" si="18"/>
        <v>0</v>
      </c>
    </row>
    <row r="140" spans="1:6" x14ac:dyDescent="0.25">
      <c r="A140" s="26"/>
      <c r="B140" s="181" t="s">
        <v>252</v>
      </c>
      <c r="C140" s="137" t="s">
        <v>17</v>
      </c>
      <c r="D140" s="179">
        <v>51</v>
      </c>
      <c r="E140" s="21">
        <v>0</v>
      </c>
      <c r="F140" s="15">
        <f t="shared" si="18"/>
        <v>0</v>
      </c>
    </row>
    <row r="141" spans="1:6" x14ac:dyDescent="0.25">
      <c r="A141" s="26"/>
      <c r="B141" s="181" t="s">
        <v>253</v>
      </c>
      <c r="C141" s="137" t="s">
        <v>17</v>
      </c>
      <c r="D141" s="179">
        <v>43</v>
      </c>
      <c r="E141" s="21">
        <v>0</v>
      </c>
      <c r="F141" s="15">
        <f t="shared" si="18"/>
        <v>0</v>
      </c>
    </row>
    <row r="142" spans="1:6" x14ac:dyDescent="0.25">
      <c r="A142" s="26"/>
      <c r="B142" s="181" t="s">
        <v>254</v>
      </c>
      <c r="C142" s="137" t="s">
        <v>246</v>
      </c>
      <c r="D142" s="179">
        <v>34</v>
      </c>
      <c r="E142" s="21">
        <v>0</v>
      </c>
      <c r="F142" s="15">
        <f t="shared" si="18"/>
        <v>0</v>
      </c>
    </row>
    <row r="143" spans="1:6" x14ac:dyDescent="0.25">
      <c r="A143" s="26"/>
      <c r="B143" s="181" t="s">
        <v>255</v>
      </c>
      <c r="C143" s="137" t="s">
        <v>17</v>
      </c>
      <c r="D143" s="179">
        <v>51</v>
      </c>
      <c r="E143" s="21">
        <v>0</v>
      </c>
      <c r="F143" s="15">
        <f t="shared" si="18"/>
        <v>0</v>
      </c>
    </row>
    <row r="144" spans="1:6" x14ac:dyDescent="0.25">
      <c r="A144" s="26"/>
      <c r="B144" s="181" t="s">
        <v>256</v>
      </c>
      <c r="C144" s="137" t="s">
        <v>17</v>
      </c>
      <c r="D144" s="179">
        <v>51</v>
      </c>
      <c r="E144" s="21">
        <v>0</v>
      </c>
      <c r="F144" s="15">
        <f t="shared" si="18"/>
        <v>0</v>
      </c>
    </row>
    <row r="145" spans="1:6" x14ac:dyDescent="0.25">
      <c r="A145" s="26"/>
      <c r="B145" s="181" t="s">
        <v>257</v>
      </c>
      <c r="C145" s="137" t="s">
        <v>17</v>
      </c>
      <c r="D145" s="179">
        <v>59</v>
      </c>
      <c r="E145" s="21">
        <v>0</v>
      </c>
      <c r="F145" s="15">
        <f t="shared" si="18"/>
        <v>0</v>
      </c>
    </row>
    <row r="146" spans="1:6" x14ac:dyDescent="0.25">
      <c r="A146" s="26"/>
      <c r="B146" s="181" t="s">
        <v>258</v>
      </c>
      <c r="C146" s="137" t="s">
        <v>17</v>
      </c>
      <c r="D146" s="179">
        <v>60</v>
      </c>
      <c r="E146" s="21">
        <v>0</v>
      </c>
      <c r="F146" s="15">
        <f t="shared" si="18"/>
        <v>0</v>
      </c>
    </row>
    <row r="147" spans="1:6" x14ac:dyDescent="0.25">
      <c r="A147" s="26"/>
      <c r="B147" s="181" t="s">
        <v>259</v>
      </c>
      <c r="C147" s="137" t="s">
        <v>17</v>
      </c>
      <c r="D147" s="179">
        <v>59</v>
      </c>
      <c r="E147" s="21">
        <v>0</v>
      </c>
      <c r="F147" s="15">
        <f t="shared" si="18"/>
        <v>0</v>
      </c>
    </row>
    <row r="148" spans="1:6" x14ac:dyDescent="0.25">
      <c r="A148" s="182"/>
      <c r="B148" s="187" t="s">
        <v>262</v>
      </c>
      <c r="C148" s="183"/>
      <c r="D148" s="186">
        <f>SUM(D133:D147)</f>
        <v>625</v>
      </c>
      <c r="E148" s="184"/>
      <c r="F148" s="185"/>
    </row>
    <row r="149" spans="1:6" x14ac:dyDescent="0.25">
      <c r="A149" s="26"/>
      <c r="B149" s="181" t="s">
        <v>263</v>
      </c>
      <c r="C149" s="137" t="s">
        <v>17</v>
      </c>
      <c r="D149" s="179">
        <v>23</v>
      </c>
      <c r="E149" s="21">
        <v>0</v>
      </c>
      <c r="F149" s="15">
        <f t="shared" ref="F149:F166" si="19">D149*E149</f>
        <v>0</v>
      </c>
    </row>
    <row r="150" spans="1:6" x14ac:dyDescent="0.25">
      <c r="A150" s="26"/>
      <c r="B150" s="181" t="s">
        <v>264</v>
      </c>
      <c r="C150" s="137" t="s">
        <v>246</v>
      </c>
      <c r="D150" s="179">
        <v>47</v>
      </c>
      <c r="E150" s="21">
        <v>0</v>
      </c>
      <c r="F150" s="15">
        <f t="shared" si="19"/>
        <v>0</v>
      </c>
    </row>
    <row r="151" spans="1:6" x14ac:dyDescent="0.25">
      <c r="A151" s="26"/>
      <c r="B151" s="181" t="s">
        <v>265</v>
      </c>
      <c r="C151" s="137" t="s">
        <v>17</v>
      </c>
      <c r="D151" s="179">
        <v>46</v>
      </c>
      <c r="E151" s="21">
        <v>0</v>
      </c>
      <c r="F151" s="15">
        <f t="shared" si="19"/>
        <v>0</v>
      </c>
    </row>
    <row r="152" spans="1:6" x14ac:dyDescent="0.25">
      <c r="A152" s="26"/>
      <c r="B152" s="181" t="s">
        <v>266</v>
      </c>
      <c r="C152" s="137" t="s">
        <v>17</v>
      </c>
      <c r="D152" s="179">
        <v>93</v>
      </c>
      <c r="E152" s="21">
        <v>0</v>
      </c>
      <c r="F152" s="15">
        <f t="shared" si="19"/>
        <v>0</v>
      </c>
    </row>
    <row r="153" spans="1:6" x14ac:dyDescent="0.25">
      <c r="A153" s="26"/>
      <c r="B153" s="181" t="s">
        <v>267</v>
      </c>
      <c r="C153" s="137" t="s">
        <v>17</v>
      </c>
      <c r="D153" s="179">
        <v>119</v>
      </c>
      <c r="E153" s="21">
        <v>0</v>
      </c>
      <c r="F153" s="15">
        <f t="shared" si="19"/>
        <v>0</v>
      </c>
    </row>
    <row r="154" spans="1:6" x14ac:dyDescent="0.25">
      <c r="A154" s="26"/>
      <c r="B154" s="181" t="s">
        <v>268</v>
      </c>
      <c r="C154" s="137" t="s">
        <v>17</v>
      </c>
      <c r="D154" s="179">
        <v>142</v>
      </c>
      <c r="E154" s="21">
        <v>0</v>
      </c>
      <c r="F154" s="15">
        <f t="shared" si="19"/>
        <v>0</v>
      </c>
    </row>
    <row r="155" spans="1:6" x14ac:dyDescent="0.25">
      <c r="A155" s="26"/>
      <c r="B155" s="181" t="s">
        <v>253</v>
      </c>
      <c r="C155" s="137" t="s">
        <v>17</v>
      </c>
      <c r="D155" s="179">
        <v>119</v>
      </c>
      <c r="E155" s="21">
        <v>0</v>
      </c>
      <c r="F155" s="15">
        <f t="shared" si="19"/>
        <v>0</v>
      </c>
    </row>
    <row r="156" spans="1:6" x14ac:dyDescent="0.25">
      <c r="A156" s="26"/>
      <c r="B156" s="181" t="s">
        <v>269</v>
      </c>
      <c r="C156" s="137" t="s">
        <v>17</v>
      </c>
      <c r="D156" s="179">
        <v>48</v>
      </c>
      <c r="E156" s="21">
        <v>0</v>
      </c>
      <c r="F156" s="15">
        <f t="shared" si="19"/>
        <v>0</v>
      </c>
    </row>
    <row r="157" spans="1:6" x14ac:dyDescent="0.25">
      <c r="A157" s="26"/>
      <c r="B157" s="181" t="s">
        <v>270</v>
      </c>
      <c r="C157" s="137" t="s">
        <v>17</v>
      </c>
      <c r="D157" s="179">
        <v>119</v>
      </c>
      <c r="E157" s="21">
        <v>0</v>
      </c>
      <c r="F157" s="15">
        <f t="shared" si="19"/>
        <v>0</v>
      </c>
    </row>
    <row r="158" spans="1:6" x14ac:dyDescent="0.25">
      <c r="A158" s="26"/>
      <c r="B158" s="181" t="s">
        <v>271</v>
      </c>
      <c r="C158" s="137" t="s">
        <v>17</v>
      </c>
      <c r="D158" s="179">
        <v>48</v>
      </c>
      <c r="E158" s="21">
        <v>0</v>
      </c>
      <c r="F158" s="15">
        <f t="shared" si="19"/>
        <v>0</v>
      </c>
    </row>
    <row r="159" spans="1:6" x14ac:dyDescent="0.25">
      <c r="A159" s="26"/>
      <c r="B159" s="181" t="s">
        <v>272</v>
      </c>
      <c r="C159" s="137" t="s">
        <v>17</v>
      </c>
      <c r="D159" s="179">
        <v>139</v>
      </c>
      <c r="E159" s="21">
        <v>0</v>
      </c>
      <c r="F159" s="15">
        <f t="shared" si="19"/>
        <v>0</v>
      </c>
    </row>
    <row r="160" spans="1:6" x14ac:dyDescent="0.25">
      <c r="A160" s="26"/>
      <c r="B160" s="181" t="s">
        <v>273</v>
      </c>
      <c r="C160" s="137" t="s">
        <v>17</v>
      </c>
      <c r="D160" s="179">
        <v>71</v>
      </c>
      <c r="E160" s="21">
        <v>0</v>
      </c>
      <c r="F160" s="15">
        <f t="shared" si="19"/>
        <v>0</v>
      </c>
    </row>
    <row r="161" spans="1:6" x14ac:dyDescent="0.25">
      <c r="A161" s="26"/>
      <c r="B161" s="181" t="s">
        <v>274</v>
      </c>
      <c r="C161" s="137" t="s">
        <v>17</v>
      </c>
      <c r="D161" s="179">
        <v>119</v>
      </c>
      <c r="E161" s="21">
        <v>0</v>
      </c>
      <c r="F161" s="15">
        <f t="shared" si="19"/>
        <v>0</v>
      </c>
    </row>
    <row r="162" spans="1:6" x14ac:dyDescent="0.25">
      <c r="A162" s="26"/>
      <c r="B162" s="181" t="s">
        <v>275</v>
      </c>
      <c r="C162" s="137" t="s">
        <v>17</v>
      </c>
      <c r="D162" s="179">
        <v>166</v>
      </c>
      <c r="E162" s="21">
        <v>0</v>
      </c>
      <c r="F162" s="15">
        <f t="shared" si="19"/>
        <v>0</v>
      </c>
    </row>
    <row r="163" spans="1:6" x14ac:dyDescent="0.25">
      <c r="A163" s="26"/>
      <c r="B163" s="181" t="s">
        <v>276</v>
      </c>
      <c r="C163" s="137" t="s">
        <v>17</v>
      </c>
      <c r="D163" s="179">
        <v>93</v>
      </c>
      <c r="E163" s="21">
        <v>0</v>
      </c>
      <c r="F163" s="15">
        <f t="shared" si="19"/>
        <v>0</v>
      </c>
    </row>
    <row r="164" spans="1:6" x14ac:dyDescent="0.25">
      <c r="A164" s="26"/>
      <c r="B164" s="181" t="s">
        <v>277</v>
      </c>
      <c r="C164" s="137" t="s">
        <v>17</v>
      </c>
      <c r="D164" s="179">
        <v>161</v>
      </c>
      <c r="E164" s="21">
        <v>0</v>
      </c>
      <c r="F164" s="15">
        <f t="shared" si="19"/>
        <v>0</v>
      </c>
    </row>
    <row r="165" spans="1:6" x14ac:dyDescent="0.25">
      <c r="A165" s="26"/>
      <c r="B165" s="181" t="s">
        <v>278</v>
      </c>
      <c r="C165" s="137" t="s">
        <v>17</v>
      </c>
      <c r="D165" s="179">
        <v>168</v>
      </c>
      <c r="E165" s="21">
        <v>0</v>
      </c>
      <c r="F165" s="15">
        <f t="shared" si="19"/>
        <v>0</v>
      </c>
    </row>
    <row r="166" spans="1:6" x14ac:dyDescent="0.25">
      <c r="A166" s="26"/>
      <c r="B166" s="181" t="s">
        <v>279</v>
      </c>
      <c r="C166" s="137" t="s">
        <v>17</v>
      </c>
      <c r="D166" s="179">
        <v>161</v>
      </c>
      <c r="E166" s="21">
        <v>0</v>
      </c>
      <c r="F166" s="15">
        <f t="shared" si="19"/>
        <v>0</v>
      </c>
    </row>
    <row r="167" spans="1:6" x14ac:dyDescent="0.25">
      <c r="A167" s="102" t="s">
        <v>18</v>
      </c>
      <c r="B167" s="188" t="s">
        <v>242</v>
      </c>
      <c r="C167" s="183"/>
      <c r="D167" s="182">
        <f>SUM(D149:D166)</f>
        <v>1882</v>
      </c>
      <c r="E167" s="184"/>
      <c r="F167" s="185"/>
    </row>
    <row r="168" spans="1:6" x14ac:dyDescent="0.25">
      <c r="A168" s="26"/>
      <c r="B168" s="141" t="s">
        <v>156</v>
      </c>
      <c r="C168" s="137" t="s">
        <v>122</v>
      </c>
      <c r="D168" s="26">
        <v>2000</v>
      </c>
      <c r="E168" s="21">
        <v>0</v>
      </c>
      <c r="F168" s="15">
        <f>D168*E168</f>
        <v>0</v>
      </c>
    </row>
    <row r="169" spans="1:6" x14ac:dyDescent="0.25">
      <c r="A169" s="26"/>
      <c r="B169" s="142" t="s">
        <v>157</v>
      </c>
      <c r="C169" s="137" t="s">
        <v>122</v>
      </c>
      <c r="D169" s="26">
        <v>90</v>
      </c>
      <c r="E169" s="21">
        <v>0</v>
      </c>
      <c r="F169" s="15">
        <f>D169*E169</f>
        <v>0</v>
      </c>
    </row>
    <row r="170" spans="1:6" x14ac:dyDescent="0.25">
      <c r="A170" s="182"/>
      <c r="B170" s="188" t="s">
        <v>244</v>
      </c>
      <c r="C170" s="183"/>
      <c r="D170" s="182">
        <f>SUM(D168:D169)</f>
        <v>2090</v>
      </c>
      <c r="E170" s="184"/>
      <c r="F170" s="185"/>
    </row>
    <row r="171" spans="1:6" x14ac:dyDescent="0.25">
      <c r="A171" s="26"/>
      <c r="B171" s="179" t="s">
        <v>280</v>
      </c>
      <c r="C171" s="137" t="s">
        <v>122</v>
      </c>
      <c r="D171" s="179">
        <v>430</v>
      </c>
      <c r="E171" s="21">
        <v>0</v>
      </c>
      <c r="F171" s="15">
        <f t="shared" ref="F171:F173" si="20">D171*E171</f>
        <v>0</v>
      </c>
    </row>
    <row r="172" spans="1:6" x14ac:dyDescent="0.25">
      <c r="A172" s="26"/>
      <c r="B172" s="179" t="s">
        <v>281</v>
      </c>
      <c r="C172" s="137" t="s">
        <v>122</v>
      </c>
      <c r="D172" s="179">
        <v>860</v>
      </c>
      <c r="E172" s="21">
        <v>0</v>
      </c>
      <c r="F172" s="15">
        <f t="shared" si="20"/>
        <v>0</v>
      </c>
    </row>
    <row r="173" spans="1:6" x14ac:dyDescent="0.25">
      <c r="A173" s="26"/>
      <c r="B173" s="179" t="s">
        <v>282</v>
      </c>
      <c r="C173" s="137" t="s">
        <v>122</v>
      </c>
      <c r="D173" s="179">
        <v>430</v>
      </c>
      <c r="E173" s="21">
        <v>0</v>
      </c>
      <c r="F173" s="15">
        <f t="shared" si="20"/>
        <v>0</v>
      </c>
    </row>
    <row r="174" spans="1:6" x14ac:dyDescent="0.25">
      <c r="A174" s="182"/>
      <c r="B174" s="187" t="s">
        <v>262</v>
      </c>
      <c r="C174" s="183"/>
      <c r="D174" s="186">
        <f>SUM(D171:D173)</f>
        <v>1720</v>
      </c>
      <c r="E174" s="184"/>
      <c r="F174" s="185"/>
    </row>
    <row r="175" spans="1:6" x14ac:dyDescent="0.25">
      <c r="A175" s="26"/>
      <c r="B175" s="179" t="s">
        <v>283</v>
      </c>
      <c r="C175" s="137" t="s">
        <v>122</v>
      </c>
      <c r="D175" s="179">
        <v>1175</v>
      </c>
      <c r="E175" s="21">
        <v>0</v>
      </c>
      <c r="F175" s="15">
        <f t="shared" ref="F175:F178" si="21">D175*E175</f>
        <v>0</v>
      </c>
    </row>
    <row r="176" spans="1:6" x14ac:dyDescent="0.25">
      <c r="A176" s="26"/>
      <c r="B176" s="179" t="s">
        <v>284</v>
      </c>
      <c r="C176" s="137" t="s">
        <v>122</v>
      </c>
      <c r="D176" s="179">
        <v>1175</v>
      </c>
      <c r="E176" s="21">
        <v>0</v>
      </c>
      <c r="F176" s="15">
        <f t="shared" si="21"/>
        <v>0</v>
      </c>
    </row>
    <row r="177" spans="1:6" x14ac:dyDescent="0.25">
      <c r="A177" s="26"/>
      <c r="B177" s="179" t="s">
        <v>285</v>
      </c>
      <c r="C177" s="137" t="s">
        <v>122</v>
      </c>
      <c r="D177" s="179">
        <v>1175</v>
      </c>
      <c r="E177" s="21">
        <v>0</v>
      </c>
      <c r="F177" s="15">
        <f t="shared" si="21"/>
        <v>0</v>
      </c>
    </row>
    <row r="178" spans="1:6" x14ac:dyDescent="0.25">
      <c r="A178" s="26"/>
      <c r="B178" s="179" t="s">
        <v>286</v>
      </c>
      <c r="C178" s="137" t="s">
        <v>122</v>
      </c>
      <c r="D178" s="179">
        <v>2350</v>
      </c>
      <c r="E178" s="21">
        <v>0</v>
      </c>
      <c r="F178" s="15">
        <f t="shared" si="21"/>
        <v>0</v>
      </c>
    </row>
    <row r="179" spans="1:6" ht="12.75" customHeight="1" x14ac:dyDescent="0.25">
      <c r="A179" s="189"/>
      <c r="B179" s="190"/>
      <c r="C179" s="191"/>
      <c r="D179" s="179">
        <f>SUM(D175:D178)</f>
        <v>5875</v>
      </c>
      <c r="E179" s="192"/>
      <c r="F179" s="15"/>
    </row>
    <row r="180" spans="1:6" ht="23.25" customHeight="1" x14ac:dyDescent="0.25">
      <c r="A180" s="323" t="s">
        <v>62</v>
      </c>
      <c r="B180" s="324"/>
      <c r="C180" s="324"/>
      <c r="D180" s="324"/>
      <c r="E180" s="324"/>
      <c r="F180" s="95">
        <f>SUM(F122:F178)</f>
        <v>0</v>
      </c>
    </row>
    <row r="181" spans="1:6" x14ac:dyDescent="0.25">
      <c r="A181" s="5"/>
      <c r="B181" s="5"/>
      <c r="C181" s="124"/>
      <c r="D181" s="5"/>
      <c r="E181" s="5"/>
      <c r="F181" s="5"/>
    </row>
    <row r="182" spans="1:6" x14ac:dyDescent="0.25">
      <c r="A182" s="4" t="s">
        <v>145</v>
      </c>
      <c r="B182" s="87"/>
      <c r="C182" s="131"/>
      <c r="D182" s="87"/>
      <c r="E182" s="87"/>
      <c r="F182" s="87"/>
    </row>
    <row r="183" spans="1:6" x14ac:dyDescent="0.25">
      <c r="A183" s="25">
        <v>1</v>
      </c>
      <c r="B183" s="332" t="s">
        <v>65</v>
      </c>
      <c r="C183" s="332"/>
      <c r="D183" s="332"/>
      <c r="E183" s="332"/>
      <c r="F183" s="98"/>
    </row>
    <row r="184" spans="1:6" x14ac:dyDescent="0.25">
      <c r="A184" s="202">
        <v>43466</v>
      </c>
      <c r="B184" s="329" t="s">
        <v>40</v>
      </c>
      <c r="C184" s="330"/>
      <c r="D184" s="330"/>
      <c r="E184" s="331"/>
      <c r="F184" s="203">
        <f>F24</f>
        <v>0</v>
      </c>
    </row>
    <row r="185" spans="1:6" x14ac:dyDescent="0.25">
      <c r="A185" s="218">
        <v>43497</v>
      </c>
      <c r="B185" s="329" t="s">
        <v>42</v>
      </c>
      <c r="C185" s="330"/>
      <c r="D185" s="330"/>
      <c r="E185" s="331"/>
      <c r="F185" s="204">
        <f>F41</f>
        <v>0</v>
      </c>
    </row>
    <row r="186" spans="1:6" x14ac:dyDescent="0.25">
      <c r="A186" s="218">
        <v>43525</v>
      </c>
      <c r="B186" s="329" t="s">
        <v>67</v>
      </c>
      <c r="C186" s="330"/>
      <c r="D186" s="330"/>
      <c r="E186" s="331"/>
      <c r="F186" s="204">
        <f>F66</f>
        <v>0</v>
      </c>
    </row>
    <row r="187" spans="1:6" x14ac:dyDescent="0.25">
      <c r="A187" s="218">
        <v>43556</v>
      </c>
      <c r="B187" s="329" t="s">
        <v>220</v>
      </c>
      <c r="C187" s="330"/>
      <c r="D187" s="330"/>
      <c r="E187" s="331"/>
      <c r="F187" s="204">
        <f>F72</f>
        <v>0</v>
      </c>
    </row>
    <row r="188" spans="1:6" ht="18.75" customHeight="1" x14ac:dyDescent="0.25">
      <c r="A188" s="25">
        <v>2</v>
      </c>
      <c r="B188" s="326" t="s">
        <v>53</v>
      </c>
      <c r="C188" s="327"/>
      <c r="D188" s="327"/>
      <c r="E188" s="328"/>
      <c r="F188" s="84">
        <f>F117</f>
        <v>0</v>
      </c>
    </row>
    <row r="189" spans="1:6" ht="17.25" customHeight="1" x14ac:dyDescent="0.25">
      <c r="A189" s="25">
        <v>3</v>
      </c>
      <c r="B189" s="326" t="s">
        <v>59</v>
      </c>
      <c r="C189" s="327"/>
      <c r="D189" s="327"/>
      <c r="E189" s="328"/>
      <c r="F189" s="84">
        <f>F180</f>
        <v>0</v>
      </c>
    </row>
    <row r="190" spans="1:6" ht="7.5" customHeight="1" x14ac:dyDescent="0.25">
      <c r="A190" s="317"/>
      <c r="B190" s="318"/>
      <c r="C190" s="318"/>
      <c r="D190" s="318"/>
      <c r="E190" s="318"/>
      <c r="F190" s="319"/>
    </row>
    <row r="191" spans="1:6" ht="23.25" customHeight="1" x14ac:dyDescent="0.25">
      <c r="A191" s="211" t="s">
        <v>41</v>
      </c>
      <c r="B191" s="320" t="s">
        <v>328</v>
      </c>
      <c r="C191" s="321"/>
      <c r="D191" s="321"/>
      <c r="E191" s="322"/>
      <c r="F191" s="212">
        <f>SUM(F183:F189)</f>
        <v>0</v>
      </c>
    </row>
  </sheetData>
  <mergeCells count="21">
    <mergeCell ref="A190:F190"/>
    <mergeCell ref="B191:E191"/>
    <mergeCell ref="A117:E117"/>
    <mergeCell ref="B189:E189"/>
    <mergeCell ref="A24:E24"/>
    <mergeCell ref="B184:E184"/>
    <mergeCell ref="B185:E185"/>
    <mergeCell ref="B186:E186"/>
    <mergeCell ref="B188:E188"/>
    <mergeCell ref="A121:F121"/>
    <mergeCell ref="A124:F124"/>
    <mergeCell ref="A180:E180"/>
    <mergeCell ref="B187:E187"/>
    <mergeCell ref="A88:E88"/>
    <mergeCell ref="B183:E183"/>
    <mergeCell ref="A1:F1"/>
    <mergeCell ref="A41:E41"/>
    <mergeCell ref="A66:E66"/>
    <mergeCell ref="A72:E72"/>
    <mergeCell ref="B68:F68"/>
    <mergeCell ref="A2:B2"/>
  </mergeCells>
  <pageMargins left="0.62992125984251968" right="0.23622047244094491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showGridLines="0" topLeftCell="A46" workbookViewId="0">
      <selection activeCell="A51" sqref="A51:F51"/>
    </sheetView>
  </sheetViews>
  <sheetFormatPr defaultColWidth="11.5703125" defaultRowHeight="15" x14ac:dyDescent="0.25"/>
  <cols>
    <col min="1" max="1" width="11.140625" style="66" customWidth="1"/>
    <col min="2" max="2" width="39.7109375" style="66" customWidth="1"/>
    <col min="3" max="3" width="7.28515625" style="134" customWidth="1"/>
    <col min="4" max="4" width="8.28515625" style="66" customWidth="1"/>
    <col min="5" max="5" width="10.140625" style="66" customWidth="1"/>
    <col min="6" max="6" width="16" style="66" customWidth="1"/>
    <col min="7" max="16384" width="11.5703125" style="66"/>
  </cols>
  <sheetData>
    <row r="1" spans="1:6" ht="18.75" x14ac:dyDescent="0.3">
      <c r="A1" s="93" t="s">
        <v>321</v>
      </c>
      <c r="B1" s="5"/>
      <c r="C1" s="124"/>
      <c r="D1" s="5"/>
      <c r="E1" s="5"/>
      <c r="F1" s="5"/>
    </row>
    <row r="2" spans="1:6" ht="15.75" x14ac:dyDescent="0.3">
      <c r="A2" s="316" t="s">
        <v>39</v>
      </c>
      <c r="B2" s="296"/>
      <c r="C2" s="124"/>
      <c r="D2" s="5"/>
      <c r="E2" s="5"/>
      <c r="F2" s="5"/>
    </row>
    <row r="3" spans="1:6" ht="18.75" x14ac:dyDescent="0.3">
      <c r="A3" s="67"/>
      <c r="B3" s="5"/>
      <c r="C3" s="124"/>
      <c r="D3" s="5"/>
      <c r="E3" s="5"/>
      <c r="F3" s="5"/>
    </row>
    <row r="4" spans="1:6" ht="18.75" x14ac:dyDescent="0.3">
      <c r="A4" s="92" t="s">
        <v>195</v>
      </c>
      <c r="B4" s="5"/>
      <c r="C4" s="124"/>
      <c r="D4" s="5"/>
      <c r="E4" s="5"/>
      <c r="F4" s="5"/>
    </row>
    <row r="5" spans="1:6" ht="15" customHeight="1" x14ac:dyDescent="0.25">
      <c r="A5" s="5"/>
      <c r="B5" s="5"/>
      <c r="C5" s="124"/>
      <c r="D5" s="5"/>
      <c r="E5" s="5"/>
      <c r="F5" s="5"/>
    </row>
    <row r="6" spans="1:6" x14ac:dyDescent="0.25">
      <c r="A6" s="36">
        <v>1</v>
      </c>
      <c r="B6" s="37" t="s">
        <v>82</v>
      </c>
      <c r="C6" s="125"/>
      <c r="D6" s="38"/>
      <c r="E6" s="38"/>
      <c r="F6" s="39"/>
    </row>
    <row r="7" spans="1:6" ht="4.1500000000000004" customHeight="1" x14ac:dyDescent="0.25">
      <c r="A7" s="40"/>
      <c r="B7" s="41"/>
      <c r="C7" s="126"/>
      <c r="D7" s="4"/>
      <c r="E7" s="4"/>
      <c r="F7" s="4"/>
    </row>
    <row r="8" spans="1:6" ht="26.25" x14ac:dyDescent="0.25">
      <c r="A8" s="19" t="s">
        <v>0</v>
      </c>
      <c r="B8" s="19" t="s">
        <v>1</v>
      </c>
      <c r="C8" s="42" t="s">
        <v>2</v>
      </c>
      <c r="D8" s="20" t="s">
        <v>3</v>
      </c>
      <c r="E8" s="20" t="s">
        <v>4</v>
      </c>
      <c r="F8" s="42" t="s">
        <v>5</v>
      </c>
    </row>
    <row r="9" spans="1:6" ht="38.25" x14ac:dyDescent="0.25">
      <c r="A9" s="68" t="s">
        <v>129</v>
      </c>
      <c r="B9" s="62" t="s">
        <v>128</v>
      </c>
      <c r="C9" s="50" t="s">
        <v>6</v>
      </c>
      <c r="D9" s="51">
        <v>1</v>
      </c>
      <c r="E9" s="21">
        <v>0</v>
      </c>
      <c r="F9" s="69">
        <f t="shared" ref="F9:F13" si="0">E9*D9</f>
        <v>0</v>
      </c>
    </row>
    <row r="10" spans="1:6" ht="25.5" x14ac:dyDescent="0.25">
      <c r="A10" s="68" t="s">
        <v>85</v>
      </c>
      <c r="B10" s="62" t="s">
        <v>86</v>
      </c>
      <c r="C10" s="50" t="s">
        <v>6</v>
      </c>
      <c r="D10" s="51">
        <v>1</v>
      </c>
      <c r="E10" s="21">
        <v>0</v>
      </c>
      <c r="F10" s="69">
        <f t="shared" si="0"/>
        <v>0</v>
      </c>
    </row>
    <row r="11" spans="1:6" ht="51" x14ac:dyDescent="0.25">
      <c r="A11" s="68" t="s">
        <v>87</v>
      </c>
      <c r="B11" s="62" t="s">
        <v>88</v>
      </c>
      <c r="C11" s="50" t="s">
        <v>6</v>
      </c>
      <c r="D11" s="51">
        <v>1</v>
      </c>
      <c r="E11" s="21">
        <v>0</v>
      </c>
      <c r="F11" s="69">
        <f t="shared" si="0"/>
        <v>0</v>
      </c>
    </row>
    <row r="12" spans="1:6" ht="51" x14ac:dyDescent="0.25">
      <c r="A12" s="68" t="s">
        <v>90</v>
      </c>
      <c r="B12" s="62" t="s">
        <v>89</v>
      </c>
      <c r="C12" s="50" t="s">
        <v>6</v>
      </c>
      <c r="D12" s="51">
        <v>1</v>
      </c>
      <c r="E12" s="21">
        <v>0</v>
      </c>
      <c r="F12" s="69">
        <f t="shared" si="0"/>
        <v>0</v>
      </c>
    </row>
    <row r="13" spans="1:6" ht="25.5" x14ac:dyDescent="0.25">
      <c r="A13" s="70" t="s">
        <v>84</v>
      </c>
      <c r="B13" s="63" t="s">
        <v>91</v>
      </c>
      <c r="C13" s="71" t="s">
        <v>9</v>
      </c>
      <c r="D13" s="72">
        <v>1</v>
      </c>
      <c r="E13" s="21">
        <v>0</v>
      </c>
      <c r="F13" s="69">
        <f t="shared" si="0"/>
        <v>0</v>
      </c>
    </row>
    <row r="14" spans="1:6" ht="18.75" customHeight="1" x14ac:dyDescent="0.25">
      <c r="A14" s="311" t="s">
        <v>92</v>
      </c>
      <c r="B14" s="312"/>
      <c r="C14" s="312"/>
      <c r="D14" s="312"/>
      <c r="E14" s="313"/>
      <c r="F14" s="94">
        <f>SUM(F9:F13)</f>
        <v>0</v>
      </c>
    </row>
    <row r="15" spans="1:6" x14ac:dyDescent="0.25">
      <c r="A15" s="36">
        <v>2</v>
      </c>
      <c r="B15" s="37" t="s">
        <v>334</v>
      </c>
      <c r="C15" s="125"/>
      <c r="D15" s="38"/>
      <c r="E15" s="38"/>
      <c r="F15" s="39"/>
    </row>
    <row r="16" spans="1:6" ht="4.1500000000000004" customHeight="1" x14ac:dyDescent="0.25">
      <c r="A16" s="40"/>
      <c r="B16" s="41"/>
      <c r="C16" s="126"/>
      <c r="D16" s="4"/>
      <c r="E16" s="4"/>
      <c r="F16" s="4"/>
    </row>
    <row r="17" spans="1:8" ht="26.25" x14ac:dyDescent="0.25">
      <c r="A17" s="19" t="s">
        <v>0</v>
      </c>
      <c r="B17" s="19" t="s">
        <v>1</v>
      </c>
      <c r="C17" s="42" t="s">
        <v>2</v>
      </c>
      <c r="D17" s="20" t="s">
        <v>3</v>
      </c>
      <c r="E17" s="20" t="s">
        <v>4</v>
      </c>
      <c r="F17" s="107" t="s">
        <v>5</v>
      </c>
    </row>
    <row r="18" spans="1:8" ht="25.5" x14ac:dyDescent="0.25">
      <c r="A18" s="24" t="s">
        <v>105</v>
      </c>
      <c r="B18" s="13" t="s">
        <v>126</v>
      </c>
      <c r="C18" s="24" t="s">
        <v>6</v>
      </c>
      <c r="D18" s="21">
        <v>1</v>
      </c>
      <c r="E18" s="21">
        <v>0</v>
      </c>
      <c r="F18" s="271">
        <f t="shared" ref="F18" si="1">E18*D18</f>
        <v>0</v>
      </c>
    </row>
    <row r="19" spans="1:8" x14ac:dyDescent="0.25">
      <c r="A19" s="49" t="s">
        <v>101</v>
      </c>
      <c r="B19" s="46" t="s">
        <v>106</v>
      </c>
      <c r="C19" s="50" t="s">
        <v>6</v>
      </c>
      <c r="D19" s="51">
        <v>1</v>
      </c>
      <c r="E19" s="21">
        <v>0</v>
      </c>
      <c r="F19" s="274">
        <f>D19*E19</f>
        <v>0</v>
      </c>
      <c r="G19" s="104"/>
      <c r="H19" s="104"/>
    </row>
    <row r="20" spans="1:8" x14ac:dyDescent="0.25">
      <c r="A20" s="49" t="s">
        <v>100</v>
      </c>
      <c r="B20" s="46" t="s">
        <v>127</v>
      </c>
      <c r="C20" s="50" t="s">
        <v>6</v>
      </c>
      <c r="D20" s="51">
        <v>1</v>
      </c>
      <c r="E20" s="21">
        <v>0</v>
      </c>
      <c r="F20" s="274">
        <f>D20*E20</f>
        <v>0</v>
      </c>
      <c r="G20" s="105"/>
      <c r="H20" s="106"/>
    </row>
    <row r="21" spans="1:8" x14ac:dyDescent="0.25">
      <c r="A21" s="311" t="s">
        <v>92</v>
      </c>
      <c r="B21" s="312"/>
      <c r="C21" s="312"/>
      <c r="D21" s="312"/>
      <c r="E21" s="313"/>
      <c r="F21" s="94">
        <f>SUM(F18:F20)</f>
        <v>0</v>
      </c>
      <c r="G21" s="105"/>
      <c r="H21" s="106"/>
    </row>
    <row r="22" spans="1:8" x14ac:dyDescent="0.25">
      <c r="A22" s="36">
        <v>3</v>
      </c>
      <c r="B22" s="37" t="s">
        <v>335</v>
      </c>
      <c r="C22" s="125"/>
      <c r="D22" s="38"/>
      <c r="E22" s="38"/>
      <c r="F22" s="39"/>
    </row>
    <row r="23" spans="1:8" ht="25.5" x14ac:dyDescent="0.25">
      <c r="A23" s="49" t="s">
        <v>336</v>
      </c>
      <c r="B23" s="46" t="s">
        <v>337</v>
      </c>
      <c r="C23" s="50" t="s">
        <v>6</v>
      </c>
      <c r="D23" s="51">
        <v>1</v>
      </c>
      <c r="E23" s="21">
        <v>0</v>
      </c>
      <c r="F23" s="271">
        <f t="shared" ref="F23:F28" si="2">E23*D23</f>
        <v>0</v>
      </c>
      <c r="G23" s="105"/>
      <c r="H23" s="106"/>
    </row>
    <row r="24" spans="1:8" ht="38.25" x14ac:dyDescent="0.25">
      <c r="A24" s="24" t="s">
        <v>20</v>
      </c>
      <c r="B24" s="13" t="s">
        <v>131</v>
      </c>
      <c r="C24" s="24" t="s">
        <v>6</v>
      </c>
      <c r="D24" s="21">
        <f>D23</f>
        <v>1</v>
      </c>
      <c r="E24" s="21">
        <v>0</v>
      </c>
      <c r="F24" s="271">
        <f t="shared" si="2"/>
        <v>0</v>
      </c>
      <c r="G24" s="105"/>
      <c r="H24" s="106"/>
    </row>
    <row r="25" spans="1:8" ht="38.25" x14ac:dyDescent="0.25">
      <c r="A25" s="24" t="s">
        <v>19</v>
      </c>
      <c r="B25" s="13" t="s">
        <v>21</v>
      </c>
      <c r="C25" s="24" t="s">
        <v>6</v>
      </c>
      <c r="D25" s="21">
        <f>D24</f>
        <v>1</v>
      </c>
      <c r="E25" s="21">
        <v>0</v>
      </c>
      <c r="F25" s="271">
        <f t="shared" si="2"/>
        <v>0</v>
      </c>
      <c r="G25" s="105"/>
      <c r="H25" s="106"/>
    </row>
    <row r="26" spans="1:8" x14ac:dyDescent="0.25">
      <c r="A26" s="24" t="s">
        <v>22</v>
      </c>
      <c r="B26" s="13" t="s">
        <v>23</v>
      </c>
      <c r="C26" s="24" t="s">
        <v>6</v>
      </c>
      <c r="D26" s="21">
        <f>D25</f>
        <v>1</v>
      </c>
      <c r="E26" s="21">
        <v>0</v>
      </c>
      <c r="F26" s="271">
        <f t="shared" si="2"/>
        <v>0</v>
      </c>
      <c r="G26" s="105"/>
      <c r="H26" s="106"/>
    </row>
    <row r="27" spans="1:8" ht="38.25" x14ac:dyDescent="0.25">
      <c r="A27" s="24" t="s">
        <v>25</v>
      </c>
      <c r="B27" s="13" t="s">
        <v>24</v>
      </c>
      <c r="C27" s="24" t="s">
        <v>6</v>
      </c>
      <c r="D27" s="21">
        <f>D24</f>
        <v>1</v>
      </c>
      <c r="E27" s="21">
        <v>0</v>
      </c>
      <c r="F27" s="271">
        <f t="shared" si="2"/>
        <v>0</v>
      </c>
      <c r="G27" s="105"/>
      <c r="H27" s="106"/>
    </row>
    <row r="28" spans="1:8" ht="38.25" x14ac:dyDescent="0.25">
      <c r="A28" s="24" t="s">
        <v>27</v>
      </c>
      <c r="B28" s="13" t="s">
        <v>26</v>
      </c>
      <c r="C28" s="24" t="s">
        <v>7</v>
      </c>
      <c r="D28" s="21">
        <f>2*D25</f>
        <v>2</v>
      </c>
      <c r="E28" s="21">
        <v>0</v>
      </c>
      <c r="F28" s="271">
        <f t="shared" si="2"/>
        <v>0</v>
      </c>
      <c r="G28" s="105"/>
      <c r="H28" s="106"/>
    </row>
    <row r="29" spans="1:8" ht="25.5" x14ac:dyDescent="0.25">
      <c r="A29" s="24" t="s">
        <v>41</v>
      </c>
      <c r="B29" s="13" t="s">
        <v>152</v>
      </c>
      <c r="C29" s="24" t="s">
        <v>7</v>
      </c>
      <c r="D29" s="21">
        <f>D26*1.5</f>
        <v>1.5</v>
      </c>
      <c r="E29" s="21">
        <v>0</v>
      </c>
      <c r="F29" s="271">
        <f>D29*E29</f>
        <v>0</v>
      </c>
      <c r="G29" s="105"/>
      <c r="H29" s="106"/>
    </row>
    <row r="30" spans="1:8" ht="25.5" x14ac:dyDescent="0.25">
      <c r="A30" s="24" t="s">
        <v>28</v>
      </c>
      <c r="B30" s="13" t="s">
        <v>8</v>
      </c>
      <c r="C30" s="24" t="s">
        <v>6</v>
      </c>
      <c r="D30" s="21">
        <f>D25</f>
        <v>1</v>
      </c>
      <c r="E30" s="21">
        <v>0</v>
      </c>
      <c r="F30" s="271">
        <f t="shared" ref="F30:F34" si="3">E30*D30</f>
        <v>0</v>
      </c>
      <c r="G30" s="105"/>
      <c r="H30" s="106"/>
    </row>
    <row r="31" spans="1:8" ht="38.25" x14ac:dyDescent="0.25">
      <c r="A31" s="24" t="s">
        <v>29</v>
      </c>
      <c r="B31" s="13" t="s">
        <v>30</v>
      </c>
      <c r="C31" s="24" t="s">
        <v>9</v>
      </c>
      <c r="D31" s="23">
        <f>D24*0.00005</f>
        <v>5.0000000000000002E-5</v>
      </c>
      <c r="E31" s="21">
        <v>0</v>
      </c>
      <c r="F31" s="271">
        <f t="shared" si="3"/>
        <v>0</v>
      </c>
      <c r="G31" s="105"/>
      <c r="H31" s="106"/>
    </row>
    <row r="32" spans="1:8" ht="25.5" x14ac:dyDescent="0.25">
      <c r="A32" s="266" t="s">
        <v>102</v>
      </c>
      <c r="B32" s="267" t="s">
        <v>107</v>
      </c>
      <c r="C32" s="268" t="s">
        <v>10</v>
      </c>
      <c r="D32" s="269">
        <f>D26*0.1</f>
        <v>0.1</v>
      </c>
      <c r="E32" s="270">
        <v>0</v>
      </c>
      <c r="F32" s="272">
        <f t="shared" ref="F32" si="4">D32*E32</f>
        <v>0</v>
      </c>
      <c r="G32" s="105"/>
      <c r="H32" s="106"/>
    </row>
    <row r="33" spans="1:8" ht="38.25" x14ac:dyDescent="0.25">
      <c r="A33" s="24" t="s">
        <v>31</v>
      </c>
      <c r="B33" s="13" t="s">
        <v>34</v>
      </c>
      <c r="C33" s="24" t="s">
        <v>7</v>
      </c>
      <c r="D33" s="21">
        <f>D24</f>
        <v>1</v>
      </c>
      <c r="E33" s="21">
        <v>0</v>
      </c>
      <c r="F33" s="271">
        <f t="shared" si="3"/>
        <v>0</v>
      </c>
      <c r="G33" s="105"/>
      <c r="H33" s="106"/>
    </row>
    <row r="34" spans="1:8" ht="38.25" x14ac:dyDescent="0.25">
      <c r="A34" s="24" t="s">
        <v>32</v>
      </c>
      <c r="B34" s="13" t="s">
        <v>35</v>
      </c>
      <c r="C34" s="24" t="s">
        <v>9</v>
      </c>
      <c r="D34" s="21">
        <f>(D25*0.1)+(D35*2.4)</f>
        <v>0.57999999999999996</v>
      </c>
      <c r="E34" s="21">
        <v>0</v>
      </c>
      <c r="F34" s="271">
        <f t="shared" si="3"/>
        <v>0</v>
      </c>
      <c r="G34" s="105"/>
      <c r="H34" s="106"/>
    </row>
    <row r="35" spans="1:8" ht="51" x14ac:dyDescent="0.25">
      <c r="A35" s="43" t="s">
        <v>33</v>
      </c>
      <c r="B35" s="16" t="s">
        <v>36</v>
      </c>
      <c r="C35" s="135" t="s">
        <v>10</v>
      </c>
      <c r="D35" s="44">
        <f>D25*0.2</f>
        <v>0.2</v>
      </c>
      <c r="E35" s="21">
        <v>0</v>
      </c>
      <c r="F35" s="273">
        <f t="shared" ref="F35:F37" si="5">D35*E35</f>
        <v>0</v>
      </c>
      <c r="G35" s="105"/>
      <c r="H35" s="106"/>
    </row>
    <row r="36" spans="1:8" ht="38.25" x14ac:dyDescent="0.25">
      <c r="A36" s="43" t="s">
        <v>37</v>
      </c>
      <c r="B36" s="16" t="s">
        <v>38</v>
      </c>
      <c r="C36" s="135" t="s">
        <v>10</v>
      </c>
      <c r="D36" s="44">
        <f>D35</f>
        <v>0.2</v>
      </c>
      <c r="E36" s="21">
        <v>0</v>
      </c>
      <c r="F36" s="273">
        <f t="shared" si="5"/>
        <v>0</v>
      </c>
      <c r="G36" s="105"/>
      <c r="H36" s="106"/>
    </row>
    <row r="37" spans="1:8" ht="25.5" x14ac:dyDescent="0.25">
      <c r="A37" s="24" t="s">
        <v>41</v>
      </c>
      <c r="B37" s="17" t="s">
        <v>47</v>
      </c>
      <c r="C37" s="136" t="s">
        <v>9</v>
      </c>
      <c r="D37" s="45">
        <f>D36*2.4</f>
        <v>0.48</v>
      </c>
      <c r="E37" s="21">
        <v>0</v>
      </c>
      <c r="F37" s="273">
        <f t="shared" si="5"/>
        <v>0</v>
      </c>
      <c r="G37" s="105"/>
      <c r="H37" s="106"/>
    </row>
    <row r="38" spans="1:8" ht="19.5" customHeight="1" x14ac:dyDescent="0.25">
      <c r="A38" s="311" t="s">
        <v>92</v>
      </c>
      <c r="B38" s="312"/>
      <c r="C38" s="312"/>
      <c r="D38" s="312"/>
      <c r="E38" s="312"/>
      <c r="F38" s="94">
        <f>SUM(F23:F37)</f>
        <v>0</v>
      </c>
      <c r="G38" s="104"/>
      <c r="H38" s="104"/>
    </row>
    <row r="39" spans="1:8" x14ac:dyDescent="0.25">
      <c r="A39" s="36">
        <v>4</v>
      </c>
      <c r="B39" s="37" t="s">
        <v>65</v>
      </c>
      <c r="C39" s="125"/>
      <c r="D39" s="38"/>
      <c r="E39" s="38"/>
      <c r="F39" s="39"/>
    </row>
    <row r="40" spans="1:8" x14ac:dyDescent="0.25">
      <c r="A40" s="73" t="s">
        <v>172</v>
      </c>
      <c r="B40" s="37" t="s">
        <v>40</v>
      </c>
      <c r="C40" s="125"/>
      <c r="D40" s="38"/>
      <c r="E40" s="38"/>
      <c r="F40" s="39"/>
    </row>
    <row r="41" spans="1:8" ht="5.45" customHeight="1" x14ac:dyDescent="0.25">
      <c r="A41" s="40"/>
      <c r="B41" s="41"/>
      <c r="C41" s="126"/>
      <c r="D41" s="4"/>
      <c r="E41" s="4"/>
      <c r="F41" s="4"/>
    </row>
    <row r="42" spans="1:8" ht="26.25" x14ac:dyDescent="0.25">
      <c r="A42" s="19" t="s">
        <v>0</v>
      </c>
      <c r="B42" s="19" t="s">
        <v>1</v>
      </c>
      <c r="C42" s="42" t="s">
        <v>2</v>
      </c>
      <c r="D42" s="20" t="s">
        <v>3</v>
      </c>
      <c r="E42" s="20" t="s">
        <v>4</v>
      </c>
      <c r="F42" s="42" t="s">
        <v>5</v>
      </c>
    </row>
    <row r="43" spans="1:8" ht="38.25" x14ac:dyDescent="0.25">
      <c r="A43" s="24" t="s">
        <v>20</v>
      </c>
      <c r="B43" s="13" t="s">
        <v>131</v>
      </c>
      <c r="C43" s="24" t="s">
        <v>6</v>
      </c>
      <c r="D43" s="21">
        <f>D78</f>
        <v>33</v>
      </c>
      <c r="E43" s="21">
        <v>0</v>
      </c>
      <c r="F43" s="271">
        <f t="shared" ref="F43:F53" si="6">E43*D43</f>
        <v>0</v>
      </c>
    </row>
    <row r="44" spans="1:8" ht="38.25" x14ac:dyDescent="0.25">
      <c r="A44" s="24" t="s">
        <v>19</v>
      </c>
      <c r="B44" s="13" t="s">
        <v>21</v>
      </c>
      <c r="C44" s="24" t="s">
        <v>6</v>
      </c>
      <c r="D44" s="21">
        <f>D43</f>
        <v>33</v>
      </c>
      <c r="E44" s="21">
        <v>0</v>
      </c>
      <c r="F44" s="271">
        <f t="shared" si="6"/>
        <v>0</v>
      </c>
    </row>
    <row r="45" spans="1:8" x14ac:dyDescent="0.25">
      <c r="A45" s="24" t="s">
        <v>22</v>
      </c>
      <c r="B45" s="13" t="s">
        <v>23</v>
      </c>
      <c r="C45" s="24" t="s">
        <v>6</v>
      </c>
      <c r="D45" s="21">
        <f>D44</f>
        <v>33</v>
      </c>
      <c r="E45" s="21">
        <v>0</v>
      </c>
      <c r="F45" s="271">
        <f t="shared" si="6"/>
        <v>0</v>
      </c>
    </row>
    <row r="46" spans="1:8" ht="38.25" x14ac:dyDescent="0.25">
      <c r="A46" s="24" t="s">
        <v>25</v>
      </c>
      <c r="B46" s="13" t="s">
        <v>24</v>
      </c>
      <c r="C46" s="24" t="s">
        <v>6</v>
      </c>
      <c r="D46" s="21">
        <f>D43</f>
        <v>33</v>
      </c>
      <c r="E46" s="21">
        <v>0</v>
      </c>
      <c r="F46" s="271">
        <f t="shared" si="6"/>
        <v>0</v>
      </c>
    </row>
    <row r="47" spans="1:8" ht="38.25" x14ac:dyDescent="0.25">
      <c r="A47" s="24" t="s">
        <v>27</v>
      </c>
      <c r="B47" s="13" t="s">
        <v>26</v>
      </c>
      <c r="C47" s="24" t="s">
        <v>7</v>
      </c>
      <c r="D47" s="21">
        <f>2*D44</f>
        <v>66</v>
      </c>
      <c r="E47" s="21">
        <v>0</v>
      </c>
      <c r="F47" s="271">
        <f t="shared" si="6"/>
        <v>0</v>
      </c>
    </row>
    <row r="48" spans="1:8" ht="25.5" x14ac:dyDescent="0.25">
      <c r="A48" s="24" t="s">
        <v>41</v>
      </c>
      <c r="B48" s="13" t="s">
        <v>152</v>
      </c>
      <c r="C48" s="24" t="s">
        <v>7</v>
      </c>
      <c r="D48" s="21">
        <f>D45*1.5</f>
        <v>49.5</v>
      </c>
      <c r="E48" s="21">
        <v>0</v>
      </c>
      <c r="F48" s="271">
        <f>D48*E48</f>
        <v>0</v>
      </c>
    </row>
    <row r="49" spans="1:6" ht="25.5" x14ac:dyDescent="0.25">
      <c r="A49" s="24" t="s">
        <v>28</v>
      </c>
      <c r="B49" s="13" t="s">
        <v>8</v>
      </c>
      <c r="C49" s="24" t="s">
        <v>6</v>
      </c>
      <c r="D49" s="21">
        <f>D44</f>
        <v>33</v>
      </c>
      <c r="E49" s="21">
        <v>0</v>
      </c>
      <c r="F49" s="271">
        <f t="shared" si="6"/>
        <v>0</v>
      </c>
    </row>
    <row r="50" spans="1:6" ht="38.25" x14ac:dyDescent="0.25">
      <c r="A50" s="24" t="s">
        <v>29</v>
      </c>
      <c r="B50" s="13" t="s">
        <v>30</v>
      </c>
      <c r="C50" s="24" t="s">
        <v>9</v>
      </c>
      <c r="D50" s="23">
        <f>D43*0.00005</f>
        <v>1.65E-3</v>
      </c>
      <c r="E50" s="21">
        <v>0</v>
      </c>
      <c r="F50" s="271">
        <f t="shared" si="6"/>
        <v>0</v>
      </c>
    </row>
    <row r="51" spans="1:6" ht="25.5" x14ac:dyDescent="0.25">
      <c r="A51" s="266" t="s">
        <v>102</v>
      </c>
      <c r="B51" s="267" t="s">
        <v>107</v>
      </c>
      <c r="C51" s="268" t="s">
        <v>10</v>
      </c>
      <c r="D51" s="269">
        <f>D45*0.1</f>
        <v>3.3000000000000003</v>
      </c>
      <c r="E51" s="270">
        <v>0</v>
      </c>
      <c r="F51" s="272">
        <f t="shared" ref="F51" si="7">D51*E51</f>
        <v>0</v>
      </c>
    </row>
    <row r="52" spans="1:6" ht="38.25" x14ac:dyDescent="0.25">
      <c r="A52" s="24" t="s">
        <v>31</v>
      </c>
      <c r="B52" s="13" t="s">
        <v>34</v>
      </c>
      <c r="C52" s="24" t="s">
        <v>7</v>
      </c>
      <c r="D52" s="21">
        <f>D43</f>
        <v>33</v>
      </c>
      <c r="E52" s="21">
        <v>0</v>
      </c>
      <c r="F52" s="271">
        <f t="shared" si="6"/>
        <v>0</v>
      </c>
    </row>
    <row r="53" spans="1:6" ht="38.25" x14ac:dyDescent="0.25">
      <c r="A53" s="24" t="s">
        <v>32</v>
      </c>
      <c r="B53" s="13" t="s">
        <v>35</v>
      </c>
      <c r="C53" s="24" t="s">
        <v>9</v>
      </c>
      <c r="D53" s="21">
        <f>(D44*0.1)+(D54*2.4)</f>
        <v>19.14</v>
      </c>
      <c r="E53" s="21">
        <v>0</v>
      </c>
      <c r="F53" s="271">
        <f t="shared" si="6"/>
        <v>0</v>
      </c>
    </row>
    <row r="54" spans="1:6" ht="51" x14ac:dyDescent="0.25">
      <c r="A54" s="43" t="s">
        <v>33</v>
      </c>
      <c r="B54" s="16" t="s">
        <v>36</v>
      </c>
      <c r="C54" s="135" t="s">
        <v>10</v>
      </c>
      <c r="D54" s="44">
        <f>D44*0.2</f>
        <v>6.6000000000000005</v>
      </c>
      <c r="E54" s="21">
        <v>0</v>
      </c>
      <c r="F54" s="22">
        <f t="shared" ref="F54:F56" si="8">D54*E54</f>
        <v>0</v>
      </c>
    </row>
    <row r="55" spans="1:6" ht="38.25" x14ac:dyDescent="0.25">
      <c r="A55" s="43" t="s">
        <v>37</v>
      </c>
      <c r="B55" s="16" t="s">
        <v>38</v>
      </c>
      <c r="C55" s="135" t="s">
        <v>10</v>
      </c>
      <c r="D55" s="44">
        <f>D54</f>
        <v>6.6000000000000005</v>
      </c>
      <c r="E55" s="21">
        <v>0</v>
      </c>
      <c r="F55" s="22">
        <f t="shared" si="8"/>
        <v>0</v>
      </c>
    </row>
    <row r="56" spans="1:6" ht="25.5" x14ac:dyDescent="0.25">
      <c r="A56" s="24" t="s">
        <v>41</v>
      </c>
      <c r="B56" s="17" t="s">
        <v>47</v>
      </c>
      <c r="C56" s="136" t="s">
        <v>9</v>
      </c>
      <c r="D56" s="45">
        <f>D55*2.4</f>
        <v>15.84</v>
      </c>
      <c r="E56" s="21">
        <v>0</v>
      </c>
      <c r="F56" s="22">
        <f t="shared" si="8"/>
        <v>0</v>
      </c>
    </row>
    <row r="57" spans="1:6" ht="21.75" customHeight="1" x14ac:dyDescent="0.25">
      <c r="A57" s="311" t="s">
        <v>92</v>
      </c>
      <c r="B57" s="312"/>
      <c r="C57" s="312"/>
      <c r="D57" s="312"/>
      <c r="E57" s="313"/>
      <c r="F57" s="94">
        <f>SUM(F43:F56)</f>
        <v>0</v>
      </c>
    </row>
    <row r="58" spans="1:6" ht="21.75" customHeight="1" x14ac:dyDescent="0.25">
      <c r="A58" s="4"/>
      <c r="B58" s="4"/>
      <c r="C58" s="126"/>
      <c r="D58" s="4"/>
      <c r="E58" s="4"/>
      <c r="F58" s="79"/>
    </row>
    <row r="59" spans="1:6" x14ac:dyDescent="0.25">
      <c r="A59" s="75">
        <v>5</v>
      </c>
      <c r="B59" s="18" t="s">
        <v>53</v>
      </c>
      <c r="C59" s="128"/>
      <c r="D59" s="18"/>
      <c r="E59" s="18"/>
      <c r="F59" s="80"/>
    </row>
    <row r="60" spans="1:6" ht="4.1500000000000004" customHeight="1" x14ac:dyDescent="0.25">
      <c r="A60" s="81"/>
      <c r="B60" s="82"/>
      <c r="C60" s="129"/>
      <c r="D60" s="82"/>
      <c r="E60" s="82"/>
      <c r="F60" s="83"/>
    </row>
    <row r="61" spans="1:6" ht="26.25" x14ac:dyDescent="0.25">
      <c r="A61" s="19" t="s">
        <v>0</v>
      </c>
      <c r="B61" s="19" t="s">
        <v>53</v>
      </c>
      <c r="C61" s="42" t="s">
        <v>2</v>
      </c>
      <c r="D61" s="20" t="s">
        <v>3</v>
      </c>
      <c r="E61" s="20" t="s">
        <v>4</v>
      </c>
      <c r="F61" s="42" t="s">
        <v>5</v>
      </c>
    </row>
    <row r="62" spans="1:6" x14ac:dyDescent="0.25">
      <c r="A62" s="114" t="s">
        <v>108</v>
      </c>
      <c r="B62" s="25" t="s">
        <v>118</v>
      </c>
      <c r="C62" s="114" t="s">
        <v>10</v>
      </c>
      <c r="D62" s="25">
        <f>(D52)*0.15</f>
        <v>4.95</v>
      </c>
      <c r="E62" s="21">
        <v>0</v>
      </c>
      <c r="F62" s="84">
        <f t="shared" ref="F62:F69" si="9">D62*E62</f>
        <v>0</v>
      </c>
    </row>
    <row r="63" spans="1:6" x14ac:dyDescent="0.25">
      <c r="A63" s="114" t="s">
        <v>108</v>
      </c>
      <c r="B63" s="25" t="s">
        <v>54</v>
      </c>
      <c r="C63" s="114" t="s">
        <v>12</v>
      </c>
      <c r="D63" s="27">
        <f>D45*3+3+3</f>
        <v>105</v>
      </c>
      <c r="E63" s="21">
        <v>0</v>
      </c>
      <c r="F63" s="84">
        <f t="shared" si="9"/>
        <v>0</v>
      </c>
    </row>
    <row r="64" spans="1:6" x14ac:dyDescent="0.25">
      <c r="A64" s="114" t="s">
        <v>108</v>
      </c>
      <c r="B64" s="25" t="s">
        <v>55</v>
      </c>
      <c r="C64" s="114" t="s">
        <v>12</v>
      </c>
      <c r="D64" s="27">
        <f>3*D45+6</f>
        <v>105</v>
      </c>
      <c r="E64" s="21">
        <v>0</v>
      </c>
      <c r="F64" s="84">
        <f t="shared" si="9"/>
        <v>0</v>
      </c>
    </row>
    <row r="65" spans="1:6" x14ac:dyDescent="0.25">
      <c r="A65" s="114" t="s">
        <v>108</v>
      </c>
      <c r="B65" s="25" t="s">
        <v>56</v>
      </c>
      <c r="C65" s="114" t="s">
        <v>13</v>
      </c>
      <c r="D65" s="27">
        <f>1.5*D45+3</f>
        <v>52.5</v>
      </c>
      <c r="E65" s="21">
        <v>0</v>
      </c>
      <c r="F65" s="84">
        <f t="shared" si="9"/>
        <v>0</v>
      </c>
    </row>
    <row r="66" spans="1:6" x14ac:dyDescent="0.25">
      <c r="A66" s="114" t="s">
        <v>108</v>
      </c>
      <c r="B66" s="85" t="s">
        <v>58</v>
      </c>
      <c r="C66" s="114" t="s">
        <v>7</v>
      </c>
      <c r="D66" s="27">
        <f>D47+D28</f>
        <v>68</v>
      </c>
      <c r="E66" s="21">
        <v>0</v>
      </c>
      <c r="F66" s="84">
        <f t="shared" si="9"/>
        <v>0</v>
      </c>
    </row>
    <row r="67" spans="1:6" ht="39" x14ac:dyDescent="0.25">
      <c r="A67" s="114" t="s">
        <v>108</v>
      </c>
      <c r="B67" s="85" t="s">
        <v>153</v>
      </c>
      <c r="C67" s="114" t="s">
        <v>7</v>
      </c>
      <c r="D67" s="27">
        <f>D48+D29</f>
        <v>51</v>
      </c>
      <c r="E67" s="21">
        <v>0</v>
      </c>
      <c r="F67" s="84">
        <f>D67*E67</f>
        <v>0</v>
      </c>
    </row>
    <row r="68" spans="1:6" x14ac:dyDescent="0.25">
      <c r="A68" s="114" t="s">
        <v>108</v>
      </c>
      <c r="B68" s="25" t="s">
        <v>144</v>
      </c>
      <c r="C68" s="114" t="s">
        <v>10</v>
      </c>
      <c r="D68" s="27">
        <f>(D53+D34)*1.4*0.5</f>
        <v>13.803999999999998</v>
      </c>
      <c r="E68" s="21">
        <v>0</v>
      </c>
      <c r="F68" s="84">
        <f>D68*E68</f>
        <v>0</v>
      </c>
    </row>
    <row r="69" spans="1:6" ht="26.25" x14ac:dyDescent="0.25">
      <c r="A69" s="114" t="s">
        <v>108</v>
      </c>
      <c r="B69" s="25" t="s">
        <v>57</v>
      </c>
      <c r="C69" s="114" t="s">
        <v>12</v>
      </c>
      <c r="D69" s="27">
        <f>(D45+D25)*5</f>
        <v>170</v>
      </c>
      <c r="E69" s="21">
        <v>0</v>
      </c>
      <c r="F69" s="84">
        <f t="shared" si="9"/>
        <v>0</v>
      </c>
    </row>
    <row r="70" spans="1:6" ht="35.25" customHeight="1" x14ac:dyDescent="0.25">
      <c r="A70" s="114" t="s">
        <v>108</v>
      </c>
      <c r="B70" s="25" t="s">
        <v>227</v>
      </c>
      <c r="C70" s="114" t="s">
        <v>114</v>
      </c>
      <c r="D70" s="27">
        <f>0.35*(D43+D24)</f>
        <v>11.899999999999999</v>
      </c>
      <c r="E70" s="21">
        <v>0</v>
      </c>
      <c r="F70" s="84">
        <f>D70*E70</f>
        <v>0</v>
      </c>
    </row>
    <row r="71" spans="1:6" x14ac:dyDescent="0.25">
      <c r="A71" s="114" t="s">
        <v>108</v>
      </c>
      <c r="B71" s="25" t="s">
        <v>146</v>
      </c>
      <c r="C71" s="114" t="s">
        <v>10</v>
      </c>
      <c r="D71" s="25">
        <f>(D44+D23)*0.1</f>
        <v>3.4000000000000004</v>
      </c>
      <c r="E71" s="21">
        <v>0</v>
      </c>
      <c r="F71" s="84">
        <f t="shared" ref="F71" si="10">D71*E71</f>
        <v>0</v>
      </c>
    </row>
    <row r="72" spans="1:6" ht="18.75" customHeight="1" x14ac:dyDescent="0.25">
      <c r="A72" s="323" t="s">
        <v>115</v>
      </c>
      <c r="B72" s="324"/>
      <c r="C72" s="324"/>
      <c r="D72" s="324"/>
      <c r="E72" s="325"/>
      <c r="F72" s="95">
        <f>SUM(F62:F71)</f>
        <v>0</v>
      </c>
    </row>
    <row r="73" spans="1:6" ht="14.25" customHeight="1" x14ac:dyDescent="0.25">
      <c r="A73" s="4"/>
      <c r="B73" s="4"/>
      <c r="C73" s="126"/>
      <c r="D73" s="4"/>
      <c r="E73" s="4"/>
      <c r="F73" s="79"/>
    </row>
    <row r="74" spans="1:6" x14ac:dyDescent="0.25">
      <c r="A74" s="75">
        <v>5</v>
      </c>
      <c r="B74" s="18" t="s">
        <v>59</v>
      </c>
      <c r="C74" s="128"/>
      <c r="D74" s="18"/>
      <c r="E74" s="18"/>
      <c r="F74" s="80"/>
    </row>
    <row r="75" spans="1:6" ht="3.6" customHeight="1" x14ac:dyDescent="0.25">
      <c r="A75" s="81"/>
      <c r="B75" s="82"/>
      <c r="C75" s="129"/>
      <c r="D75" s="82"/>
      <c r="E75" s="82"/>
      <c r="F75" s="83"/>
    </row>
    <row r="76" spans="1:6" ht="26.25" x14ac:dyDescent="0.25">
      <c r="A76" s="19" t="s">
        <v>60</v>
      </c>
      <c r="B76" s="19" t="s">
        <v>59</v>
      </c>
      <c r="C76" s="42" t="s">
        <v>150</v>
      </c>
      <c r="D76" s="20" t="s">
        <v>3</v>
      </c>
      <c r="E76" s="20" t="s">
        <v>4</v>
      </c>
      <c r="F76" s="42" t="s">
        <v>5</v>
      </c>
    </row>
    <row r="77" spans="1:6" x14ac:dyDescent="0.25">
      <c r="A77" s="323" t="s">
        <v>15</v>
      </c>
      <c r="B77" s="324"/>
      <c r="C77" s="324"/>
      <c r="D77" s="324"/>
      <c r="E77" s="324"/>
      <c r="F77" s="325"/>
    </row>
    <row r="78" spans="1:6" ht="26.25" x14ac:dyDescent="0.25">
      <c r="A78" s="86"/>
      <c r="B78" s="108" t="s">
        <v>61</v>
      </c>
      <c r="C78" s="130" t="s">
        <v>64</v>
      </c>
      <c r="D78" s="86">
        <v>33</v>
      </c>
      <c r="E78" s="21">
        <v>0</v>
      </c>
      <c r="F78" s="84">
        <f t="shared" ref="F78" si="11">D78*E78</f>
        <v>0</v>
      </c>
    </row>
    <row r="79" spans="1:6" ht="23.25" customHeight="1" x14ac:dyDescent="0.25">
      <c r="A79" s="333" t="s">
        <v>62</v>
      </c>
      <c r="B79" s="334"/>
      <c r="C79" s="334"/>
      <c r="D79" s="334"/>
      <c r="E79" s="335"/>
      <c r="F79" s="96">
        <f>F78</f>
        <v>0</v>
      </c>
    </row>
    <row r="80" spans="1:6" ht="18.75" customHeight="1" x14ac:dyDescent="0.25">
      <c r="A80" s="5"/>
      <c r="B80" s="5"/>
      <c r="C80" s="124"/>
      <c r="D80" s="5"/>
      <c r="E80" s="5"/>
      <c r="F80" s="5"/>
    </row>
    <row r="81" spans="1:6" x14ac:dyDescent="0.25">
      <c r="A81" s="4" t="s">
        <v>145</v>
      </c>
      <c r="B81" s="87"/>
      <c r="C81" s="131"/>
      <c r="D81" s="87"/>
      <c r="E81" s="87"/>
      <c r="F81" s="87"/>
    </row>
    <row r="82" spans="1:6" x14ac:dyDescent="0.25">
      <c r="A82" s="25">
        <v>1</v>
      </c>
      <c r="B82" s="88" t="s">
        <v>82</v>
      </c>
      <c r="C82" s="132"/>
      <c r="D82" s="88"/>
      <c r="E82" s="88"/>
      <c r="F82" s="103">
        <f>F14</f>
        <v>0</v>
      </c>
    </row>
    <row r="83" spans="1:6" x14ac:dyDescent="0.25">
      <c r="A83" s="25">
        <v>2</v>
      </c>
      <c r="B83" s="97" t="s">
        <v>83</v>
      </c>
      <c r="C83" s="138"/>
      <c r="D83" s="97"/>
      <c r="E83" s="97"/>
      <c r="F83" s="99">
        <f>F38</f>
        <v>0</v>
      </c>
    </row>
    <row r="84" spans="1:6" x14ac:dyDescent="0.25">
      <c r="A84" s="25">
        <v>3</v>
      </c>
      <c r="B84" s="97" t="s">
        <v>338</v>
      </c>
      <c r="C84" s="138"/>
      <c r="D84" s="97"/>
      <c r="E84" s="97"/>
      <c r="F84" s="99">
        <f>F38</f>
        <v>0</v>
      </c>
    </row>
    <row r="85" spans="1:6" x14ac:dyDescent="0.25">
      <c r="A85" s="25">
        <v>4</v>
      </c>
      <c r="B85" s="97" t="s">
        <v>40</v>
      </c>
      <c r="C85" s="138"/>
      <c r="D85" s="97"/>
      <c r="E85" s="97"/>
      <c r="F85" s="99"/>
    </row>
    <row r="86" spans="1:6" x14ac:dyDescent="0.25">
      <c r="A86" s="100" t="s">
        <v>339</v>
      </c>
      <c r="B86" s="89" t="s">
        <v>40</v>
      </c>
      <c r="C86" s="115"/>
      <c r="D86" s="89"/>
      <c r="E86" s="89"/>
      <c r="F86" s="84">
        <f>F57</f>
        <v>0</v>
      </c>
    </row>
    <row r="87" spans="1:6" x14ac:dyDescent="0.25">
      <c r="A87" s="25">
        <v>5</v>
      </c>
      <c r="B87" s="5" t="s">
        <v>53</v>
      </c>
      <c r="C87" s="124"/>
      <c r="D87" s="5"/>
      <c r="E87" s="5"/>
      <c r="F87" s="90">
        <f>F72</f>
        <v>0</v>
      </c>
    </row>
    <row r="88" spans="1:6" x14ac:dyDescent="0.25">
      <c r="A88" s="25">
        <v>6</v>
      </c>
      <c r="B88" s="89" t="s">
        <v>59</v>
      </c>
      <c r="C88" s="115"/>
      <c r="D88" s="89"/>
      <c r="E88" s="89"/>
      <c r="F88" s="84">
        <f>F79</f>
        <v>0</v>
      </c>
    </row>
    <row r="89" spans="1:6" ht="3.6" customHeight="1" x14ac:dyDescent="0.25">
      <c r="A89" s="317"/>
      <c r="B89" s="318"/>
      <c r="C89" s="318"/>
      <c r="D89" s="318"/>
      <c r="E89" s="318"/>
      <c r="F89" s="319"/>
    </row>
    <row r="90" spans="1:6" x14ac:dyDescent="0.25">
      <c r="A90" s="211" t="s">
        <v>41</v>
      </c>
      <c r="B90" s="320" t="s">
        <v>328</v>
      </c>
      <c r="C90" s="321"/>
      <c r="D90" s="321"/>
      <c r="E90" s="322"/>
      <c r="F90" s="213">
        <f>SUM(F82:F88)</f>
        <v>0</v>
      </c>
    </row>
    <row r="91" spans="1:6" x14ac:dyDescent="0.25">
      <c r="A91" s="91"/>
      <c r="B91" s="91"/>
      <c r="C91" s="133"/>
      <c r="D91" s="91"/>
      <c r="E91" s="91"/>
      <c r="F91" s="91"/>
    </row>
    <row r="92" spans="1:6" x14ac:dyDescent="0.25">
      <c r="A92" s="91"/>
      <c r="B92" s="91"/>
      <c r="C92" s="133"/>
      <c r="D92" s="91"/>
      <c r="E92" s="91"/>
      <c r="F92" s="91"/>
    </row>
    <row r="119" spans="1:1" x14ac:dyDescent="0.25">
      <c r="A119" s="66" t="s">
        <v>132</v>
      </c>
    </row>
  </sheetData>
  <mergeCells count="10">
    <mergeCell ref="A2:B2"/>
    <mergeCell ref="A14:E14"/>
    <mergeCell ref="A38:E38"/>
    <mergeCell ref="A57:E57"/>
    <mergeCell ref="B90:E90"/>
    <mergeCell ref="A72:E72"/>
    <mergeCell ref="A77:F77"/>
    <mergeCell ref="A79:E79"/>
    <mergeCell ref="A89:F89"/>
    <mergeCell ref="A21:E21"/>
  </mergeCells>
  <pageMargins left="0.62992125984251968" right="0.23622047244094491" top="0.74803149606299213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topLeftCell="A16" workbookViewId="0">
      <selection activeCell="I46" sqref="I46"/>
    </sheetView>
  </sheetViews>
  <sheetFormatPr defaultColWidth="11.5703125" defaultRowHeight="15" x14ac:dyDescent="0.25"/>
  <cols>
    <col min="1" max="1" width="11.28515625" style="66" customWidth="1"/>
    <col min="2" max="2" width="39.7109375" style="66" customWidth="1"/>
    <col min="3" max="3" width="9.140625" style="134" customWidth="1"/>
    <col min="4" max="4" width="8.28515625" style="66" customWidth="1"/>
    <col min="5" max="5" width="10.140625" style="66" customWidth="1"/>
    <col min="6" max="6" width="16" style="66" customWidth="1"/>
    <col min="7" max="16384" width="11.5703125" style="66"/>
  </cols>
  <sheetData>
    <row r="1" spans="1:6" ht="42.75" customHeight="1" x14ac:dyDescent="0.4">
      <c r="A1" s="295" t="s">
        <v>321</v>
      </c>
      <c r="B1" s="336"/>
      <c r="C1" s="336"/>
      <c r="D1" s="336"/>
      <c r="E1" s="336"/>
      <c r="F1" s="336"/>
    </row>
    <row r="2" spans="1:6" ht="15.75" x14ac:dyDescent="0.3">
      <c r="A2" s="316" t="s">
        <v>39</v>
      </c>
      <c r="B2" s="296"/>
      <c r="C2" s="124"/>
      <c r="D2" s="5"/>
      <c r="E2" s="5"/>
      <c r="F2" s="5"/>
    </row>
    <row r="3" spans="1:6" ht="18.75" x14ac:dyDescent="0.3">
      <c r="A3" s="67"/>
      <c r="B3" s="5"/>
      <c r="C3" s="124"/>
      <c r="D3" s="5"/>
      <c r="E3" s="5"/>
      <c r="F3" s="5"/>
    </row>
    <row r="4" spans="1:6" ht="18.75" x14ac:dyDescent="0.3">
      <c r="A4" s="92" t="s">
        <v>196</v>
      </c>
      <c r="B4" s="5"/>
      <c r="C4" s="124"/>
      <c r="D4" s="5"/>
      <c r="E4" s="5"/>
      <c r="F4" s="5"/>
    </row>
    <row r="5" spans="1:6" ht="18.75" x14ac:dyDescent="0.3">
      <c r="A5" s="67"/>
      <c r="B5" s="5"/>
      <c r="C5" s="124"/>
      <c r="D5" s="5"/>
      <c r="E5" s="5"/>
      <c r="F5" s="5"/>
    </row>
    <row r="6" spans="1:6" x14ac:dyDescent="0.25">
      <c r="A6" s="36">
        <v>1</v>
      </c>
      <c r="B6" s="37" t="s">
        <v>65</v>
      </c>
      <c r="C6" s="125"/>
      <c r="D6" s="38"/>
      <c r="E6" s="38"/>
      <c r="F6" s="39"/>
    </row>
    <row r="7" spans="1:6" x14ac:dyDescent="0.25">
      <c r="A7" s="73" t="s">
        <v>66</v>
      </c>
      <c r="B7" s="37" t="s">
        <v>40</v>
      </c>
      <c r="C7" s="125"/>
      <c r="D7" s="38"/>
      <c r="E7" s="38"/>
      <c r="F7" s="39"/>
    </row>
    <row r="8" spans="1:6" ht="4.9000000000000004" customHeight="1" x14ac:dyDescent="0.25">
      <c r="A8" s="40"/>
      <c r="B8" s="41"/>
      <c r="C8" s="126"/>
      <c r="D8" s="4"/>
      <c r="E8" s="4"/>
      <c r="F8" s="4"/>
    </row>
    <row r="9" spans="1:6" ht="26.25" x14ac:dyDescent="0.25">
      <c r="A9" s="19" t="s">
        <v>0</v>
      </c>
      <c r="B9" s="19" t="s">
        <v>1</v>
      </c>
      <c r="C9" s="42" t="s">
        <v>2</v>
      </c>
      <c r="D9" s="20" t="s">
        <v>3</v>
      </c>
      <c r="E9" s="20" t="s">
        <v>4</v>
      </c>
      <c r="F9" s="42" t="s">
        <v>5</v>
      </c>
    </row>
    <row r="10" spans="1:6" ht="38.25" x14ac:dyDescent="0.25">
      <c r="A10" s="24" t="s">
        <v>20</v>
      </c>
      <c r="B10" s="13" t="s">
        <v>50</v>
      </c>
      <c r="C10" s="24" t="s">
        <v>6</v>
      </c>
      <c r="D10" s="21">
        <f>SUM(D46:D48)</f>
        <v>12</v>
      </c>
      <c r="E10" s="21">
        <v>0</v>
      </c>
      <c r="F10" s="21">
        <f t="shared" ref="F10:F20" si="0">E10*D10</f>
        <v>0</v>
      </c>
    </row>
    <row r="11" spans="1:6" ht="38.25" x14ac:dyDescent="0.25">
      <c r="A11" s="24" t="s">
        <v>19</v>
      </c>
      <c r="B11" s="13" t="s">
        <v>21</v>
      </c>
      <c r="C11" s="24" t="s">
        <v>6</v>
      </c>
      <c r="D11" s="21">
        <f>D10</f>
        <v>12</v>
      </c>
      <c r="E11" s="21">
        <v>0</v>
      </c>
      <c r="F11" s="21">
        <f t="shared" si="0"/>
        <v>0</v>
      </c>
    </row>
    <row r="12" spans="1:6" x14ac:dyDescent="0.25">
      <c r="A12" s="24" t="s">
        <v>22</v>
      </c>
      <c r="B12" s="13" t="s">
        <v>23</v>
      </c>
      <c r="C12" s="24" t="s">
        <v>6</v>
      </c>
      <c r="D12" s="21">
        <f>D10</f>
        <v>12</v>
      </c>
      <c r="E12" s="21">
        <v>0</v>
      </c>
      <c r="F12" s="21">
        <f t="shared" si="0"/>
        <v>0</v>
      </c>
    </row>
    <row r="13" spans="1:6" ht="38.25" x14ac:dyDescent="0.25">
      <c r="A13" s="24" t="s">
        <v>25</v>
      </c>
      <c r="B13" s="13" t="s">
        <v>24</v>
      </c>
      <c r="C13" s="24" t="s">
        <v>6</v>
      </c>
      <c r="D13" s="21">
        <f>D10</f>
        <v>12</v>
      </c>
      <c r="E13" s="21">
        <v>0</v>
      </c>
      <c r="F13" s="21">
        <f t="shared" si="0"/>
        <v>0</v>
      </c>
    </row>
    <row r="14" spans="1:6" ht="38.25" x14ac:dyDescent="0.25">
      <c r="A14" s="24" t="s">
        <v>27</v>
      </c>
      <c r="B14" s="13" t="s">
        <v>26</v>
      </c>
      <c r="C14" s="24" t="s">
        <v>7</v>
      </c>
      <c r="D14" s="21">
        <f>2*D10</f>
        <v>24</v>
      </c>
      <c r="E14" s="21">
        <v>0</v>
      </c>
      <c r="F14" s="21">
        <f t="shared" si="0"/>
        <v>0</v>
      </c>
    </row>
    <row r="15" spans="1:6" ht="25.5" x14ac:dyDescent="0.25">
      <c r="A15" s="24" t="s">
        <v>41</v>
      </c>
      <c r="B15" s="13" t="s">
        <v>152</v>
      </c>
      <c r="C15" s="24" t="s">
        <v>7</v>
      </c>
      <c r="D15" s="21">
        <f>D12*1.5</f>
        <v>18</v>
      </c>
      <c r="E15" s="21">
        <v>0</v>
      </c>
      <c r="F15" s="21">
        <f>D15*E15</f>
        <v>0</v>
      </c>
    </row>
    <row r="16" spans="1:6" ht="25.5" x14ac:dyDescent="0.25">
      <c r="A16" s="24" t="s">
        <v>28</v>
      </c>
      <c r="B16" s="13" t="s">
        <v>8</v>
      </c>
      <c r="C16" s="24" t="s">
        <v>6</v>
      </c>
      <c r="D16" s="21">
        <f>D11</f>
        <v>12</v>
      </c>
      <c r="E16" s="21">
        <v>0</v>
      </c>
      <c r="F16" s="21">
        <f t="shared" si="0"/>
        <v>0</v>
      </c>
    </row>
    <row r="17" spans="1:6" ht="38.25" x14ac:dyDescent="0.25">
      <c r="A17" s="24" t="s">
        <v>29</v>
      </c>
      <c r="B17" s="13" t="s">
        <v>30</v>
      </c>
      <c r="C17" s="24" t="s">
        <v>9</v>
      </c>
      <c r="D17" s="23">
        <f>D11*0.00005</f>
        <v>6.0000000000000006E-4</v>
      </c>
      <c r="E17" s="21">
        <v>0</v>
      </c>
      <c r="F17" s="21">
        <f t="shared" si="0"/>
        <v>0</v>
      </c>
    </row>
    <row r="18" spans="1:6" ht="38.25" x14ac:dyDescent="0.25">
      <c r="A18" s="24" t="s">
        <v>31</v>
      </c>
      <c r="B18" s="13" t="s">
        <v>34</v>
      </c>
      <c r="C18" s="24" t="s">
        <v>7</v>
      </c>
      <c r="D18" s="21">
        <f>D13</f>
        <v>12</v>
      </c>
      <c r="E18" s="21">
        <v>0</v>
      </c>
      <c r="F18" s="21">
        <f t="shared" si="0"/>
        <v>0</v>
      </c>
    </row>
    <row r="19" spans="1:6" ht="25.5" x14ac:dyDescent="0.25">
      <c r="A19" s="266" t="s">
        <v>102</v>
      </c>
      <c r="B19" s="267" t="s">
        <v>107</v>
      </c>
      <c r="C19" s="268" t="s">
        <v>10</v>
      </c>
      <c r="D19" s="269">
        <f>D13*0.1</f>
        <v>1.2000000000000002</v>
      </c>
      <c r="E19" s="270">
        <v>0</v>
      </c>
      <c r="F19" s="272">
        <f t="shared" ref="F19" si="1">D19*E19</f>
        <v>0</v>
      </c>
    </row>
    <row r="20" spans="1:6" ht="38.25" x14ac:dyDescent="0.25">
      <c r="A20" s="24" t="s">
        <v>32</v>
      </c>
      <c r="B20" s="13" t="s">
        <v>35</v>
      </c>
      <c r="C20" s="24" t="s">
        <v>9</v>
      </c>
      <c r="D20" s="21">
        <f>(D11*0.1)+(D21*2.4)</f>
        <v>6.9600000000000009</v>
      </c>
      <c r="E20" s="21">
        <v>0</v>
      </c>
      <c r="F20" s="21">
        <f t="shared" si="0"/>
        <v>0</v>
      </c>
    </row>
    <row r="21" spans="1:6" ht="51" x14ac:dyDescent="0.25">
      <c r="A21" s="43" t="s">
        <v>33</v>
      </c>
      <c r="B21" s="16" t="s">
        <v>36</v>
      </c>
      <c r="C21" s="135" t="s">
        <v>10</v>
      </c>
      <c r="D21" s="44">
        <f>D11*0.2</f>
        <v>2.4000000000000004</v>
      </c>
      <c r="E21" s="21">
        <v>0</v>
      </c>
      <c r="F21" s="22">
        <f t="shared" ref="F21:F23" si="2">D21*E21</f>
        <v>0</v>
      </c>
    </row>
    <row r="22" spans="1:6" ht="38.25" x14ac:dyDescent="0.25">
      <c r="A22" s="43" t="s">
        <v>37</v>
      </c>
      <c r="B22" s="16" t="s">
        <v>38</v>
      </c>
      <c r="C22" s="135" t="s">
        <v>10</v>
      </c>
      <c r="D22" s="44">
        <f>D21</f>
        <v>2.4000000000000004</v>
      </c>
      <c r="E22" s="21">
        <v>0</v>
      </c>
      <c r="F22" s="22">
        <f t="shared" si="2"/>
        <v>0</v>
      </c>
    </row>
    <row r="23" spans="1:6" ht="25.5" x14ac:dyDescent="0.25">
      <c r="A23" s="24" t="s">
        <v>41</v>
      </c>
      <c r="B23" s="17" t="s">
        <v>47</v>
      </c>
      <c r="C23" s="136" t="s">
        <v>9</v>
      </c>
      <c r="D23" s="45">
        <f>D22*2.4</f>
        <v>5.7600000000000007</v>
      </c>
      <c r="E23" s="21">
        <v>0</v>
      </c>
      <c r="F23" s="22">
        <f t="shared" si="2"/>
        <v>0</v>
      </c>
    </row>
    <row r="24" spans="1:6" x14ac:dyDescent="0.25">
      <c r="A24" s="311" t="s">
        <v>92</v>
      </c>
      <c r="B24" s="312"/>
      <c r="C24" s="312"/>
      <c r="D24" s="312"/>
      <c r="E24" s="313"/>
      <c r="F24" s="94">
        <f>SUM(F10:F23)</f>
        <v>0</v>
      </c>
    </row>
    <row r="25" spans="1:6" x14ac:dyDescent="0.25">
      <c r="A25" s="65"/>
      <c r="B25" s="14"/>
      <c r="C25" s="64"/>
      <c r="D25" s="74"/>
      <c r="E25" s="74"/>
      <c r="F25" s="74"/>
    </row>
    <row r="26" spans="1:6" x14ac:dyDescent="0.25">
      <c r="A26" s="4"/>
      <c r="B26" s="4"/>
      <c r="C26" s="126"/>
      <c r="D26" s="4"/>
      <c r="E26" s="4"/>
      <c r="F26" s="79"/>
    </row>
    <row r="27" spans="1:6" x14ac:dyDescent="0.25">
      <c r="A27" s="75">
        <v>2</v>
      </c>
      <c r="B27" s="18" t="s">
        <v>53</v>
      </c>
      <c r="C27" s="128"/>
      <c r="D27" s="18"/>
      <c r="E27" s="18"/>
      <c r="F27" s="80"/>
    </row>
    <row r="28" spans="1:6" ht="4.1500000000000004" customHeight="1" x14ac:dyDescent="0.25">
      <c r="A28" s="81"/>
      <c r="B28" s="82"/>
      <c r="C28" s="129"/>
      <c r="D28" s="82"/>
      <c r="E28" s="82"/>
      <c r="F28" s="83"/>
    </row>
    <row r="29" spans="1:6" ht="26.25" x14ac:dyDescent="0.25">
      <c r="A29" s="19" t="s">
        <v>0</v>
      </c>
      <c r="B29" s="19" t="s">
        <v>53</v>
      </c>
      <c r="C29" s="42" t="s">
        <v>2</v>
      </c>
      <c r="D29" s="20" t="s">
        <v>3</v>
      </c>
      <c r="E29" s="20" t="s">
        <v>4</v>
      </c>
      <c r="F29" s="42" t="s">
        <v>5</v>
      </c>
    </row>
    <row r="30" spans="1:6" x14ac:dyDescent="0.25">
      <c r="A30" s="114" t="s">
        <v>108</v>
      </c>
      <c r="B30" s="25" t="s">
        <v>118</v>
      </c>
      <c r="C30" s="114" t="s">
        <v>10</v>
      </c>
      <c r="D30" s="25">
        <f>D18*0.15</f>
        <v>1.7999999999999998</v>
      </c>
      <c r="E30" s="21">
        <v>0</v>
      </c>
      <c r="F30" s="84">
        <f t="shared" ref="F30:F36" si="3">D30*E30</f>
        <v>0</v>
      </c>
    </row>
    <row r="31" spans="1:6" x14ac:dyDescent="0.25">
      <c r="A31" s="114" t="s">
        <v>108</v>
      </c>
      <c r="B31" s="25" t="s">
        <v>54</v>
      </c>
      <c r="C31" s="114" t="s">
        <v>12</v>
      </c>
      <c r="D31" s="27">
        <f>D12*3</f>
        <v>36</v>
      </c>
      <c r="E31" s="21">
        <v>0</v>
      </c>
      <c r="F31" s="84">
        <f t="shared" si="3"/>
        <v>0</v>
      </c>
    </row>
    <row r="32" spans="1:6" x14ac:dyDescent="0.25">
      <c r="A32" s="114" t="s">
        <v>108</v>
      </c>
      <c r="B32" s="25" t="s">
        <v>55</v>
      </c>
      <c r="C32" s="114" t="s">
        <v>12</v>
      </c>
      <c r="D32" s="27">
        <f>D31</f>
        <v>36</v>
      </c>
      <c r="E32" s="21">
        <v>0</v>
      </c>
      <c r="F32" s="84">
        <f t="shared" si="3"/>
        <v>0</v>
      </c>
    </row>
    <row r="33" spans="1:8" x14ac:dyDescent="0.25">
      <c r="A33" s="114" t="s">
        <v>108</v>
      </c>
      <c r="B33" s="25" t="s">
        <v>56</v>
      </c>
      <c r="C33" s="114" t="s">
        <v>13</v>
      </c>
      <c r="D33" s="27">
        <f>(1.5*D12)</f>
        <v>18</v>
      </c>
      <c r="E33" s="21">
        <v>0</v>
      </c>
      <c r="F33" s="84">
        <f t="shared" si="3"/>
        <v>0</v>
      </c>
    </row>
    <row r="34" spans="1:8" x14ac:dyDescent="0.25">
      <c r="A34" s="114" t="s">
        <v>108</v>
      </c>
      <c r="B34" s="85" t="s">
        <v>58</v>
      </c>
      <c r="C34" s="114" t="s">
        <v>7</v>
      </c>
      <c r="D34" s="27">
        <f>D14</f>
        <v>24</v>
      </c>
      <c r="E34" s="21">
        <v>0</v>
      </c>
      <c r="F34" s="84">
        <f t="shared" si="3"/>
        <v>0</v>
      </c>
    </row>
    <row r="35" spans="1:8" ht="39" x14ac:dyDescent="0.25">
      <c r="A35" s="114" t="s">
        <v>108</v>
      </c>
      <c r="B35" s="85" t="s">
        <v>153</v>
      </c>
      <c r="C35" s="114" t="s">
        <v>7</v>
      </c>
      <c r="D35" s="27">
        <f>D15</f>
        <v>18</v>
      </c>
      <c r="E35" s="21">
        <v>0</v>
      </c>
      <c r="F35" s="84">
        <f>D35*E35</f>
        <v>0</v>
      </c>
    </row>
    <row r="36" spans="1:8" ht="26.25" x14ac:dyDescent="0.25">
      <c r="A36" s="114" t="s">
        <v>108</v>
      </c>
      <c r="B36" s="25" t="s">
        <v>57</v>
      </c>
      <c r="C36" s="114" t="s">
        <v>12</v>
      </c>
      <c r="D36" s="27">
        <f>(D11*5)</f>
        <v>60</v>
      </c>
      <c r="E36" s="21">
        <v>0</v>
      </c>
      <c r="F36" s="84">
        <f t="shared" si="3"/>
        <v>0</v>
      </c>
    </row>
    <row r="37" spans="1:8" x14ac:dyDescent="0.25">
      <c r="A37" s="114" t="s">
        <v>108</v>
      </c>
      <c r="B37" s="25" t="s">
        <v>144</v>
      </c>
      <c r="C37" s="114" t="s">
        <v>10</v>
      </c>
      <c r="D37" s="27">
        <f>D20*1.4*0.5</f>
        <v>4.8719999999999999</v>
      </c>
      <c r="E37" s="21">
        <v>0</v>
      </c>
      <c r="F37" s="84">
        <f>D37*E37</f>
        <v>0</v>
      </c>
    </row>
    <row r="38" spans="1:8" ht="26.25" x14ac:dyDescent="0.25">
      <c r="A38" s="114" t="s">
        <v>108</v>
      </c>
      <c r="B38" s="25" t="s">
        <v>227</v>
      </c>
      <c r="C38" s="114" t="s">
        <v>114</v>
      </c>
      <c r="D38" s="27">
        <f>0.35*D11</f>
        <v>4.1999999999999993</v>
      </c>
      <c r="E38" s="21">
        <v>0</v>
      </c>
      <c r="F38" s="84">
        <f>D38*E38</f>
        <v>0</v>
      </c>
    </row>
    <row r="39" spans="1:8" x14ac:dyDescent="0.25">
      <c r="A39" s="114" t="s">
        <v>108</v>
      </c>
      <c r="B39" s="25" t="s">
        <v>146</v>
      </c>
      <c r="C39" s="114" t="s">
        <v>10</v>
      </c>
      <c r="D39" s="25">
        <f>D11*0.1</f>
        <v>1.2000000000000002</v>
      </c>
      <c r="E39" s="21">
        <v>0</v>
      </c>
      <c r="F39" s="84">
        <f t="shared" ref="F39" si="4">D39*E39</f>
        <v>0</v>
      </c>
    </row>
    <row r="40" spans="1:8" ht="22.5" customHeight="1" x14ac:dyDescent="0.25">
      <c r="A40" s="323" t="s">
        <v>115</v>
      </c>
      <c r="B40" s="324"/>
      <c r="C40" s="324"/>
      <c r="D40" s="324"/>
      <c r="E40" s="325"/>
      <c r="F40" s="95">
        <f>SUM(F30:F39)</f>
        <v>0</v>
      </c>
    </row>
    <row r="41" spans="1:8" ht="27" customHeight="1" x14ac:dyDescent="0.25">
      <c r="A41" s="4"/>
      <c r="B41" s="4"/>
      <c r="C41" s="126"/>
      <c r="D41" s="4"/>
      <c r="E41" s="4"/>
      <c r="F41" s="79"/>
    </row>
    <row r="42" spans="1:8" x14ac:dyDescent="0.25">
      <c r="A42" s="75">
        <v>3</v>
      </c>
      <c r="B42" s="18" t="s">
        <v>59</v>
      </c>
      <c r="C42" s="128"/>
      <c r="D42" s="18"/>
      <c r="E42" s="18"/>
      <c r="F42" s="80"/>
    </row>
    <row r="43" spans="1:8" ht="3" customHeight="1" x14ac:dyDescent="0.25">
      <c r="A43" s="81"/>
      <c r="B43" s="82"/>
      <c r="C43" s="129"/>
      <c r="D43" s="82"/>
      <c r="E43" s="82"/>
      <c r="F43" s="83"/>
    </row>
    <row r="44" spans="1:8" ht="26.25" x14ac:dyDescent="0.25">
      <c r="A44" s="19" t="s">
        <v>60</v>
      </c>
      <c r="B44" s="19" t="s">
        <v>59</v>
      </c>
      <c r="C44" s="42" t="s">
        <v>150</v>
      </c>
      <c r="D44" s="20" t="s">
        <v>3</v>
      </c>
      <c r="E44" s="20" t="s">
        <v>4</v>
      </c>
      <c r="F44" s="42" t="s">
        <v>5</v>
      </c>
    </row>
    <row r="45" spans="1:8" x14ac:dyDescent="0.25">
      <c r="A45" s="323" t="s">
        <v>15</v>
      </c>
      <c r="B45" s="324"/>
      <c r="C45" s="324"/>
      <c r="D45" s="324"/>
      <c r="E45" s="324"/>
      <c r="F45" s="325"/>
    </row>
    <row r="46" spans="1:8" x14ac:dyDescent="0.25">
      <c r="A46" s="25"/>
      <c r="B46" s="86" t="s">
        <v>142</v>
      </c>
      <c r="C46" s="130" t="s">
        <v>330</v>
      </c>
      <c r="D46" s="86">
        <v>6</v>
      </c>
      <c r="E46" s="21">
        <v>0</v>
      </c>
      <c r="F46" s="84">
        <f t="shared" ref="F46" si="5">D46*E46</f>
        <v>0</v>
      </c>
      <c r="H46" s="111"/>
    </row>
    <row r="47" spans="1:8" x14ac:dyDescent="0.25">
      <c r="A47" s="25"/>
      <c r="B47" s="86" t="s">
        <v>147</v>
      </c>
      <c r="C47" s="130" t="s">
        <v>143</v>
      </c>
      <c r="D47" s="86">
        <v>4</v>
      </c>
      <c r="E47" s="21">
        <v>0</v>
      </c>
      <c r="F47" s="84">
        <f>D47*E47</f>
        <v>0</v>
      </c>
      <c r="H47" s="111"/>
    </row>
    <row r="48" spans="1:8" x14ac:dyDescent="0.25">
      <c r="A48" s="25"/>
      <c r="B48" s="86" t="s">
        <v>148</v>
      </c>
      <c r="C48" s="130" t="s">
        <v>143</v>
      </c>
      <c r="D48" s="86">
        <v>2</v>
      </c>
      <c r="E48" s="21">
        <v>0</v>
      </c>
      <c r="F48" s="84">
        <f>D48*E48</f>
        <v>0</v>
      </c>
      <c r="H48" s="111"/>
    </row>
    <row r="49" spans="1:8" ht="21" customHeight="1" x14ac:dyDescent="0.25">
      <c r="A49" s="333" t="s">
        <v>62</v>
      </c>
      <c r="B49" s="334"/>
      <c r="C49" s="334"/>
      <c r="D49" s="334"/>
      <c r="E49" s="335"/>
      <c r="F49" s="96">
        <f>SUM(F46:F48)</f>
        <v>0</v>
      </c>
      <c r="H49" s="111"/>
    </row>
    <row r="50" spans="1:8" ht="33" customHeight="1" x14ac:dyDescent="0.25">
      <c r="A50" s="5"/>
      <c r="B50" s="5"/>
      <c r="C50" s="124"/>
      <c r="D50" s="5"/>
      <c r="E50" s="5"/>
      <c r="F50" s="5"/>
    </row>
    <row r="51" spans="1:8" x14ac:dyDescent="0.25">
      <c r="A51" s="4" t="s">
        <v>145</v>
      </c>
      <c r="B51" s="4"/>
      <c r="C51" s="126"/>
      <c r="D51" s="4"/>
      <c r="E51" s="4"/>
      <c r="F51" s="4"/>
    </row>
    <row r="52" spans="1:8" x14ac:dyDescent="0.25">
      <c r="A52" s="110">
        <v>1</v>
      </c>
      <c r="B52" s="332" t="s">
        <v>40</v>
      </c>
      <c r="C52" s="332"/>
      <c r="D52" s="332"/>
      <c r="E52" s="332"/>
      <c r="F52" s="98">
        <f>F24</f>
        <v>0</v>
      </c>
    </row>
    <row r="53" spans="1:8" x14ac:dyDescent="0.25">
      <c r="A53" s="25">
        <v>2</v>
      </c>
      <c r="B53" s="332" t="s">
        <v>53</v>
      </c>
      <c r="C53" s="332"/>
      <c r="D53" s="332"/>
      <c r="E53" s="332"/>
      <c r="F53" s="84">
        <f>F40</f>
        <v>0</v>
      </c>
    </row>
    <row r="54" spans="1:8" x14ac:dyDescent="0.25">
      <c r="A54" s="25">
        <v>3</v>
      </c>
      <c r="B54" s="332" t="s">
        <v>59</v>
      </c>
      <c r="C54" s="332"/>
      <c r="D54" s="332"/>
      <c r="E54" s="332"/>
      <c r="F54" s="84">
        <f>F49</f>
        <v>0</v>
      </c>
    </row>
    <row r="55" spans="1:8" ht="5.45" customHeight="1" x14ac:dyDescent="0.25">
      <c r="A55" s="338"/>
      <c r="B55" s="338"/>
      <c r="C55" s="338"/>
      <c r="D55" s="338"/>
      <c r="E55" s="338"/>
      <c r="F55" s="338"/>
    </row>
    <row r="56" spans="1:8" ht="22.5" customHeight="1" x14ac:dyDescent="0.25">
      <c r="A56" s="211" t="s">
        <v>41</v>
      </c>
      <c r="B56" s="337" t="s">
        <v>328</v>
      </c>
      <c r="C56" s="337"/>
      <c r="D56" s="337"/>
      <c r="E56" s="337"/>
      <c r="F56" s="212">
        <f>SUM(F52:F54)</f>
        <v>0</v>
      </c>
    </row>
  </sheetData>
  <mergeCells count="11">
    <mergeCell ref="B56:E56"/>
    <mergeCell ref="B53:E53"/>
    <mergeCell ref="B54:E54"/>
    <mergeCell ref="A55:F55"/>
    <mergeCell ref="B52:E52"/>
    <mergeCell ref="A1:F1"/>
    <mergeCell ref="A24:E24"/>
    <mergeCell ref="A40:E40"/>
    <mergeCell ref="A45:F45"/>
    <mergeCell ref="A49:E49"/>
    <mergeCell ref="A2:B2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opLeftCell="A79" workbookViewId="0">
      <selection activeCell="E88" sqref="E88"/>
    </sheetView>
  </sheetViews>
  <sheetFormatPr defaultColWidth="11.5703125" defaultRowHeight="15" x14ac:dyDescent="0.25"/>
  <cols>
    <col min="1" max="1" width="11.140625" style="66" customWidth="1"/>
    <col min="2" max="2" width="39.7109375" style="66" customWidth="1"/>
    <col min="3" max="3" width="7.85546875" style="134" customWidth="1"/>
    <col min="4" max="4" width="8.28515625" style="66" customWidth="1"/>
    <col min="5" max="5" width="10.140625" style="66" customWidth="1"/>
    <col min="6" max="6" width="16" style="66" customWidth="1"/>
    <col min="7" max="16384" width="11.5703125" style="66"/>
  </cols>
  <sheetData>
    <row r="1" spans="1:6" ht="37.5" customHeight="1" x14ac:dyDescent="0.3">
      <c r="A1" s="295" t="s">
        <v>321</v>
      </c>
      <c r="B1" s="295"/>
      <c r="C1" s="295"/>
      <c r="D1" s="295"/>
      <c r="E1" s="295"/>
      <c r="F1" s="295"/>
    </row>
    <row r="2" spans="1:6" ht="24" customHeight="1" x14ac:dyDescent="0.3">
      <c r="A2" s="316" t="s">
        <v>39</v>
      </c>
      <c r="B2" s="296"/>
      <c r="C2" s="124"/>
      <c r="D2" s="5"/>
      <c r="E2" s="5"/>
      <c r="F2" s="5"/>
    </row>
    <row r="3" spans="1:6" ht="18.75" x14ac:dyDescent="0.3">
      <c r="A3" s="220"/>
      <c r="B3" s="5"/>
      <c r="C3" s="124"/>
      <c r="D3" s="5"/>
      <c r="E3" s="5"/>
      <c r="F3" s="5"/>
    </row>
    <row r="4" spans="1:6" ht="18.75" x14ac:dyDescent="0.3">
      <c r="A4" s="92" t="s">
        <v>397</v>
      </c>
      <c r="B4" s="228"/>
      <c r="C4" s="248"/>
      <c r="D4" s="228"/>
      <c r="E4" s="228"/>
      <c r="F4" s="5"/>
    </row>
    <row r="5" spans="1:6" ht="18.75" x14ac:dyDescent="0.3">
      <c r="A5" s="93"/>
      <c r="B5" s="5"/>
      <c r="C5" s="124"/>
      <c r="D5" s="5"/>
      <c r="E5" s="5"/>
      <c r="F5" s="5"/>
    </row>
    <row r="6" spans="1:6" ht="5.25" customHeight="1" x14ac:dyDescent="0.25">
      <c r="A6" s="5"/>
      <c r="B6" s="5"/>
      <c r="C6" s="124"/>
      <c r="D6" s="5"/>
      <c r="E6" s="5"/>
      <c r="F6" s="5"/>
    </row>
    <row r="7" spans="1:6" x14ac:dyDescent="0.25">
      <c r="A7" s="7">
        <v>1</v>
      </c>
      <c r="B7" s="8" t="s">
        <v>65</v>
      </c>
      <c r="C7" s="139"/>
      <c r="D7" s="9"/>
      <c r="E7" s="9"/>
      <c r="F7" s="10"/>
    </row>
    <row r="8" spans="1:6" x14ac:dyDescent="0.25">
      <c r="A8" s="28" t="s">
        <v>66</v>
      </c>
      <c r="B8" s="8" t="s">
        <v>40</v>
      </c>
      <c r="C8" s="139"/>
      <c r="D8" s="9"/>
      <c r="E8" s="9"/>
      <c r="F8" s="10"/>
    </row>
    <row r="9" spans="1:6" ht="5.45" customHeight="1" x14ac:dyDescent="0.25">
      <c r="A9" s="11"/>
      <c r="B9" s="12"/>
      <c r="C9" s="140"/>
      <c r="D9" s="3"/>
      <c r="E9" s="3"/>
      <c r="F9" s="3"/>
    </row>
    <row r="10" spans="1:6" ht="26.25" x14ac:dyDescent="0.25">
      <c r="A10" s="19" t="s">
        <v>0</v>
      </c>
      <c r="B10" s="19" t="s">
        <v>1</v>
      </c>
      <c r="C10" s="42" t="s">
        <v>2</v>
      </c>
      <c r="D10" s="20" t="s">
        <v>3</v>
      </c>
      <c r="E10" s="20" t="s">
        <v>4</v>
      </c>
      <c r="F10" s="42" t="s">
        <v>5</v>
      </c>
    </row>
    <row r="11" spans="1:6" ht="38.25" x14ac:dyDescent="0.25">
      <c r="A11" s="24" t="s">
        <v>20</v>
      </c>
      <c r="B11" s="13" t="s">
        <v>50</v>
      </c>
      <c r="C11" s="24" t="s">
        <v>6</v>
      </c>
      <c r="D11" s="21">
        <f>D80+D81+D82+D83+D84+D85+D86</f>
        <v>16</v>
      </c>
      <c r="E11" s="21">
        <v>0</v>
      </c>
      <c r="F11" s="21">
        <f t="shared" ref="F11:F20" si="0">E11*D11</f>
        <v>0</v>
      </c>
    </row>
    <row r="12" spans="1:6" ht="38.25" x14ac:dyDescent="0.25">
      <c r="A12" s="24" t="s">
        <v>19</v>
      </c>
      <c r="B12" s="13" t="s">
        <v>21</v>
      </c>
      <c r="C12" s="24" t="s">
        <v>6</v>
      </c>
      <c r="D12" s="21">
        <f>D11</f>
        <v>16</v>
      </c>
      <c r="E12" s="21">
        <v>0</v>
      </c>
      <c r="F12" s="21">
        <f t="shared" si="0"/>
        <v>0</v>
      </c>
    </row>
    <row r="13" spans="1:6" x14ac:dyDescent="0.25">
      <c r="A13" s="24" t="s">
        <v>22</v>
      </c>
      <c r="B13" s="13" t="s">
        <v>23</v>
      </c>
      <c r="C13" s="24" t="s">
        <v>6</v>
      </c>
      <c r="D13" s="21">
        <f>D11</f>
        <v>16</v>
      </c>
      <c r="E13" s="21">
        <v>0</v>
      </c>
      <c r="F13" s="21">
        <f t="shared" si="0"/>
        <v>0</v>
      </c>
    </row>
    <row r="14" spans="1:6" ht="38.25" x14ac:dyDescent="0.25">
      <c r="A14" s="24" t="s">
        <v>25</v>
      </c>
      <c r="B14" s="13" t="s">
        <v>24</v>
      </c>
      <c r="C14" s="24" t="s">
        <v>6</v>
      </c>
      <c r="D14" s="21">
        <f>D11</f>
        <v>16</v>
      </c>
      <c r="E14" s="21">
        <v>0</v>
      </c>
      <c r="F14" s="21">
        <f t="shared" si="0"/>
        <v>0</v>
      </c>
    </row>
    <row r="15" spans="1:6" ht="38.25" x14ac:dyDescent="0.25">
      <c r="A15" s="24" t="s">
        <v>27</v>
      </c>
      <c r="B15" s="13" t="s">
        <v>26</v>
      </c>
      <c r="C15" s="24" t="s">
        <v>7</v>
      </c>
      <c r="D15" s="21">
        <f>2*D11</f>
        <v>32</v>
      </c>
      <c r="E15" s="21">
        <v>0</v>
      </c>
      <c r="F15" s="21">
        <f t="shared" si="0"/>
        <v>0</v>
      </c>
    </row>
    <row r="16" spans="1:6" ht="25.5" x14ac:dyDescent="0.25">
      <c r="A16" s="24" t="s">
        <v>28</v>
      </c>
      <c r="B16" s="13" t="s">
        <v>8</v>
      </c>
      <c r="C16" s="24" t="s">
        <v>6</v>
      </c>
      <c r="D16" s="21">
        <f>D12</f>
        <v>16</v>
      </c>
      <c r="E16" s="21">
        <v>0</v>
      </c>
      <c r="F16" s="21">
        <f t="shared" si="0"/>
        <v>0</v>
      </c>
    </row>
    <row r="17" spans="1:6" ht="38.25" x14ac:dyDescent="0.25">
      <c r="A17" s="24" t="s">
        <v>29</v>
      </c>
      <c r="B17" s="13" t="s">
        <v>30</v>
      </c>
      <c r="C17" s="24" t="s">
        <v>9</v>
      </c>
      <c r="D17" s="23">
        <f>(D11*5*10*0.00001)</f>
        <v>8.0000000000000002E-3</v>
      </c>
      <c r="E17" s="21">
        <v>0</v>
      </c>
      <c r="F17" s="21">
        <f t="shared" si="0"/>
        <v>0</v>
      </c>
    </row>
    <row r="18" spans="1:6" ht="25.5" x14ac:dyDescent="0.25">
      <c r="A18" s="55" t="s">
        <v>102</v>
      </c>
      <c r="B18" s="47" t="s">
        <v>107</v>
      </c>
      <c r="C18" s="50" t="s">
        <v>10</v>
      </c>
      <c r="D18" s="51">
        <f>D12*0.1</f>
        <v>1.6</v>
      </c>
      <c r="E18" s="21">
        <v>0</v>
      </c>
      <c r="F18" s="33">
        <f t="shared" ref="F18" si="1">D18*E18</f>
        <v>0</v>
      </c>
    </row>
    <row r="19" spans="1:6" ht="38.25" x14ac:dyDescent="0.25">
      <c r="A19" s="24" t="s">
        <v>31</v>
      </c>
      <c r="B19" s="13" t="s">
        <v>34</v>
      </c>
      <c r="C19" s="24" t="s">
        <v>7</v>
      </c>
      <c r="D19" s="21">
        <f>D14</f>
        <v>16</v>
      </c>
      <c r="E19" s="21">
        <v>0</v>
      </c>
      <c r="F19" s="21">
        <f t="shared" si="0"/>
        <v>0</v>
      </c>
    </row>
    <row r="20" spans="1:6" ht="38.25" x14ac:dyDescent="0.25">
      <c r="A20" s="24" t="s">
        <v>32</v>
      </c>
      <c r="B20" s="13" t="s">
        <v>35</v>
      </c>
      <c r="C20" s="24" t="s">
        <v>9</v>
      </c>
      <c r="D20" s="21">
        <f>(D12*0.1)+(D21*2.4)</f>
        <v>9.2799999999999994</v>
      </c>
      <c r="E20" s="21">
        <v>0</v>
      </c>
      <c r="F20" s="21">
        <f t="shared" si="0"/>
        <v>0</v>
      </c>
    </row>
    <row r="21" spans="1:6" ht="51" x14ac:dyDescent="0.25">
      <c r="A21" s="43" t="s">
        <v>33</v>
      </c>
      <c r="B21" s="16" t="s">
        <v>36</v>
      </c>
      <c r="C21" s="135" t="s">
        <v>10</v>
      </c>
      <c r="D21" s="44">
        <f>D12*0.2</f>
        <v>3.2</v>
      </c>
      <c r="E21" s="21">
        <v>0</v>
      </c>
      <c r="F21" s="22">
        <f t="shared" ref="F21:F23" si="2">D21*E21</f>
        <v>0</v>
      </c>
    </row>
    <row r="22" spans="1:6" ht="38.25" x14ac:dyDescent="0.25">
      <c r="A22" s="43" t="s">
        <v>37</v>
      </c>
      <c r="B22" s="16" t="s">
        <v>38</v>
      </c>
      <c r="C22" s="135" t="s">
        <v>10</v>
      </c>
      <c r="D22" s="44">
        <f>D21</f>
        <v>3.2</v>
      </c>
      <c r="E22" s="21">
        <v>0</v>
      </c>
      <c r="F22" s="22">
        <f t="shared" si="2"/>
        <v>0</v>
      </c>
    </row>
    <row r="23" spans="1:6" ht="25.5" x14ac:dyDescent="0.25">
      <c r="A23" s="24" t="s">
        <v>41</v>
      </c>
      <c r="B23" s="17" t="s">
        <v>47</v>
      </c>
      <c r="C23" s="136" t="s">
        <v>9</v>
      </c>
      <c r="D23" s="45">
        <f>D22*2.4</f>
        <v>7.68</v>
      </c>
      <c r="E23" s="21">
        <v>0</v>
      </c>
      <c r="F23" s="22">
        <f t="shared" si="2"/>
        <v>0</v>
      </c>
    </row>
    <row r="24" spans="1:6" ht="23.25" customHeight="1" x14ac:dyDescent="0.25">
      <c r="A24" s="311" t="s">
        <v>92</v>
      </c>
      <c r="B24" s="312"/>
      <c r="C24" s="312"/>
      <c r="D24" s="312"/>
      <c r="E24" s="313"/>
      <c r="F24" s="94">
        <f>SUM(F11:F23)</f>
        <v>0</v>
      </c>
    </row>
    <row r="25" spans="1:6" ht="32.25" customHeight="1" x14ac:dyDescent="0.25">
      <c r="A25" s="65"/>
      <c r="B25" s="14"/>
      <c r="C25" s="64"/>
      <c r="D25" s="74"/>
      <c r="E25" s="74"/>
      <c r="F25" s="74"/>
    </row>
    <row r="26" spans="1:6" ht="32.25" customHeight="1" x14ac:dyDescent="0.25">
      <c r="A26" s="65"/>
      <c r="B26" s="14"/>
      <c r="C26" s="64"/>
      <c r="D26" s="74"/>
      <c r="E26" s="74"/>
      <c r="F26" s="74"/>
    </row>
    <row r="27" spans="1:6" ht="32.25" customHeight="1" x14ac:dyDescent="0.25">
      <c r="A27" s="65"/>
      <c r="B27" s="14"/>
      <c r="C27" s="64"/>
      <c r="D27" s="74"/>
      <c r="E27" s="74"/>
      <c r="F27" s="74"/>
    </row>
    <row r="28" spans="1:6" ht="18" customHeight="1" x14ac:dyDescent="0.25">
      <c r="A28" s="75" t="s">
        <v>198</v>
      </c>
      <c r="B28" s="219" t="s">
        <v>42</v>
      </c>
      <c r="C28" s="127"/>
      <c r="D28" s="76"/>
      <c r="E28" s="76"/>
      <c r="F28" s="77"/>
    </row>
    <row r="29" spans="1:6" ht="5.25" customHeight="1" x14ac:dyDescent="0.25">
      <c r="A29" s="78"/>
      <c r="B29" s="4"/>
      <c r="C29" s="126"/>
      <c r="D29" s="4"/>
      <c r="E29" s="4"/>
      <c r="F29" s="79"/>
    </row>
    <row r="30" spans="1:6" ht="26.25" x14ac:dyDescent="0.25">
      <c r="A30" s="19" t="s">
        <v>0</v>
      </c>
      <c r="B30" s="19" t="s">
        <v>1</v>
      </c>
      <c r="C30" s="42" t="s">
        <v>2</v>
      </c>
      <c r="D30" s="20" t="s">
        <v>3</v>
      </c>
      <c r="E30" s="20" t="s">
        <v>4</v>
      </c>
      <c r="F30" s="42" t="s">
        <v>5</v>
      </c>
    </row>
    <row r="31" spans="1:6" ht="38.25" x14ac:dyDescent="0.25">
      <c r="A31" s="24" t="s">
        <v>45</v>
      </c>
      <c r="B31" s="6" t="s">
        <v>117</v>
      </c>
      <c r="C31" s="24" t="s">
        <v>6</v>
      </c>
      <c r="D31" s="21">
        <f>D88</f>
        <v>18</v>
      </c>
      <c r="E31" s="21">
        <v>0</v>
      </c>
      <c r="F31" s="22">
        <f t="shared" ref="F31:F40" si="3">D31*E31</f>
        <v>0</v>
      </c>
    </row>
    <row r="32" spans="1:6" ht="38.25" x14ac:dyDescent="0.25">
      <c r="A32" s="24" t="s">
        <v>46</v>
      </c>
      <c r="B32" s="6" t="s">
        <v>51</v>
      </c>
      <c r="C32" s="24" t="s">
        <v>6</v>
      </c>
      <c r="D32" s="21">
        <f>D31</f>
        <v>18</v>
      </c>
      <c r="E32" s="21">
        <v>0</v>
      </c>
      <c r="F32" s="22">
        <f t="shared" si="3"/>
        <v>0</v>
      </c>
    </row>
    <row r="33" spans="1:6" ht="38.25" x14ac:dyDescent="0.25">
      <c r="A33" s="24" t="s">
        <v>29</v>
      </c>
      <c r="B33" s="6" t="s">
        <v>377</v>
      </c>
      <c r="C33" s="24" t="s">
        <v>9</v>
      </c>
      <c r="D33" s="23">
        <f>D32*0.00002</f>
        <v>3.6000000000000002E-4</v>
      </c>
      <c r="E33" s="21">
        <v>0</v>
      </c>
      <c r="F33" s="22">
        <f t="shared" si="3"/>
        <v>0</v>
      </c>
    </row>
    <row r="34" spans="1:6" ht="25.5" x14ac:dyDescent="0.25">
      <c r="A34" s="55" t="s">
        <v>102</v>
      </c>
      <c r="B34" s="47" t="s">
        <v>107</v>
      </c>
      <c r="C34" s="50" t="s">
        <v>10</v>
      </c>
      <c r="D34" s="51">
        <f>D31*0.03</f>
        <v>0.54</v>
      </c>
      <c r="E34" s="21">
        <v>0</v>
      </c>
      <c r="F34" s="33">
        <f t="shared" si="3"/>
        <v>0</v>
      </c>
    </row>
    <row r="35" spans="1:6" ht="38.25" x14ac:dyDescent="0.25">
      <c r="A35" s="24" t="s">
        <v>31</v>
      </c>
      <c r="B35" s="13" t="s">
        <v>34</v>
      </c>
      <c r="C35" s="24" t="s">
        <v>7</v>
      </c>
      <c r="D35" s="21">
        <v>9</v>
      </c>
      <c r="E35" s="21">
        <v>0</v>
      </c>
      <c r="F35" s="21">
        <f t="shared" ref="F35" si="4">E35*D35</f>
        <v>0</v>
      </c>
    </row>
    <row r="36" spans="1:6" ht="25.5" x14ac:dyDescent="0.25">
      <c r="A36" s="34" t="s">
        <v>287</v>
      </c>
      <c r="B36" s="29" t="s">
        <v>289</v>
      </c>
      <c r="C36" s="53" t="s">
        <v>10</v>
      </c>
      <c r="D36" s="30">
        <f>D35*0.1</f>
        <v>0.9</v>
      </c>
      <c r="E36" s="21">
        <v>0</v>
      </c>
      <c r="F36" s="22">
        <f t="shared" si="3"/>
        <v>0</v>
      </c>
    </row>
    <row r="37" spans="1:6" ht="38.25" x14ac:dyDescent="0.25">
      <c r="A37" s="24" t="s">
        <v>32</v>
      </c>
      <c r="B37" s="13" t="s">
        <v>35</v>
      </c>
      <c r="C37" s="24" t="s">
        <v>9</v>
      </c>
      <c r="D37" s="21">
        <f>D36*1.8</f>
        <v>1.62</v>
      </c>
      <c r="E37" s="21">
        <v>0</v>
      </c>
      <c r="F37" s="175">
        <f t="shared" si="3"/>
        <v>0</v>
      </c>
    </row>
    <row r="38" spans="1:6" ht="51" x14ac:dyDescent="0.25">
      <c r="A38" s="43" t="s">
        <v>33</v>
      </c>
      <c r="B38" s="16" t="s">
        <v>36</v>
      </c>
      <c r="C38" s="135" t="s">
        <v>10</v>
      </c>
      <c r="D38" s="44">
        <f>D37/1.6</f>
        <v>1.0125</v>
      </c>
      <c r="E38" s="21">
        <v>0</v>
      </c>
      <c r="F38" s="177">
        <f t="shared" si="3"/>
        <v>0</v>
      </c>
    </row>
    <row r="39" spans="1:6" ht="38.25" x14ac:dyDescent="0.25">
      <c r="A39" s="43" t="s">
        <v>37</v>
      </c>
      <c r="B39" s="16" t="s">
        <v>38</v>
      </c>
      <c r="C39" s="135" t="s">
        <v>10</v>
      </c>
      <c r="D39" s="44">
        <f>D38</f>
        <v>1.0125</v>
      </c>
      <c r="E39" s="21">
        <v>0</v>
      </c>
      <c r="F39" s="177">
        <f t="shared" si="3"/>
        <v>0</v>
      </c>
    </row>
    <row r="40" spans="1:6" ht="25.5" x14ac:dyDescent="0.25">
      <c r="A40" s="24" t="s">
        <v>41</v>
      </c>
      <c r="B40" s="17" t="s">
        <v>47</v>
      </c>
      <c r="C40" s="136" t="s">
        <v>9</v>
      </c>
      <c r="D40" s="45">
        <f>D37</f>
        <v>1.62</v>
      </c>
      <c r="E40" s="21">
        <v>0</v>
      </c>
      <c r="F40" s="177">
        <f t="shared" si="3"/>
        <v>0</v>
      </c>
    </row>
    <row r="41" spans="1:6" ht="24.75" customHeight="1" x14ac:dyDescent="0.25">
      <c r="A41" s="311" t="s">
        <v>92</v>
      </c>
      <c r="B41" s="312"/>
      <c r="C41" s="312"/>
      <c r="D41" s="312"/>
      <c r="E41" s="313"/>
      <c r="F41" s="94">
        <f>SUM(F31:F40)</f>
        <v>0</v>
      </c>
    </row>
    <row r="42" spans="1:6" ht="23.25" customHeight="1" x14ac:dyDescent="0.25">
      <c r="A42" s="64"/>
      <c r="B42" s="14"/>
      <c r="C42" s="64"/>
      <c r="D42" s="74"/>
      <c r="E42" s="74"/>
      <c r="F42" s="74"/>
    </row>
    <row r="43" spans="1:6" x14ac:dyDescent="0.25">
      <c r="A43" s="163"/>
      <c r="B43" s="163"/>
      <c r="C43" s="163"/>
      <c r="D43" s="163"/>
      <c r="E43" s="163"/>
      <c r="F43" s="164"/>
    </row>
    <row r="44" spans="1:6" ht="29.25" customHeight="1" x14ac:dyDescent="0.25">
      <c r="A44" s="75" t="s">
        <v>333</v>
      </c>
      <c r="B44" s="314" t="s">
        <v>355</v>
      </c>
      <c r="C44" s="315"/>
      <c r="D44" s="315"/>
      <c r="E44" s="315"/>
      <c r="F44" s="283"/>
    </row>
    <row r="45" spans="1:6" ht="26.25" x14ac:dyDescent="0.25">
      <c r="A45" s="19" t="s">
        <v>0</v>
      </c>
      <c r="B45" s="19" t="s">
        <v>1</v>
      </c>
      <c r="C45" s="42" t="s">
        <v>2</v>
      </c>
      <c r="D45" s="20" t="s">
        <v>3</v>
      </c>
      <c r="E45" s="20" t="s">
        <v>4</v>
      </c>
      <c r="F45" s="42" t="s">
        <v>5</v>
      </c>
    </row>
    <row r="46" spans="1:6" ht="38.25" x14ac:dyDescent="0.25">
      <c r="A46" s="34" t="s">
        <v>43</v>
      </c>
      <c r="B46" s="29" t="s">
        <v>68</v>
      </c>
      <c r="C46" s="53" t="s">
        <v>7</v>
      </c>
      <c r="D46" s="30">
        <v>120</v>
      </c>
      <c r="E46" s="21">
        <v>0</v>
      </c>
      <c r="F46" s="174">
        <f t="shared" ref="F46:F57" si="5">D46*E46</f>
        <v>0</v>
      </c>
    </row>
    <row r="47" spans="1:6" ht="38.25" x14ac:dyDescent="0.25">
      <c r="A47" s="170" t="s">
        <v>240</v>
      </c>
      <c r="B47" s="29" t="s">
        <v>230</v>
      </c>
      <c r="C47" s="229" t="s">
        <v>7</v>
      </c>
      <c r="D47" s="166">
        <f>D46</f>
        <v>120</v>
      </c>
      <c r="E47" s="21">
        <v>0</v>
      </c>
      <c r="F47" s="175">
        <f t="shared" si="5"/>
        <v>0</v>
      </c>
    </row>
    <row r="48" spans="1:6" ht="26.25" x14ac:dyDescent="0.25">
      <c r="A48" s="171" t="s">
        <v>235</v>
      </c>
      <c r="B48" s="25" t="s">
        <v>231</v>
      </c>
      <c r="C48" s="230" t="s">
        <v>7</v>
      </c>
      <c r="D48" s="168">
        <f>D47*2</f>
        <v>240</v>
      </c>
      <c r="E48" s="21">
        <v>0</v>
      </c>
      <c r="F48" s="175">
        <f t="shared" si="5"/>
        <v>0</v>
      </c>
    </row>
    <row r="49" spans="1:6" x14ac:dyDescent="0.25">
      <c r="A49" s="170" t="s">
        <v>234</v>
      </c>
      <c r="B49" s="29" t="s">
        <v>232</v>
      </c>
      <c r="C49" s="229" t="s">
        <v>7</v>
      </c>
      <c r="D49" s="169">
        <f>D47</f>
        <v>120</v>
      </c>
      <c r="E49" s="21">
        <v>0</v>
      </c>
      <c r="F49" s="175">
        <f t="shared" si="5"/>
        <v>0</v>
      </c>
    </row>
    <row r="50" spans="1:6" ht="39" x14ac:dyDescent="0.25">
      <c r="A50" s="34" t="s">
        <v>70</v>
      </c>
      <c r="B50" s="25" t="s">
        <v>233</v>
      </c>
      <c r="C50" s="230" t="s">
        <v>7</v>
      </c>
      <c r="D50" s="168">
        <f>D48</f>
        <v>240</v>
      </c>
      <c r="E50" s="21">
        <v>0</v>
      </c>
      <c r="F50" s="175">
        <f t="shared" si="5"/>
        <v>0</v>
      </c>
    </row>
    <row r="51" spans="1:6" ht="26.25" x14ac:dyDescent="0.25">
      <c r="A51" s="170" t="s">
        <v>237</v>
      </c>
      <c r="B51" s="25" t="s">
        <v>236</v>
      </c>
      <c r="C51" s="230" t="s">
        <v>7</v>
      </c>
      <c r="D51" s="168">
        <f>D50</f>
        <v>240</v>
      </c>
      <c r="E51" s="21">
        <v>0</v>
      </c>
      <c r="F51" s="175">
        <f t="shared" si="5"/>
        <v>0</v>
      </c>
    </row>
    <row r="52" spans="1:6" ht="26.25" x14ac:dyDescent="0.25">
      <c r="A52" s="137" t="s">
        <v>211</v>
      </c>
      <c r="B52" s="86" t="s">
        <v>241</v>
      </c>
      <c r="C52" s="231" t="s">
        <v>9</v>
      </c>
      <c r="D52" s="173">
        <f>D46*0.0003</f>
        <v>3.5999999999999997E-2</v>
      </c>
      <c r="E52" s="21">
        <v>0</v>
      </c>
      <c r="F52" s="176">
        <f t="shared" si="5"/>
        <v>0</v>
      </c>
    </row>
    <row r="53" spans="1:6" ht="26.25" x14ac:dyDescent="0.25">
      <c r="A53" s="171" t="s">
        <v>239</v>
      </c>
      <c r="B53" s="25" t="s">
        <v>238</v>
      </c>
      <c r="C53" s="230" t="s">
        <v>7</v>
      </c>
      <c r="D53" s="168">
        <f>D47</f>
        <v>120</v>
      </c>
      <c r="E53" s="21">
        <v>0</v>
      </c>
      <c r="F53" s="175">
        <f t="shared" si="5"/>
        <v>0</v>
      </c>
    </row>
    <row r="54" spans="1:6" ht="38.25" x14ac:dyDescent="0.25">
      <c r="A54" s="24" t="s">
        <v>32</v>
      </c>
      <c r="B54" s="13" t="s">
        <v>35</v>
      </c>
      <c r="C54" s="24" t="s">
        <v>9</v>
      </c>
      <c r="D54" s="21">
        <f>(D46*0.02)*1.6</f>
        <v>3.84</v>
      </c>
      <c r="E54" s="21">
        <v>0</v>
      </c>
      <c r="F54" s="175">
        <f t="shared" si="5"/>
        <v>0</v>
      </c>
    </row>
    <row r="55" spans="1:6" ht="51" x14ac:dyDescent="0.25">
      <c r="A55" s="43" t="s">
        <v>33</v>
      </c>
      <c r="B55" s="16" t="s">
        <v>36</v>
      </c>
      <c r="C55" s="135" t="s">
        <v>10</v>
      </c>
      <c r="D55" s="44">
        <f>D54/1.6</f>
        <v>2.4</v>
      </c>
      <c r="E55" s="21">
        <v>0</v>
      </c>
      <c r="F55" s="177">
        <f t="shared" si="5"/>
        <v>0</v>
      </c>
    </row>
    <row r="56" spans="1:6" ht="38.25" x14ac:dyDescent="0.25">
      <c r="A56" s="43" t="s">
        <v>37</v>
      </c>
      <c r="B56" s="16" t="s">
        <v>38</v>
      </c>
      <c r="C56" s="135" t="s">
        <v>10</v>
      </c>
      <c r="D56" s="44">
        <f>D55</f>
        <v>2.4</v>
      </c>
      <c r="E56" s="21">
        <v>0</v>
      </c>
      <c r="F56" s="177">
        <f t="shared" si="5"/>
        <v>0</v>
      </c>
    </row>
    <row r="57" spans="1:6" ht="25.5" x14ac:dyDescent="0.25">
      <c r="A57" s="24" t="s">
        <v>41</v>
      </c>
      <c r="B57" s="17" t="s">
        <v>47</v>
      </c>
      <c r="C57" s="136" t="s">
        <v>9</v>
      </c>
      <c r="D57" s="45">
        <f>D54</f>
        <v>3.84</v>
      </c>
      <c r="E57" s="21">
        <v>0</v>
      </c>
      <c r="F57" s="177">
        <f t="shared" si="5"/>
        <v>0</v>
      </c>
    </row>
    <row r="58" spans="1:6" ht="20.25" customHeight="1" x14ac:dyDescent="0.25">
      <c r="A58" s="311" t="s">
        <v>92</v>
      </c>
      <c r="B58" s="312"/>
      <c r="C58" s="312"/>
      <c r="D58" s="312"/>
      <c r="E58" s="313"/>
      <c r="F58" s="94">
        <f>SUM(F46:F57)</f>
        <v>0</v>
      </c>
    </row>
    <row r="59" spans="1:6" ht="10.5" customHeight="1" x14ac:dyDescent="0.25">
      <c r="A59" s="4"/>
      <c r="B59" s="4"/>
      <c r="C59" s="126"/>
      <c r="D59" s="4"/>
      <c r="E59" s="4"/>
      <c r="F59" s="79"/>
    </row>
    <row r="60" spans="1:6" x14ac:dyDescent="0.25">
      <c r="A60" s="75">
        <v>2</v>
      </c>
      <c r="B60" s="219" t="s">
        <v>53</v>
      </c>
      <c r="C60" s="128"/>
      <c r="D60" s="219"/>
      <c r="E60" s="219"/>
      <c r="F60" s="80"/>
    </row>
    <row r="61" spans="1:6" ht="5.25" customHeight="1" x14ac:dyDescent="0.25">
      <c r="A61" s="81"/>
      <c r="B61" s="82"/>
      <c r="C61" s="129"/>
      <c r="D61" s="82"/>
      <c r="E61" s="82"/>
      <c r="F61" s="83"/>
    </row>
    <row r="62" spans="1:6" ht="26.25" x14ac:dyDescent="0.25">
      <c r="A62" s="19" t="s">
        <v>0</v>
      </c>
      <c r="B62" s="19" t="s">
        <v>53</v>
      </c>
      <c r="C62" s="42" t="s">
        <v>2</v>
      </c>
      <c r="D62" s="20" t="s">
        <v>3</v>
      </c>
      <c r="E62" s="20" t="s">
        <v>4</v>
      </c>
      <c r="F62" s="42" t="s">
        <v>5</v>
      </c>
    </row>
    <row r="63" spans="1:6" x14ac:dyDescent="0.25">
      <c r="A63" s="114" t="s">
        <v>108</v>
      </c>
      <c r="B63" s="25" t="s">
        <v>11</v>
      </c>
      <c r="C63" s="114" t="s">
        <v>10</v>
      </c>
      <c r="D63" s="25">
        <f>9*0.1</f>
        <v>0.9</v>
      </c>
      <c r="E63" s="21">
        <v>0</v>
      </c>
      <c r="F63" s="84">
        <f t="shared" ref="F63:F74" si="6">D63*E63</f>
        <v>0</v>
      </c>
    </row>
    <row r="64" spans="1:6" x14ac:dyDescent="0.25">
      <c r="A64" s="114" t="s">
        <v>108</v>
      </c>
      <c r="B64" s="25" t="s">
        <v>118</v>
      </c>
      <c r="C64" s="114" t="s">
        <v>10</v>
      </c>
      <c r="D64" s="25">
        <f>D11*0.15</f>
        <v>2.4</v>
      </c>
      <c r="E64" s="21">
        <v>0</v>
      </c>
      <c r="F64" s="84">
        <f t="shared" si="6"/>
        <v>0</v>
      </c>
    </row>
    <row r="65" spans="1:8" x14ac:dyDescent="0.25">
      <c r="A65" s="114" t="s">
        <v>108</v>
      </c>
      <c r="B65" s="25" t="s">
        <v>54</v>
      </c>
      <c r="C65" s="114" t="s">
        <v>12</v>
      </c>
      <c r="D65" s="27">
        <f>D13*3</f>
        <v>48</v>
      </c>
      <c r="E65" s="21">
        <v>0</v>
      </c>
      <c r="F65" s="84">
        <f t="shared" si="6"/>
        <v>0</v>
      </c>
    </row>
    <row r="66" spans="1:8" x14ac:dyDescent="0.25">
      <c r="A66" s="114" t="s">
        <v>108</v>
      </c>
      <c r="B66" s="25" t="s">
        <v>55</v>
      </c>
      <c r="C66" s="114" t="s">
        <v>12</v>
      </c>
      <c r="D66" s="27">
        <f>D65</f>
        <v>48</v>
      </c>
      <c r="E66" s="21">
        <v>0</v>
      </c>
      <c r="F66" s="84">
        <f t="shared" si="6"/>
        <v>0</v>
      </c>
    </row>
    <row r="67" spans="1:8" x14ac:dyDescent="0.25">
      <c r="A67" s="114" t="s">
        <v>108</v>
      </c>
      <c r="B67" s="25" t="s">
        <v>56</v>
      </c>
      <c r="C67" s="114" t="s">
        <v>13</v>
      </c>
      <c r="D67" s="27">
        <f>(1.5*D13)</f>
        <v>24</v>
      </c>
      <c r="E67" s="21">
        <v>0</v>
      </c>
      <c r="F67" s="84">
        <f t="shared" si="6"/>
        <v>0</v>
      </c>
    </row>
    <row r="68" spans="1:8" x14ac:dyDescent="0.25">
      <c r="A68" s="114" t="s">
        <v>108</v>
      </c>
      <c r="B68" s="85" t="s">
        <v>58</v>
      </c>
      <c r="C68" s="114" t="s">
        <v>7</v>
      </c>
      <c r="D68" s="27">
        <f>D15</f>
        <v>32</v>
      </c>
      <c r="E68" s="21">
        <v>0</v>
      </c>
      <c r="F68" s="84">
        <f t="shared" si="6"/>
        <v>0</v>
      </c>
    </row>
    <row r="69" spans="1:8" x14ac:dyDescent="0.25">
      <c r="A69" s="114" t="s">
        <v>108</v>
      </c>
      <c r="B69" s="25" t="s">
        <v>193</v>
      </c>
      <c r="C69" s="114" t="s">
        <v>12</v>
      </c>
      <c r="D69" s="27">
        <f>(D12*5)+(D31*2)</f>
        <v>116</v>
      </c>
      <c r="E69" s="21">
        <v>0</v>
      </c>
      <c r="F69" s="84">
        <f t="shared" si="6"/>
        <v>0</v>
      </c>
    </row>
    <row r="70" spans="1:8" x14ac:dyDescent="0.25">
      <c r="A70" s="114" t="s">
        <v>108</v>
      </c>
      <c r="B70" s="25" t="s">
        <v>144</v>
      </c>
      <c r="C70" s="114" t="s">
        <v>10</v>
      </c>
      <c r="D70" s="27">
        <f>D20*1.4*0.5</f>
        <v>6.4959999999999996</v>
      </c>
      <c r="E70" s="21">
        <v>0</v>
      </c>
      <c r="F70" s="84">
        <f>D70*E70</f>
        <v>0</v>
      </c>
    </row>
    <row r="71" spans="1:8" ht="26.25" x14ac:dyDescent="0.25">
      <c r="A71" s="114" t="s">
        <v>108</v>
      </c>
      <c r="B71" s="25" t="s">
        <v>227</v>
      </c>
      <c r="C71" s="114" t="s">
        <v>114</v>
      </c>
      <c r="D71" s="27">
        <f>(0.35*D12)+(18*0.12)+(D46*0.1)</f>
        <v>19.759999999999998</v>
      </c>
      <c r="E71" s="21">
        <v>0</v>
      </c>
      <c r="F71" s="84">
        <f>D71*E71</f>
        <v>0</v>
      </c>
    </row>
    <row r="72" spans="1:8" ht="25.5" customHeight="1" x14ac:dyDescent="0.25">
      <c r="A72" s="34" t="s">
        <v>108</v>
      </c>
      <c r="B72" s="29" t="s">
        <v>356</v>
      </c>
      <c r="C72" s="53" t="s">
        <v>114</v>
      </c>
      <c r="D72" s="30">
        <f>D46*0.03</f>
        <v>3.5999999999999996</v>
      </c>
      <c r="E72" s="21">
        <v>0</v>
      </c>
      <c r="F72" s="84">
        <f>D72*E72</f>
        <v>0</v>
      </c>
    </row>
    <row r="73" spans="1:8" ht="25.5" customHeight="1" x14ac:dyDescent="0.25">
      <c r="A73" s="34" t="s">
        <v>108</v>
      </c>
      <c r="B73" s="29" t="s">
        <v>324</v>
      </c>
      <c r="C73" s="53" t="s">
        <v>114</v>
      </c>
      <c r="D73" s="30">
        <f>D46*0.03</f>
        <v>3.5999999999999996</v>
      </c>
      <c r="E73" s="21">
        <v>0</v>
      </c>
      <c r="F73" s="22">
        <f>D73*E73</f>
        <v>0</v>
      </c>
    </row>
    <row r="74" spans="1:8" x14ac:dyDescent="0.25">
      <c r="A74" s="114" t="s">
        <v>108</v>
      </c>
      <c r="B74" s="25" t="s">
        <v>146</v>
      </c>
      <c r="C74" s="114" t="s">
        <v>10</v>
      </c>
      <c r="D74" s="25">
        <f>(D12*0.1)+(D31*0.03)</f>
        <v>2.14</v>
      </c>
      <c r="E74" s="21">
        <v>0</v>
      </c>
      <c r="F74" s="84">
        <f t="shared" si="6"/>
        <v>0</v>
      </c>
    </row>
    <row r="75" spans="1:8" ht="23.25" customHeight="1" x14ac:dyDescent="0.25">
      <c r="A75" s="323" t="s">
        <v>115</v>
      </c>
      <c r="B75" s="324"/>
      <c r="C75" s="324"/>
      <c r="D75" s="324"/>
      <c r="E75" s="325"/>
      <c r="F75" s="95">
        <f>SUM(F63:F74)</f>
        <v>0</v>
      </c>
    </row>
    <row r="76" spans="1:8" ht="12.75" customHeight="1" x14ac:dyDescent="0.25">
      <c r="A76" s="4"/>
      <c r="B76" s="4"/>
      <c r="C76" s="126"/>
      <c r="D76" s="4"/>
      <c r="E76" s="4"/>
      <c r="F76" s="79"/>
    </row>
    <row r="77" spans="1:8" ht="20.25" customHeight="1" x14ac:dyDescent="0.25">
      <c r="A77" s="75">
        <v>3</v>
      </c>
      <c r="B77" s="219" t="s">
        <v>59</v>
      </c>
      <c r="C77" s="128"/>
      <c r="D77" s="219"/>
      <c r="E77" s="219"/>
      <c r="F77" s="80"/>
      <c r="H77" s="111"/>
    </row>
    <row r="78" spans="1:8" ht="26.25" x14ac:dyDescent="0.25">
      <c r="A78" s="19" t="s">
        <v>60</v>
      </c>
      <c r="B78" s="19" t="s">
        <v>59</v>
      </c>
      <c r="C78" s="42" t="s">
        <v>150</v>
      </c>
      <c r="D78" s="20" t="s">
        <v>3</v>
      </c>
      <c r="E78" s="20" t="s">
        <v>4</v>
      </c>
      <c r="F78" s="42" t="s">
        <v>5</v>
      </c>
      <c r="H78" s="111"/>
    </row>
    <row r="79" spans="1:8" x14ac:dyDescent="0.25">
      <c r="A79" s="323" t="s">
        <v>15</v>
      </c>
      <c r="B79" s="324"/>
      <c r="C79" s="324"/>
      <c r="D79" s="324"/>
      <c r="E79" s="324"/>
      <c r="F79" s="325"/>
      <c r="H79" s="111"/>
    </row>
    <row r="80" spans="1:8" ht="26.25" x14ac:dyDescent="0.25">
      <c r="A80" s="86"/>
      <c r="B80" s="108" t="s">
        <v>349</v>
      </c>
      <c r="C80" s="114" t="s">
        <v>64</v>
      </c>
      <c r="D80" s="86">
        <v>3</v>
      </c>
      <c r="E80" s="21">
        <v>0</v>
      </c>
      <c r="F80" s="84">
        <f t="shared" ref="F80:F86" si="7">D80*E80</f>
        <v>0</v>
      </c>
      <c r="H80" s="111"/>
    </row>
    <row r="81" spans="1:8" ht="26.25" x14ac:dyDescent="0.25">
      <c r="A81" s="86"/>
      <c r="B81" s="108" t="s">
        <v>350</v>
      </c>
      <c r="C81" s="114" t="s">
        <v>63</v>
      </c>
      <c r="D81" s="86">
        <v>6</v>
      </c>
      <c r="E81" s="21">
        <v>0</v>
      </c>
      <c r="F81" s="84">
        <f t="shared" ref="F81:F85" si="8">D81*E81</f>
        <v>0</v>
      </c>
      <c r="H81" s="111"/>
    </row>
    <row r="82" spans="1:8" ht="26.25" x14ac:dyDescent="0.25">
      <c r="A82" s="86"/>
      <c r="B82" s="108" t="s">
        <v>351</v>
      </c>
      <c r="C82" s="114" t="s">
        <v>64</v>
      </c>
      <c r="D82" s="86">
        <v>2</v>
      </c>
      <c r="E82" s="21">
        <v>0</v>
      </c>
      <c r="F82" s="84">
        <f t="shared" si="8"/>
        <v>0</v>
      </c>
      <c r="H82" s="111"/>
    </row>
    <row r="83" spans="1:8" ht="26.25" x14ac:dyDescent="0.25">
      <c r="A83" s="86"/>
      <c r="B83" s="108" t="s">
        <v>352</v>
      </c>
      <c r="C83" s="114" t="s">
        <v>64</v>
      </c>
      <c r="D83" s="86">
        <v>1</v>
      </c>
      <c r="E83" s="21">
        <v>0</v>
      </c>
      <c r="F83" s="84">
        <f t="shared" si="8"/>
        <v>0</v>
      </c>
      <c r="H83" s="111"/>
    </row>
    <row r="84" spans="1:8" ht="26.25" x14ac:dyDescent="0.25">
      <c r="A84" s="86"/>
      <c r="B84" s="108" t="s">
        <v>353</v>
      </c>
      <c r="C84" s="114" t="s">
        <v>64</v>
      </c>
      <c r="D84" s="86">
        <v>1</v>
      </c>
      <c r="E84" s="21">
        <v>0</v>
      </c>
      <c r="F84" s="84">
        <f t="shared" si="8"/>
        <v>0</v>
      </c>
      <c r="H84" s="111"/>
    </row>
    <row r="85" spans="1:8" ht="26.25" x14ac:dyDescent="0.25">
      <c r="A85" s="86"/>
      <c r="B85" s="108" t="s">
        <v>395</v>
      </c>
      <c r="C85" s="114" t="s">
        <v>64</v>
      </c>
      <c r="D85" s="86">
        <v>1</v>
      </c>
      <c r="E85" s="21">
        <v>0</v>
      </c>
      <c r="F85" s="84">
        <f t="shared" si="8"/>
        <v>0</v>
      </c>
      <c r="H85" s="111"/>
    </row>
    <row r="86" spans="1:8" ht="26.25" x14ac:dyDescent="0.25">
      <c r="A86" s="86"/>
      <c r="B86" s="108" t="s">
        <v>354</v>
      </c>
      <c r="C86" s="114" t="s">
        <v>64</v>
      </c>
      <c r="D86" s="86">
        <v>2</v>
      </c>
      <c r="E86" s="21">
        <v>0</v>
      </c>
      <c r="F86" s="84">
        <f t="shared" si="7"/>
        <v>0</v>
      </c>
      <c r="H86" s="111"/>
    </row>
    <row r="87" spans="1:8" x14ac:dyDescent="0.25">
      <c r="A87" s="323" t="s">
        <v>16</v>
      </c>
      <c r="B87" s="324"/>
      <c r="C87" s="324"/>
      <c r="D87" s="324"/>
      <c r="E87" s="324"/>
      <c r="F87" s="325"/>
      <c r="H87" s="111"/>
    </row>
    <row r="88" spans="1:8" ht="26.25" x14ac:dyDescent="0.25">
      <c r="A88" s="221"/>
      <c r="B88" s="108" t="s">
        <v>389</v>
      </c>
      <c r="C88" s="137" t="s">
        <v>376</v>
      </c>
      <c r="D88" s="26">
        <v>18</v>
      </c>
      <c r="E88" s="21">
        <v>0</v>
      </c>
      <c r="F88" s="15">
        <f t="shared" ref="F88" si="9">D88*E88</f>
        <v>0</v>
      </c>
      <c r="H88" s="111"/>
    </row>
    <row r="89" spans="1:8" ht="12.75" customHeight="1" x14ac:dyDescent="0.25">
      <c r="A89" s="189"/>
      <c r="B89" s="190"/>
      <c r="C89" s="191"/>
      <c r="D89" s="179"/>
      <c r="E89" s="192"/>
      <c r="F89" s="15"/>
    </row>
    <row r="90" spans="1:8" ht="23.25" customHeight="1" x14ac:dyDescent="0.25">
      <c r="A90" s="323" t="s">
        <v>62</v>
      </c>
      <c r="B90" s="324"/>
      <c r="C90" s="324"/>
      <c r="D90" s="324"/>
      <c r="E90" s="324"/>
      <c r="F90" s="95">
        <f>SUM(F80:F88)</f>
        <v>0</v>
      </c>
    </row>
    <row r="91" spans="1:8" x14ac:dyDescent="0.25">
      <c r="A91" s="5"/>
      <c r="B91" s="5"/>
      <c r="C91" s="124"/>
      <c r="D91" s="5"/>
      <c r="E91" s="5"/>
      <c r="F91" s="5"/>
    </row>
    <row r="92" spans="1:8" x14ac:dyDescent="0.25">
      <c r="A92" s="4" t="s">
        <v>145</v>
      </c>
      <c r="B92" s="87"/>
      <c r="C92" s="131"/>
      <c r="D92" s="87"/>
      <c r="E92" s="87"/>
      <c r="F92" s="87"/>
    </row>
    <row r="93" spans="1:8" x14ac:dyDescent="0.25">
      <c r="A93" s="25">
        <v>1</v>
      </c>
      <c r="B93" s="332" t="s">
        <v>65</v>
      </c>
      <c r="C93" s="332"/>
      <c r="D93" s="332"/>
      <c r="E93" s="332"/>
      <c r="F93" s="98"/>
    </row>
    <row r="94" spans="1:8" x14ac:dyDescent="0.25">
      <c r="A94" s="202">
        <v>43466</v>
      </c>
      <c r="B94" s="329" t="s">
        <v>40</v>
      </c>
      <c r="C94" s="330"/>
      <c r="D94" s="330"/>
      <c r="E94" s="331"/>
      <c r="F94" s="203">
        <f>F24</f>
        <v>0</v>
      </c>
    </row>
    <row r="95" spans="1:8" x14ac:dyDescent="0.25">
      <c r="A95" s="218">
        <v>43497</v>
      </c>
      <c r="B95" s="329" t="s">
        <v>42</v>
      </c>
      <c r="C95" s="330"/>
      <c r="D95" s="330"/>
      <c r="E95" s="331"/>
      <c r="F95" s="204">
        <f>F41</f>
        <v>0</v>
      </c>
    </row>
    <row r="96" spans="1:8" ht="18.75" customHeight="1" x14ac:dyDescent="0.25">
      <c r="A96" s="25">
        <v>2</v>
      </c>
      <c r="B96" s="326" t="s">
        <v>53</v>
      </c>
      <c r="C96" s="327"/>
      <c r="D96" s="327"/>
      <c r="E96" s="328"/>
      <c r="F96" s="84">
        <f>F75</f>
        <v>0</v>
      </c>
    </row>
    <row r="97" spans="1:6" ht="17.25" customHeight="1" x14ac:dyDescent="0.25">
      <c r="A97" s="25">
        <v>3</v>
      </c>
      <c r="B97" s="326" t="s">
        <v>59</v>
      </c>
      <c r="C97" s="327"/>
      <c r="D97" s="327"/>
      <c r="E97" s="328"/>
      <c r="F97" s="84">
        <f>F90</f>
        <v>0</v>
      </c>
    </row>
    <row r="98" spans="1:6" ht="7.5" customHeight="1" x14ac:dyDescent="0.25">
      <c r="A98" s="317"/>
      <c r="B98" s="318"/>
      <c r="C98" s="318"/>
      <c r="D98" s="318"/>
      <c r="E98" s="318"/>
      <c r="F98" s="319"/>
    </row>
    <row r="99" spans="1:6" ht="23.25" customHeight="1" x14ac:dyDescent="0.25">
      <c r="A99" s="211" t="s">
        <v>41</v>
      </c>
      <c r="B99" s="320" t="s">
        <v>328</v>
      </c>
      <c r="C99" s="321"/>
      <c r="D99" s="321"/>
      <c r="E99" s="322"/>
      <c r="F99" s="212">
        <f>SUM(F93:F97)</f>
        <v>0</v>
      </c>
    </row>
  </sheetData>
  <mergeCells count="17">
    <mergeCell ref="A1:F1"/>
    <mergeCell ref="A2:B2"/>
    <mergeCell ref="A24:E24"/>
    <mergeCell ref="A41:E41"/>
    <mergeCell ref="B97:E97"/>
    <mergeCell ref="A98:F98"/>
    <mergeCell ref="B99:E99"/>
    <mergeCell ref="B44:F44"/>
    <mergeCell ref="B93:E93"/>
    <mergeCell ref="B94:E94"/>
    <mergeCell ref="B95:E95"/>
    <mergeCell ref="B96:E96"/>
    <mergeCell ref="A58:E58"/>
    <mergeCell ref="A75:E75"/>
    <mergeCell ref="A79:F79"/>
    <mergeCell ref="A87:F87"/>
    <mergeCell ref="A90:E90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K19" sqref="K19"/>
    </sheetView>
  </sheetViews>
  <sheetFormatPr defaultRowHeight="15" x14ac:dyDescent="0.25"/>
  <cols>
    <col min="1" max="1" width="15.7109375" customWidth="1"/>
    <col min="2" max="2" width="23" customWidth="1"/>
    <col min="3" max="3" width="15.140625" customWidth="1"/>
    <col min="4" max="4" width="21.85546875" customWidth="1"/>
  </cols>
  <sheetData>
    <row r="1" spans="1:5" ht="45" customHeight="1" x14ac:dyDescent="0.3">
      <c r="A1" s="339" t="s">
        <v>321</v>
      </c>
      <c r="B1" s="296"/>
      <c r="C1" s="296"/>
      <c r="D1" s="296"/>
      <c r="E1" s="296"/>
    </row>
    <row r="2" spans="1:5" s="205" customFormat="1" ht="32.25" customHeight="1" x14ac:dyDescent="0.25">
      <c r="A2" s="205" t="s">
        <v>322</v>
      </c>
    </row>
    <row r="3" spans="1:5" ht="40.5" customHeight="1" x14ac:dyDescent="0.25"/>
    <row r="4" spans="1:5" ht="15.75" thickBot="1" x14ac:dyDescent="0.3">
      <c r="A4" s="261" t="s">
        <v>404</v>
      </c>
      <c r="B4" s="256" t="s">
        <v>182</v>
      </c>
      <c r="C4" s="251" t="s">
        <v>183</v>
      </c>
      <c r="D4" s="251" t="s">
        <v>184</v>
      </c>
    </row>
    <row r="5" spans="1:5" ht="20.25" customHeight="1" thickTop="1" x14ac:dyDescent="0.25">
      <c r="A5" s="262" t="s">
        <v>181</v>
      </c>
      <c r="B5" s="257">
        <f>'následná péče 1-5'!G63</f>
        <v>0</v>
      </c>
      <c r="C5" s="250">
        <f>B5*0.21</f>
        <v>0</v>
      </c>
      <c r="D5" s="249">
        <f>C5+B5</f>
        <v>0</v>
      </c>
    </row>
    <row r="6" spans="1:5" ht="20.25" customHeight="1" x14ac:dyDescent="0.25">
      <c r="A6" s="263" t="s">
        <v>185</v>
      </c>
      <c r="B6" s="258">
        <f>'následná péče 1-5'!G140</f>
        <v>0</v>
      </c>
      <c r="C6" s="150">
        <f t="shared" ref="C6:C9" si="0">B6*0.21</f>
        <v>0</v>
      </c>
      <c r="D6" s="149">
        <f t="shared" ref="D6:D9" si="1">C6+B6</f>
        <v>0</v>
      </c>
    </row>
    <row r="7" spans="1:5" ht="20.25" customHeight="1" x14ac:dyDescent="0.25">
      <c r="A7" s="263" t="s">
        <v>186</v>
      </c>
      <c r="B7" s="258">
        <f>'následná péče 1-5'!G207</f>
        <v>0</v>
      </c>
      <c r="C7" s="150">
        <f t="shared" si="0"/>
        <v>0</v>
      </c>
      <c r="D7" s="149">
        <f t="shared" si="1"/>
        <v>0</v>
      </c>
    </row>
    <row r="8" spans="1:5" ht="20.25" customHeight="1" x14ac:dyDescent="0.25">
      <c r="A8" s="263" t="s">
        <v>187</v>
      </c>
      <c r="B8" s="258">
        <f>'následná péče 1-5'!G266</f>
        <v>0</v>
      </c>
      <c r="C8" s="150">
        <f t="shared" si="0"/>
        <v>0</v>
      </c>
      <c r="D8" s="149">
        <f t="shared" si="1"/>
        <v>0</v>
      </c>
    </row>
    <row r="9" spans="1:5" ht="20.25" customHeight="1" thickBot="1" x14ac:dyDescent="0.3">
      <c r="A9" s="264" t="s">
        <v>188</v>
      </c>
      <c r="B9" s="259">
        <f>'následná péče 1-5'!G330</f>
        <v>0</v>
      </c>
      <c r="C9" s="253">
        <f t="shared" si="0"/>
        <v>0</v>
      </c>
      <c r="D9" s="252">
        <f t="shared" si="1"/>
        <v>0</v>
      </c>
    </row>
    <row r="10" spans="1:5" ht="22.5" customHeight="1" thickTop="1" x14ac:dyDescent="0.25">
      <c r="A10" s="265" t="s">
        <v>92</v>
      </c>
      <c r="B10" s="260">
        <f>SUM(B5:B9)</f>
        <v>0</v>
      </c>
      <c r="C10" s="255">
        <f>SUM(C5:C9)</f>
        <v>0</v>
      </c>
      <c r="D10" s="254">
        <f>SUM(D5:D9)</f>
        <v>0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0"/>
  <sheetViews>
    <sheetView tabSelected="1" topLeftCell="A121" workbookViewId="0">
      <selection activeCell="G140" sqref="G140"/>
    </sheetView>
  </sheetViews>
  <sheetFormatPr defaultColWidth="11.5703125" defaultRowHeight="15" x14ac:dyDescent="0.25"/>
  <cols>
    <col min="1" max="1" width="13.5703125" style="1" customWidth="1"/>
    <col min="2" max="2" width="44.28515625" style="1" customWidth="1"/>
    <col min="3" max="3" width="12" style="1" customWidth="1"/>
    <col min="4" max="4" width="8.28515625" style="1" customWidth="1"/>
    <col min="5" max="5" width="10.140625" style="1" customWidth="1"/>
    <col min="6" max="6" width="14.5703125" style="1" customWidth="1"/>
    <col min="7" max="7" width="18.5703125" style="1" customWidth="1"/>
    <col min="8" max="16384" width="11.5703125" style="1"/>
  </cols>
  <sheetData>
    <row r="1" spans="1:7" ht="28.15" customHeight="1" x14ac:dyDescent="0.35">
      <c r="A1" s="206" t="s">
        <v>321</v>
      </c>
      <c r="B1" s="2"/>
      <c r="C1" s="2"/>
      <c r="D1" s="2"/>
      <c r="E1" s="2"/>
      <c r="F1" s="2"/>
    </row>
    <row r="2" spans="1:7" ht="18.75" x14ac:dyDescent="0.3">
      <c r="A2" s="207" t="s">
        <v>358</v>
      </c>
      <c r="B2" s="207"/>
      <c r="C2" s="2"/>
      <c r="D2" s="2"/>
      <c r="E2" s="2"/>
      <c r="F2" s="2"/>
    </row>
    <row r="3" spans="1:7" x14ac:dyDescent="0.25">
      <c r="A3" s="2"/>
      <c r="B3" s="2"/>
      <c r="C3" s="2"/>
      <c r="D3" s="2"/>
      <c r="E3" s="2"/>
      <c r="F3" s="2"/>
    </row>
    <row r="4" spans="1:7" ht="18" customHeight="1" x14ac:dyDescent="0.25">
      <c r="A4" s="225">
        <v>1</v>
      </c>
      <c r="B4" s="340" t="s">
        <v>189</v>
      </c>
      <c r="C4" s="340"/>
      <c r="D4" s="340"/>
      <c r="E4" s="340"/>
      <c r="F4" s="340"/>
      <c r="G4" s="340"/>
    </row>
    <row r="5" spans="1:7" s="216" customFormat="1" ht="18" customHeight="1" x14ac:dyDescent="0.25">
      <c r="A5" s="11"/>
      <c r="B5" s="11"/>
      <c r="C5" s="11"/>
      <c r="D5" s="11"/>
      <c r="E5" s="11"/>
      <c r="F5" s="11"/>
      <c r="G5" s="11"/>
    </row>
    <row r="6" spans="1:7" x14ac:dyDescent="0.25">
      <c r="A6" s="215" t="s">
        <v>66</v>
      </c>
      <c r="B6" s="341" t="s">
        <v>180</v>
      </c>
      <c r="C6" s="341"/>
      <c r="D6" s="341"/>
      <c r="E6" s="341"/>
      <c r="F6" s="341"/>
      <c r="G6" s="341"/>
    </row>
    <row r="7" spans="1:7" ht="26.25" x14ac:dyDescent="0.25">
      <c r="A7" s="19" t="s">
        <v>0</v>
      </c>
      <c r="B7" s="19" t="s">
        <v>1</v>
      </c>
      <c r="C7" s="42" t="s">
        <v>2</v>
      </c>
      <c r="D7" s="20" t="s">
        <v>3</v>
      </c>
      <c r="E7" s="20" t="s">
        <v>4</v>
      </c>
      <c r="F7" s="42" t="s">
        <v>98</v>
      </c>
      <c r="G7" s="48" t="s">
        <v>92</v>
      </c>
    </row>
    <row r="8" spans="1:7" ht="25.5" x14ac:dyDescent="0.25">
      <c r="A8" s="49" t="s">
        <v>99</v>
      </c>
      <c r="B8" s="46" t="s">
        <v>342</v>
      </c>
      <c r="C8" s="50" t="s">
        <v>7</v>
      </c>
      <c r="D8" s="51">
        <f>'LOK 1 '!D11+'LOK 2'!D23+'LOK 2'!D43+'LOK 3'!D10+'LOK 4'!D11</f>
        <v>71</v>
      </c>
      <c r="E8" s="21">
        <v>0</v>
      </c>
      <c r="F8" s="51">
        <v>3</v>
      </c>
      <c r="G8" s="52">
        <f t="shared" ref="G8:G17" si="0">F8*E8*D8</f>
        <v>0</v>
      </c>
    </row>
    <row r="9" spans="1:7" ht="35.450000000000003" customHeight="1" x14ac:dyDescent="0.25">
      <c r="A9" s="34" t="s">
        <v>29</v>
      </c>
      <c r="B9" s="29" t="s">
        <v>345</v>
      </c>
      <c r="C9" s="53" t="s">
        <v>9</v>
      </c>
      <c r="D9" s="54">
        <f>D17*10*0.00001</f>
        <v>3.5500000000000004E-2</v>
      </c>
      <c r="E9" s="21">
        <v>0</v>
      </c>
      <c r="F9" s="51">
        <v>1</v>
      </c>
      <c r="G9" s="52">
        <f t="shared" si="0"/>
        <v>0</v>
      </c>
    </row>
    <row r="10" spans="1:7" ht="19.149999999999999" customHeight="1" x14ac:dyDescent="0.25">
      <c r="A10" s="49" t="s">
        <v>100</v>
      </c>
      <c r="B10" s="46" t="s">
        <v>94</v>
      </c>
      <c r="C10" s="50" t="s">
        <v>6</v>
      </c>
      <c r="D10" s="51">
        <v>22</v>
      </c>
      <c r="E10" s="21">
        <v>0</v>
      </c>
      <c r="F10" s="51">
        <v>2</v>
      </c>
      <c r="G10" s="52">
        <f t="shared" si="0"/>
        <v>0</v>
      </c>
    </row>
    <row r="11" spans="1:7" ht="19.149999999999999" customHeight="1" x14ac:dyDescent="0.25">
      <c r="A11" s="55" t="s">
        <v>102</v>
      </c>
      <c r="B11" s="47" t="s">
        <v>107</v>
      </c>
      <c r="C11" s="50" t="s">
        <v>10</v>
      </c>
      <c r="D11" s="51">
        <f>D8*0.1</f>
        <v>7.1000000000000005</v>
      </c>
      <c r="E11" s="21">
        <v>0</v>
      </c>
      <c r="F11" s="51">
        <v>14</v>
      </c>
      <c r="G11" s="52">
        <f t="shared" si="0"/>
        <v>0</v>
      </c>
    </row>
    <row r="12" spans="1:7" ht="27.75" customHeight="1" x14ac:dyDescent="0.25">
      <c r="A12" s="49" t="s">
        <v>103</v>
      </c>
      <c r="B12" s="46" t="s">
        <v>343</v>
      </c>
      <c r="C12" s="50" t="s">
        <v>10</v>
      </c>
      <c r="D12" s="51">
        <f>D11</f>
        <v>7.1000000000000005</v>
      </c>
      <c r="E12" s="21">
        <v>0</v>
      </c>
      <c r="F12" s="51">
        <f>F11</f>
        <v>14</v>
      </c>
      <c r="G12" s="52">
        <f t="shared" si="0"/>
        <v>0</v>
      </c>
    </row>
    <row r="13" spans="1:7" ht="15" customHeight="1" x14ac:dyDescent="0.25">
      <c r="A13" s="49" t="s">
        <v>84</v>
      </c>
      <c r="B13" s="46" t="s">
        <v>169</v>
      </c>
      <c r="C13" s="50" t="s">
        <v>9</v>
      </c>
      <c r="D13" s="148">
        <v>6.4000000000000001E-2</v>
      </c>
      <c r="E13" s="21">
        <v>0</v>
      </c>
      <c r="F13" s="51">
        <v>3</v>
      </c>
      <c r="G13" s="52">
        <f t="shared" si="0"/>
        <v>0</v>
      </c>
    </row>
    <row r="14" spans="1:7" ht="21" customHeight="1" x14ac:dyDescent="0.25">
      <c r="A14" s="49" t="s">
        <v>84</v>
      </c>
      <c r="B14" s="46" t="s">
        <v>96</v>
      </c>
      <c r="C14" s="50" t="s">
        <v>97</v>
      </c>
      <c r="D14" s="51">
        <v>1</v>
      </c>
      <c r="E14" s="21">
        <v>0</v>
      </c>
      <c r="F14" s="51">
        <v>14</v>
      </c>
      <c r="G14" s="52">
        <f t="shared" si="0"/>
        <v>0</v>
      </c>
    </row>
    <row r="15" spans="1:7" x14ac:dyDescent="0.25">
      <c r="A15" s="56" t="s">
        <v>108</v>
      </c>
      <c r="B15" s="57" t="s">
        <v>109</v>
      </c>
      <c r="C15" s="58" t="s">
        <v>13</v>
      </c>
      <c r="D15" s="59">
        <f>D10*1.5</f>
        <v>33</v>
      </c>
      <c r="E15" s="21">
        <v>0</v>
      </c>
      <c r="F15" s="59">
        <v>2</v>
      </c>
      <c r="G15" s="52">
        <f t="shared" si="0"/>
        <v>0</v>
      </c>
    </row>
    <row r="16" spans="1:7" x14ac:dyDescent="0.25">
      <c r="A16" s="56" t="s">
        <v>108</v>
      </c>
      <c r="B16" s="57" t="s">
        <v>111</v>
      </c>
      <c r="C16" s="58" t="s">
        <v>10</v>
      </c>
      <c r="D16" s="60">
        <f>D11</f>
        <v>7.1000000000000005</v>
      </c>
      <c r="E16" s="21">
        <v>0</v>
      </c>
      <c r="F16" s="61">
        <v>14</v>
      </c>
      <c r="G16" s="52">
        <f t="shared" si="0"/>
        <v>0</v>
      </c>
    </row>
    <row r="17" spans="1:8" x14ac:dyDescent="0.25">
      <c r="A17" s="56" t="s">
        <v>108</v>
      </c>
      <c r="B17" s="57" t="s">
        <v>214</v>
      </c>
      <c r="C17" s="58" t="s">
        <v>12</v>
      </c>
      <c r="D17" s="60">
        <f>D8*5</f>
        <v>355</v>
      </c>
      <c r="E17" s="21">
        <v>0</v>
      </c>
      <c r="F17" s="61">
        <v>1</v>
      </c>
      <c r="G17" s="52">
        <f t="shared" si="0"/>
        <v>0</v>
      </c>
    </row>
    <row r="18" spans="1:8" x14ac:dyDescent="0.25">
      <c r="A18" s="143" t="s">
        <v>170</v>
      </c>
      <c r="B18" s="143"/>
      <c r="C18" s="143"/>
      <c r="D18" s="143"/>
      <c r="E18" s="143"/>
      <c r="F18" s="143"/>
      <c r="G18" s="144">
        <f>SUM(G8:G17)</f>
        <v>0</v>
      </c>
    </row>
    <row r="19" spans="1:8" ht="27.75" customHeight="1" x14ac:dyDescent="0.25">
      <c r="A19" s="28" t="s">
        <v>198</v>
      </c>
      <c r="B19" s="345" t="s">
        <v>178</v>
      </c>
      <c r="C19" s="345"/>
      <c r="D19" s="345"/>
      <c r="E19" s="345"/>
      <c r="F19" s="345"/>
      <c r="G19" s="345"/>
      <c r="H19" s="112"/>
    </row>
    <row r="20" spans="1:8" ht="26.25" customHeight="1" x14ac:dyDescent="0.25">
      <c r="A20" s="19" t="s">
        <v>0</v>
      </c>
      <c r="B20" s="19" t="s">
        <v>1</v>
      </c>
      <c r="C20" s="42" t="s">
        <v>2</v>
      </c>
      <c r="D20" s="20" t="s">
        <v>3</v>
      </c>
      <c r="E20" s="20" t="s">
        <v>4</v>
      </c>
      <c r="F20" s="42" t="s">
        <v>98</v>
      </c>
      <c r="G20" s="48" t="s">
        <v>92</v>
      </c>
    </row>
    <row r="21" spans="1:8" x14ac:dyDescent="0.25">
      <c r="A21" s="49" t="s">
        <v>165</v>
      </c>
      <c r="B21" s="46" t="s">
        <v>166</v>
      </c>
      <c r="C21" s="50" t="s">
        <v>7</v>
      </c>
      <c r="D21" s="51">
        <v>71.5</v>
      </c>
      <c r="E21" s="21">
        <v>0</v>
      </c>
      <c r="F21" s="51">
        <v>3</v>
      </c>
      <c r="G21" s="52">
        <f t="shared" ref="G21:G35" si="1">F21*E21*D21</f>
        <v>0</v>
      </c>
    </row>
    <row r="22" spans="1:8" ht="25.5" x14ac:dyDescent="0.25">
      <c r="A22" s="49" t="s">
        <v>99</v>
      </c>
      <c r="B22" s="46" t="s">
        <v>391</v>
      </c>
      <c r="C22" s="50" t="s">
        <v>7</v>
      </c>
      <c r="D22" s="51">
        <v>9</v>
      </c>
      <c r="E22" s="21">
        <v>0</v>
      </c>
      <c r="F22" s="51">
        <v>3</v>
      </c>
      <c r="G22" s="52">
        <f t="shared" si="1"/>
        <v>0</v>
      </c>
    </row>
    <row r="23" spans="1:8" s="214" customFormat="1" x14ac:dyDescent="0.25">
      <c r="A23" s="49" t="s">
        <v>164</v>
      </c>
      <c r="B23" s="46" t="s">
        <v>163</v>
      </c>
      <c r="C23" s="50" t="s">
        <v>7</v>
      </c>
      <c r="D23" s="51">
        <v>44.5</v>
      </c>
      <c r="E23" s="21">
        <v>0</v>
      </c>
      <c r="F23" s="51">
        <v>3</v>
      </c>
      <c r="G23" s="52">
        <f t="shared" si="1"/>
        <v>0</v>
      </c>
    </row>
    <row r="24" spans="1:8" x14ac:dyDescent="0.25">
      <c r="A24" s="34" t="s">
        <v>158</v>
      </c>
      <c r="B24" s="29" t="s">
        <v>207</v>
      </c>
      <c r="C24" s="53" t="s">
        <v>6</v>
      </c>
      <c r="D24" s="30">
        <v>148</v>
      </c>
      <c r="E24" s="21">
        <v>0</v>
      </c>
      <c r="F24" s="51">
        <v>1</v>
      </c>
      <c r="G24" s="52">
        <f t="shared" si="1"/>
        <v>0</v>
      </c>
    </row>
    <row r="25" spans="1:8" ht="25.5" x14ac:dyDescent="0.25">
      <c r="A25" s="34" t="s">
        <v>363</v>
      </c>
      <c r="B25" s="29" t="s">
        <v>392</v>
      </c>
      <c r="C25" s="53" t="s">
        <v>6</v>
      </c>
      <c r="D25" s="30">
        <v>18</v>
      </c>
      <c r="E25" s="21">
        <v>0</v>
      </c>
      <c r="F25" s="51">
        <v>1</v>
      </c>
      <c r="G25" s="52">
        <f t="shared" si="1"/>
        <v>0</v>
      </c>
    </row>
    <row r="26" spans="1:8" ht="25.5" x14ac:dyDescent="0.25">
      <c r="A26" s="34" t="s">
        <v>208</v>
      </c>
      <c r="B26" s="46" t="s">
        <v>206</v>
      </c>
      <c r="C26" s="53" t="s">
        <v>7</v>
      </c>
      <c r="D26" s="30">
        <v>44.5</v>
      </c>
      <c r="E26" s="21">
        <v>0</v>
      </c>
      <c r="F26" s="51">
        <v>1</v>
      </c>
      <c r="G26" s="52">
        <f t="shared" si="1"/>
        <v>0</v>
      </c>
    </row>
    <row r="27" spans="1:8" ht="25.5" x14ac:dyDescent="0.25">
      <c r="A27" s="34" t="s">
        <v>160</v>
      </c>
      <c r="B27" s="29" t="s">
        <v>159</v>
      </c>
      <c r="C27" s="53" t="s">
        <v>7</v>
      </c>
      <c r="D27" s="30">
        <v>72.72</v>
      </c>
      <c r="E27" s="21">
        <v>0</v>
      </c>
      <c r="F27" s="51">
        <v>2</v>
      </c>
      <c r="G27" s="52">
        <f t="shared" si="1"/>
        <v>0</v>
      </c>
    </row>
    <row r="28" spans="1:8" ht="25.5" x14ac:dyDescent="0.25">
      <c r="A28" s="34" t="s">
        <v>29</v>
      </c>
      <c r="B28" s="29" t="s">
        <v>93</v>
      </c>
      <c r="C28" s="53" t="s">
        <v>9</v>
      </c>
      <c r="D28" s="54">
        <f>D33*10*0.00001</f>
        <v>4.1000000000000002E-2</v>
      </c>
      <c r="E28" s="21">
        <v>0</v>
      </c>
      <c r="F28" s="51">
        <v>1</v>
      </c>
      <c r="G28" s="52">
        <f t="shared" si="1"/>
        <v>0</v>
      </c>
    </row>
    <row r="29" spans="1:8" x14ac:dyDescent="0.25">
      <c r="A29" s="55" t="s">
        <v>102</v>
      </c>
      <c r="B29" s="47" t="s">
        <v>107</v>
      </c>
      <c r="C29" s="50" t="s">
        <v>10</v>
      </c>
      <c r="D29" s="51">
        <f>(D24+'LOK 1 '!D121)*0.005+(D25*0.005)</f>
        <v>0.83</v>
      </c>
      <c r="E29" s="21">
        <v>0</v>
      </c>
      <c r="F29" s="51">
        <v>8</v>
      </c>
      <c r="G29" s="52">
        <f t="shared" si="1"/>
        <v>0</v>
      </c>
    </row>
    <row r="30" spans="1:8" x14ac:dyDescent="0.25">
      <c r="A30" s="49" t="s">
        <v>103</v>
      </c>
      <c r="B30" s="46" t="s">
        <v>95</v>
      </c>
      <c r="C30" s="50" t="s">
        <v>10</v>
      </c>
      <c r="D30" s="51">
        <f>D29</f>
        <v>0.83</v>
      </c>
      <c r="E30" s="21">
        <v>0</v>
      </c>
      <c r="F30" s="51">
        <v>8</v>
      </c>
      <c r="G30" s="52">
        <f t="shared" si="1"/>
        <v>0</v>
      </c>
    </row>
    <row r="31" spans="1:8" x14ac:dyDescent="0.25">
      <c r="A31" s="49"/>
      <c r="B31" s="46" t="s">
        <v>169</v>
      </c>
      <c r="C31" s="50" t="s">
        <v>9</v>
      </c>
      <c r="D31" s="51">
        <v>0.2</v>
      </c>
      <c r="E31" s="21">
        <v>0</v>
      </c>
      <c r="F31" s="51">
        <v>3</v>
      </c>
      <c r="G31" s="52">
        <f t="shared" si="1"/>
        <v>0</v>
      </c>
    </row>
    <row r="32" spans="1:8" x14ac:dyDescent="0.25">
      <c r="A32" s="49"/>
      <c r="B32" s="46" t="s">
        <v>169</v>
      </c>
      <c r="C32" s="50" t="s">
        <v>9</v>
      </c>
      <c r="D32" s="51">
        <v>0.3</v>
      </c>
      <c r="E32" s="21">
        <v>0</v>
      </c>
      <c r="F32" s="51">
        <v>2</v>
      </c>
      <c r="G32" s="52">
        <f t="shared" si="1"/>
        <v>0</v>
      </c>
    </row>
    <row r="33" spans="1:7" x14ac:dyDescent="0.25">
      <c r="A33" s="49" t="s">
        <v>108</v>
      </c>
      <c r="B33" s="46" t="s">
        <v>213</v>
      </c>
      <c r="C33" s="50" t="s">
        <v>12</v>
      </c>
      <c r="D33" s="51">
        <f>('LOK 1 '!D125+'LOK 1 '!D126+'LOK 4'!D88)*2</f>
        <v>410</v>
      </c>
      <c r="E33" s="21">
        <v>0</v>
      </c>
      <c r="F33" s="51">
        <v>1</v>
      </c>
      <c r="G33" s="52">
        <f t="shared" si="1"/>
        <v>0</v>
      </c>
    </row>
    <row r="34" spans="1:7" x14ac:dyDescent="0.25">
      <c r="A34" s="56" t="s">
        <v>108</v>
      </c>
      <c r="B34" s="57" t="s">
        <v>111</v>
      </c>
      <c r="C34" s="58" t="s">
        <v>10</v>
      </c>
      <c r="D34" s="60">
        <f>D29</f>
        <v>0.83</v>
      </c>
      <c r="E34" s="21">
        <v>0</v>
      </c>
      <c r="F34" s="61">
        <v>8</v>
      </c>
      <c r="G34" s="52">
        <f t="shared" si="1"/>
        <v>0</v>
      </c>
    </row>
    <row r="35" spans="1:7" x14ac:dyDescent="0.25">
      <c r="A35" s="49" t="s">
        <v>84</v>
      </c>
      <c r="B35" s="46" t="s">
        <v>96</v>
      </c>
      <c r="C35" s="50" t="s">
        <v>97</v>
      </c>
      <c r="D35" s="51">
        <v>1</v>
      </c>
      <c r="E35" s="21">
        <v>0</v>
      </c>
      <c r="F35" s="51">
        <v>3</v>
      </c>
      <c r="G35" s="52">
        <f t="shared" si="1"/>
        <v>0</v>
      </c>
    </row>
    <row r="36" spans="1:7" x14ac:dyDescent="0.25">
      <c r="A36" s="143" t="s">
        <v>170</v>
      </c>
      <c r="B36" s="143"/>
      <c r="C36" s="143"/>
      <c r="D36" s="143"/>
      <c r="E36" s="143"/>
      <c r="F36" s="143"/>
      <c r="G36" s="144">
        <f>SUM(G21:G34)</f>
        <v>0</v>
      </c>
    </row>
    <row r="37" spans="1:7" x14ac:dyDescent="0.25">
      <c r="A37" s="143"/>
      <c r="B37" s="143"/>
      <c r="C37" s="143"/>
      <c r="D37" s="143"/>
      <c r="E37" s="143"/>
      <c r="F37" s="143"/>
      <c r="G37" s="144"/>
    </row>
    <row r="38" spans="1:7" x14ac:dyDescent="0.25">
      <c r="A38" s="28" t="s">
        <v>199</v>
      </c>
      <c r="B38" s="345" t="s">
        <v>200</v>
      </c>
      <c r="C38" s="345"/>
      <c r="D38" s="345"/>
      <c r="E38" s="345"/>
      <c r="F38" s="345"/>
      <c r="G38" s="345"/>
    </row>
    <row r="39" spans="1:7" ht="26.25" x14ac:dyDescent="0.25">
      <c r="A39" s="19" t="s">
        <v>0</v>
      </c>
      <c r="B39" s="19" t="s">
        <v>1</v>
      </c>
      <c r="C39" s="42" t="s">
        <v>2</v>
      </c>
      <c r="D39" s="20" t="s">
        <v>3</v>
      </c>
      <c r="E39" s="20" t="s">
        <v>4</v>
      </c>
      <c r="F39" s="42" t="s">
        <v>98</v>
      </c>
      <c r="G39" s="48" t="s">
        <v>92</v>
      </c>
    </row>
    <row r="40" spans="1:7" x14ac:dyDescent="0.25">
      <c r="A40" s="49" t="s">
        <v>201</v>
      </c>
      <c r="B40" s="46" t="s">
        <v>202</v>
      </c>
      <c r="C40" s="50" t="s">
        <v>7</v>
      </c>
      <c r="D40" s="51">
        <v>336</v>
      </c>
      <c r="E40" s="21">
        <v>0</v>
      </c>
      <c r="F40" s="51">
        <v>4</v>
      </c>
      <c r="G40" s="52">
        <f t="shared" ref="G40:G46" si="2">F40*E40*D40</f>
        <v>0</v>
      </c>
    </row>
    <row r="41" spans="1:7" ht="25.5" x14ac:dyDescent="0.25">
      <c r="A41" s="34" t="s">
        <v>204</v>
      </c>
      <c r="B41" s="46" t="s">
        <v>205</v>
      </c>
      <c r="C41" s="53" t="s">
        <v>7</v>
      </c>
      <c r="D41" s="30">
        <v>336</v>
      </c>
      <c r="E41" s="21">
        <v>0</v>
      </c>
      <c r="F41" s="51">
        <v>2</v>
      </c>
      <c r="G41" s="52">
        <f t="shared" si="2"/>
        <v>0</v>
      </c>
    </row>
    <row r="42" spans="1:7" x14ac:dyDescent="0.25">
      <c r="A42" s="34" t="s">
        <v>210</v>
      </c>
      <c r="B42" s="46" t="s">
        <v>216</v>
      </c>
      <c r="C42" s="50" t="s">
        <v>10</v>
      </c>
      <c r="D42" s="51">
        <f>D40*0.015</f>
        <v>5.04</v>
      </c>
      <c r="E42" s="21">
        <v>0</v>
      </c>
      <c r="F42" s="51">
        <v>8</v>
      </c>
      <c r="G42" s="52">
        <f t="shared" si="2"/>
        <v>0</v>
      </c>
    </row>
    <row r="43" spans="1:7" ht="21" customHeight="1" x14ac:dyDescent="0.25">
      <c r="A43" s="55" t="s">
        <v>102</v>
      </c>
      <c r="B43" s="47" t="s">
        <v>107</v>
      </c>
      <c r="C43" s="50" t="s">
        <v>10</v>
      </c>
      <c r="D43" s="51">
        <f>D42</f>
        <v>5.04</v>
      </c>
      <c r="E43" s="21">
        <v>0</v>
      </c>
      <c r="F43" s="51">
        <v>8</v>
      </c>
      <c r="G43" s="52">
        <f t="shared" si="2"/>
        <v>0</v>
      </c>
    </row>
    <row r="44" spans="1:7" ht="18" customHeight="1" x14ac:dyDescent="0.25">
      <c r="A44" s="49"/>
      <c r="B44" s="46" t="s">
        <v>169</v>
      </c>
      <c r="C44" s="50" t="s">
        <v>9</v>
      </c>
      <c r="D44" s="51">
        <f>D40*0.001</f>
        <v>0.33600000000000002</v>
      </c>
      <c r="E44" s="21">
        <v>0</v>
      </c>
      <c r="F44" s="51">
        <v>4</v>
      </c>
      <c r="G44" s="52">
        <f t="shared" si="2"/>
        <v>0</v>
      </c>
    </row>
    <row r="45" spans="1:7" ht="24" customHeight="1" x14ac:dyDescent="0.25">
      <c r="A45" s="56" t="s">
        <v>108</v>
      </c>
      <c r="B45" s="57" t="s">
        <v>111</v>
      </c>
      <c r="C45" s="58" t="s">
        <v>10</v>
      </c>
      <c r="D45" s="60">
        <f>D43</f>
        <v>5.04</v>
      </c>
      <c r="E45" s="21">
        <v>0</v>
      </c>
      <c r="F45" s="61">
        <v>8</v>
      </c>
      <c r="G45" s="52">
        <f t="shared" si="2"/>
        <v>0</v>
      </c>
    </row>
    <row r="46" spans="1:7" x14ac:dyDescent="0.25">
      <c r="A46" s="49" t="s">
        <v>84</v>
      </c>
      <c r="B46" s="46" t="s">
        <v>96</v>
      </c>
      <c r="C46" s="50" t="s">
        <v>97</v>
      </c>
      <c r="D46" s="51">
        <v>1</v>
      </c>
      <c r="E46" s="21">
        <v>0</v>
      </c>
      <c r="F46" s="51">
        <v>4</v>
      </c>
      <c r="G46" s="52">
        <f t="shared" si="2"/>
        <v>0</v>
      </c>
    </row>
    <row r="47" spans="1:7" x14ac:dyDescent="0.25">
      <c r="A47" s="143" t="s">
        <v>170</v>
      </c>
      <c r="B47" s="143"/>
      <c r="C47" s="143"/>
      <c r="D47" s="143"/>
      <c r="E47" s="143"/>
      <c r="F47" s="143"/>
      <c r="G47" s="199">
        <f>SUM(G40:G46)</f>
        <v>0</v>
      </c>
    </row>
    <row r="48" spans="1:7" x14ac:dyDescent="0.25">
      <c r="A48" s="28" t="s">
        <v>306</v>
      </c>
      <c r="B48" s="345" t="s">
        <v>307</v>
      </c>
      <c r="C48" s="345"/>
      <c r="D48" s="345"/>
      <c r="E48" s="345"/>
      <c r="F48" s="345"/>
      <c r="G48" s="345"/>
    </row>
    <row r="49" spans="1:7" ht="26.25" x14ac:dyDescent="0.25">
      <c r="A49" s="19" t="s">
        <v>0</v>
      </c>
      <c r="B49" s="19" t="s">
        <v>1</v>
      </c>
      <c r="C49" s="42" t="s">
        <v>2</v>
      </c>
      <c r="D49" s="20" t="s">
        <v>3</v>
      </c>
      <c r="E49" s="20" t="s">
        <v>4</v>
      </c>
      <c r="F49" s="42" t="s">
        <v>98</v>
      </c>
      <c r="G49" s="48" t="s">
        <v>92</v>
      </c>
    </row>
    <row r="50" spans="1:7" ht="25.5" x14ac:dyDescent="0.25">
      <c r="A50" s="49" t="s">
        <v>308</v>
      </c>
      <c r="B50" s="46" t="s">
        <v>309</v>
      </c>
      <c r="C50" s="50" t="s">
        <v>7</v>
      </c>
      <c r="D50" s="51">
        <v>641</v>
      </c>
      <c r="E50" s="21">
        <v>0</v>
      </c>
      <c r="F50" s="51">
        <v>10</v>
      </c>
      <c r="G50" s="52">
        <f t="shared" ref="G50:G56" si="3">F50*E50*D50</f>
        <v>0</v>
      </c>
    </row>
    <row r="51" spans="1:7" x14ac:dyDescent="0.25">
      <c r="A51" s="34" t="s">
        <v>211</v>
      </c>
      <c r="B51" s="46" t="s">
        <v>311</v>
      </c>
      <c r="C51" s="50" t="s">
        <v>9</v>
      </c>
      <c r="D51" s="146">
        <f>D52/1000</f>
        <v>1.9230000000000001E-2</v>
      </c>
      <c r="E51" s="21">
        <v>0</v>
      </c>
      <c r="F51" s="51">
        <v>3</v>
      </c>
      <c r="G51" s="52">
        <f t="shared" si="3"/>
        <v>0</v>
      </c>
    </row>
    <row r="52" spans="1:7" ht="25.5" x14ac:dyDescent="0.25">
      <c r="A52" s="34" t="s">
        <v>108</v>
      </c>
      <c r="B52" s="29" t="s">
        <v>317</v>
      </c>
      <c r="C52" s="53" t="s">
        <v>114</v>
      </c>
      <c r="D52" s="30">
        <f>D50*0.03</f>
        <v>19.23</v>
      </c>
      <c r="E52" s="21">
        <v>0</v>
      </c>
      <c r="F52" s="51">
        <v>1</v>
      </c>
      <c r="G52" s="52">
        <f t="shared" si="3"/>
        <v>0</v>
      </c>
    </row>
    <row r="53" spans="1:7" ht="25.5" x14ac:dyDescent="0.25">
      <c r="A53" s="241" t="s">
        <v>108</v>
      </c>
      <c r="B53" s="6" t="s">
        <v>312</v>
      </c>
      <c r="C53" s="24" t="s">
        <v>114</v>
      </c>
      <c r="D53" s="32">
        <f>D52</f>
        <v>19.23</v>
      </c>
      <c r="E53" s="21">
        <v>0</v>
      </c>
      <c r="F53" s="51">
        <v>1</v>
      </c>
      <c r="G53" s="52">
        <f t="shared" si="3"/>
        <v>0</v>
      </c>
    </row>
    <row r="54" spans="1:7" ht="25.5" x14ac:dyDescent="0.25">
      <c r="A54" s="241" t="s">
        <v>108</v>
      </c>
      <c r="B54" s="6" t="s">
        <v>313</v>
      </c>
      <c r="C54" s="24" t="s">
        <v>114</v>
      </c>
      <c r="D54" s="32">
        <f>D53</f>
        <v>19.23</v>
      </c>
      <c r="E54" s="21">
        <v>0</v>
      </c>
      <c r="F54" s="51">
        <v>1</v>
      </c>
      <c r="G54" s="52">
        <f t="shared" si="3"/>
        <v>0</v>
      </c>
    </row>
    <row r="55" spans="1:7" x14ac:dyDescent="0.25">
      <c r="A55" s="49" t="s">
        <v>84</v>
      </c>
      <c r="B55" s="46" t="s">
        <v>169</v>
      </c>
      <c r="C55" s="50" t="s">
        <v>9</v>
      </c>
      <c r="D55" s="51">
        <f>D50*0.0008</f>
        <v>0.51280000000000003</v>
      </c>
      <c r="E55" s="21">
        <v>0</v>
      </c>
      <c r="F55" s="51">
        <v>10</v>
      </c>
      <c r="G55" s="52">
        <f t="shared" si="3"/>
        <v>0</v>
      </c>
    </row>
    <row r="56" spans="1:7" x14ac:dyDescent="0.25">
      <c r="A56" s="49" t="s">
        <v>84</v>
      </c>
      <c r="B56" s="46" t="s">
        <v>96</v>
      </c>
      <c r="C56" s="50" t="s">
        <v>97</v>
      </c>
      <c r="D56" s="51">
        <v>1</v>
      </c>
      <c r="E56" s="21">
        <v>0</v>
      </c>
      <c r="F56" s="51">
        <v>10</v>
      </c>
      <c r="G56" s="52">
        <f t="shared" si="3"/>
        <v>0</v>
      </c>
    </row>
    <row r="57" spans="1:7" x14ac:dyDescent="0.25">
      <c r="A57" s="197" t="s">
        <v>170</v>
      </c>
      <c r="B57" s="198"/>
      <c r="C57" s="198"/>
      <c r="D57" s="198"/>
      <c r="E57" s="198"/>
      <c r="F57" s="198"/>
      <c r="G57" s="199">
        <f>SUM(G50:G55)</f>
        <v>0</v>
      </c>
    </row>
    <row r="58" spans="1:7" x14ac:dyDescent="0.25">
      <c r="A58" s="112" t="s">
        <v>145</v>
      </c>
      <c r="B58" s="112"/>
      <c r="C58" s="112"/>
      <c r="D58" s="112"/>
      <c r="E58" s="112"/>
      <c r="F58" s="112"/>
      <c r="G58" s="112"/>
    </row>
    <row r="59" spans="1:7" ht="23.25" customHeight="1" x14ac:dyDescent="0.25">
      <c r="A59" s="157">
        <v>43466</v>
      </c>
      <c r="B59" s="346" t="s">
        <v>175</v>
      </c>
      <c r="C59" s="346"/>
      <c r="D59" s="346"/>
      <c r="E59" s="346"/>
      <c r="F59" s="346"/>
      <c r="G59" s="113">
        <f>G18</f>
        <v>0</v>
      </c>
    </row>
    <row r="60" spans="1:7" x14ac:dyDescent="0.25">
      <c r="A60" s="157">
        <v>43497</v>
      </c>
      <c r="B60" s="346" t="s">
        <v>176</v>
      </c>
      <c r="C60" s="346"/>
      <c r="D60" s="346"/>
      <c r="E60" s="346"/>
      <c r="F60" s="346"/>
      <c r="G60" s="113">
        <f>G36</f>
        <v>0</v>
      </c>
    </row>
    <row r="61" spans="1:7" ht="17.25" customHeight="1" x14ac:dyDescent="0.25">
      <c r="A61" s="157">
        <v>43525</v>
      </c>
      <c r="B61" s="343" t="s">
        <v>197</v>
      </c>
      <c r="C61" s="344"/>
      <c r="D61" s="344"/>
      <c r="E61" s="344"/>
      <c r="F61" s="344"/>
      <c r="G61" s="113">
        <f>G47</f>
        <v>0</v>
      </c>
    </row>
    <row r="62" spans="1:7" ht="25.5" customHeight="1" x14ac:dyDescent="0.25">
      <c r="A62" s="157">
        <v>43556</v>
      </c>
      <c r="B62" s="223" t="s">
        <v>305</v>
      </c>
      <c r="C62" s="224"/>
      <c r="D62" s="224"/>
      <c r="E62" s="224"/>
      <c r="F62" s="224"/>
      <c r="G62" s="113">
        <f>G57</f>
        <v>0</v>
      </c>
    </row>
    <row r="63" spans="1:7" x14ac:dyDescent="0.25">
      <c r="A63" s="222">
        <v>1</v>
      </c>
      <c r="B63" s="342" t="s">
        <v>360</v>
      </c>
      <c r="C63" s="342"/>
      <c r="D63" s="342"/>
      <c r="E63" s="342"/>
      <c r="F63" s="342"/>
      <c r="G63" s="147">
        <f>SUM(G59:G62)</f>
        <v>0</v>
      </c>
    </row>
    <row r="64" spans="1:7" ht="31.5" customHeight="1" x14ac:dyDescent="0.25"/>
    <row r="65" spans="1:7" ht="15.75" x14ac:dyDescent="0.25">
      <c r="A65" s="225">
        <v>2</v>
      </c>
      <c r="B65" s="340" t="s">
        <v>191</v>
      </c>
      <c r="C65" s="340"/>
      <c r="D65" s="340"/>
      <c r="E65" s="340"/>
      <c r="F65" s="340"/>
      <c r="G65" s="340"/>
    </row>
    <row r="66" spans="1:7" ht="15.75" x14ac:dyDescent="0.25">
      <c r="A66" s="217"/>
      <c r="B66" s="217"/>
      <c r="C66" s="217"/>
      <c r="D66" s="217"/>
      <c r="E66" s="217"/>
      <c r="F66" s="217"/>
      <c r="G66" s="217"/>
    </row>
    <row r="67" spans="1:7" x14ac:dyDescent="0.25">
      <c r="A67" s="215" t="s">
        <v>116</v>
      </c>
      <c r="B67" s="341" t="s">
        <v>180</v>
      </c>
      <c r="C67" s="341"/>
      <c r="D67" s="341"/>
      <c r="E67" s="341"/>
      <c r="F67" s="341"/>
      <c r="G67" s="341"/>
    </row>
    <row r="68" spans="1:7" ht="26.25" x14ac:dyDescent="0.25">
      <c r="A68" s="19" t="s">
        <v>0</v>
      </c>
      <c r="B68" s="19" t="s">
        <v>1</v>
      </c>
      <c r="C68" s="42" t="s">
        <v>2</v>
      </c>
      <c r="D68" s="20" t="s">
        <v>3</v>
      </c>
      <c r="E68" s="20" t="s">
        <v>4</v>
      </c>
      <c r="F68" s="42" t="s">
        <v>98</v>
      </c>
      <c r="G68" s="48" t="s">
        <v>92</v>
      </c>
    </row>
    <row r="69" spans="1:7" ht="25.5" x14ac:dyDescent="0.25">
      <c r="A69" s="49" t="s">
        <v>99</v>
      </c>
      <c r="B69" s="46" t="s">
        <v>342</v>
      </c>
      <c r="C69" s="50" t="s">
        <v>7</v>
      </c>
      <c r="D69" s="51">
        <f>D8</f>
        <v>71</v>
      </c>
      <c r="E69" s="21">
        <v>0</v>
      </c>
      <c r="F69" s="51">
        <v>3</v>
      </c>
      <c r="G69" s="52">
        <f t="shared" ref="G69:G86" si="4">F69*E69*D69</f>
        <v>0</v>
      </c>
    </row>
    <row r="70" spans="1:7" ht="25.5" x14ac:dyDescent="0.25">
      <c r="A70" s="34" t="s">
        <v>29</v>
      </c>
      <c r="B70" s="29" t="s">
        <v>345</v>
      </c>
      <c r="C70" s="53" t="s">
        <v>9</v>
      </c>
      <c r="D70" s="54">
        <f>D85*10*0.00001</f>
        <v>3.5500000000000004E-2</v>
      </c>
      <c r="E70" s="21">
        <v>0</v>
      </c>
      <c r="F70" s="51">
        <v>1</v>
      </c>
      <c r="G70" s="52">
        <f t="shared" si="4"/>
        <v>0</v>
      </c>
    </row>
    <row r="71" spans="1:7" x14ac:dyDescent="0.25">
      <c r="A71" s="49" t="s">
        <v>100</v>
      </c>
      <c r="B71" s="46" t="s">
        <v>94</v>
      </c>
      <c r="C71" s="50" t="s">
        <v>6</v>
      </c>
      <c r="D71" s="51">
        <v>22</v>
      </c>
      <c r="E71" s="21">
        <v>0</v>
      </c>
      <c r="F71" s="51">
        <v>2</v>
      </c>
      <c r="G71" s="52">
        <f t="shared" si="4"/>
        <v>0</v>
      </c>
    </row>
    <row r="72" spans="1:7" x14ac:dyDescent="0.25">
      <c r="A72" s="49" t="s">
        <v>101</v>
      </c>
      <c r="B72" s="46" t="s">
        <v>106</v>
      </c>
      <c r="C72" s="50" t="s">
        <v>6</v>
      </c>
      <c r="D72" s="51">
        <v>22</v>
      </c>
      <c r="E72" s="21">
        <v>0</v>
      </c>
      <c r="F72" s="51">
        <v>1</v>
      </c>
      <c r="G72" s="52">
        <f t="shared" si="4"/>
        <v>0</v>
      </c>
    </row>
    <row r="73" spans="1:7" ht="25.5" x14ac:dyDescent="0.25">
      <c r="A73" s="34" t="s">
        <v>27</v>
      </c>
      <c r="B73" s="29" t="s">
        <v>347</v>
      </c>
      <c r="C73" s="53" t="s">
        <v>7</v>
      </c>
      <c r="D73" s="30">
        <f>D69*2</f>
        <v>142</v>
      </c>
      <c r="E73" s="21">
        <v>0</v>
      </c>
      <c r="F73" s="51">
        <v>1</v>
      </c>
      <c r="G73" s="52">
        <f t="shared" si="4"/>
        <v>0</v>
      </c>
    </row>
    <row r="74" spans="1:7" ht="38.25" x14ac:dyDescent="0.25">
      <c r="A74" s="34" t="s">
        <v>25</v>
      </c>
      <c r="B74" s="29" t="s">
        <v>346</v>
      </c>
      <c r="C74" s="53" t="s">
        <v>6</v>
      </c>
      <c r="D74" s="30">
        <f>D69</f>
        <v>71</v>
      </c>
      <c r="E74" s="21">
        <v>0</v>
      </c>
      <c r="F74" s="51">
        <v>1</v>
      </c>
      <c r="G74" s="52">
        <f t="shared" si="4"/>
        <v>0</v>
      </c>
    </row>
    <row r="75" spans="1:7" ht="23.25" customHeight="1" x14ac:dyDescent="0.25">
      <c r="A75" s="55" t="s">
        <v>102</v>
      </c>
      <c r="B75" s="47" t="s">
        <v>107</v>
      </c>
      <c r="C75" s="50" t="s">
        <v>10</v>
      </c>
      <c r="D75" s="51">
        <f>D69*0.1</f>
        <v>7.1000000000000005</v>
      </c>
      <c r="E75" s="21">
        <v>0</v>
      </c>
      <c r="F75" s="51">
        <v>7</v>
      </c>
      <c r="G75" s="52">
        <f t="shared" si="4"/>
        <v>0</v>
      </c>
    </row>
    <row r="76" spans="1:7" ht="27" customHeight="1" x14ac:dyDescent="0.25">
      <c r="A76" s="49" t="s">
        <v>103</v>
      </c>
      <c r="B76" s="46" t="s">
        <v>343</v>
      </c>
      <c r="C76" s="50" t="s">
        <v>10</v>
      </c>
      <c r="D76" s="51">
        <f>D75</f>
        <v>7.1000000000000005</v>
      </c>
      <c r="E76" s="21">
        <v>0</v>
      </c>
      <c r="F76" s="51">
        <v>7</v>
      </c>
      <c r="G76" s="52">
        <f t="shared" si="4"/>
        <v>0</v>
      </c>
    </row>
    <row r="77" spans="1:7" ht="30" customHeight="1" x14ac:dyDescent="0.25">
      <c r="A77" s="49" t="s">
        <v>369</v>
      </c>
      <c r="B77" s="46" t="s">
        <v>370</v>
      </c>
      <c r="C77" s="50" t="s">
        <v>13</v>
      </c>
      <c r="D77" s="51">
        <f>3.8*D74</f>
        <v>269.8</v>
      </c>
      <c r="E77" s="21">
        <v>0</v>
      </c>
      <c r="F77" s="51">
        <v>1</v>
      </c>
      <c r="G77" s="52">
        <f t="shared" si="4"/>
        <v>0</v>
      </c>
    </row>
    <row r="78" spans="1:7" ht="21.75" customHeight="1" x14ac:dyDescent="0.25">
      <c r="A78" s="49" t="s">
        <v>84</v>
      </c>
      <c r="B78" s="46" t="s">
        <v>169</v>
      </c>
      <c r="C78" s="50" t="s">
        <v>9</v>
      </c>
      <c r="D78" s="148">
        <v>6.4000000000000001E-2</v>
      </c>
      <c r="E78" s="21">
        <v>0</v>
      </c>
      <c r="F78" s="51">
        <v>3</v>
      </c>
      <c r="G78" s="52">
        <f t="shared" si="4"/>
        <v>0</v>
      </c>
    </row>
    <row r="79" spans="1:7" s="214" customFormat="1" x14ac:dyDescent="0.25">
      <c r="A79" s="49" t="s">
        <v>84</v>
      </c>
      <c r="B79" s="46" t="s">
        <v>96</v>
      </c>
      <c r="C79" s="50" t="s">
        <v>97</v>
      </c>
      <c r="D79" s="51">
        <v>1</v>
      </c>
      <c r="E79" s="21">
        <v>0</v>
      </c>
      <c r="F79" s="51">
        <v>7</v>
      </c>
      <c r="G79" s="52">
        <f t="shared" si="4"/>
        <v>0</v>
      </c>
    </row>
    <row r="80" spans="1:7" x14ac:dyDescent="0.25">
      <c r="A80" s="56" t="s">
        <v>108</v>
      </c>
      <c r="B80" s="57" t="s">
        <v>109</v>
      </c>
      <c r="C80" s="58" t="s">
        <v>13</v>
      </c>
      <c r="D80" s="59">
        <f>D71*1.5</f>
        <v>33</v>
      </c>
      <c r="E80" s="21">
        <v>0</v>
      </c>
      <c r="F80" s="59">
        <v>2</v>
      </c>
      <c r="G80" s="52">
        <f t="shared" si="4"/>
        <v>0</v>
      </c>
    </row>
    <row r="81" spans="1:7" x14ac:dyDescent="0.25">
      <c r="A81" s="56" t="s">
        <v>108</v>
      </c>
      <c r="B81" s="57" t="s">
        <v>111</v>
      </c>
      <c r="C81" s="58" t="s">
        <v>10</v>
      </c>
      <c r="D81" s="60">
        <f>D75</f>
        <v>7.1000000000000005</v>
      </c>
      <c r="E81" s="21">
        <v>0</v>
      </c>
      <c r="F81" s="61">
        <v>7</v>
      </c>
      <c r="G81" s="52">
        <f t="shared" si="4"/>
        <v>0</v>
      </c>
    </row>
    <row r="82" spans="1:7" x14ac:dyDescent="0.25">
      <c r="A82" s="56" t="s">
        <v>108</v>
      </c>
      <c r="B82" s="57" t="s">
        <v>110</v>
      </c>
      <c r="C82" s="58" t="s">
        <v>12</v>
      </c>
      <c r="D82" s="60">
        <v>66</v>
      </c>
      <c r="E82" s="21">
        <v>0</v>
      </c>
      <c r="F82" s="61">
        <v>1</v>
      </c>
      <c r="G82" s="52">
        <f t="shared" si="4"/>
        <v>0</v>
      </c>
    </row>
    <row r="83" spans="1:7" x14ac:dyDescent="0.25">
      <c r="A83" s="114" t="s">
        <v>108</v>
      </c>
      <c r="B83" s="25" t="s">
        <v>55</v>
      </c>
      <c r="C83" s="114" t="s">
        <v>12</v>
      </c>
      <c r="D83" s="27">
        <f>D82</f>
        <v>66</v>
      </c>
      <c r="E83" s="21">
        <v>0</v>
      </c>
      <c r="F83" s="61">
        <v>1</v>
      </c>
      <c r="G83" s="52">
        <f t="shared" si="4"/>
        <v>0</v>
      </c>
    </row>
    <row r="84" spans="1:7" x14ac:dyDescent="0.25">
      <c r="A84" s="56" t="s">
        <v>108</v>
      </c>
      <c r="B84" s="85" t="s">
        <v>58</v>
      </c>
      <c r="C84" s="114" t="s">
        <v>7</v>
      </c>
      <c r="D84" s="27">
        <f>D73</f>
        <v>142</v>
      </c>
      <c r="E84" s="21">
        <v>0</v>
      </c>
      <c r="F84" s="61">
        <v>1</v>
      </c>
      <c r="G84" s="52">
        <f t="shared" si="4"/>
        <v>0</v>
      </c>
    </row>
    <row r="85" spans="1:7" x14ac:dyDescent="0.25">
      <c r="A85" s="56" t="s">
        <v>108</v>
      </c>
      <c r="B85" s="57" t="s">
        <v>214</v>
      </c>
      <c r="C85" s="58" t="s">
        <v>12</v>
      </c>
      <c r="D85" s="60">
        <f>D69*5</f>
        <v>355</v>
      </c>
      <c r="E85" s="21">
        <v>0</v>
      </c>
      <c r="F85" s="61">
        <v>1</v>
      </c>
      <c r="G85" s="52">
        <f t="shared" si="4"/>
        <v>0</v>
      </c>
    </row>
    <row r="86" spans="1:7" ht="25.5" x14ac:dyDescent="0.25">
      <c r="A86" s="56" t="s">
        <v>108</v>
      </c>
      <c r="B86" s="57" t="s">
        <v>112</v>
      </c>
      <c r="C86" s="58" t="s">
        <v>10</v>
      </c>
      <c r="D86" s="60">
        <f>D69*0.25</f>
        <v>17.75</v>
      </c>
      <c r="E86" s="21">
        <v>0</v>
      </c>
      <c r="F86" s="61">
        <v>1</v>
      </c>
      <c r="G86" s="52">
        <f t="shared" si="4"/>
        <v>0</v>
      </c>
    </row>
    <row r="87" spans="1:7" x14ac:dyDescent="0.25">
      <c r="A87" s="143" t="s">
        <v>170</v>
      </c>
      <c r="B87" s="143"/>
      <c r="C87" s="143"/>
      <c r="D87" s="143"/>
      <c r="E87" s="143"/>
      <c r="F87" s="143"/>
      <c r="G87" s="144">
        <f>SUM(G69:G86)</f>
        <v>0</v>
      </c>
    </row>
    <row r="89" spans="1:7" x14ac:dyDescent="0.25">
      <c r="A89" s="28" t="s">
        <v>123</v>
      </c>
      <c r="B89" s="345" t="s">
        <v>178</v>
      </c>
      <c r="C89" s="345"/>
      <c r="D89" s="345"/>
      <c r="E89" s="345"/>
      <c r="F89" s="345"/>
      <c r="G89" s="345"/>
    </row>
    <row r="90" spans="1:7" ht="26.25" x14ac:dyDescent="0.25">
      <c r="A90" s="19" t="s">
        <v>0</v>
      </c>
      <c r="B90" s="19" t="s">
        <v>1</v>
      </c>
      <c r="C90" s="42" t="s">
        <v>2</v>
      </c>
      <c r="D90" s="20" t="s">
        <v>3</v>
      </c>
      <c r="E90" s="20" t="s">
        <v>4</v>
      </c>
      <c r="F90" s="42" t="s">
        <v>98</v>
      </c>
      <c r="G90" s="48" t="s">
        <v>92</v>
      </c>
    </row>
    <row r="91" spans="1:7" x14ac:dyDescent="0.25">
      <c r="A91" s="49" t="s">
        <v>165</v>
      </c>
      <c r="B91" s="46" t="s">
        <v>166</v>
      </c>
      <c r="C91" s="50" t="s">
        <v>7</v>
      </c>
      <c r="D91" s="51">
        <v>71.5</v>
      </c>
      <c r="E91" s="21">
        <v>0</v>
      </c>
      <c r="F91" s="51">
        <v>3</v>
      </c>
      <c r="G91" s="52">
        <f t="shared" ref="G91:G109" si="5">F91*E91*D91</f>
        <v>0</v>
      </c>
    </row>
    <row r="92" spans="1:7" x14ac:dyDescent="0.25">
      <c r="A92" s="49" t="s">
        <v>164</v>
      </c>
      <c r="B92" s="46" t="s">
        <v>163</v>
      </c>
      <c r="C92" s="50" t="s">
        <v>7</v>
      </c>
      <c r="D92" s="51">
        <v>44.5</v>
      </c>
      <c r="E92" s="21">
        <v>0</v>
      </c>
      <c r="F92" s="51">
        <v>3</v>
      </c>
      <c r="G92" s="52">
        <f t="shared" si="5"/>
        <v>0</v>
      </c>
    </row>
    <row r="93" spans="1:7" x14ac:dyDescent="0.25">
      <c r="A93" s="49" t="s">
        <v>99</v>
      </c>
      <c r="B93" s="46" t="s">
        <v>390</v>
      </c>
      <c r="C93" s="50" t="s">
        <v>7</v>
      </c>
      <c r="D93" s="51">
        <v>18</v>
      </c>
      <c r="E93" s="21">
        <v>0</v>
      </c>
      <c r="F93" s="51">
        <v>3</v>
      </c>
      <c r="G93" s="52">
        <f t="shared" si="5"/>
        <v>0</v>
      </c>
    </row>
    <row r="94" spans="1:7" x14ac:dyDescent="0.25">
      <c r="A94" s="34" t="s">
        <v>158</v>
      </c>
      <c r="B94" s="29" t="s">
        <v>207</v>
      </c>
      <c r="C94" s="53" t="s">
        <v>6</v>
      </c>
      <c r="D94" s="30">
        <v>148</v>
      </c>
      <c r="E94" s="21">
        <v>0</v>
      </c>
      <c r="F94" s="51">
        <v>1</v>
      </c>
      <c r="G94" s="52">
        <f t="shared" si="5"/>
        <v>0</v>
      </c>
    </row>
    <row r="95" spans="1:7" ht="29.25" customHeight="1" x14ac:dyDescent="0.25">
      <c r="A95" s="34" t="s">
        <v>208</v>
      </c>
      <c r="B95" s="46" t="s">
        <v>206</v>
      </c>
      <c r="C95" s="53" t="s">
        <v>7</v>
      </c>
      <c r="D95" s="30">
        <v>44.5</v>
      </c>
      <c r="E95" s="21">
        <v>0</v>
      </c>
      <c r="F95" s="51">
        <v>1</v>
      </c>
      <c r="G95" s="52">
        <f t="shared" si="5"/>
        <v>0</v>
      </c>
    </row>
    <row r="96" spans="1:7" ht="25.5" x14ac:dyDescent="0.25">
      <c r="A96" s="34" t="s">
        <v>160</v>
      </c>
      <c r="B96" s="29" t="s">
        <v>159</v>
      </c>
      <c r="C96" s="53" t="s">
        <v>7</v>
      </c>
      <c r="D96" s="30">
        <v>88.96</v>
      </c>
      <c r="E96" s="21">
        <v>0</v>
      </c>
      <c r="F96" s="51">
        <v>2</v>
      </c>
      <c r="G96" s="52">
        <f t="shared" si="5"/>
        <v>0</v>
      </c>
    </row>
    <row r="97" spans="1:7" ht="25.5" x14ac:dyDescent="0.25">
      <c r="A97" s="34" t="s">
        <v>367</v>
      </c>
      <c r="B97" s="29" t="s">
        <v>393</v>
      </c>
      <c r="C97" s="53" t="s">
        <v>12</v>
      </c>
      <c r="D97" s="30">
        <v>18</v>
      </c>
      <c r="E97" s="21">
        <v>0</v>
      </c>
      <c r="F97" s="51">
        <v>1</v>
      </c>
      <c r="G97" s="52">
        <f t="shared" si="5"/>
        <v>0</v>
      </c>
    </row>
    <row r="98" spans="1:7" ht="25.5" x14ac:dyDescent="0.25">
      <c r="A98" s="34" t="s">
        <v>29</v>
      </c>
      <c r="B98" s="29" t="s">
        <v>93</v>
      </c>
      <c r="C98" s="53" t="s">
        <v>9</v>
      </c>
      <c r="D98" s="54">
        <f>D106*10*0.00001</f>
        <v>3.3800000000000004E-2</v>
      </c>
      <c r="E98" s="21">
        <v>0</v>
      </c>
      <c r="F98" s="51">
        <v>1</v>
      </c>
      <c r="G98" s="52">
        <f t="shared" si="5"/>
        <v>0</v>
      </c>
    </row>
    <row r="99" spans="1:7" ht="25.5" x14ac:dyDescent="0.25">
      <c r="A99" s="24" t="s">
        <v>31</v>
      </c>
      <c r="B99" s="13" t="s">
        <v>34</v>
      </c>
      <c r="C99" s="53" t="s">
        <v>7</v>
      </c>
      <c r="D99" s="30">
        <f>D92+D91</f>
        <v>116</v>
      </c>
      <c r="E99" s="21">
        <v>0</v>
      </c>
      <c r="F99" s="51">
        <v>1</v>
      </c>
      <c r="G99" s="52">
        <f t="shared" si="5"/>
        <v>0</v>
      </c>
    </row>
    <row r="100" spans="1:7" ht="25.5" x14ac:dyDescent="0.25">
      <c r="A100" s="24" t="s">
        <v>362</v>
      </c>
      <c r="B100" s="13" t="s">
        <v>364</v>
      </c>
      <c r="C100" s="53" t="s">
        <v>12</v>
      </c>
      <c r="D100" s="30">
        <v>18</v>
      </c>
      <c r="E100" s="21">
        <v>0</v>
      </c>
      <c r="F100" s="51">
        <v>1</v>
      </c>
      <c r="G100" s="52">
        <f t="shared" si="5"/>
        <v>0</v>
      </c>
    </row>
    <row r="101" spans="1:7" ht="30" customHeight="1" x14ac:dyDescent="0.25">
      <c r="A101" s="49" t="s">
        <v>369</v>
      </c>
      <c r="B101" s="46" t="s">
        <v>370</v>
      </c>
      <c r="C101" s="50" t="s">
        <v>13</v>
      </c>
      <c r="D101" s="51">
        <f>2.5*D100</f>
        <v>45</v>
      </c>
      <c r="E101" s="21">
        <v>0</v>
      </c>
      <c r="F101" s="51">
        <v>1</v>
      </c>
      <c r="G101" s="52">
        <f t="shared" si="5"/>
        <v>0</v>
      </c>
    </row>
    <row r="102" spans="1:7" x14ac:dyDescent="0.25">
      <c r="A102" s="55" t="s">
        <v>102</v>
      </c>
      <c r="B102" s="47" t="s">
        <v>107</v>
      </c>
      <c r="C102" s="50" t="s">
        <v>10</v>
      </c>
      <c r="D102" s="51">
        <f>(D94+'LOK 1 '!D123+'LOK 4'!D88)*0.005</f>
        <v>0.84499999999999997</v>
      </c>
      <c r="E102" s="21">
        <v>0</v>
      </c>
      <c r="F102" s="51">
        <v>6</v>
      </c>
      <c r="G102" s="52">
        <f t="shared" si="5"/>
        <v>0</v>
      </c>
    </row>
    <row r="103" spans="1:7" x14ac:dyDescent="0.25">
      <c r="A103" s="49" t="s">
        <v>103</v>
      </c>
      <c r="B103" s="46" t="s">
        <v>95</v>
      </c>
      <c r="C103" s="50" t="s">
        <v>10</v>
      </c>
      <c r="D103" s="51">
        <f>D102</f>
        <v>0.84499999999999997</v>
      </c>
      <c r="E103" s="21">
        <v>0</v>
      </c>
      <c r="F103" s="51">
        <v>6</v>
      </c>
      <c r="G103" s="52">
        <f t="shared" si="5"/>
        <v>0</v>
      </c>
    </row>
    <row r="104" spans="1:7" x14ac:dyDescent="0.25">
      <c r="A104" s="49"/>
      <c r="B104" s="46" t="s">
        <v>365</v>
      </c>
      <c r="C104" s="50" t="s">
        <v>9</v>
      </c>
      <c r="D104" s="51">
        <f>D99*0.002</f>
        <v>0.23200000000000001</v>
      </c>
      <c r="E104" s="21">
        <v>0</v>
      </c>
      <c r="F104" s="51">
        <v>3</v>
      </c>
      <c r="G104" s="52">
        <f t="shared" si="5"/>
        <v>0</v>
      </c>
    </row>
    <row r="105" spans="1:7" ht="25.5" x14ac:dyDescent="0.25">
      <c r="A105" s="49"/>
      <c r="B105" s="46" t="s">
        <v>366</v>
      </c>
      <c r="C105" s="50" t="s">
        <v>9</v>
      </c>
      <c r="D105" s="51">
        <v>0.35</v>
      </c>
      <c r="E105" s="21">
        <v>0</v>
      </c>
      <c r="F105" s="51">
        <v>2</v>
      </c>
      <c r="G105" s="52">
        <f t="shared" si="5"/>
        <v>0</v>
      </c>
    </row>
    <row r="106" spans="1:7" x14ac:dyDescent="0.25">
      <c r="A106" s="49" t="s">
        <v>108</v>
      </c>
      <c r="B106" s="46" t="s">
        <v>213</v>
      </c>
      <c r="C106" s="50" t="s">
        <v>12</v>
      </c>
      <c r="D106" s="51">
        <f>(D94+'LOK 1 '!D123+D100)*2</f>
        <v>338</v>
      </c>
      <c r="E106" s="21">
        <v>0</v>
      </c>
      <c r="F106" s="51">
        <v>1</v>
      </c>
      <c r="G106" s="52">
        <f t="shared" si="5"/>
        <v>0</v>
      </c>
    </row>
    <row r="107" spans="1:7" x14ac:dyDescent="0.25">
      <c r="A107" s="56" t="s">
        <v>108</v>
      </c>
      <c r="B107" s="57" t="s">
        <v>111</v>
      </c>
      <c r="C107" s="58" t="s">
        <v>10</v>
      </c>
      <c r="D107" s="60">
        <f>D102</f>
        <v>0.84499999999999997</v>
      </c>
      <c r="E107" s="21">
        <v>0</v>
      </c>
      <c r="F107" s="61">
        <v>6</v>
      </c>
      <c r="G107" s="52">
        <f t="shared" si="5"/>
        <v>0</v>
      </c>
    </row>
    <row r="108" spans="1:7" x14ac:dyDescent="0.25">
      <c r="A108" s="56" t="s">
        <v>108</v>
      </c>
      <c r="B108" s="57" t="s">
        <v>167</v>
      </c>
      <c r="C108" s="58" t="s">
        <v>10</v>
      </c>
      <c r="D108" s="60">
        <f>(D91+D92+D100)*0.1</f>
        <v>13.4</v>
      </c>
      <c r="E108" s="21">
        <v>0</v>
      </c>
      <c r="F108" s="61">
        <v>1</v>
      </c>
      <c r="G108" s="52">
        <f t="shared" si="5"/>
        <v>0</v>
      </c>
    </row>
    <row r="109" spans="1:7" x14ac:dyDescent="0.25">
      <c r="A109" s="49" t="s">
        <v>84</v>
      </c>
      <c r="B109" s="46" t="s">
        <v>96</v>
      </c>
      <c r="C109" s="50" t="s">
        <v>97</v>
      </c>
      <c r="D109" s="51">
        <v>1</v>
      </c>
      <c r="E109" s="21">
        <v>0</v>
      </c>
      <c r="F109" s="51">
        <v>3</v>
      </c>
      <c r="G109" s="52">
        <f t="shared" si="5"/>
        <v>0</v>
      </c>
    </row>
    <row r="110" spans="1:7" x14ac:dyDescent="0.25">
      <c r="A110" s="143" t="s">
        <v>170</v>
      </c>
      <c r="B110" s="143"/>
      <c r="C110" s="143"/>
      <c r="D110" s="143"/>
      <c r="E110" s="143"/>
      <c r="F110" s="143"/>
      <c r="G110" s="144">
        <f>SUM(G91:G109)</f>
        <v>0</v>
      </c>
    </row>
    <row r="111" spans="1:7" x14ac:dyDescent="0.25">
      <c r="A111" s="28" t="s">
        <v>124</v>
      </c>
      <c r="B111" s="345" t="s">
        <v>304</v>
      </c>
      <c r="C111" s="345"/>
      <c r="D111" s="345"/>
      <c r="E111" s="345"/>
      <c r="F111" s="345"/>
      <c r="G111" s="345"/>
    </row>
    <row r="112" spans="1:7" ht="26.25" x14ac:dyDescent="0.25">
      <c r="A112" s="19" t="s">
        <v>0</v>
      </c>
      <c r="B112" s="19" t="s">
        <v>1</v>
      </c>
      <c r="C112" s="42" t="s">
        <v>2</v>
      </c>
      <c r="D112" s="20" t="s">
        <v>3</v>
      </c>
      <c r="E112" s="20" t="s">
        <v>4</v>
      </c>
      <c r="F112" s="42" t="s">
        <v>98</v>
      </c>
      <c r="G112" s="48" t="s">
        <v>92</v>
      </c>
    </row>
    <row r="113" spans="1:7" x14ac:dyDescent="0.25">
      <c r="A113" s="49" t="s">
        <v>201</v>
      </c>
      <c r="B113" s="46" t="s">
        <v>202</v>
      </c>
      <c r="C113" s="50" t="s">
        <v>7</v>
      </c>
      <c r="D113" s="51">
        <v>336</v>
      </c>
      <c r="E113" s="21">
        <v>0</v>
      </c>
      <c r="F113" s="51">
        <v>4</v>
      </c>
      <c r="G113" s="52">
        <f t="shared" ref="G113:G124" si="6">F113*E113*D113</f>
        <v>0</v>
      </c>
    </row>
    <row r="114" spans="1:7" ht="25.5" x14ac:dyDescent="0.25">
      <c r="A114" s="156">
        <v>185804251</v>
      </c>
      <c r="B114" s="46" t="s">
        <v>203</v>
      </c>
      <c r="C114" s="50" t="s">
        <v>7</v>
      </c>
      <c r="D114" s="51">
        <v>336</v>
      </c>
      <c r="E114" s="21">
        <v>0</v>
      </c>
      <c r="F114" s="51">
        <v>1</v>
      </c>
      <c r="G114" s="52">
        <f t="shared" si="6"/>
        <v>0</v>
      </c>
    </row>
    <row r="115" spans="1:7" ht="25.5" x14ac:dyDescent="0.25">
      <c r="A115" s="34" t="s">
        <v>204</v>
      </c>
      <c r="B115" s="46" t="s">
        <v>205</v>
      </c>
      <c r="C115" s="53" t="s">
        <v>7</v>
      </c>
      <c r="D115" s="30">
        <f>D113</f>
        <v>336</v>
      </c>
      <c r="E115" s="21">
        <v>0</v>
      </c>
      <c r="F115" s="51">
        <v>2</v>
      </c>
      <c r="G115" s="52">
        <f t="shared" si="6"/>
        <v>0</v>
      </c>
    </row>
    <row r="116" spans="1:7" x14ac:dyDescent="0.25">
      <c r="A116" s="34" t="s">
        <v>210</v>
      </c>
      <c r="B116" s="46" t="s">
        <v>216</v>
      </c>
      <c r="C116" s="50" t="s">
        <v>10</v>
      </c>
      <c r="D116" s="51">
        <f>D113*0.015</f>
        <v>5.04</v>
      </c>
      <c r="E116" s="21">
        <v>0</v>
      </c>
      <c r="F116" s="51">
        <v>6</v>
      </c>
      <c r="G116" s="52">
        <f t="shared" si="6"/>
        <v>0</v>
      </c>
    </row>
    <row r="117" spans="1:7" x14ac:dyDescent="0.25">
      <c r="A117" s="55" t="s">
        <v>102</v>
      </c>
      <c r="B117" s="47" t="s">
        <v>107</v>
      </c>
      <c r="C117" s="50" t="s">
        <v>10</v>
      </c>
      <c r="D117" s="51">
        <f>D116</f>
        <v>5.04</v>
      </c>
      <c r="E117" s="21">
        <v>0</v>
      </c>
      <c r="F117" s="51">
        <v>6</v>
      </c>
      <c r="G117" s="52">
        <f t="shared" si="6"/>
        <v>0</v>
      </c>
    </row>
    <row r="118" spans="1:7" x14ac:dyDescent="0.25">
      <c r="A118" s="34" t="s">
        <v>211</v>
      </c>
      <c r="B118" s="46" t="s">
        <v>212</v>
      </c>
      <c r="C118" s="50" t="s">
        <v>9</v>
      </c>
      <c r="D118" s="146">
        <f>D123/1000</f>
        <v>1.008E-2</v>
      </c>
      <c r="E118" s="21">
        <v>0</v>
      </c>
      <c r="F118" s="51">
        <v>1</v>
      </c>
      <c r="G118" s="52">
        <f t="shared" si="6"/>
        <v>0</v>
      </c>
    </row>
    <row r="119" spans="1:7" ht="25.5" x14ac:dyDescent="0.25">
      <c r="A119" s="24" t="s">
        <v>31</v>
      </c>
      <c r="B119" s="13" t="s">
        <v>34</v>
      </c>
      <c r="C119" s="53" t="s">
        <v>7</v>
      </c>
      <c r="D119" s="30">
        <f>D113</f>
        <v>336</v>
      </c>
      <c r="E119" s="21">
        <v>0</v>
      </c>
      <c r="F119" s="51">
        <v>1</v>
      </c>
      <c r="G119" s="52">
        <f t="shared" si="6"/>
        <v>0</v>
      </c>
    </row>
    <row r="120" spans="1:7" x14ac:dyDescent="0.25">
      <c r="A120" s="49"/>
      <c r="B120" s="46" t="s">
        <v>169</v>
      </c>
      <c r="C120" s="50" t="s">
        <v>9</v>
      </c>
      <c r="D120" s="51">
        <f>D113*0.001</f>
        <v>0.33600000000000002</v>
      </c>
      <c r="E120" s="21">
        <v>0</v>
      </c>
      <c r="F120" s="51">
        <v>4</v>
      </c>
      <c r="G120" s="52">
        <f t="shared" si="6"/>
        <v>0</v>
      </c>
    </row>
    <row r="121" spans="1:7" x14ac:dyDescent="0.25">
      <c r="A121" s="56" t="s">
        <v>108</v>
      </c>
      <c r="B121" s="57" t="s">
        <v>111</v>
      </c>
      <c r="C121" s="58" t="s">
        <v>10</v>
      </c>
      <c r="D121" s="60">
        <f>D117</f>
        <v>5.04</v>
      </c>
      <c r="E121" s="21">
        <v>0</v>
      </c>
      <c r="F121" s="61">
        <v>6</v>
      </c>
      <c r="G121" s="52">
        <f t="shared" si="6"/>
        <v>0</v>
      </c>
    </row>
    <row r="122" spans="1:7" x14ac:dyDescent="0.25">
      <c r="A122" s="56" t="s">
        <v>108</v>
      </c>
      <c r="B122" s="57" t="s">
        <v>167</v>
      </c>
      <c r="C122" s="58" t="s">
        <v>10</v>
      </c>
      <c r="D122" s="60">
        <f>D113*0.08</f>
        <v>26.88</v>
      </c>
      <c r="E122" s="21">
        <v>0</v>
      </c>
      <c r="F122" s="61">
        <v>1</v>
      </c>
      <c r="G122" s="52">
        <f t="shared" si="6"/>
        <v>0</v>
      </c>
    </row>
    <row r="123" spans="1:7" ht="25.5" x14ac:dyDescent="0.25">
      <c r="A123" s="34" t="s">
        <v>108</v>
      </c>
      <c r="B123" s="29" t="s">
        <v>215</v>
      </c>
      <c r="C123" s="53" t="s">
        <v>114</v>
      </c>
      <c r="D123" s="30">
        <f>D113*0.03</f>
        <v>10.08</v>
      </c>
      <c r="E123" s="21">
        <v>0</v>
      </c>
      <c r="F123" s="51">
        <v>1</v>
      </c>
      <c r="G123" s="52">
        <f t="shared" si="6"/>
        <v>0</v>
      </c>
    </row>
    <row r="124" spans="1:7" x14ac:dyDescent="0.25">
      <c r="A124" s="49" t="s">
        <v>84</v>
      </c>
      <c r="B124" s="46" t="s">
        <v>96</v>
      </c>
      <c r="C124" s="50" t="s">
        <v>97</v>
      </c>
      <c r="D124" s="51">
        <v>1</v>
      </c>
      <c r="E124" s="21">
        <v>0</v>
      </c>
      <c r="F124" s="51">
        <v>4</v>
      </c>
      <c r="G124" s="52">
        <f t="shared" si="6"/>
        <v>0</v>
      </c>
    </row>
    <row r="125" spans="1:7" x14ac:dyDescent="0.25">
      <c r="A125" s="143" t="s">
        <v>170</v>
      </c>
      <c r="B125" s="143"/>
      <c r="C125" s="143"/>
      <c r="D125" s="143"/>
      <c r="E125" s="143"/>
      <c r="F125" s="143"/>
      <c r="G125" s="144">
        <f>SUM(G113:G124)</f>
        <v>0</v>
      </c>
    </row>
    <row r="126" spans="1:7" x14ac:dyDescent="0.25">
      <c r="A126" s="28" t="s">
        <v>125</v>
      </c>
      <c r="B126" s="345" t="s">
        <v>307</v>
      </c>
      <c r="C126" s="345"/>
      <c r="D126" s="345"/>
      <c r="E126" s="345"/>
      <c r="F126" s="345"/>
      <c r="G126" s="345"/>
    </row>
    <row r="127" spans="1:7" ht="26.25" x14ac:dyDescent="0.25">
      <c r="A127" s="19" t="s">
        <v>0</v>
      </c>
      <c r="B127" s="19" t="s">
        <v>1</v>
      </c>
      <c r="C127" s="42" t="s">
        <v>2</v>
      </c>
      <c r="D127" s="20" t="s">
        <v>3</v>
      </c>
      <c r="E127" s="20" t="s">
        <v>4</v>
      </c>
      <c r="F127" s="42" t="s">
        <v>98</v>
      </c>
      <c r="G127" s="48" t="s">
        <v>92</v>
      </c>
    </row>
    <row r="128" spans="1:7" ht="25.5" x14ac:dyDescent="0.25">
      <c r="A128" s="49" t="s">
        <v>308</v>
      </c>
      <c r="B128" s="46" t="s">
        <v>309</v>
      </c>
      <c r="C128" s="50" t="s">
        <v>7</v>
      </c>
      <c r="D128" s="51">
        <v>641</v>
      </c>
      <c r="E128" s="21">
        <v>0</v>
      </c>
      <c r="F128" s="51">
        <v>10</v>
      </c>
      <c r="G128" s="52">
        <f t="shared" ref="G128:G132" si="7">F128*E128*D128</f>
        <v>0</v>
      </c>
    </row>
    <row r="129" spans="1:7" x14ac:dyDescent="0.25">
      <c r="A129" s="34" t="s">
        <v>211</v>
      </c>
      <c r="B129" s="46" t="s">
        <v>311</v>
      </c>
      <c r="C129" s="50" t="s">
        <v>9</v>
      </c>
      <c r="D129" s="146">
        <f>D130/1000</f>
        <v>1.9230000000000001E-2</v>
      </c>
      <c r="E129" s="21">
        <v>0</v>
      </c>
      <c r="F129" s="51">
        <v>2</v>
      </c>
      <c r="G129" s="52">
        <f t="shared" si="7"/>
        <v>0</v>
      </c>
    </row>
    <row r="130" spans="1:7" ht="25.5" x14ac:dyDescent="0.25">
      <c r="A130" s="34" t="s">
        <v>108</v>
      </c>
      <c r="B130" s="29" t="s">
        <v>310</v>
      </c>
      <c r="C130" s="53" t="s">
        <v>114</v>
      </c>
      <c r="D130" s="30">
        <f>D128*0.03</f>
        <v>19.23</v>
      </c>
      <c r="E130" s="21">
        <v>0</v>
      </c>
      <c r="F130" s="51">
        <v>1</v>
      </c>
      <c r="G130" s="52">
        <f t="shared" si="7"/>
        <v>0</v>
      </c>
    </row>
    <row r="131" spans="1:7" x14ac:dyDescent="0.25">
      <c r="A131" s="49" t="s">
        <v>84</v>
      </c>
      <c r="B131" s="46" t="s">
        <v>169</v>
      </c>
      <c r="C131" s="50" t="s">
        <v>9</v>
      </c>
      <c r="D131" s="51">
        <f>D128*0.0008</f>
        <v>0.51280000000000003</v>
      </c>
      <c r="E131" s="21">
        <v>0</v>
      </c>
      <c r="F131" s="51">
        <v>10</v>
      </c>
      <c r="G131" s="52">
        <f t="shared" si="7"/>
        <v>0</v>
      </c>
    </row>
    <row r="132" spans="1:7" x14ac:dyDescent="0.25">
      <c r="A132" s="49" t="s">
        <v>84</v>
      </c>
      <c r="B132" s="46" t="s">
        <v>96</v>
      </c>
      <c r="C132" s="50" t="s">
        <v>97</v>
      </c>
      <c r="D132" s="51">
        <v>1</v>
      </c>
      <c r="E132" s="21">
        <v>0</v>
      </c>
      <c r="F132" s="51">
        <v>10</v>
      </c>
      <c r="G132" s="52">
        <f t="shared" si="7"/>
        <v>0</v>
      </c>
    </row>
    <row r="133" spans="1:7" x14ac:dyDescent="0.25">
      <c r="A133" s="197" t="s">
        <v>170</v>
      </c>
      <c r="B133" s="198"/>
      <c r="C133" s="198"/>
      <c r="D133" s="198"/>
      <c r="E133" s="198"/>
      <c r="F133" s="198"/>
      <c r="G133" s="199">
        <f>SUM(G128:G132)</f>
        <v>0</v>
      </c>
    </row>
    <row r="135" spans="1:7" x14ac:dyDescent="0.25">
      <c r="A135" s="112" t="s">
        <v>145</v>
      </c>
      <c r="B135" s="112"/>
      <c r="C135" s="112"/>
      <c r="D135" s="112"/>
      <c r="E135" s="112"/>
      <c r="F135" s="112"/>
      <c r="G135" s="112"/>
    </row>
    <row r="136" spans="1:7" x14ac:dyDescent="0.25">
      <c r="A136" s="157">
        <v>43467</v>
      </c>
      <c r="B136" s="346" t="s">
        <v>175</v>
      </c>
      <c r="C136" s="346"/>
      <c r="D136" s="346"/>
      <c r="E136" s="346"/>
      <c r="F136" s="346"/>
      <c r="G136" s="113">
        <f>G87</f>
        <v>0</v>
      </c>
    </row>
    <row r="137" spans="1:7" x14ac:dyDescent="0.25">
      <c r="A137" s="157">
        <v>43498</v>
      </c>
      <c r="B137" s="346" t="s">
        <v>176</v>
      </c>
      <c r="C137" s="346"/>
      <c r="D137" s="346"/>
      <c r="E137" s="346"/>
      <c r="F137" s="346"/>
      <c r="G137" s="113">
        <f>G110</f>
        <v>0</v>
      </c>
    </row>
    <row r="138" spans="1:7" x14ac:dyDescent="0.25">
      <c r="A138" s="157">
        <v>43526</v>
      </c>
      <c r="B138" s="343" t="s">
        <v>197</v>
      </c>
      <c r="C138" s="344"/>
      <c r="D138" s="344"/>
      <c r="E138" s="344"/>
      <c r="F138" s="344"/>
      <c r="G138" s="113">
        <f>G125</f>
        <v>0</v>
      </c>
    </row>
    <row r="139" spans="1:7" x14ac:dyDescent="0.25">
      <c r="A139" s="157">
        <v>43557</v>
      </c>
      <c r="B139" s="223" t="s">
        <v>305</v>
      </c>
      <c r="C139" s="224"/>
      <c r="D139" s="224"/>
      <c r="E139" s="224"/>
      <c r="F139" s="224"/>
      <c r="G139" s="113">
        <f>G133</f>
        <v>0</v>
      </c>
    </row>
    <row r="140" spans="1:7" x14ac:dyDescent="0.25">
      <c r="A140" s="222">
        <v>2</v>
      </c>
      <c r="B140" s="342" t="s">
        <v>372</v>
      </c>
      <c r="C140" s="342"/>
      <c r="D140" s="342"/>
      <c r="E140" s="342"/>
      <c r="F140" s="342"/>
      <c r="G140" s="147">
        <f>SUM(G136:G139)</f>
        <v>0</v>
      </c>
    </row>
    <row r="142" spans="1:7" ht="15.75" x14ac:dyDescent="0.25">
      <c r="A142" s="225">
        <v>3</v>
      </c>
      <c r="B142" s="340" t="s">
        <v>190</v>
      </c>
      <c r="C142" s="340"/>
      <c r="D142" s="340"/>
      <c r="E142" s="340"/>
      <c r="F142" s="340"/>
      <c r="G142" s="340"/>
    </row>
    <row r="143" spans="1:7" x14ac:dyDescent="0.25">
      <c r="A143" s="11"/>
      <c r="B143" s="11"/>
      <c r="C143" s="11"/>
      <c r="D143" s="11"/>
      <c r="E143" s="11"/>
      <c r="F143" s="11"/>
      <c r="G143" s="11"/>
    </row>
    <row r="144" spans="1:7" x14ac:dyDescent="0.25">
      <c r="A144" s="215" t="s">
        <v>130</v>
      </c>
      <c r="B144" s="341" t="s">
        <v>180</v>
      </c>
      <c r="C144" s="341"/>
      <c r="D144" s="341"/>
      <c r="E144" s="341"/>
      <c r="F144" s="341"/>
      <c r="G144" s="341"/>
    </row>
    <row r="145" spans="1:7" ht="26.25" x14ac:dyDescent="0.25">
      <c r="A145" s="19" t="s">
        <v>0</v>
      </c>
      <c r="B145" s="19" t="s">
        <v>1</v>
      </c>
      <c r="C145" s="42" t="s">
        <v>2</v>
      </c>
      <c r="D145" s="20" t="s">
        <v>3</v>
      </c>
      <c r="E145" s="20" t="s">
        <v>4</v>
      </c>
      <c r="F145" s="42" t="s">
        <v>98</v>
      </c>
      <c r="G145" s="48" t="s">
        <v>92</v>
      </c>
    </row>
    <row r="146" spans="1:7" ht="25.5" x14ac:dyDescent="0.25">
      <c r="A146" s="49" t="s">
        <v>99</v>
      </c>
      <c r="B146" s="46" t="s">
        <v>342</v>
      </c>
      <c r="C146" s="50" t="s">
        <v>7</v>
      </c>
      <c r="D146" s="51">
        <f>D69</f>
        <v>71</v>
      </c>
      <c r="E146" s="21">
        <v>0</v>
      </c>
      <c r="F146" s="51">
        <v>3</v>
      </c>
      <c r="G146" s="52">
        <f t="shared" ref="G146:G158" si="8">F146*E146*D146</f>
        <v>0</v>
      </c>
    </row>
    <row r="147" spans="1:7" ht="25.5" x14ac:dyDescent="0.25">
      <c r="A147" s="34" t="s">
        <v>28</v>
      </c>
      <c r="B147" s="29" t="s">
        <v>344</v>
      </c>
      <c r="C147" s="53" t="s">
        <v>6</v>
      </c>
      <c r="D147" s="30">
        <f>D146</f>
        <v>71</v>
      </c>
      <c r="E147" s="21">
        <v>0</v>
      </c>
      <c r="F147" s="51">
        <v>1</v>
      </c>
      <c r="G147" s="52">
        <f t="shared" si="8"/>
        <v>0</v>
      </c>
    </row>
    <row r="148" spans="1:7" ht="25.5" x14ac:dyDescent="0.25">
      <c r="A148" s="34" t="s">
        <v>29</v>
      </c>
      <c r="B148" s="29" t="s">
        <v>345</v>
      </c>
      <c r="C148" s="53" t="s">
        <v>9</v>
      </c>
      <c r="D148" s="54">
        <f>D157*10*0.00001</f>
        <v>3.5500000000000004E-2</v>
      </c>
      <c r="E148" s="21">
        <v>0</v>
      </c>
      <c r="F148" s="51">
        <v>1</v>
      </c>
      <c r="G148" s="52">
        <f t="shared" si="8"/>
        <v>0</v>
      </c>
    </row>
    <row r="149" spans="1:7" x14ac:dyDescent="0.25">
      <c r="A149" s="55" t="s">
        <v>102</v>
      </c>
      <c r="B149" s="47" t="s">
        <v>107</v>
      </c>
      <c r="C149" s="50" t="s">
        <v>10</v>
      </c>
      <c r="D149" s="51">
        <f>D146*0.1</f>
        <v>7.1000000000000005</v>
      </c>
      <c r="E149" s="21">
        <v>0</v>
      </c>
      <c r="F149" s="51">
        <v>5</v>
      </c>
      <c r="G149" s="52">
        <f t="shared" si="8"/>
        <v>0</v>
      </c>
    </row>
    <row r="150" spans="1:7" ht="25.5" x14ac:dyDescent="0.25">
      <c r="A150" s="49" t="s">
        <v>103</v>
      </c>
      <c r="B150" s="46" t="s">
        <v>343</v>
      </c>
      <c r="C150" s="50" t="s">
        <v>10</v>
      </c>
      <c r="D150" s="51">
        <f>D149</f>
        <v>7.1000000000000005</v>
      </c>
      <c r="E150" s="21">
        <v>0</v>
      </c>
      <c r="F150" s="51">
        <v>5</v>
      </c>
      <c r="G150" s="52">
        <f t="shared" si="8"/>
        <v>0</v>
      </c>
    </row>
    <row r="151" spans="1:7" ht="38.25" x14ac:dyDescent="0.25">
      <c r="A151" s="49" t="s">
        <v>104</v>
      </c>
      <c r="B151" s="46" t="s">
        <v>348</v>
      </c>
      <c r="C151" s="50" t="s">
        <v>12</v>
      </c>
      <c r="D151" s="51">
        <f>D146</f>
        <v>71</v>
      </c>
      <c r="E151" s="21">
        <v>0</v>
      </c>
      <c r="F151" s="51">
        <v>1</v>
      </c>
      <c r="G151" s="52">
        <f t="shared" si="8"/>
        <v>0</v>
      </c>
    </row>
    <row r="152" spans="1:7" ht="25.5" x14ac:dyDescent="0.25">
      <c r="A152" s="49" t="s">
        <v>359</v>
      </c>
      <c r="B152" s="46" t="s">
        <v>371</v>
      </c>
      <c r="C152" s="50" t="s">
        <v>12</v>
      </c>
      <c r="D152" s="51">
        <f>D146*2</f>
        <v>142</v>
      </c>
      <c r="E152" s="21">
        <v>0</v>
      </c>
      <c r="F152" s="51">
        <v>1</v>
      </c>
      <c r="G152" s="52">
        <f>F152*E152*D152</f>
        <v>0</v>
      </c>
    </row>
    <row r="153" spans="1:7" ht="38.25" x14ac:dyDescent="0.25">
      <c r="A153" s="49" t="s">
        <v>369</v>
      </c>
      <c r="B153" s="46" t="s">
        <v>370</v>
      </c>
      <c r="C153" s="50" t="s">
        <v>13</v>
      </c>
      <c r="D153" s="51">
        <f>3.8*D146</f>
        <v>269.8</v>
      </c>
      <c r="E153" s="21">
        <v>0</v>
      </c>
      <c r="F153" s="51">
        <v>1</v>
      </c>
      <c r="G153" s="52">
        <f t="shared" si="8"/>
        <v>0</v>
      </c>
    </row>
    <row r="154" spans="1:7" x14ac:dyDescent="0.25">
      <c r="A154" s="49" t="s">
        <v>84</v>
      </c>
      <c r="B154" s="46" t="s">
        <v>168</v>
      </c>
      <c r="C154" s="50" t="s">
        <v>9</v>
      </c>
      <c r="D154" s="51">
        <v>0.2</v>
      </c>
      <c r="E154" s="21">
        <v>0</v>
      </c>
      <c r="F154" s="51">
        <v>1</v>
      </c>
      <c r="G154" s="52">
        <f t="shared" si="8"/>
        <v>0</v>
      </c>
    </row>
    <row r="155" spans="1:7" x14ac:dyDescent="0.25">
      <c r="A155" s="49" t="s">
        <v>84</v>
      </c>
      <c r="B155" s="46" t="s">
        <v>169</v>
      </c>
      <c r="C155" s="50" t="s">
        <v>9</v>
      </c>
      <c r="D155" s="148">
        <v>6.4000000000000001E-2</v>
      </c>
      <c r="E155" s="21">
        <v>0</v>
      </c>
      <c r="F155" s="51">
        <v>3</v>
      </c>
      <c r="G155" s="52">
        <f t="shared" si="8"/>
        <v>0</v>
      </c>
    </row>
    <row r="156" spans="1:7" x14ac:dyDescent="0.25">
      <c r="A156" s="49" t="s">
        <v>84</v>
      </c>
      <c r="B156" s="46" t="s">
        <v>96</v>
      </c>
      <c r="C156" s="50" t="s">
        <v>97</v>
      </c>
      <c r="D156" s="51">
        <v>1</v>
      </c>
      <c r="E156" s="21">
        <v>0</v>
      </c>
      <c r="F156" s="51">
        <v>5</v>
      </c>
      <c r="G156" s="52">
        <f t="shared" si="8"/>
        <v>0</v>
      </c>
    </row>
    <row r="157" spans="1:7" x14ac:dyDescent="0.25">
      <c r="A157" s="56" t="s">
        <v>108</v>
      </c>
      <c r="B157" s="57" t="s">
        <v>214</v>
      </c>
      <c r="C157" s="58" t="s">
        <v>12</v>
      </c>
      <c r="D157" s="60">
        <f>D146*5</f>
        <v>355</v>
      </c>
      <c r="E157" s="21">
        <v>0</v>
      </c>
      <c r="F157" s="61">
        <v>1</v>
      </c>
      <c r="G157" s="52">
        <f t="shared" si="8"/>
        <v>0</v>
      </c>
    </row>
    <row r="158" spans="1:7" x14ac:dyDescent="0.25">
      <c r="A158" s="56" t="s">
        <v>108</v>
      </c>
      <c r="B158" s="57" t="s">
        <v>111</v>
      </c>
      <c r="C158" s="58" t="s">
        <v>10</v>
      </c>
      <c r="D158" s="60">
        <f>D149</f>
        <v>7.1000000000000005</v>
      </c>
      <c r="E158" s="21">
        <v>0</v>
      </c>
      <c r="F158" s="61">
        <v>5</v>
      </c>
      <c r="G158" s="52">
        <f t="shared" si="8"/>
        <v>0</v>
      </c>
    </row>
    <row r="159" spans="1:7" x14ac:dyDescent="0.25">
      <c r="A159" s="143" t="s">
        <v>170</v>
      </c>
      <c r="B159" s="143"/>
      <c r="C159" s="143"/>
      <c r="D159" s="143"/>
      <c r="E159" s="143"/>
      <c r="F159" s="143"/>
      <c r="G159" s="144">
        <f>SUM(G146:G158)</f>
        <v>0</v>
      </c>
    </row>
    <row r="160" spans="1:7" x14ac:dyDescent="0.25">
      <c r="A160" s="28" t="s">
        <v>171</v>
      </c>
      <c r="B160" s="345" t="s">
        <v>178</v>
      </c>
      <c r="C160" s="345"/>
      <c r="D160" s="345"/>
      <c r="E160" s="345"/>
      <c r="F160" s="345"/>
      <c r="G160" s="345"/>
    </row>
    <row r="161" spans="1:7" ht="26.25" x14ac:dyDescent="0.25">
      <c r="A161" s="19" t="s">
        <v>0</v>
      </c>
      <c r="B161" s="19" t="s">
        <v>1</v>
      </c>
      <c r="C161" s="42" t="s">
        <v>2</v>
      </c>
      <c r="D161" s="20" t="s">
        <v>3</v>
      </c>
      <c r="E161" s="20" t="s">
        <v>4</v>
      </c>
      <c r="F161" s="42" t="s">
        <v>98</v>
      </c>
      <c r="G161" s="48" t="s">
        <v>92</v>
      </c>
    </row>
    <row r="162" spans="1:7" x14ac:dyDescent="0.25">
      <c r="A162" s="49" t="s">
        <v>165</v>
      </c>
      <c r="B162" s="46" t="s">
        <v>166</v>
      </c>
      <c r="C162" s="50" t="s">
        <v>7</v>
      </c>
      <c r="D162" s="51">
        <v>71.5</v>
      </c>
      <c r="E162" s="21">
        <v>0</v>
      </c>
      <c r="F162" s="51">
        <v>3</v>
      </c>
      <c r="G162" s="52">
        <f t="shared" ref="G162:G177" si="9">F162*E162*D162</f>
        <v>0</v>
      </c>
    </row>
    <row r="163" spans="1:7" x14ac:dyDescent="0.25">
      <c r="A163" s="49" t="s">
        <v>164</v>
      </c>
      <c r="B163" s="46" t="s">
        <v>163</v>
      </c>
      <c r="C163" s="50" t="s">
        <v>7</v>
      </c>
      <c r="D163" s="51">
        <v>44.5</v>
      </c>
      <c r="E163" s="21">
        <v>0</v>
      </c>
      <c r="F163" s="51">
        <v>3</v>
      </c>
      <c r="G163" s="52">
        <f t="shared" si="9"/>
        <v>0</v>
      </c>
    </row>
    <row r="164" spans="1:7" x14ac:dyDescent="0.25">
      <c r="A164" s="49" t="s">
        <v>99</v>
      </c>
      <c r="B164" s="46" t="s">
        <v>390</v>
      </c>
      <c r="C164" s="50" t="s">
        <v>7</v>
      </c>
      <c r="D164" s="51">
        <v>18</v>
      </c>
      <c r="E164" s="21">
        <v>0</v>
      </c>
      <c r="F164" s="51">
        <v>3</v>
      </c>
      <c r="G164" s="52">
        <f t="shared" si="9"/>
        <v>0</v>
      </c>
    </row>
    <row r="165" spans="1:7" x14ac:dyDescent="0.25">
      <c r="A165" s="34" t="s">
        <v>158</v>
      </c>
      <c r="B165" s="29" t="s">
        <v>207</v>
      </c>
      <c r="C165" s="53" t="s">
        <v>6</v>
      </c>
      <c r="D165" s="30">
        <v>148</v>
      </c>
      <c r="E165" s="21">
        <v>0</v>
      </c>
      <c r="F165" s="51">
        <v>1</v>
      </c>
      <c r="G165" s="52">
        <f t="shared" si="9"/>
        <v>0</v>
      </c>
    </row>
    <row r="166" spans="1:7" ht="25.5" x14ac:dyDescent="0.25">
      <c r="A166" s="34" t="s">
        <v>208</v>
      </c>
      <c r="B166" s="46" t="s">
        <v>206</v>
      </c>
      <c r="C166" s="53" t="s">
        <v>7</v>
      </c>
      <c r="D166" s="30">
        <v>55</v>
      </c>
      <c r="E166" s="21">
        <v>0</v>
      </c>
      <c r="F166" s="51">
        <v>1</v>
      </c>
      <c r="G166" s="52">
        <f t="shared" si="9"/>
        <v>0</v>
      </c>
    </row>
    <row r="167" spans="1:7" ht="25.5" x14ac:dyDescent="0.25">
      <c r="A167" s="34" t="s">
        <v>160</v>
      </c>
      <c r="B167" s="29" t="s">
        <v>159</v>
      </c>
      <c r="C167" s="53" t="s">
        <v>7</v>
      </c>
      <c r="D167" s="30">
        <v>113.6</v>
      </c>
      <c r="E167" s="21">
        <v>0</v>
      </c>
      <c r="F167" s="51">
        <v>2</v>
      </c>
      <c r="G167" s="52">
        <f t="shared" si="9"/>
        <v>0</v>
      </c>
    </row>
    <row r="168" spans="1:7" ht="25.5" x14ac:dyDescent="0.25">
      <c r="A168" s="34" t="s">
        <v>368</v>
      </c>
      <c r="B168" s="29" t="s">
        <v>394</v>
      </c>
      <c r="C168" s="53" t="s">
        <v>12</v>
      </c>
      <c r="D168" s="30">
        <v>18</v>
      </c>
      <c r="E168" s="21">
        <v>0</v>
      </c>
      <c r="F168" s="51">
        <v>1</v>
      </c>
      <c r="G168" s="52">
        <f t="shared" si="9"/>
        <v>0</v>
      </c>
    </row>
    <row r="169" spans="1:7" ht="25.5" x14ac:dyDescent="0.25">
      <c r="A169" s="34" t="s">
        <v>29</v>
      </c>
      <c r="B169" s="29" t="s">
        <v>93</v>
      </c>
      <c r="C169" s="53" t="s">
        <v>9</v>
      </c>
      <c r="D169" s="54">
        <f>D175*10*0.00001</f>
        <v>3.32E-2</v>
      </c>
      <c r="E169" s="21">
        <v>0</v>
      </c>
      <c r="F169" s="51">
        <v>1</v>
      </c>
      <c r="G169" s="52">
        <f t="shared" si="9"/>
        <v>0</v>
      </c>
    </row>
    <row r="170" spans="1:7" ht="38.25" x14ac:dyDescent="0.25">
      <c r="A170" s="49" t="s">
        <v>369</v>
      </c>
      <c r="B170" s="46" t="s">
        <v>370</v>
      </c>
      <c r="C170" s="50" t="s">
        <v>13</v>
      </c>
      <c r="D170" s="51">
        <f>2.5*D168</f>
        <v>45</v>
      </c>
      <c r="E170" s="21">
        <v>0</v>
      </c>
      <c r="F170" s="51">
        <v>1</v>
      </c>
      <c r="G170" s="52">
        <f t="shared" si="9"/>
        <v>0</v>
      </c>
    </row>
    <row r="171" spans="1:7" x14ac:dyDescent="0.25">
      <c r="A171" s="55" t="s">
        <v>102</v>
      </c>
      <c r="B171" s="47" t="s">
        <v>107</v>
      </c>
      <c r="C171" s="50" t="s">
        <v>10</v>
      </c>
      <c r="D171" s="51">
        <f>(D165+'LOK 1 '!D121+D168)*0.005</f>
        <v>0.83000000000000007</v>
      </c>
      <c r="E171" s="21">
        <v>0</v>
      </c>
      <c r="F171" s="51">
        <v>4</v>
      </c>
      <c r="G171" s="52">
        <f t="shared" si="9"/>
        <v>0</v>
      </c>
    </row>
    <row r="172" spans="1:7" x14ac:dyDescent="0.25">
      <c r="A172" s="49" t="s">
        <v>103</v>
      </c>
      <c r="B172" s="46" t="s">
        <v>95</v>
      </c>
      <c r="C172" s="50" t="s">
        <v>10</v>
      </c>
      <c r="D172" s="51">
        <f>D171</f>
        <v>0.83000000000000007</v>
      </c>
      <c r="E172" s="21">
        <v>0</v>
      </c>
      <c r="F172" s="51">
        <v>4</v>
      </c>
      <c r="G172" s="52">
        <f t="shared" si="9"/>
        <v>0</v>
      </c>
    </row>
    <row r="173" spans="1:7" x14ac:dyDescent="0.25">
      <c r="A173" s="49"/>
      <c r="B173" s="46" t="s">
        <v>169</v>
      </c>
      <c r="C173" s="50" t="s">
        <v>9</v>
      </c>
      <c r="D173" s="51">
        <f>116*0.002</f>
        <v>0.23200000000000001</v>
      </c>
      <c r="E173" s="21">
        <v>0</v>
      </c>
      <c r="F173" s="51">
        <v>3</v>
      </c>
      <c r="G173" s="52">
        <f t="shared" si="9"/>
        <v>0</v>
      </c>
    </row>
    <row r="174" spans="1:7" x14ac:dyDescent="0.25">
      <c r="A174" s="49"/>
      <c r="B174" s="46" t="s">
        <v>169</v>
      </c>
      <c r="C174" s="50" t="s">
        <v>9</v>
      </c>
      <c r="D174" s="51">
        <v>0.4</v>
      </c>
      <c r="E174" s="21">
        <v>0</v>
      </c>
      <c r="F174" s="51">
        <v>2</v>
      </c>
      <c r="G174" s="52">
        <f t="shared" si="9"/>
        <v>0</v>
      </c>
    </row>
    <row r="175" spans="1:7" x14ac:dyDescent="0.25">
      <c r="A175" s="49" t="s">
        <v>108</v>
      </c>
      <c r="B175" s="46" t="s">
        <v>213</v>
      </c>
      <c r="C175" s="50" t="s">
        <v>12</v>
      </c>
      <c r="D175" s="51">
        <f>(D165+'LOK 1 '!D121+D168)*2</f>
        <v>332</v>
      </c>
      <c r="E175" s="21">
        <v>0</v>
      </c>
      <c r="F175" s="51">
        <v>1</v>
      </c>
      <c r="G175" s="52">
        <f t="shared" si="9"/>
        <v>0</v>
      </c>
    </row>
    <row r="176" spans="1:7" x14ac:dyDescent="0.25">
      <c r="A176" s="56" t="s">
        <v>108</v>
      </c>
      <c r="B176" s="57" t="s">
        <v>111</v>
      </c>
      <c r="C176" s="58" t="s">
        <v>10</v>
      </c>
      <c r="D176" s="60">
        <f>D171</f>
        <v>0.83000000000000007</v>
      </c>
      <c r="E176" s="21">
        <v>0</v>
      </c>
      <c r="F176" s="61">
        <v>4</v>
      </c>
      <c r="G176" s="52">
        <f t="shared" si="9"/>
        <v>0</v>
      </c>
    </row>
    <row r="177" spans="1:7" x14ac:dyDescent="0.25">
      <c r="A177" s="49" t="s">
        <v>84</v>
      </c>
      <c r="B177" s="46" t="s">
        <v>96</v>
      </c>
      <c r="C177" s="50" t="s">
        <v>97</v>
      </c>
      <c r="D177" s="51">
        <v>1</v>
      </c>
      <c r="E177" s="21">
        <v>0</v>
      </c>
      <c r="F177" s="51">
        <v>3</v>
      </c>
      <c r="G177" s="52">
        <f t="shared" si="9"/>
        <v>0</v>
      </c>
    </row>
    <row r="178" spans="1:7" x14ac:dyDescent="0.25">
      <c r="A178" s="143" t="s">
        <v>170</v>
      </c>
      <c r="B178" s="143"/>
      <c r="C178" s="143"/>
      <c r="D178" s="143"/>
      <c r="E178" s="143"/>
      <c r="F178" s="143"/>
      <c r="G178" s="144">
        <f>SUM(G162:G177)</f>
        <v>0</v>
      </c>
    </row>
    <row r="179" spans="1:7" x14ac:dyDescent="0.25">
      <c r="A179" s="28" t="s">
        <v>217</v>
      </c>
      <c r="B179" s="345" t="s">
        <v>200</v>
      </c>
      <c r="C179" s="345"/>
      <c r="D179" s="345"/>
      <c r="E179" s="345"/>
      <c r="F179" s="345"/>
      <c r="G179" s="345"/>
    </row>
    <row r="180" spans="1:7" ht="26.25" x14ac:dyDescent="0.25">
      <c r="A180" s="19" t="s">
        <v>0</v>
      </c>
      <c r="B180" s="19" t="s">
        <v>1</v>
      </c>
      <c r="C180" s="42" t="s">
        <v>2</v>
      </c>
      <c r="D180" s="20" t="s">
        <v>3</v>
      </c>
      <c r="E180" s="20" t="s">
        <v>4</v>
      </c>
      <c r="F180" s="42" t="s">
        <v>98</v>
      </c>
      <c r="G180" s="48" t="s">
        <v>92</v>
      </c>
    </row>
    <row r="181" spans="1:7" x14ac:dyDescent="0.25">
      <c r="A181" s="49" t="s">
        <v>201</v>
      </c>
      <c r="B181" s="46" t="s">
        <v>202</v>
      </c>
      <c r="C181" s="50" t="s">
        <v>7</v>
      </c>
      <c r="D181" s="51">
        <v>336</v>
      </c>
      <c r="E181" s="21">
        <v>0</v>
      </c>
      <c r="F181" s="51">
        <v>4</v>
      </c>
      <c r="G181" s="52">
        <f t="shared" ref="G181:G191" si="10">F181*E181*D181</f>
        <v>0</v>
      </c>
    </row>
    <row r="182" spans="1:7" ht="25.5" x14ac:dyDescent="0.25">
      <c r="A182" s="156">
        <v>185804251</v>
      </c>
      <c r="B182" s="46" t="s">
        <v>203</v>
      </c>
      <c r="C182" s="50" t="s">
        <v>7</v>
      </c>
      <c r="D182" s="51">
        <v>336</v>
      </c>
      <c r="E182" s="21">
        <v>0</v>
      </c>
      <c r="F182" s="51">
        <v>1</v>
      </c>
      <c r="G182" s="52">
        <f t="shared" si="10"/>
        <v>0</v>
      </c>
    </row>
    <row r="183" spans="1:7" ht="25.5" x14ac:dyDescent="0.25">
      <c r="A183" s="34" t="s">
        <v>204</v>
      </c>
      <c r="B183" s="46" t="s">
        <v>205</v>
      </c>
      <c r="C183" s="53" t="s">
        <v>7</v>
      </c>
      <c r="D183" s="30">
        <f>D181</f>
        <v>336</v>
      </c>
      <c r="E183" s="21">
        <v>0</v>
      </c>
      <c r="F183" s="51">
        <v>2</v>
      </c>
      <c r="G183" s="52">
        <f t="shared" si="10"/>
        <v>0</v>
      </c>
    </row>
    <row r="184" spans="1:7" x14ac:dyDescent="0.25">
      <c r="A184" s="34" t="s">
        <v>210</v>
      </c>
      <c r="B184" s="46" t="s">
        <v>216</v>
      </c>
      <c r="C184" s="50" t="s">
        <v>10</v>
      </c>
      <c r="D184" s="51">
        <f>D181*0.015</f>
        <v>5.04</v>
      </c>
      <c r="E184" s="21">
        <v>0</v>
      </c>
      <c r="F184" s="51">
        <v>4</v>
      </c>
      <c r="G184" s="52">
        <f t="shared" si="10"/>
        <v>0</v>
      </c>
    </row>
    <row r="185" spans="1:7" x14ac:dyDescent="0.25">
      <c r="A185" s="55" t="s">
        <v>102</v>
      </c>
      <c r="B185" s="47" t="s">
        <v>107</v>
      </c>
      <c r="C185" s="50" t="s">
        <v>10</v>
      </c>
      <c r="D185" s="51">
        <f>D184</f>
        <v>5.04</v>
      </c>
      <c r="E185" s="21">
        <v>0</v>
      </c>
      <c r="F185" s="51">
        <v>4</v>
      </c>
      <c r="G185" s="52">
        <f t="shared" si="10"/>
        <v>0</v>
      </c>
    </row>
    <row r="186" spans="1:7" x14ac:dyDescent="0.25">
      <c r="A186" s="34" t="s">
        <v>211</v>
      </c>
      <c r="B186" s="46" t="s">
        <v>212</v>
      </c>
      <c r="C186" s="50" t="s">
        <v>9</v>
      </c>
      <c r="D186" s="146">
        <f>D189/1000</f>
        <v>1.008E-2</v>
      </c>
      <c r="E186" s="21">
        <v>0</v>
      </c>
      <c r="F186" s="51">
        <v>1</v>
      </c>
      <c r="G186" s="52">
        <f t="shared" si="10"/>
        <v>0</v>
      </c>
    </row>
    <row r="187" spans="1:7" x14ac:dyDescent="0.25">
      <c r="A187" s="49"/>
      <c r="B187" s="46" t="s">
        <v>169</v>
      </c>
      <c r="C187" s="50" t="s">
        <v>9</v>
      </c>
      <c r="D187" s="51">
        <f>D181*0.001</f>
        <v>0.33600000000000002</v>
      </c>
      <c r="E187" s="21">
        <v>0</v>
      </c>
      <c r="F187" s="51">
        <v>4</v>
      </c>
      <c r="G187" s="52">
        <f t="shared" si="10"/>
        <v>0</v>
      </c>
    </row>
    <row r="188" spans="1:7" x14ac:dyDescent="0.25">
      <c r="A188" s="56" t="s">
        <v>108</v>
      </c>
      <c r="B188" s="57" t="s">
        <v>111</v>
      </c>
      <c r="C188" s="58" t="s">
        <v>10</v>
      </c>
      <c r="D188" s="60">
        <f>D185</f>
        <v>5.04</v>
      </c>
      <c r="E188" s="21">
        <v>0</v>
      </c>
      <c r="F188" s="61">
        <v>4</v>
      </c>
      <c r="G188" s="52">
        <f t="shared" si="10"/>
        <v>0</v>
      </c>
    </row>
    <row r="189" spans="1:7" ht="25.5" x14ac:dyDescent="0.25">
      <c r="A189" s="34" t="s">
        <v>108</v>
      </c>
      <c r="B189" s="29" t="s">
        <v>215</v>
      </c>
      <c r="C189" s="53" t="s">
        <v>114</v>
      </c>
      <c r="D189" s="30">
        <f>D181*0.03</f>
        <v>10.08</v>
      </c>
      <c r="E189" s="21">
        <v>0</v>
      </c>
      <c r="F189" s="51">
        <v>1</v>
      </c>
      <c r="G189" s="52">
        <f t="shared" si="10"/>
        <v>0</v>
      </c>
    </row>
    <row r="190" spans="1:7" x14ac:dyDescent="0.25">
      <c r="A190" s="49" t="s">
        <v>84</v>
      </c>
      <c r="B190" s="46" t="s">
        <v>96</v>
      </c>
      <c r="C190" s="50" t="s">
        <v>97</v>
      </c>
      <c r="D190" s="51">
        <v>1</v>
      </c>
      <c r="E190" s="21">
        <v>0</v>
      </c>
      <c r="F190" s="51">
        <v>4</v>
      </c>
      <c r="G190" s="52">
        <f t="shared" si="10"/>
        <v>0</v>
      </c>
    </row>
    <row r="191" spans="1:7" x14ac:dyDescent="0.25">
      <c r="A191" s="49" t="s">
        <v>84</v>
      </c>
      <c r="B191" s="46" t="s">
        <v>329</v>
      </c>
      <c r="C191" s="50" t="s">
        <v>13</v>
      </c>
      <c r="D191" s="51">
        <v>98</v>
      </c>
      <c r="E191" s="21">
        <v>0</v>
      </c>
      <c r="F191" s="51">
        <v>1</v>
      </c>
      <c r="G191" s="52">
        <f t="shared" si="10"/>
        <v>0</v>
      </c>
    </row>
    <row r="192" spans="1:7" x14ac:dyDescent="0.25">
      <c r="A192" s="143" t="s">
        <v>170</v>
      </c>
      <c r="B192" s="143"/>
      <c r="C192" s="143"/>
      <c r="D192" s="143"/>
      <c r="E192" s="143"/>
      <c r="F192" s="143"/>
      <c r="G192" s="144">
        <f>SUM(G181:G191)</f>
        <v>0</v>
      </c>
    </row>
    <row r="193" spans="1:7" x14ac:dyDescent="0.25">
      <c r="A193" s="28" t="s">
        <v>314</v>
      </c>
      <c r="B193" s="345" t="s">
        <v>307</v>
      </c>
      <c r="C193" s="345"/>
      <c r="D193" s="345"/>
      <c r="E193" s="345"/>
      <c r="F193" s="345"/>
      <c r="G193" s="345"/>
    </row>
    <row r="194" spans="1:7" ht="26.25" x14ac:dyDescent="0.25">
      <c r="A194" s="19" t="s">
        <v>0</v>
      </c>
      <c r="B194" s="19" t="s">
        <v>1</v>
      </c>
      <c r="C194" s="42" t="s">
        <v>2</v>
      </c>
      <c r="D194" s="20" t="s">
        <v>3</v>
      </c>
      <c r="E194" s="20" t="s">
        <v>4</v>
      </c>
      <c r="F194" s="42" t="s">
        <v>98</v>
      </c>
      <c r="G194" s="48" t="s">
        <v>92</v>
      </c>
    </row>
    <row r="195" spans="1:7" ht="25.5" x14ac:dyDescent="0.25">
      <c r="A195" s="49" t="s">
        <v>308</v>
      </c>
      <c r="B195" s="46" t="s">
        <v>309</v>
      </c>
      <c r="C195" s="50" t="s">
        <v>7</v>
      </c>
      <c r="D195" s="51">
        <v>641</v>
      </c>
      <c r="E195" s="21">
        <v>0</v>
      </c>
      <c r="F195" s="51">
        <v>10</v>
      </c>
      <c r="G195" s="52">
        <f t="shared" ref="G195:G199" si="11">F195*E195*D195</f>
        <v>0</v>
      </c>
    </row>
    <row r="196" spans="1:7" x14ac:dyDescent="0.25">
      <c r="A196" s="34" t="s">
        <v>211</v>
      </c>
      <c r="B196" s="46" t="s">
        <v>311</v>
      </c>
      <c r="C196" s="50" t="s">
        <v>9</v>
      </c>
      <c r="D196" s="146">
        <f>D197/1000</f>
        <v>1.9230000000000001E-2</v>
      </c>
      <c r="E196" s="21">
        <v>0</v>
      </c>
      <c r="F196" s="51">
        <v>2</v>
      </c>
      <c r="G196" s="52">
        <f t="shared" si="11"/>
        <v>0</v>
      </c>
    </row>
    <row r="197" spans="1:7" ht="25.5" x14ac:dyDescent="0.25">
      <c r="A197" s="34" t="s">
        <v>108</v>
      </c>
      <c r="B197" s="29" t="s">
        <v>310</v>
      </c>
      <c r="C197" s="53" t="s">
        <v>114</v>
      </c>
      <c r="D197" s="30">
        <f>D195*0.03</f>
        <v>19.23</v>
      </c>
      <c r="E197" s="21">
        <v>0</v>
      </c>
      <c r="F197" s="51">
        <v>1</v>
      </c>
      <c r="G197" s="52">
        <f t="shared" si="11"/>
        <v>0</v>
      </c>
    </row>
    <row r="198" spans="1:7" x14ac:dyDescent="0.25">
      <c r="A198" s="49" t="s">
        <v>84</v>
      </c>
      <c r="B198" s="46" t="s">
        <v>169</v>
      </c>
      <c r="C198" s="50" t="s">
        <v>9</v>
      </c>
      <c r="D198" s="51">
        <f>D195*0.0008</f>
        <v>0.51280000000000003</v>
      </c>
      <c r="E198" s="21">
        <v>0</v>
      </c>
      <c r="F198" s="51">
        <v>10</v>
      </c>
      <c r="G198" s="52">
        <f t="shared" si="11"/>
        <v>0</v>
      </c>
    </row>
    <row r="199" spans="1:7" x14ac:dyDescent="0.25">
      <c r="A199" s="49" t="s">
        <v>84</v>
      </c>
      <c r="B199" s="46" t="s">
        <v>96</v>
      </c>
      <c r="C199" s="50" t="s">
        <v>97</v>
      </c>
      <c r="D199" s="51">
        <v>1</v>
      </c>
      <c r="E199" s="21">
        <v>0</v>
      </c>
      <c r="F199" s="51">
        <v>10</v>
      </c>
      <c r="G199" s="52">
        <f t="shared" si="11"/>
        <v>0</v>
      </c>
    </row>
    <row r="200" spans="1:7" x14ac:dyDescent="0.25">
      <c r="A200" s="197" t="s">
        <v>170</v>
      </c>
      <c r="B200" s="198"/>
      <c r="C200" s="198"/>
      <c r="D200" s="198"/>
      <c r="E200" s="198"/>
      <c r="F200" s="198"/>
      <c r="G200" s="199">
        <f>SUM(G195:G199)</f>
        <v>0</v>
      </c>
    </row>
    <row r="202" spans="1:7" x14ac:dyDescent="0.25">
      <c r="A202" s="112" t="s">
        <v>145</v>
      </c>
      <c r="B202" s="112"/>
      <c r="C202" s="112"/>
      <c r="D202" s="112"/>
      <c r="E202" s="112"/>
      <c r="F202" s="112"/>
      <c r="G202" s="112"/>
    </row>
    <row r="203" spans="1:7" x14ac:dyDescent="0.25">
      <c r="A203" s="157">
        <v>43468</v>
      </c>
      <c r="B203" s="346" t="s">
        <v>175</v>
      </c>
      <c r="C203" s="346"/>
      <c r="D203" s="346"/>
      <c r="E203" s="346"/>
      <c r="F203" s="346"/>
      <c r="G203" s="113">
        <f>G159</f>
        <v>0</v>
      </c>
    </row>
    <row r="204" spans="1:7" x14ac:dyDescent="0.25">
      <c r="A204" s="157">
        <v>43499</v>
      </c>
      <c r="B204" s="346" t="s">
        <v>176</v>
      </c>
      <c r="C204" s="346"/>
      <c r="D204" s="346"/>
      <c r="E204" s="346"/>
      <c r="F204" s="346"/>
      <c r="G204" s="113">
        <f>G178</f>
        <v>0</v>
      </c>
    </row>
    <row r="205" spans="1:7" x14ac:dyDescent="0.25">
      <c r="A205" s="157">
        <v>43527</v>
      </c>
      <c r="B205" s="343" t="s">
        <v>197</v>
      </c>
      <c r="C205" s="344"/>
      <c r="D205" s="344"/>
      <c r="E205" s="344"/>
      <c r="F205" s="344"/>
      <c r="G205" s="113">
        <f>G192</f>
        <v>0</v>
      </c>
    </row>
    <row r="206" spans="1:7" x14ac:dyDescent="0.25">
      <c r="A206" s="157">
        <v>43558</v>
      </c>
      <c r="B206" s="223" t="s">
        <v>305</v>
      </c>
      <c r="C206" s="224"/>
      <c r="D206" s="224"/>
      <c r="E206" s="224"/>
      <c r="F206" s="224"/>
      <c r="G206" s="113">
        <f>G200</f>
        <v>0</v>
      </c>
    </row>
    <row r="207" spans="1:7" x14ac:dyDescent="0.25">
      <c r="A207" s="222">
        <v>3</v>
      </c>
      <c r="B207" s="342" t="s">
        <v>373</v>
      </c>
      <c r="C207" s="342"/>
      <c r="D207" s="342"/>
      <c r="E207" s="342"/>
      <c r="F207" s="342"/>
      <c r="G207" s="147">
        <f>SUM(G203:G206)</f>
        <v>0</v>
      </c>
    </row>
    <row r="210" spans="1:7" ht="15.75" x14ac:dyDescent="0.25">
      <c r="A210" s="225">
        <v>4</v>
      </c>
      <c r="B210" s="340" t="s">
        <v>192</v>
      </c>
      <c r="C210" s="340"/>
      <c r="D210" s="340"/>
      <c r="E210" s="340"/>
      <c r="F210" s="340"/>
      <c r="G210" s="340"/>
    </row>
    <row r="211" spans="1:7" x14ac:dyDescent="0.25">
      <c r="A211" s="11"/>
      <c r="B211" s="11"/>
      <c r="C211" s="11"/>
      <c r="D211" s="11"/>
      <c r="E211" s="11"/>
      <c r="F211" s="11"/>
      <c r="G211" s="11"/>
    </row>
    <row r="212" spans="1:7" x14ac:dyDescent="0.25">
      <c r="A212" s="215" t="s">
        <v>172</v>
      </c>
      <c r="B212" s="341" t="s">
        <v>180</v>
      </c>
      <c r="C212" s="341"/>
      <c r="D212" s="341"/>
      <c r="E212" s="341"/>
      <c r="F212" s="341"/>
      <c r="G212" s="341"/>
    </row>
    <row r="213" spans="1:7" ht="26.25" x14ac:dyDescent="0.25">
      <c r="A213" s="19" t="s">
        <v>0</v>
      </c>
      <c r="B213" s="19" t="s">
        <v>1</v>
      </c>
      <c r="C213" s="42" t="s">
        <v>2</v>
      </c>
      <c r="D213" s="20" t="s">
        <v>3</v>
      </c>
      <c r="E213" s="20" t="s">
        <v>4</v>
      </c>
      <c r="F213" s="42" t="s">
        <v>98</v>
      </c>
      <c r="G213" s="48" t="s">
        <v>92</v>
      </c>
    </row>
    <row r="214" spans="1:7" ht="25.5" x14ac:dyDescent="0.25">
      <c r="A214" s="49" t="s">
        <v>99</v>
      </c>
      <c r="B214" s="46" t="s">
        <v>342</v>
      </c>
      <c r="C214" s="50" t="s">
        <v>7</v>
      </c>
      <c r="D214" s="51">
        <v>71</v>
      </c>
      <c r="E214" s="21">
        <v>0</v>
      </c>
      <c r="F214" s="51">
        <v>3</v>
      </c>
      <c r="G214" s="52">
        <f t="shared" ref="G214:G219" si="12">F214*E214*D214</f>
        <v>0</v>
      </c>
    </row>
    <row r="215" spans="1:7" x14ac:dyDescent="0.25">
      <c r="A215" s="55" t="s">
        <v>102</v>
      </c>
      <c r="B215" s="47" t="s">
        <v>107</v>
      </c>
      <c r="C215" s="50" t="s">
        <v>10</v>
      </c>
      <c r="D215" s="51">
        <f>D214*0.1</f>
        <v>7.1000000000000005</v>
      </c>
      <c r="E215" s="21">
        <v>0</v>
      </c>
      <c r="F215" s="51">
        <v>3</v>
      </c>
      <c r="G215" s="52">
        <f t="shared" si="12"/>
        <v>0</v>
      </c>
    </row>
    <row r="216" spans="1:7" ht="25.5" x14ac:dyDescent="0.25">
      <c r="A216" s="49" t="s">
        <v>103</v>
      </c>
      <c r="B216" s="46" t="s">
        <v>343</v>
      </c>
      <c r="C216" s="50" t="s">
        <v>10</v>
      </c>
      <c r="D216" s="51">
        <f>D215</f>
        <v>7.1000000000000005</v>
      </c>
      <c r="E216" s="21">
        <v>0</v>
      </c>
      <c r="F216" s="51">
        <v>3</v>
      </c>
      <c r="G216" s="52">
        <f t="shared" si="12"/>
        <v>0</v>
      </c>
    </row>
    <row r="217" spans="1:7" x14ac:dyDescent="0.25">
      <c r="A217" s="49" t="s">
        <v>84</v>
      </c>
      <c r="B217" s="46" t="s">
        <v>169</v>
      </c>
      <c r="C217" s="50" t="s">
        <v>9</v>
      </c>
      <c r="D217" s="148">
        <v>6.4000000000000001E-2</v>
      </c>
      <c r="E217" s="21">
        <v>0</v>
      </c>
      <c r="F217" s="51">
        <v>3</v>
      </c>
      <c r="G217" s="52">
        <f t="shared" si="12"/>
        <v>0</v>
      </c>
    </row>
    <row r="218" spans="1:7" x14ac:dyDescent="0.25">
      <c r="A218" s="49" t="s">
        <v>84</v>
      </c>
      <c r="B218" s="46" t="s">
        <v>96</v>
      </c>
      <c r="C218" s="50" t="s">
        <v>97</v>
      </c>
      <c r="D218" s="51">
        <v>1</v>
      </c>
      <c r="E218" s="21">
        <v>0</v>
      </c>
      <c r="F218" s="51">
        <v>3</v>
      </c>
      <c r="G218" s="52">
        <f t="shared" si="12"/>
        <v>0</v>
      </c>
    </row>
    <row r="219" spans="1:7" x14ac:dyDescent="0.25">
      <c r="A219" s="56" t="s">
        <v>108</v>
      </c>
      <c r="B219" s="57" t="s">
        <v>111</v>
      </c>
      <c r="C219" s="58" t="s">
        <v>10</v>
      </c>
      <c r="D219" s="60">
        <f>D215</f>
        <v>7.1000000000000005</v>
      </c>
      <c r="E219" s="21">
        <v>0</v>
      </c>
      <c r="F219" s="61">
        <v>3</v>
      </c>
      <c r="G219" s="52">
        <f t="shared" si="12"/>
        <v>0</v>
      </c>
    </row>
    <row r="220" spans="1:7" x14ac:dyDescent="0.25">
      <c r="A220" s="143" t="s">
        <v>170</v>
      </c>
      <c r="B220" s="143"/>
      <c r="C220" s="143"/>
      <c r="D220" s="143"/>
      <c r="E220" s="143"/>
      <c r="F220" s="143"/>
      <c r="G220" s="144">
        <f>SUM(G214:G219)</f>
        <v>0</v>
      </c>
    </row>
    <row r="221" spans="1:7" x14ac:dyDescent="0.25">
      <c r="A221" s="28" t="s">
        <v>179</v>
      </c>
      <c r="B221" s="345" t="s">
        <v>178</v>
      </c>
      <c r="C221" s="345"/>
      <c r="D221" s="345"/>
      <c r="E221" s="345"/>
      <c r="F221" s="345"/>
      <c r="G221" s="345"/>
    </row>
    <row r="222" spans="1:7" ht="26.25" x14ac:dyDescent="0.25">
      <c r="A222" s="19" t="s">
        <v>0</v>
      </c>
      <c r="B222" s="19" t="s">
        <v>1</v>
      </c>
      <c r="C222" s="42" t="s">
        <v>2</v>
      </c>
      <c r="D222" s="20" t="s">
        <v>3</v>
      </c>
      <c r="E222" s="20" t="s">
        <v>4</v>
      </c>
      <c r="F222" s="42" t="s">
        <v>98</v>
      </c>
      <c r="G222" s="48" t="s">
        <v>92</v>
      </c>
    </row>
    <row r="223" spans="1:7" x14ac:dyDescent="0.25">
      <c r="A223" s="49" t="s">
        <v>165</v>
      </c>
      <c r="B223" s="46" t="s">
        <v>166</v>
      </c>
      <c r="C223" s="50" t="s">
        <v>7</v>
      </c>
      <c r="D223" s="51">
        <v>71.5</v>
      </c>
      <c r="E223" s="21">
        <v>0</v>
      </c>
      <c r="F223" s="51">
        <v>3</v>
      </c>
      <c r="G223" s="52">
        <f t="shared" ref="G223:G237" si="13">F223*E223*D223</f>
        <v>0</v>
      </c>
    </row>
    <row r="224" spans="1:7" x14ac:dyDescent="0.25">
      <c r="A224" s="49" t="s">
        <v>164</v>
      </c>
      <c r="B224" s="46" t="s">
        <v>163</v>
      </c>
      <c r="C224" s="50" t="s">
        <v>7</v>
      </c>
      <c r="D224" s="51">
        <v>44.5</v>
      </c>
      <c r="E224" s="21">
        <v>0</v>
      </c>
      <c r="F224" s="51">
        <v>3</v>
      </c>
      <c r="G224" s="52">
        <f t="shared" si="13"/>
        <v>0</v>
      </c>
    </row>
    <row r="225" spans="1:7" x14ac:dyDescent="0.25">
      <c r="A225" s="49" t="s">
        <v>99</v>
      </c>
      <c r="B225" s="46" t="s">
        <v>390</v>
      </c>
      <c r="C225" s="50" t="s">
        <v>7</v>
      </c>
      <c r="D225" s="51">
        <v>18</v>
      </c>
      <c r="E225" s="21">
        <v>0</v>
      </c>
      <c r="F225" s="51">
        <v>3</v>
      </c>
      <c r="G225" s="52">
        <f t="shared" si="13"/>
        <v>0</v>
      </c>
    </row>
    <row r="226" spans="1:7" x14ac:dyDescent="0.25">
      <c r="A226" s="34" t="s">
        <v>158</v>
      </c>
      <c r="B226" s="29" t="s">
        <v>207</v>
      </c>
      <c r="C226" s="53" t="s">
        <v>6</v>
      </c>
      <c r="D226" s="30">
        <v>148</v>
      </c>
      <c r="E226" s="21">
        <v>0</v>
      </c>
      <c r="F226" s="51">
        <v>1</v>
      </c>
      <c r="G226" s="52">
        <f t="shared" si="13"/>
        <v>0</v>
      </c>
    </row>
    <row r="227" spans="1:7" ht="25.5" x14ac:dyDescent="0.25">
      <c r="A227" s="34" t="s">
        <v>208</v>
      </c>
      <c r="B227" s="46" t="s">
        <v>206</v>
      </c>
      <c r="C227" s="53" t="s">
        <v>7</v>
      </c>
      <c r="D227" s="30">
        <v>44.5</v>
      </c>
      <c r="E227" s="21">
        <v>0</v>
      </c>
      <c r="F227" s="51">
        <v>1</v>
      </c>
      <c r="G227" s="52">
        <f t="shared" si="13"/>
        <v>0</v>
      </c>
    </row>
    <row r="228" spans="1:7" ht="25.5" x14ac:dyDescent="0.25">
      <c r="A228" s="34" t="s">
        <v>160</v>
      </c>
      <c r="B228" s="29" t="s">
        <v>159</v>
      </c>
      <c r="C228" s="53" t="s">
        <v>7</v>
      </c>
      <c r="D228" s="30">
        <v>162.4</v>
      </c>
      <c r="E228" s="21">
        <v>0</v>
      </c>
      <c r="F228" s="51">
        <v>2</v>
      </c>
      <c r="G228" s="52">
        <f t="shared" si="13"/>
        <v>0</v>
      </c>
    </row>
    <row r="229" spans="1:7" ht="25.5" x14ac:dyDescent="0.25">
      <c r="A229" s="34" t="s">
        <v>368</v>
      </c>
      <c r="B229" s="29" t="s">
        <v>394</v>
      </c>
      <c r="C229" s="53" t="s">
        <v>12</v>
      </c>
      <c r="D229" s="30">
        <v>18</v>
      </c>
      <c r="E229" s="21">
        <v>0</v>
      </c>
      <c r="F229" s="51">
        <v>1</v>
      </c>
      <c r="G229" s="52">
        <f t="shared" si="13"/>
        <v>0</v>
      </c>
    </row>
    <row r="230" spans="1:7" ht="25.5" x14ac:dyDescent="0.25">
      <c r="A230" s="34" t="s">
        <v>29</v>
      </c>
      <c r="B230" s="29" t="s">
        <v>93</v>
      </c>
      <c r="C230" s="53" t="s">
        <v>9</v>
      </c>
      <c r="D230" s="54">
        <f>D236*10*0.00001</f>
        <v>2.2400000000000003E-2</v>
      </c>
      <c r="E230" s="21">
        <v>0</v>
      </c>
      <c r="F230" s="51">
        <v>1</v>
      </c>
      <c r="G230" s="52">
        <f t="shared" si="13"/>
        <v>0</v>
      </c>
    </row>
    <row r="231" spans="1:7" x14ac:dyDescent="0.25">
      <c r="A231" s="55" t="s">
        <v>102</v>
      </c>
      <c r="B231" s="47" t="s">
        <v>107</v>
      </c>
      <c r="C231" s="50" t="s">
        <v>10</v>
      </c>
      <c r="D231" s="51">
        <f>('LOK 1 '!D140+D226+'LOK 1 '!D224+'LOK 4'!D88)*0.005</f>
        <v>1.085</v>
      </c>
      <c r="E231" s="21">
        <v>0</v>
      </c>
      <c r="F231" s="51">
        <v>3</v>
      </c>
      <c r="G231" s="52">
        <f t="shared" si="13"/>
        <v>0</v>
      </c>
    </row>
    <row r="232" spans="1:7" x14ac:dyDescent="0.25">
      <c r="A232" s="49" t="s">
        <v>103</v>
      </c>
      <c r="B232" s="46" t="s">
        <v>95</v>
      </c>
      <c r="C232" s="50" t="s">
        <v>10</v>
      </c>
      <c r="D232" s="51">
        <f>D231</f>
        <v>1.085</v>
      </c>
      <c r="E232" s="21">
        <v>0</v>
      </c>
      <c r="F232" s="51">
        <v>3</v>
      </c>
      <c r="G232" s="52">
        <f t="shared" si="13"/>
        <v>0</v>
      </c>
    </row>
    <row r="233" spans="1:7" x14ac:dyDescent="0.25">
      <c r="A233" s="56" t="s">
        <v>108</v>
      </c>
      <c r="B233" s="57" t="s">
        <v>111</v>
      </c>
      <c r="C233" s="58" t="s">
        <v>10</v>
      </c>
      <c r="D233" s="60">
        <f>D231</f>
        <v>1.085</v>
      </c>
      <c r="E233" s="21">
        <v>0</v>
      </c>
      <c r="F233" s="61">
        <v>3</v>
      </c>
      <c r="G233" s="52">
        <f>F233*E233*D233</f>
        <v>0</v>
      </c>
    </row>
    <row r="234" spans="1:7" x14ac:dyDescent="0.25">
      <c r="A234" s="49" t="s">
        <v>84</v>
      </c>
      <c r="B234" s="46" t="s">
        <v>169</v>
      </c>
      <c r="C234" s="50" t="s">
        <v>9</v>
      </c>
      <c r="D234" s="51">
        <f>116*0.003</f>
        <v>0.34800000000000003</v>
      </c>
      <c r="E234" s="21">
        <v>0</v>
      </c>
      <c r="F234" s="51">
        <v>3</v>
      </c>
      <c r="G234" s="52">
        <f t="shared" si="13"/>
        <v>0</v>
      </c>
    </row>
    <row r="235" spans="1:7" x14ac:dyDescent="0.25">
      <c r="A235" s="49" t="s">
        <v>84</v>
      </c>
      <c r="B235" s="46" t="s">
        <v>169</v>
      </c>
      <c r="C235" s="50" t="s">
        <v>9</v>
      </c>
      <c r="D235" s="51">
        <v>0.5</v>
      </c>
      <c r="E235" s="21">
        <v>0</v>
      </c>
      <c r="F235" s="51">
        <v>2</v>
      </c>
      <c r="G235" s="52">
        <f t="shared" si="13"/>
        <v>0</v>
      </c>
    </row>
    <row r="236" spans="1:7" x14ac:dyDescent="0.25">
      <c r="A236" s="49" t="s">
        <v>108</v>
      </c>
      <c r="B236" s="46" t="s">
        <v>213</v>
      </c>
      <c r="C236" s="50" t="s">
        <v>12</v>
      </c>
      <c r="D236" s="51">
        <f>('LOK 1 '!D141+'LOK 1 '!D140+D229)*2</f>
        <v>224</v>
      </c>
      <c r="E236" s="21">
        <v>0</v>
      </c>
      <c r="F236" s="51">
        <v>1</v>
      </c>
      <c r="G236" s="52">
        <f t="shared" si="13"/>
        <v>0</v>
      </c>
    </row>
    <row r="237" spans="1:7" x14ac:dyDescent="0.25">
      <c r="A237" s="49" t="s">
        <v>84</v>
      </c>
      <c r="B237" s="46" t="s">
        <v>96</v>
      </c>
      <c r="C237" s="50" t="s">
        <v>97</v>
      </c>
      <c r="D237" s="51">
        <v>1</v>
      </c>
      <c r="E237" s="21">
        <v>0</v>
      </c>
      <c r="F237" s="51">
        <v>3</v>
      </c>
      <c r="G237" s="52">
        <f t="shared" si="13"/>
        <v>0</v>
      </c>
    </row>
    <row r="238" spans="1:7" x14ac:dyDescent="0.25">
      <c r="A238" s="143" t="s">
        <v>170</v>
      </c>
      <c r="B238" s="143"/>
      <c r="C238" s="143"/>
      <c r="D238" s="143"/>
      <c r="E238" s="143"/>
      <c r="F238" s="143"/>
      <c r="G238" s="144">
        <f>SUM(G223:G237)</f>
        <v>0</v>
      </c>
    </row>
    <row r="239" spans="1:7" x14ac:dyDescent="0.25">
      <c r="A239" s="28" t="s">
        <v>218</v>
      </c>
      <c r="B239" s="345" t="s">
        <v>200</v>
      </c>
      <c r="C239" s="345"/>
      <c r="D239" s="345"/>
      <c r="E239" s="345"/>
      <c r="F239" s="345"/>
      <c r="G239" s="345"/>
    </row>
    <row r="240" spans="1:7" ht="26.25" x14ac:dyDescent="0.25">
      <c r="A240" s="19" t="s">
        <v>0</v>
      </c>
      <c r="B240" s="19" t="s">
        <v>1</v>
      </c>
      <c r="C240" s="42" t="s">
        <v>2</v>
      </c>
      <c r="D240" s="20" t="s">
        <v>3</v>
      </c>
      <c r="E240" s="20" t="s">
        <v>4</v>
      </c>
      <c r="F240" s="42" t="s">
        <v>98</v>
      </c>
      <c r="G240" s="48" t="s">
        <v>92</v>
      </c>
    </row>
    <row r="241" spans="1:7" x14ac:dyDescent="0.25">
      <c r="A241" s="49" t="s">
        <v>201</v>
      </c>
      <c r="B241" s="46" t="s">
        <v>202</v>
      </c>
      <c r="C241" s="50" t="s">
        <v>7</v>
      </c>
      <c r="D241" s="51">
        <v>336</v>
      </c>
      <c r="E241" s="21">
        <v>0</v>
      </c>
      <c r="F241" s="51">
        <v>3</v>
      </c>
      <c r="G241" s="52">
        <f t="shared" ref="G241:G250" si="14">F241*E241*D241</f>
        <v>0</v>
      </c>
    </row>
    <row r="242" spans="1:7" ht="25.5" x14ac:dyDescent="0.25">
      <c r="A242" s="156">
        <v>185804251</v>
      </c>
      <c r="B242" s="46" t="s">
        <v>203</v>
      </c>
      <c r="C242" s="50" t="s">
        <v>7</v>
      </c>
      <c r="D242" s="51">
        <v>336</v>
      </c>
      <c r="E242" s="21">
        <v>0</v>
      </c>
      <c r="F242" s="51">
        <v>1</v>
      </c>
      <c r="G242" s="52">
        <f t="shared" si="14"/>
        <v>0</v>
      </c>
    </row>
    <row r="243" spans="1:7" ht="25.5" x14ac:dyDescent="0.25">
      <c r="A243" s="34" t="s">
        <v>204</v>
      </c>
      <c r="B243" s="46" t="s">
        <v>205</v>
      </c>
      <c r="C243" s="53" t="s">
        <v>7</v>
      </c>
      <c r="D243" s="30">
        <f>D241</f>
        <v>336</v>
      </c>
      <c r="E243" s="21">
        <v>0</v>
      </c>
      <c r="F243" s="51">
        <v>2</v>
      </c>
      <c r="G243" s="52">
        <f t="shared" si="14"/>
        <v>0</v>
      </c>
    </row>
    <row r="244" spans="1:7" x14ac:dyDescent="0.25">
      <c r="A244" s="34" t="s">
        <v>210</v>
      </c>
      <c r="B244" s="46" t="s">
        <v>216</v>
      </c>
      <c r="C244" s="50" t="s">
        <v>10</v>
      </c>
      <c r="D244" s="51">
        <f>D241*0.015</f>
        <v>5.04</v>
      </c>
      <c r="E244" s="21">
        <v>0</v>
      </c>
      <c r="F244" s="51">
        <v>3</v>
      </c>
      <c r="G244" s="52">
        <f t="shared" si="14"/>
        <v>0</v>
      </c>
    </row>
    <row r="245" spans="1:7" x14ac:dyDescent="0.25">
      <c r="A245" s="55" t="s">
        <v>102</v>
      </c>
      <c r="B245" s="47" t="s">
        <v>107</v>
      </c>
      <c r="C245" s="50" t="s">
        <v>10</v>
      </c>
      <c r="D245" s="51">
        <f>D244</f>
        <v>5.04</v>
      </c>
      <c r="E245" s="21">
        <v>0</v>
      </c>
      <c r="F245" s="51">
        <v>3</v>
      </c>
      <c r="G245" s="52">
        <f t="shared" si="14"/>
        <v>0</v>
      </c>
    </row>
    <row r="246" spans="1:7" x14ac:dyDescent="0.25">
      <c r="A246" s="34" t="s">
        <v>211</v>
      </c>
      <c r="B246" s="46" t="s">
        <v>212</v>
      </c>
      <c r="C246" s="50" t="s">
        <v>9</v>
      </c>
      <c r="D246" s="146">
        <f>D249/1000</f>
        <v>1.008E-2</v>
      </c>
      <c r="E246" s="21">
        <v>0</v>
      </c>
      <c r="F246" s="51">
        <v>1</v>
      </c>
      <c r="G246" s="52">
        <f t="shared" si="14"/>
        <v>0</v>
      </c>
    </row>
    <row r="247" spans="1:7" x14ac:dyDescent="0.25">
      <c r="A247" s="49" t="s">
        <v>84</v>
      </c>
      <c r="B247" s="46" t="s">
        <v>169</v>
      </c>
      <c r="C247" s="50" t="s">
        <v>9</v>
      </c>
      <c r="D247" s="51">
        <f>D242*0.001</f>
        <v>0.33600000000000002</v>
      </c>
      <c r="E247" s="21">
        <v>0</v>
      </c>
      <c r="F247" s="51">
        <v>4</v>
      </c>
      <c r="G247" s="52">
        <f t="shared" si="14"/>
        <v>0</v>
      </c>
    </row>
    <row r="248" spans="1:7" x14ac:dyDescent="0.25">
      <c r="A248" s="56" t="s">
        <v>108</v>
      </c>
      <c r="B248" s="57" t="s">
        <v>111</v>
      </c>
      <c r="C248" s="58" t="s">
        <v>10</v>
      </c>
      <c r="D248" s="60">
        <f>D245</f>
        <v>5.04</v>
      </c>
      <c r="E248" s="21">
        <v>0</v>
      </c>
      <c r="F248" s="61">
        <v>3</v>
      </c>
      <c r="G248" s="52">
        <f t="shared" si="14"/>
        <v>0</v>
      </c>
    </row>
    <row r="249" spans="1:7" ht="25.5" x14ac:dyDescent="0.25">
      <c r="A249" s="34" t="s">
        <v>108</v>
      </c>
      <c r="B249" s="29" t="s">
        <v>215</v>
      </c>
      <c r="C249" s="53" t="s">
        <v>114</v>
      </c>
      <c r="D249" s="30">
        <f>D241*0.03</f>
        <v>10.08</v>
      </c>
      <c r="E249" s="21">
        <v>0</v>
      </c>
      <c r="F249" s="51">
        <v>1</v>
      </c>
      <c r="G249" s="52">
        <f t="shared" si="14"/>
        <v>0</v>
      </c>
    </row>
    <row r="250" spans="1:7" x14ac:dyDescent="0.25">
      <c r="A250" s="49" t="s">
        <v>84</v>
      </c>
      <c r="B250" s="46" t="s">
        <v>96</v>
      </c>
      <c r="C250" s="50" t="s">
        <v>97</v>
      </c>
      <c r="D250" s="51">
        <v>1</v>
      </c>
      <c r="E250" s="21">
        <v>0</v>
      </c>
      <c r="F250" s="51">
        <v>3</v>
      </c>
      <c r="G250" s="52">
        <f t="shared" si="14"/>
        <v>0</v>
      </c>
    </row>
    <row r="251" spans="1:7" x14ac:dyDescent="0.25">
      <c r="A251" s="143" t="s">
        <v>170</v>
      </c>
      <c r="B251" s="143"/>
      <c r="C251" s="143"/>
      <c r="D251" s="143"/>
      <c r="E251" s="143"/>
      <c r="F251" s="143"/>
      <c r="G251" s="144">
        <f>SUM(G241:G250)</f>
        <v>0</v>
      </c>
    </row>
    <row r="252" spans="1:7" x14ac:dyDescent="0.25">
      <c r="A252" s="28" t="s">
        <v>315</v>
      </c>
      <c r="B252" s="345" t="s">
        <v>307</v>
      </c>
      <c r="C252" s="345"/>
      <c r="D252" s="345"/>
      <c r="E252" s="345"/>
      <c r="F252" s="345"/>
      <c r="G252" s="345"/>
    </row>
    <row r="253" spans="1:7" ht="26.25" x14ac:dyDescent="0.25">
      <c r="A253" s="19" t="s">
        <v>0</v>
      </c>
      <c r="B253" s="19" t="s">
        <v>1</v>
      </c>
      <c r="C253" s="42" t="s">
        <v>2</v>
      </c>
      <c r="D253" s="20" t="s">
        <v>3</v>
      </c>
      <c r="E253" s="20" t="s">
        <v>4</v>
      </c>
      <c r="F253" s="42" t="s">
        <v>98</v>
      </c>
      <c r="G253" s="48" t="s">
        <v>92</v>
      </c>
    </row>
    <row r="254" spans="1:7" ht="25.5" x14ac:dyDescent="0.25">
      <c r="A254" s="49" t="s">
        <v>308</v>
      </c>
      <c r="B254" s="46" t="s">
        <v>309</v>
      </c>
      <c r="C254" s="50" t="s">
        <v>7</v>
      </c>
      <c r="D254" s="51">
        <v>641</v>
      </c>
      <c r="E254" s="21">
        <v>0</v>
      </c>
      <c r="F254" s="51">
        <v>10</v>
      </c>
      <c r="G254" s="52">
        <f t="shared" ref="G254:G258" si="15">F254*E254*D254</f>
        <v>0</v>
      </c>
    </row>
    <row r="255" spans="1:7" x14ac:dyDescent="0.25">
      <c r="A255" s="34" t="s">
        <v>211</v>
      </c>
      <c r="B255" s="46" t="s">
        <v>311</v>
      </c>
      <c r="C255" s="50" t="s">
        <v>9</v>
      </c>
      <c r="D255" s="146">
        <f>D256/1000</f>
        <v>1.9230000000000001E-2</v>
      </c>
      <c r="E255" s="21">
        <v>0</v>
      </c>
      <c r="F255" s="51">
        <v>2</v>
      </c>
      <c r="G255" s="52">
        <f t="shared" si="15"/>
        <v>0</v>
      </c>
    </row>
    <row r="256" spans="1:7" ht="25.5" x14ac:dyDescent="0.25">
      <c r="A256" s="34" t="s">
        <v>108</v>
      </c>
      <c r="B256" s="29" t="s">
        <v>310</v>
      </c>
      <c r="C256" s="53" t="s">
        <v>114</v>
      </c>
      <c r="D256" s="30">
        <f>D254*0.03</f>
        <v>19.23</v>
      </c>
      <c r="E256" s="21">
        <v>0</v>
      </c>
      <c r="F256" s="51">
        <v>1</v>
      </c>
      <c r="G256" s="52">
        <f t="shared" si="15"/>
        <v>0</v>
      </c>
    </row>
    <row r="257" spans="1:7" x14ac:dyDescent="0.25">
      <c r="A257" s="49" t="s">
        <v>84</v>
      </c>
      <c r="B257" s="46" t="s">
        <v>169</v>
      </c>
      <c r="C257" s="50" t="s">
        <v>9</v>
      </c>
      <c r="D257" s="51">
        <f>D254*0.0008</f>
        <v>0.51280000000000003</v>
      </c>
      <c r="E257" s="21">
        <v>0</v>
      </c>
      <c r="F257" s="51">
        <v>10</v>
      </c>
      <c r="G257" s="52">
        <f t="shared" si="15"/>
        <v>0</v>
      </c>
    </row>
    <row r="258" spans="1:7" x14ac:dyDescent="0.25">
      <c r="A258" s="49" t="s">
        <v>84</v>
      </c>
      <c r="B258" s="46" t="s">
        <v>96</v>
      </c>
      <c r="C258" s="50" t="s">
        <v>97</v>
      </c>
      <c r="D258" s="51">
        <v>1</v>
      </c>
      <c r="E258" s="21">
        <v>0</v>
      </c>
      <c r="F258" s="51">
        <v>10</v>
      </c>
      <c r="G258" s="52">
        <f t="shared" si="15"/>
        <v>0</v>
      </c>
    </row>
    <row r="259" spans="1:7" x14ac:dyDescent="0.25">
      <c r="A259" s="197" t="s">
        <v>170</v>
      </c>
      <c r="B259" s="198"/>
      <c r="C259" s="198"/>
      <c r="D259" s="198"/>
      <c r="E259" s="198"/>
      <c r="F259" s="198"/>
      <c r="G259" s="199">
        <f>SUM(G254:G258)</f>
        <v>0</v>
      </c>
    </row>
    <row r="260" spans="1:7" x14ac:dyDescent="0.25">
      <c r="A260" s="200"/>
      <c r="B260" s="200"/>
      <c r="C260" s="200"/>
      <c r="D260" s="200"/>
      <c r="E260" s="200"/>
      <c r="F260" s="200"/>
      <c r="G260" s="201"/>
    </row>
    <row r="261" spans="1:7" x14ac:dyDescent="0.25">
      <c r="A261" s="112" t="s">
        <v>145</v>
      </c>
      <c r="B261" s="112"/>
      <c r="C261" s="112"/>
      <c r="D261" s="112"/>
      <c r="E261" s="112"/>
      <c r="F261" s="112"/>
      <c r="G261" s="112"/>
    </row>
    <row r="262" spans="1:7" x14ac:dyDescent="0.25">
      <c r="A262" s="157">
        <v>43469</v>
      </c>
      <c r="B262" s="343" t="s">
        <v>175</v>
      </c>
      <c r="C262" s="347"/>
      <c r="D262" s="347"/>
      <c r="E262" s="347"/>
      <c r="F262" s="348"/>
      <c r="G262" s="113">
        <f>G220</f>
        <v>0</v>
      </c>
    </row>
    <row r="263" spans="1:7" x14ac:dyDescent="0.25">
      <c r="A263" s="157">
        <v>43500</v>
      </c>
      <c r="B263" s="346" t="s">
        <v>176</v>
      </c>
      <c r="C263" s="346"/>
      <c r="D263" s="346"/>
      <c r="E263" s="346"/>
      <c r="F263" s="346"/>
      <c r="G263" s="113">
        <f>G238</f>
        <v>0</v>
      </c>
    </row>
    <row r="264" spans="1:7" x14ac:dyDescent="0.25">
      <c r="A264" s="157">
        <v>43528</v>
      </c>
      <c r="B264" s="343" t="s">
        <v>197</v>
      </c>
      <c r="C264" s="344"/>
      <c r="D264" s="344"/>
      <c r="E264" s="344"/>
      <c r="F264" s="344"/>
      <c r="G264" s="113">
        <f>G251</f>
        <v>0</v>
      </c>
    </row>
    <row r="265" spans="1:7" ht="27.75" customHeight="1" x14ac:dyDescent="0.25">
      <c r="A265" s="157">
        <v>43559</v>
      </c>
      <c r="B265" s="223" t="s">
        <v>305</v>
      </c>
      <c r="C265" s="224"/>
      <c r="D265" s="224"/>
      <c r="E265" s="224"/>
      <c r="F265" s="224"/>
      <c r="G265" s="113">
        <f>G259</f>
        <v>0</v>
      </c>
    </row>
    <row r="266" spans="1:7" x14ac:dyDescent="0.25">
      <c r="A266" s="222">
        <v>4</v>
      </c>
      <c r="B266" s="342" t="s">
        <v>374</v>
      </c>
      <c r="C266" s="342"/>
      <c r="D266" s="342"/>
      <c r="E266" s="342"/>
      <c r="F266" s="342"/>
      <c r="G266" s="147">
        <f>SUM(G262:G265)</f>
        <v>0</v>
      </c>
    </row>
    <row r="268" spans="1:7" ht="15.75" x14ac:dyDescent="0.25">
      <c r="A268" s="225">
        <v>5</v>
      </c>
      <c r="B268" s="340" t="s">
        <v>361</v>
      </c>
      <c r="C268" s="340"/>
      <c r="D268" s="340"/>
      <c r="E268" s="340"/>
      <c r="F268" s="340"/>
      <c r="G268" s="340"/>
    </row>
    <row r="269" spans="1:7" x14ac:dyDescent="0.25">
      <c r="A269" s="11"/>
      <c r="B269" s="11"/>
      <c r="C269" s="11"/>
      <c r="D269" s="11"/>
      <c r="E269" s="11"/>
      <c r="F269" s="11"/>
      <c r="G269" s="11"/>
    </row>
    <row r="270" spans="1:7" x14ac:dyDescent="0.25">
      <c r="A270" s="215" t="s">
        <v>173</v>
      </c>
      <c r="B270" s="341" t="s">
        <v>180</v>
      </c>
      <c r="C270" s="341"/>
      <c r="D270" s="341"/>
      <c r="E270" s="341"/>
      <c r="F270" s="341"/>
      <c r="G270" s="341"/>
    </row>
    <row r="271" spans="1:7" ht="26.25" x14ac:dyDescent="0.25">
      <c r="A271" s="19" t="s">
        <v>0</v>
      </c>
      <c r="B271" s="19" t="s">
        <v>1</v>
      </c>
      <c r="C271" s="42" t="s">
        <v>2</v>
      </c>
      <c r="D271" s="20" t="s">
        <v>3</v>
      </c>
      <c r="E271" s="20" t="s">
        <v>4</v>
      </c>
      <c r="F271" s="42" t="s">
        <v>98</v>
      </c>
      <c r="G271" s="48" t="s">
        <v>92</v>
      </c>
    </row>
    <row r="272" spans="1:7" ht="25.5" x14ac:dyDescent="0.25">
      <c r="A272" s="49" t="s">
        <v>99</v>
      </c>
      <c r="B272" s="46" t="s">
        <v>342</v>
      </c>
      <c r="C272" s="50" t="s">
        <v>7</v>
      </c>
      <c r="D272" s="51">
        <v>71</v>
      </c>
      <c r="E272" s="21">
        <v>0</v>
      </c>
      <c r="F272" s="51">
        <v>3</v>
      </c>
      <c r="G272" s="52">
        <f>F272*E272*D272</f>
        <v>0</v>
      </c>
    </row>
    <row r="273" spans="1:7" ht="25.5" x14ac:dyDescent="0.25">
      <c r="A273" s="34" t="s">
        <v>28</v>
      </c>
      <c r="B273" s="29" t="s">
        <v>344</v>
      </c>
      <c r="C273" s="53" t="s">
        <v>6</v>
      </c>
      <c r="D273" s="30">
        <f>D272</f>
        <v>71</v>
      </c>
      <c r="E273" s="21">
        <v>0</v>
      </c>
      <c r="F273" s="51">
        <v>1</v>
      </c>
      <c r="G273" s="52">
        <f t="shared" ref="G273:G279" si="16">F273*E273*D273</f>
        <v>0</v>
      </c>
    </row>
    <row r="274" spans="1:7" x14ac:dyDescent="0.25">
      <c r="A274" s="55" t="s">
        <v>102</v>
      </c>
      <c r="B274" s="47" t="s">
        <v>107</v>
      </c>
      <c r="C274" s="50" t="s">
        <v>10</v>
      </c>
      <c r="D274" s="51">
        <f>D272*0.1</f>
        <v>7.1000000000000005</v>
      </c>
      <c r="E274" s="21">
        <v>0</v>
      </c>
      <c r="F274" s="51">
        <v>3</v>
      </c>
      <c r="G274" s="52">
        <f t="shared" si="16"/>
        <v>0</v>
      </c>
    </row>
    <row r="275" spans="1:7" x14ac:dyDescent="0.25">
      <c r="A275" s="49" t="s">
        <v>103</v>
      </c>
      <c r="B275" s="46" t="s">
        <v>95</v>
      </c>
      <c r="C275" s="50" t="s">
        <v>10</v>
      </c>
      <c r="D275" s="51">
        <f>D274</f>
        <v>7.1000000000000005</v>
      </c>
      <c r="E275" s="21">
        <v>0</v>
      </c>
      <c r="F275" s="51">
        <v>3</v>
      </c>
      <c r="G275" s="52">
        <f t="shared" si="16"/>
        <v>0</v>
      </c>
    </row>
    <row r="276" spans="1:7" x14ac:dyDescent="0.25">
      <c r="A276" s="49" t="s">
        <v>84</v>
      </c>
      <c r="B276" s="46" t="s">
        <v>168</v>
      </c>
      <c r="C276" s="50" t="s">
        <v>9</v>
      </c>
      <c r="D276" s="51">
        <v>0.2</v>
      </c>
      <c r="E276" s="21">
        <v>0</v>
      </c>
      <c r="F276" s="51">
        <v>1</v>
      </c>
      <c r="G276" s="52">
        <f t="shared" si="16"/>
        <v>0</v>
      </c>
    </row>
    <row r="277" spans="1:7" x14ac:dyDescent="0.25">
      <c r="A277" s="49" t="s">
        <v>84</v>
      </c>
      <c r="B277" s="46" t="s">
        <v>169</v>
      </c>
      <c r="C277" s="50" t="s">
        <v>9</v>
      </c>
      <c r="D277" s="148">
        <v>6.4000000000000001E-2</v>
      </c>
      <c r="E277" s="21">
        <v>0</v>
      </c>
      <c r="F277" s="51">
        <v>3</v>
      </c>
      <c r="G277" s="52">
        <f t="shared" si="16"/>
        <v>0</v>
      </c>
    </row>
    <row r="278" spans="1:7" x14ac:dyDescent="0.25">
      <c r="A278" s="49" t="s">
        <v>84</v>
      </c>
      <c r="B278" s="46" t="s">
        <v>96</v>
      </c>
      <c r="C278" s="50" t="s">
        <v>97</v>
      </c>
      <c r="D278" s="51">
        <v>1</v>
      </c>
      <c r="E278" s="21">
        <v>0</v>
      </c>
      <c r="F278" s="51">
        <v>3</v>
      </c>
      <c r="G278" s="52">
        <f t="shared" si="16"/>
        <v>0</v>
      </c>
    </row>
    <row r="279" spans="1:7" x14ac:dyDescent="0.25">
      <c r="A279" s="56" t="s">
        <v>108</v>
      </c>
      <c r="B279" s="57" t="s">
        <v>111</v>
      </c>
      <c r="C279" s="58" t="s">
        <v>10</v>
      </c>
      <c r="D279" s="60">
        <f>D274</f>
        <v>7.1000000000000005</v>
      </c>
      <c r="E279" s="21">
        <v>0</v>
      </c>
      <c r="F279" s="61">
        <v>3</v>
      </c>
      <c r="G279" s="52">
        <f t="shared" si="16"/>
        <v>0</v>
      </c>
    </row>
    <row r="280" spans="1:7" x14ac:dyDescent="0.25">
      <c r="A280" s="143" t="s">
        <v>170</v>
      </c>
      <c r="B280" s="143"/>
      <c r="C280" s="143"/>
      <c r="D280" s="143"/>
      <c r="E280" s="143"/>
      <c r="F280" s="143"/>
      <c r="G280" s="144">
        <f>SUM(G272:G279)</f>
        <v>0</v>
      </c>
    </row>
    <row r="281" spans="1:7" x14ac:dyDescent="0.25">
      <c r="A281" s="28" t="s">
        <v>174</v>
      </c>
      <c r="B281" s="345" t="s">
        <v>177</v>
      </c>
      <c r="C281" s="345"/>
      <c r="D281" s="345"/>
      <c r="E281" s="345"/>
      <c r="F281" s="345"/>
      <c r="G281" s="345"/>
    </row>
    <row r="282" spans="1:7" ht="26.25" x14ac:dyDescent="0.25">
      <c r="A282" s="19" t="s">
        <v>0</v>
      </c>
      <c r="B282" s="19" t="s">
        <v>1</v>
      </c>
      <c r="C282" s="42" t="s">
        <v>2</v>
      </c>
      <c r="D282" s="20" t="s">
        <v>3</v>
      </c>
      <c r="E282" s="20" t="s">
        <v>4</v>
      </c>
      <c r="F282" s="42" t="s">
        <v>98</v>
      </c>
      <c r="G282" s="48" t="s">
        <v>92</v>
      </c>
    </row>
    <row r="283" spans="1:7" x14ac:dyDescent="0.25">
      <c r="A283" s="49" t="s">
        <v>165</v>
      </c>
      <c r="B283" s="46" t="s">
        <v>166</v>
      </c>
      <c r="C283" s="50" t="s">
        <v>7</v>
      </c>
      <c r="D283" s="51">
        <v>71.5</v>
      </c>
      <c r="E283" s="21">
        <v>0</v>
      </c>
      <c r="F283" s="51">
        <v>3</v>
      </c>
      <c r="G283" s="52">
        <f t="shared" ref="G283:G297" si="17">F283*E283*D283</f>
        <v>0</v>
      </c>
    </row>
    <row r="284" spans="1:7" x14ac:dyDescent="0.25">
      <c r="A284" s="49" t="s">
        <v>164</v>
      </c>
      <c r="B284" s="46" t="s">
        <v>163</v>
      </c>
      <c r="C284" s="50" t="s">
        <v>7</v>
      </c>
      <c r="D284" s="51">
        <v>44.5</v>
      </c>
      <c r="E284" s="21">
        <v>0</v>
      </c>
      <c r="F284" s="51">
        <v>3</v>
      </c>
      <c r="G284" s="52">
        <f t="shared" si="17"/>
        <v>0</v>
      </c>
    </row>
    <row r="285" spans="1:7" x14ac:dyDescent="0.25">
      <c r="A285" s="49" t="s">
        <v>99</v>
      </c>
      <c r="B285" s="46" t="s">
        <v>390</v>
      </c>
      <c r="C285" s="50" t="s">
        <v>7</v>
      </c>
      <c r="D285" s="51">
        <v>18</v>
      </c>
      <c r="E285" s="21">
        <v>0</v>
      </c>
      <c r="F285" s="51">
        <v>3</v>
      </c>
      <c r="G285" s="52">
        <f t="shared" si="17"/>
        <v>0</v>
      </c>
    </row>
    <row r="286" spans="1:7" x14ac:dyDescent="0.25">
      <c r="A286" s="34" t="s">
        <v>158</v>
      </c>
      <c r="B286" s="29" t="s">
        <v>209</v>
      </c>
      <c r="C286" s="53" t="s">
        <v>6</v>
      </c>
      <c r="D286" s="30">
        <v>148</v>
      </c>
      <c r="E286" s="21">
        <v>0</v>
      </c>
      <c r="F286" s="51">
        <v>2</v>
      </c>
      <c r="G286" s="52">
        <f t="shared" si="17"/>
        <v>0</v>
      </c>
    </row>
    <row r="287" spans="1:7" ht="25.5" x14ac:dyDescent="0.25">
      <c r="A287" s="34" t="s">
        <v>208</v>
      </c>
      <c r="B287" s="46" t="s">
        <v>206</v>
      </c>
      <c r="C287" s="53" t="s">
        <v>7</v>
      </c>
      <c r="D287" s="30">
        <v>44.5</v>
      </c>
      <c r="E287" s="21">
        <v>0</v>
      </c>
      <c r="F287" s="51">
        <v>1</v>
      </c>
      <c r="G287" s="52">
        <f t="shared" si="17"/>
        <v>0</v>
      </c>
    </row>
    <row r="288" spans="1:7" ht="25.5" x14ac:dyDescent="0.25">
      <c r="A288" s="34" t="s">
        <v>161</v>
      </c>
      <c r="B288" s="29" t="s">
        <v>162</v>
      </c>
      <c r="C288" s="53" t="s">
        <v>7</v>
      </c>
      <c r="D288" s="30">
        <v>187.6</v>
      </c>
      <c r="E288" s="21">
        <v>0</v>
      </c>
      <c r="F288" s="51">
        <v>2</v>
      </c>
      <c r="G288" s="52">
        <f t="shared" si="17"/>
        <v>0</v>
      </c>
    </row>
    <row r="289" spans="1:7" ht="25.5" x14ac:dyDescent="0.25">
      <c r="A289" s="34" t="s">
        <v>368</v>
      </c>
      <c r="B289" s="29" t="s">
        <v>394</v>
      </c>
      <c r="C289" s="53" t="s">
        <v>12</v>
      </c>
      <c r="D289" s="30">
        <v>18</v>
      </c>
      <c r="E289" s="21">
        <v>0</v>
      </c>
      <c r="F289" s="51">
        <v>1</v>
      </c>
      <c r="G289" s="52">
        <f t="shared" si="17"/>
        <v>0</v>
      </c>
    </row>
    <row r="290" spans="1:7" ht="25.5" x14ac:dyDescent="0.25">
      <c r="A290" s="34" t="s">
        <v>29</v>
      </c>
      <c r="B290" s="29" t="s">
        <v>93</v>
      </c>
      <c r="C290" s="53" t="s">
        <v>9</v>
      </c>
      <c r="D290" s="54">
        <f>D296*10*0.00001</f>
        <v>2.0500000000000001E-2</v>
      </c>
      <c r="E290" s="21">
        <v>0</v>
      </c>
      <c r="F290" s="51">
        <v>1</v>
      </c>
      <c r="G290" s="52">
        <f t="shared" si="17"/>
        <v>0</v>
      </c>
    </row>
    <row r="291" spans="1:7" x14ac:dyDescent="0.25">
      <c r="A291" s="55" t="s">
        <v>102</v>
      </c>
      <c r="B291" s="47" t="s">
        <v>107</v>
      </c>
      <c r="C291" s="50" t="s">
        <v>10</v>
      </c>
      <c r="D291" s="51">
        <f>('LOK 1 '!D122+D286+D289)*0.005</f>
        <v>0.86</v>
      </c>
      <c r="E291" s="21">
        <v>0</v>
      </c>
      <c r="F291" s="51">
        <v>3</v>
      </c>
      <c r="G291" s="52">
        <f t="shared" si="17"/>
        <v>0</v>
      </c>
    </row>
    <row r="292" spans="1:7" x14ac:dyDescent="0.25">
      <c r="A292" s="49" t="s">
        <v>103</v>
      </c>
      <c r="B292" s="46" t="s">
        <v>95</v>
      </c>
      <c r="C292" s="50" t="s">
        <v>10</v>
      </c>
      <c r="D292" s="51">
        <f>D291</f>
        <v>0.86</v>
      </c>
      <c r="E292" s="21">
        <v>0</v>
      </c>
      <c r="F292" s="51">
        <v>3</v>
      </c>
      <c r="G292" s="52">
        <f t="shared" si="17"/>
        <v>0</v>
      </c>
    </row>
    <row r="293" spans="1:7" x14ac:dyDescent="0.25">
      <c r="A293" s="56" t="s">
        <v>108</v>
      </c>
      <c r="B293" s="57" t="s">
        <v>111</v>
      </c>
      <c r="C293" s="58" t="s">
        <v>10</v>
      </c>
      <c r="D293" s="60">
        <f>D291</f>
        <v>0.86</v>
      </c>
      <c r="E293" s="21">
        <v>0</v>
      </c>
      <c r="F293" s="61">
        <v>3</v>
      </c>
      <c r="G293" s="52">
        <f>F293*E293*D293</f>
        <v>0</v>
      </c>
    </row>
    <row r="294" spans="1:7" x14ac:dyDescent="0.25">
      <c r="A294" s="49" t="s">
        <v>84</v>
      </c>
      <c r="B294" s="46" t="s">
        <v>169</v>
      </c>
      <c r="C294" s="50" t="s">
        <v>9</v>
      </c>
      <c r="D294" s="51">
        <f>116*0.005</f>
        <v>0.57999999999999996</v>
      </c>
      <c r="E294" s="21">
        <v>0</v>
      </c>
      <c r="F294" s="51">
        <v>3</v>
      </c>
      <c r="G294" s="52">
        <f t="shared" si="17"/>
        <v>0</v>
      </c>
    </row>
    <row r="295" spans="1:7" x14ac:dyDescent="0.25">
      <c r="A295" s="49" t="s">
        <v>84</v>
      </c>
      <c r="B295" s="46" t="s">
        <v>169</v>
      </c>
      <c r="C295" s="50" t="s">
        <v>9</v>
      </c>
      <c r="D295" s="51">
        <f>D294</f>
        <v>0.57999999999999996</v>
      </c>
      <c r="E295" s="21">
        <v>0</v>
      </c>
      <c r="F295" s="51">
        <v>2</v>
      </c>
      <c r="G295" s="52">
        <f t="shared" si="17"/>
        <v>0</v>
      </c>
    </row>
    <row r="296" spans="1:7" x14ac:dyDescent="0.25">
      <c r="A296" s="49" t="s">
        <v>108</v>
      </c>
      <c r="B296" s="46" t="s">
        <v>213</v>
      </c>
      <c r="C296" s="50" t="s">
        <v>12</v>
      </c>
      <c r="D296" s="51">
        <f>(D286+'LOK 4'!D88+'LOK 1 '!D125)</f>
        <v>205</v>
      </c>
      <c r="E296" s="21">
        <v>0</v>
      </c>
      <c r="F296" s="51">
        <v>1</v>
      </c>
      <c r="G296" s="52">
        <f t="shared" si="17"/>
        <v>0</v>
      </c>
    </row>
    <row r="297" spans="1:7" x14ac:dyDescent="0.25">
      <c r="A297" s="49" t="s">
        <v>84</v>
      </c>
      <c r="B297" s="46" t="s">
        <v>96</v>
      </c>
      <c r="C297" s="50" t="s">
        <v>97</v>
      </c>
      <c r="D297" s="51">
        <v>1</v>
      </c>
      <c r="E297" s="21">
        <v>0</v>
      </c>
      <c r="F297" s="51">
        <v>3</v>
      </c>
      <c r="G297" s="52">
        <f t="shared" si="17"/>
        <v>0</v>
      </c>
    </row>
    <row r="298" spans="1:7" x14ac:dyDescent="0.25">
      <c r="A298" s="143" t="s">
        <v>170</v>
      </c>
      <c r="B298" s="143"/>
      <c r="C298" s="143"/>
      <c r="D298" s="143"/>
      <c r="E298" s="143"/>
      <c r="F298" s="143"/>
      <c r="G298" s="144">
        <f>SUM(G283:G297)</f>
        <v>0</v>
      </c>
    </row>
    <row r="299" spans="1:7" x14ac:dyDescent="0.25">
      <c r="A299" s="143"/>
      <c r="B299" s="143"/>
      <c r="C299" s="143"/>
      <c r="D299" s="143"/>
      <c r="E299" s="143"/>
      <c r="F299" s="143"/>
      <c r="G299" s="144"/>
    </row>
    <row r="300" spans="1:7" x14ac:dyDescent="0.25">
      <c r="A300" s="28" t="s">
        <v>219</v>
      </c>
      <c r="B300" s="345" t="s">
        <v>200</v>
      </c>
      <c r="C300" s="345"/>
      <c r="D300" s="345"/>
      <c r="E300" s="345"/>
      <c r="F300" s="345"/>
      <c r="G300" s="345"/>
    </row>
    <row r="301" spans="1:7" ht="26.25" x14ac:dyDescent="0.25">
      <c r="A301" s="19" t="s">
        <v>0</v>
      </c>
      <c r="B301" s="19" t="s">
        <v>1</v>
      </c>
      <c r="C301" s="42" t="s">
        <v>2</v>
      </c>
      <c r="D301" s="20" t="s">
        <v>3</v>
      </c>
      <c r="E301" s="20" t="s">
        <v>4</v>
      </c>
      <c r="F301" s="42" t="s">
        <v>98</v>
      </c>
      <c r="G301" s="48" t="s">
        <v>92</v>
      </c>
    </row>
    <row r="302" spans="1:7" x14ac:dyDescent="0.25">
      <c r="A302" s="49" t="s">
        <v>201</v>
      </c>
      <c r="B302" s="46" t="s">
        <v>202</v>
      </c>
      <c r="C302" s="50" t="s">
        <v>7</v>
      </c>
      <c r="D302" s="51">
        <v>336</v>
      </c>
      <c r="E302" s="21">
        <v>0</v>
      </c>
      <c r="F302" s="51">
        <v>3</v>
      </c>
      <c r="G302" s="52">
        <f t="shared" ref="G302:G311" si="18">F302*E302*D302</f>
        <v>0</v>
      </c>
    </row>
    <row r="303" spans="1:7" ht="25.5" x14ac:dyDescent="0.25">
      <c r="A303" s="156">
        <v>185804251</v>
      </c>
      <c r="B303" s="46" t="s">
        <v>203</v>
      </c>
      <c r="C303" s="50" t="s">
        <v>7</v>
      </c>
      <c r="D303" s="51">
        <v>336</v>
      </c>
      <c r="E303" s="21">
        <v>0</v>
      </c>
      <c r="F303" s="51">
        <v>1</v>
      </c>
      <c r="G303" s="52">
        <f t="shared" si="18"/>
        <v>0</v>
      </c>
    </row>
    <row r="304" spans="1:7" ht="25.5" x14ac:dyDescent="0.25">
      <c r="A304" s="34" t="s">
        <v>204</v>
      </c>
      <c r="B304" s="46" t="s">
        <v>205</v>
      </c>
      <c r="C304" s="53" t="s">
        <v>7</v>
      </c>
      <c r="D304" s="30">
        <f>D302</f>
        <v>336</v>
      </c>
      <c r="E304" s="21">
        <v>0</v>
      </c>
      <c r="F304" s="51">
        <v>2</v>
      </c>
      <c r="G304" s="52">
        <f t="shared" si="18"/>
        <v>0</v>
      </c>
    </row>
    <row r="305" spans="1:7" x14ac:dyDescent="0.25">
      <c r="A305" s="34" t="s">
        <v>210</v>
      </c>
      <c r="B305" s="46" t="s">
        <v>216</v>
      </c>
      <c r="C305" s="50" t="s">
        <v>10</v>
      </c>
      <c r="D305" s="51">
        <f>D302*0.015</f>
        <v>5.04</v>
      </c>
      <c r="E305" s="21">
        <v>0</v>
      </c>
      <c r="F305" s="51">
        <v>3</v>
      </c>
      <c r="G305" s="52">
        <f t="shared" si="18"/>
        <v>0</v>
      </c>
    </row>
    <row r="306" spans="1:7" x14ac:dyDescent="0.25">
      <c r="A306" s="55" t="s">
        <v>102</v>
      </c>
      <c r="B306" s="47" t="s">
        <v>107</v>
      </c>
      <c r="C306" s="50" t="s">
        <v>10</v>
      </c>
      <c r="D306" s="51">
        <f>D305</f>
        <v>5.04</v>
      </c>
      <c r="E306" s="21">
        <v>0</v>
      </c>
      <c r="F306" s="51">
        <v>3</v>
      </c>
      <c r="G306" s="52">
        <f t="shared" si="18"/>
        <v>0</v>
      </c>
    </row>
    <row r="307" spans="1:7" x14ac:dyDescent="0.25">
      <c r="A307" s="34" t="s">
        <v>211</v>
      </c>
      <c r="B307" s="46" t="s">
        <v>212</v>
      </c>
      <c r="C307" s="50" t="s">
        <v>9</v>
      </c>
      <c r="D307" s="146">
        <f>D310/1000</f>
        <v>1.008E-2</v>
      </c>
      <c r="E307" s="21">
        <v>0</v>
      </c>
      <c r="F307" s="51">
        <v>1</v>
      </c>
      <c r="G307" s="52">
        <f t="shared" si="18"/>
        <v>0</v>
      </c>
    </row>
    <row r="308" spans="1:7" x14ac:dyDescent="0.25">
      <c r="A308" s="49"/>
      <c r="B308" s="46" t="s">
        <v>169</v>
      </c>
      <c r="C308" s="50" t="s">
        <v>9</v>
      </c>
      <c r="D308" s="51">
        <f>D302*0.0003</f>
        <v>0.10079999999999999</v>
      </c>
      <c r="E308" s="21">
        <v>0</v>
      </c>
      <c r="F308" s="51">
        <v>4</v>
      </c>
      <c r="G308" s="52">
        <f t="shared" si="18"/>
        <v>0</v>
      </c>
    </row>
    <row r="309" spans="1:7" x14ac:dyDescent="0.25">
      <c r="A309" s="56" t="s">
        <v>108</v>
      </c>
      <c r="B309" s="57" t="s">
        <v>111</v>
      </c>
      <c r="C309" s="58" t="s">
        <v>10</v>
      </c>
      <c r="D309" s="60">
        <f>D306</f>
        <v>5.04</v>
      </c>
      <c r="E309" s="21">
        <v>0</v>
      </c>
      <c r="F309" s="61">
        <v>3</v>
      </c>
      <c r="G309" s="52">
        <f t="shared" si="18"/>
        <v>0</v>
      </c>
    </row>
    <row r="310" spans="1:7" ht="25.5" x14ac:dyDescent="0.25">
      <c r="A310" s="34" t="s">
        <v>108</v>
      </c>
      <c r="B310" s="29" t="s">
        <v>215</v>
      </c>
      <c r="C310" s="53" t="s">
        <v>114</v>
      </c>
      <c r="D310" s="30">
        <f>D302*0.03</f>
        <v>10.08</v>
      </c>
      <c r="E310" s="21">
        <v>0</v>
      </c>
      <c r="F310" s="51">
        <v>1</v>
      </c>
      <c r="G310" s="52">
        <f t="shared" si="18"/>
        <v>0</v>
      </c>
    </row>
    <row r="311" spans="1:7" x14ac:dyDescent="0.25">
      <c r="A311" s="49" t="s">
        <v>84</v>
      </c>
      <c r="B311" s="46" t="s">
        <v>96</v>
      </c>
      <c r="C311" s="50" t="s">
        <v>97</v>
      </c>
      <c r="D311" s="51">
        <v>1</v>
      </c>
      <c r="E311" s="21">
        <v>0</v>
      </c>
      <c r="F311" s="51">
        <v>4</v>
      </c>
      <c r="G311" s="52">
        <f t="shared" si="18"/>
        <v>0</v>
      </c>
    </row>
    <row r="312" spans="1:7" x14ac:dyDescent="0.25">
      <c r="A312" s="143" t="s">
        <v>170</v>
      </c>
      <c r="B312" s="143"/>
      <c r="C312" s="143"/>
      <c r="D312" s="143"/>
      <c r="E312" s="143"/>
      <c r="F312" s="143"/>
      <c r="G312" s="144">
        <f>SUM(G302:G311)</f>
        <v>0</v>
      </c>
    </row>
    <row r="313" spans="1:7" x14ac:dyDescent="0.25">
      <c r="A313" s="143"/>
      <c r="B313" s="143"/>
      <c r="C313" s="143"/>
      <c r="D313" s="143"/>
      <c r="E313" s="143"/>
      <c r="F313" s="143"/>
      <c r="G313" s="144"/>
    </row>
    <row r="314" spans="1:7" x14ac:dyDescent="0.25">
      <c r="A314" s="143"/>
      <c r="B314" s="143"/>
      <c r="C314" s="143"/>
      <c r="D314" s="143"/>
      <c r="E314" s="143"/>
      <c r="F314" s="143"/>
      <c r="G314" s="144"/>
    </row>
    <row r="315" spans="1:7" x14ac:dyDescent="0.25">
      <c r="A315" s="143"/>
      <c r="B315" s="143"/>
      <c r="C315" s="143"/>
      <c r="D315" s="143"/>
      <c r="E315" s="143"/>
      <c r="F315" s="143"/>
      <c r="G315" s="144"/>
    </row>
    <row r="316" spans="1:7" x14ac:dyDescent="0.25">
      <c r="A316" s="28" t="s">
        <v>316</v>
      </c>
      <c r="B316" s="345" t="s">
        <v>307</v>
      </c>
      <c r="C316" s="345"/>
      <c r="D316" s="345"/>
      <c r="E316" s="345"/>
      <c r="F316" s="345"/>
      <c r="G316" s="345"/>
    </row>
    <row r="317" spans="1:7" ht="26.25" x14ac:dyDescent="0.25">
      <c r="A317" s="19" t="s">
        <v>0</v>
      </c>
      <c r="B317" s="19" t="s">
        <v>1</v>
      </c>
      <c r="C317" s="42" t="s">
        <v>2</v>
      </c>
      <c r="D317" s="20" t="s">
        <v>3</v>
      </c>
      <c r="E317" s="20" t="s">
        <v>4</v>
      </c>
      <c r="F317" s="42" t="s">
        <v>98</v>
      </c>
      <c r="G317" s="48" t="s">
        <v>92</v>
      </c>
    </row>
    <row r="318" spans="1:7" ht="25.5" x14ac:dyDescent="0.25">
      <c r="A318" s="49" t="s">
        <v>308</v>
      </c>
      <c r="B318" s="46" t="s">
        <v>309</v>
      </c>
      <c r="C318" s="50" t="s">
        <v>7</v>
      </c>
      <c r="D318" s="51">
        <v>641</v>
      </c>
      <c r="E318" s="21">
        <v>0</v>
      </c>
      <c r="F318" s="51">
        <v>10</v>
      </c>
      <c r="G318" s="52">
        <f t="shared" ref="G318:G322" si="19">F318*E318*D318</f>
        <v>0</v>
      </c>
    </row>
    <row r="319" spans="1:7" x14ac:dyDescent="0.25">
      <c r="A319" s="34" t="s">
        <v>211</v>
      </c>
      <c r="B319" s="46" t="s">
        <v>311</v>
      </c>
      <c r="C319" s="50" t="s">
        <v>9</v>
      </c>
      <c r="D319" s="146">
        <f>D320/1000</f>
        <v>1.9230000000000001E-2</v>
      </c>
      <c r="E319" s="21">
        <v>0</v>
      </c>
      <c r="F319" s="51">
        <v>2</v>
      </c>
      <c r="G319" s="52">
        <f t="shared" si="19"/>
        <v>0</v>
      </c>
    </row>
    <row r="320" spans="1:7" ht="25.5" x14ac:dyDescent="0.25">
      <c r="A320" s="34" t="s">
        <v>108</v>
      </c>
      <c r="B320" s="29" t="s">
        <v>310</v>
      </c>
      <c r="C320" s="53" t="s">
        <v>114</v>
      </c>
      <c r="D320" s="30">
        <f>D318*0.03</f>
        <v>19.23</v>
      </c>
      <c r="E320" s="21">
        <v>0</v>
      </c>
      <c r="F320" s="51">
        <v>1</v>
      </c>
      <c r="G320" s="52">
        <f t="shared" si="19"/>
        <v>0</v>
      </c>
    </row>
    <row r="321" spans="1:7" x14ac:dyDescent="0.25">
      <c r="A321" s="49" t="s">
        <v>84</v>
      </c>
      <c r="B321" s="46" t="s">
        <v>169</v>
      </c>
      <c r="C321" s="50" t="s">
        <v>9</v>
      </c>
      <c r="D321" s="51">
        <f>D318*0.0008</f>
        <v>0.51280000000000003</v>
      </c>
      <c r="E321" s="21">
        <v>0</v>
      </c>
      <c r="F321" s="51">
        <v>10</v>
      </c>
      <c r="G321" s="52">
        <f t="shared" si="19"/>
        <v>0</v>
      </c>
    </row>
    <row r="322" spans="1:7" x14ac:dyDescent="0.25">
      <c r="A322" s="49" t="s">
        <v>84</v>
      </c>
      <c r="B322" s="46" t="s">
        <v>96</v>
      </c>
      <c r="C322" s="50" t="s">
        <v>97</v>
      </c>
      <c r="D322" s="51">
        <v>1</v>
      </c>
      <c r="E322" s="21">
        <v>0</v>
      </c>
      <c r="F322" s="51">
        <v>10</v>
      </c>
      <c r="G322" s="52">
        <f t="shared" si="19"/>
        <v>0</v>
      </c>
    </row>
    <row r="323" spans="1:7" x14ac:dyDescent="0.25">
      <c r="A323" s="197" t="s">
        <v>170</v>
      </c>
      <c r="B323" s="198"/>
      <c r="C323" s="198"/>
      <c r="D323" s="198"/>
      <c r="E323" s="198"/>
      <c r="F323" s="198"/>
      <c r="G323" s="199">
        <f>SUM(G318:G322)</f>
        <v>0</v>
      </c>
    </row>
    <row r="324" spans="1:7" x14ac:dyDescent="0.25">
      <c r="A324" s="143"/>
      <c r="B324" s="143"/>
      <c r="C324" s="143"/>
      <c r="D324" s="143"/>
      <c r="E324" s="143"/>
      <c r="F324" s="143"/>
      <c r="G324" s="144"/>
    </row>
    <row r="325" spans="1:7" x14ac:dyDescent="0.25">
      <c r="A325" s="112" t="s">
        <v>145</v>
      </c>
      <c r="B325" s="112"/>
      <c r="C325" s="112"/>
      <c r="D325" s="112"/>
      <c r="E325" s="112"/>
      <c r="F325" s="112"/>
      <c r="G325" s="112"/>
    </row>
    <row r="326" spans="1:7" x14ac:dyDescent="0.25">
      <c r="A326" s="157">
        <v>43470</v>
      </c>
      <c r="B326" s="346" t="s">
        <v>175</v>
      </c>
      <c r="C326" s="346"/>
      <c r="D326" s="346"/>
      <c r="E326" s="346"/>
      <c r="F326" s="346"/>
      <c r="G326" s="113">
        <f>G279</f>
        <v>0</v>
      </c>
    </row>
    <row r="327" spans="1:7" x14ac:dyDescent="0.25">
      <c r="A327" s="157">
        <v>43501</v>
      </c>
      <c r="B327" s="346" t="s">
        <v>176</v>
      </c>
      <c r="C327" s="346"/>
      <c r="D327" s="346"/>
      <c r="E327" s="346"/>
      <c r="F327" s="346"/>
      <c r="G327" s="113">
        <f>G298</f>
        <v>0</v>
      </c>
    </row>
    <row r="328" spans="1:7" x14ac:dyDescent="0.25">
      <c r="A328" s="157">
        <v>43529</v>
      </c>
      <c r="B328" s="343" t="s">
        <v>197</v>
      </c>
      <c r="C328" s="344"/>
      <c r="D328" s="344"/>
      <c r="E328" s="344"/>
      <c r="F328" s="344"/>
      <c r="G328" s="113">
        <f>G312</f>
        <v>0</v>
      </c>
    </row>
    <row r="329" spans="1:7" x14ac:dyDescent="0.25">
      <c r="A329" s="157">
        <v>43560</v>
      </c>
      <c r="B329" s="223" t="s">
        <v>305</v>
      </c>
      <c r="C329" s="224"/>
      <c r="D329" s="224"/>
      <c r="E329" s="224"/>
      <c r="F329" s="224"/>
      <c r="G329" s="113">
        <f>G323</f>
        <v>0</v>
      </c>
    </row>
    <row r="330" spans="1:7" x14ac:dyDescent="0.25">
      <c r="A330" s="222">
        <v>5</v>
      </c>
      <c r="B330" s="342" t="s">
        <v>375</v>
      </c>
      <c r="C330" s="342"/>
      <c r="D330" s="342"/>
      <c r="E330" s="342"/>
      <c r="F330" s="342"/>
      <c r="G330" s="147">
        <f>SUM(G326:G329)</f>
        <v>0</v>
      </c>
    </row>
  </sheetData>
  <mergeCells count="45">
    <mergeCell ref="B328:F328"/>
    <mergeCell ref="B330:F330"/>
    <mergeCell ref="B266:F266"/>
    <mergeCell ref="B281:G281"/>
    <mergeCell ref="B300:G300"/>
    <mergeCell ref="B316:G316"/>
    <mergeCell ref="B326:F326"/>
    <mergeCell ref="B327:F327"/>
    <mergeCell ref="B111:G111"/>
    <mergeCell ref="B126:G126"/>
    <mergeCell ref="B136:F136"/>
    <mergeCell ref="B137:F137"/>
    <mergeCell ref="B264:F264"/>
    <mergeCell ref="B140:F140"/>
    <mergeCell ref="B160:G160"/>
    <mergeCell ref="B179:G179"/>
    <mergeCell ref="B193:G193"/>
    <mergeCell ref="B203:F203"/>
    <mergeCell ref="B204:F204"/>
    <mergeCell ref="B221:G221"/>
    <mergeCell ref="B239:G239"/>
    <mergeCell ref="B252:G252"/>
    <mergeCell ref="B262:F262"/>
    <mergeCell ref="B263:F263"/>
    <mergeCell ref="B138:F138"/>
    <mergeCell ref="B268:G268"/>
    <mergeCell ref="B270:G270"/>
    <mergeCell ref="B19:G19"/>
    <mergeCell ref="B38:G38"/>
    <mergeCell ref="B48:G48"/>
    <mergeCell ref="B59:F59"/>
    <mergeCell ref="B60:F60"/>
    <mergeCell ref="B61:F61"/>
    <mergeCell ref="B142:G142"/>
    <mergeCell ref="B144:G144"/>
    <mergeCell ref="B210:G210"/>
    <mergeCell ref="B212:G212"/>
    <mergeCell ref="B205:F205"/>
    <mergeCell ref="B207:F207"/>
    <mergeCell ref="B89:G89"/>
    <mergeCell ref="B4:G4"/>
    <mergeCell ref="B6:G6"/>
    <mergeCell ref="B63:F63"/>
    <mergeCell ref="B65:G65"/>
    <mergeCell ref="B67:G67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SUMA</vt:lpstr>
      <vt:lpstr>LOK 1 </vt:lpstr>
      <vt:lpstr>LOK 2</vt:lpstr>
      <vt:lpstr>LOK 3</vt:lpstr>
      <vt:lpstr>LOK 4</vt:lpstr>
      <vt:lpstr>SUMÁŘ NÁSLEDNÁ PÉČE</vt:lpstr>
      <vt:lpstr>následná péče 1-5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Mirka</dc:creator>
  <cp:lastModifiedBy>Mirka</cp:lastModifiedBy>
  <cp:lastPrinted>2019-03-30T12:22:11Z</cp:lastPrinted>
  <dcterms:created xsi:type="dcterms:W3CDTF">2019-01-14T08:33:02Z</dcterms:created>
  <dcterms:modified xsi:type="dcterms:W3CDTF">2019-05-21T10:20:23Z</dcterms:modified>
</cp:coreProperties>
</file>