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150" activeTab="0"/>
  </bookViews>
  <sheets>
    <sheet name="spoločné" sheetId="1" r:id="rId1"/>
    <sheet name="sumár" sheetId="2" state="hidden" r:id="rId2"/>
  </sheets>
  <definedNames>
    <definedName name="_xlnm.Print_Titles" localSheetId="1">'sumár'!$52:$54</definedName>
    <definedName name="_xlnm.Print_Area" localSheetId="0">'spoločné'!$A$1:$G$78</definedName>
  </definedNames>
  <calcPr fullCalcOnLoad="1"/>
</workbook>
</file>

<file path=xl/comments2.xml><?xml version="1.0" encoding="utf-8"?>
<comments xmlns="http://schemas.openxmlformats.org/spreadsheetml/2006/main">
  <authors>
    <author>Lubo</author>
  </authors>
  <commentList>
    <comment ref="Z95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  <comment ref="Z100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105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110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  <comment ref="Z113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117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121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  <comment ref="Z142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  <comment ref="Z146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  <comment ref="Z148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  <comment ref="Z160" authorId="0">
      <text>
        <r>
          <rPr>
            <b/>
            <sz val="8"/>
            <rFont val="Tahoma"/>
            <family val="2"/>
          </rPr>
          <t>na rúrku d20</t>
        </r>
        <r>
          <rPr>
            <sz val="8"/>
            <rFont val="Tahoma"/>
            <family val="2"/>
          </rPr>
          <t xml:space="preserve">
</t>
        </r>
      </text>
    </comment>
    <comment ref="Z163" authorId="0">
      <text>
        <r>
          <rPr>
            <b/>
            <sz val="8"/>
            <rFont val="Tahoma"/>
            <family val="2"/>
          </rPr>
          <t>na rúrku d20</t>
        </r>
        <r>
          <rPr>
            <sz val="8"/>
            <rFont val="Tahoma"/>
            <family val="2"/>
          </rPr>
          <t xml:space="preserve">
</t>
        </r>
      </text>
    </comment>
    <comment ref="Z165" authorId="0">
      <text>
        <r>
          <rPr>
            <b/>
            <sz val="8"/>
            <rFont val="Tahoma"/>
            <family val="2"/>
          </rPr>
          <t>na rúrku d20</t>
        </r>
        <r>
          <rPr>
            <sz val="8"/>
            <rFont val="Tahoma"/>
            <family val="2"/>
          </rPr>
          <t xml:space="preserve">
</t>
        </r>
      </text>
    </comment>
    <comment ref="Z233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240" authorId="0">
      <text>
        <r>
          <rPr>
            <b/>
            <sz val="8"/>
            <rFont val="Tahoma"/>
            <family val="2"/>
          </rPr>
          <t>na rúrku d32</t>
        </r>
        <r>
          <rPr>
            <sz val="8"/>
            <rFont val="Tahoma"/>
            <family val="2"/>
          </rPr>
          <t xml:space="preserve">
</t>
        </r>
      </text>
    </comment>
    <comment ref="Z259" authorId="0">
      <text>
        <r>
          <rPr>
            <b/>
            <sz val="8"/>
            <rFont val="Tahoma"/>
            <family val="2"/>
          </rPr>
          <t xml:space="preserve">na rúrku d25
</t>
        </r>
      </text>
    </comment>
    <comment ref="Z262" authorId="0">
      <text>
        <r>
          <rPr>
            <b/>
            <sz val="8"/>
            <rFont val="Tahoma"/>
            <family val="2"/>
          </rPr>
          <t xml:space="preserve">na rúrku d25
</t>
        </r>
      </text>
    </comment>
    <comment ref="Z282" authorId="0">
      <text>
        <r>
          <rPr>
            <b/>
            <sz val="8"/>
            <rFont val="Tahoma"/>
            <family val="2"/>
          </rPr>
          <t>na rúrku d32</t>
        </r>
      </text>
    </comment>
    <comment ref="Z286" authorId="0">
      <text>
        <r>
          <rPr>
            <b/>
            <sz val="8"/>
            <rFont val="Tahoma"/>
            <family val="2"/>
          </rPr>
          <t>na rúrku d32</t>
        </r>
        <r>
          <rPr>
            <sz val="8"/>
            <rFont val="Tahoma"/>
            <family val="2"/>
          </rPr>
          <t xml:space="preserve">
</t>
        </r>
      </text>
    </comment>
    <comment ref="Z291" authorId="0">
      <text>
        <r>
          <rPr>
            <b/>
            <sz val="8"/>
            <rFont val="Tahoma"/>
            <family val="2"/>
          </rPr>
          <t>na rúrku d32</t>
        </r>
        <r>
          <rPr>
            <sz val="8"/>
            <rFont val="Tahoma"/>
            <family val="2"/>
          </rPr>
          <t xml:space="preserve">
</t>
        </r>
      </text>
    </comment>
    <comment ref="Z299" authorId="0">
      <text>
        <r>
          <rPr>
            <b/>
            <sz val="8"/>
            <rFont val="Tahoma"/>
            <family val="2"/>
          </rPr>
          <t>na rúrku d32</t>
        </r>
        <r>
          <rPr>
            <sz val="8"/>
            <rFont val="Tahoma"/>
            <family val="2"/>
          </rPr>
          <t xml:space="preserve">
</t>
        </r>
      </text>
    </comment>
    <comment ref="Z307" authorId="0">
      <text>
        <r>
          <rPr>
            <b/>
            <sz val="8"/>
            <rFont val="Tahoma"/>
            <family val="2"/>
          </rPr>
          <t>na rúrku d32</t>
        </r>
      </text>
    </comment>
    <comment ref="Z313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320" authorId="0">
      <text>
        <r>
          <rPr>
            <b/>
            <sz val="8"/>
            <rFont val="Tahoma"/>
            <family val="2"/>
          </rPr>
          <t xml:space="preserve">na rúrku d32
</t>
        </r>
        <r>
          <rPr>
            <sz val="8"/>
            <rFont val="Tahoma"/>
            <family val="2"/>
          </rPr>
          <t xml:space="preserve">
</t>
        </r>
      </text>
    </comment>
    <comment ref="Z340" authorId="0">
      <text>
        <r>
          <rPr>
            <b/>
            <sz val="8"/>
            <rFont val="Tahoma"/>
            <family val="2"/>
          </rPr>
          <t xml:space="preserve">na rúrku d25
</t>
        </r>
        <r>
          <rPr>
            <sz val="8"/>
            <rFont val="Tahoma"/>
            <family val="2"/>
          </rPr>
          <t xml:space="preserve">
</t>
        </r>
      </text>
    </comment>
    <comment ref="Z398" authorId="0">
      <text>
        <r>
          <rPr>
            <b/>
            <sz val="8"/>
            <rFont val="Tahoma"/>
            <family val="2"/>
          </rPr>
          <t xml:space="preserve">na rúrku d20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<sst xmlns="http://schemas.openxmlformats.org/spreadsheetml/2006/main" count="2684" uniqueCount="933">
  <si>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</si>
  <si>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</si>
  <si>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</si>
  <si>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</si>
  <si>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</si>
  <si>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</si>
  <si>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</si>
  <si>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</si>
  <si>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</si>
  <si>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</si>
  <si>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</si>
  <si>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</si>
  <si>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</si>
  <si>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</si>
  <si>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</si>
  <si>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</si>
  <si>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</si>
  <si>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</si>
  <si>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</si>
  <si>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</si>
  <si>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</si>
  <si>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</si>
  <si>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</si>
  <si>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</si>
  <si>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</si>
  <si>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</si>
  <si>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</si>
  <si>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</si>
  <si>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</si>
  <si>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</si>
  <si>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</si>
  <si>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</si>
  <si>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</si>
  <si>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</si>
  <si>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</si>
  <si>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</si>
  <si>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</si>
  <si>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</si>
  <si>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</si>
  <si>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</si>
  <si>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</si>
  <si>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</si>
  <si>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</si>
  <si>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</si>
  <si>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</si>
  <si>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</si>
  <si>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</si>
  <si>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</si>
  <si>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</si>
  <si>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</si>
  <si>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</si>
  <si>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</si>
  <si>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</si>
  <si>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</si>
  <si>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</si>
  <si>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</si>
  <si>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</si>
  <si>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</si>
  <si>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</si>
  <si>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</si>
  <si>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</si>
  <si>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</si>
  <si>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</si>
  <si>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</si>
  <si>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</si>
  <si>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</si>
  <si>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</si>
  <si>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</si>
  <si>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</si>
  <si>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</si>
  <si>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</si>
  <si>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</si>
  <si>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</si>
  <si>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</si>
  <si>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</si>
  <si>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</si>
  <si>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</si>
  <si>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</si>
  <si>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</si>
  <si>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</si>
  <si>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</si>
  <si>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</si>
  <si>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</si>
  <si>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</si>
  <si>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</si>
  <si>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</si>
  <si>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</si>
  <si>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</si>
  <si>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</si>
  <si>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</si>
  <si>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</si>
  <si>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</si>
  <si>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</si>
  <si>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</si>
  <si>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</si>
  <si>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</si>
  <si>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</si>
  <si>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</si>
  <si>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</si>
  <si>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</si>
  <si>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</si>
  <si>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</si>
  <si>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</si>
  <si>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</si>
  <si>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</si>
  <si>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</si>
  <si>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</si>
  <si>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</si>
  <si>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</si>
  <si>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</si>
  <si>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</si>
  <si>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</si>
  <si>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</si>
  <si>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</si>
  <si>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</si>
  <si>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</si>
  <si>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</si>
  <si>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</si>
  <si>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</si>
  <si>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</si>
  <si>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</si>
  <si>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</si>
  <si>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</si>
  <si>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</si>
  <si>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</si>
  <si>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</si>
  <si>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</si>
  <si>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</si>
  <si>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</si>
  <si>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</si>
  <si>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</si>
  <si>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</si>
  <si>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</si>
  <si>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</si>
  <si>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</si>
  <si>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</si>
  <si>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</si>
  <si>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</si>
  <si>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</si>
  <si>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21</t>
  </si>
  <si>
    <t>141</t>
  </si>
  <si>
    <t>142</t>
  </si>
  <si>
    <t>143</t>
  </si>
  <si>
    <t>144</t>
  </si>
  <si>
    <t>145</t>
  </si>
  <si>
    <t>146</t>
  </si>
  <si>
    <t>147</t>
  </si>
  <si>
    <t>148</t>
  </si>
  <si>
    <t>Adresa</t>
  </si>
  <si>
    <t>Umiestnenie / popis</t>
  </si>
  <si>
    <t>Typ</t>
  </si>
  <si>
    <t>Zóna</t>
  </si>
  <si>
    <t>Detektor</t>
  </si>
  <si>
    <t>Trasa</t>
  </si>
  <si>
    <t>do</t>
  </si>
  <si>
    <t>SHKFH-R</t>
  </si>
  <si>
    <t>3x2x0,5</t>
  </si>
  <si>
    <t>5x2x0,5</t>
  </si>
  <si>
    <t>J-H(St)H</t>
  </si>
  <si>
    <t>2x2x0,8</t>
  </si>
  <si>
    <t>HFX</t>
  </si>
  <si>
    <t>HFXP</t>
  </si>
  <si>
    <t>ústredňa</t>
  </si>
  <si>
    <t>MD</t>
  </si>
  <si>
    <t>PIR</t>
  </si>
  <si>
    <t>PD</t>
  </si>
  <si>
    <t>AGD</t>
  </si>
  <si>
    <t>RKZ</t>
  </si>
  <si>
    <t>AKG</t>
  </si>
  <si>
    <t>ASD</t>
  </si>
  <si>
    <t>POZNÁMKA</t>
  </si>
  <si>
    <t>T3.18, vstupné dvere</t>
  </si>
  <si>
    <t xml:space="preserve">T3.18, </t>
  </si>
  <si>
    <t>Trasa uložená v betóne počas liatia skeletu</t>
  </si>
  <si>
    <t>UA</t>
  </si>
  <si>
    <t>Prieraz</t>
  </si>
  <si>
    <t>Drážka</t>
  </si>
  <si>
    <t>Označenie</t>
  </si>
  <si>
    <t>CR 1A.1</t>
  </si>
  <si>
    <t>DS 1A.1</t>
  </si>
  <si>
    <t>T3.17,</t>
  </si>
  <si>
    <t>T3.17, vstupné dvere z T3.13</t>
  </si>
  <si>
    <t>T3.13, pred vstupnými dverami do T3.17</t>
  </si>
  <si>
    <t>ČÍTAČKA</t>
  </si>
  <si>
    <t>ELEKTROZÁMOK</t>
  </si>
  <si>
    <t>TRASA 01</t>
  </si>
  <si>
    <t>TRASA 02</t>
  </si>
  <si>
    <t>Š A0.1</t>
  </si>
  <si>
    <t>Š A0.2</t>
  </si>
  <si>
    <t>RJ1A</t>
  </si>
  <si>
    <t>Rezerva</t>
  </si>
  <si>
    <t>DZAPL</t>
  </si>
  <si>
    <t>TRASA 03</t>
  </si>
  <si>
    <t>MD + SA Š A0.2</t>
  </si>
  <si>
    <t>MD + SA Š A0.1</t>
  </si>
  <si>
    <t>T3.16, vstupné dvere</t>
  </si>
  <si>
    <t>MD + SA Š A0.3</t>
  </si>
  <si>
    <t>TRASA 04</t>
  </si>
  <si>
    <t>CR 1A.2</t>
  </si>
  <si>
    <t>DS 1A.2</t>
  </si>
  <si>
    <t>MD + SA Š A0.4</t>
  </si>
  <si>
    <t>T3.1.07, vstupné dvere</t>
  </si>
  <si>
    <t>T3.1.07,</t>
  </si>
  <si>
    <t>T3.1.04, pred vstupnými dverami do T3.1.07</t>
  </si>
  <si>
    <t>TRASA 05</t>
  </si>
  <si>
    <t>Š A0.3</t>
  </si>
  <si>
    <t>Š A0.4</t>
  </si>
  <si>
    <t>CR 2A.1</t>
  </si>
  <si>
    <t>DS 2A.1</t>
  </si>
  <si>
    <t>T2.1.07, vstupné dvere</t>
  </si>
  <si>
    <t xml:space="preserve">T2.1.07,    </t>
  </si>
  <si>
    <t>T2.1.04, pred vstupnými dverami do T2.1.07</t>
  </si>
  <si>
    <t>MD + SA Š A0.5</t>
  </si>
  <si>
    <t>T2.1.06, vstupné dvere</t>
  </si>
  <si>
    <t>MD + SA Š A0.6</t>
  </si>
  <si>
    <t>Š A0.5</t>
  </si>
  <si>
    <t>RJ2A</t>
  </si>
  <si>
    <t>Š A0.6</t>
  </si>
  <si>
    <t>TRASA 06</t>
  </si>
  <si>
    <t>POD1A</t>
  </si>
  <si>
    <t>SPOLU</t>
  </si>
  <si>
    <t>LÍNIA 01</t>
  </si>
  <si>
    <t>LÍNIA 02</t>
  </si>
  <si>
    <t>LÍNIA 03</t>
  </si>
  <si>
    <t>POD2A</t>
  </si>
  <si>
    <t>Prepoj medzi modulmi</t>
  </si>
  <si>
    <t>Prepoj medzi modulmi - línia</t>
  </si>
  <si>
    <t>Prepoj medzi modulmi - línia, v kovovom žľabe SLP</t>
  </si>
  <si>
    <t>MEDZISÚČET</t>
  </si>
  <si>
    <t>STRATNÉ A OHYBY</t>
  </si>
  <si>
    <t>MD + SA Š A2.1</t>
  </si>
  <si>
    <t>P3.01, vstupné dvere z O3.16</t>
  </si>
  <si>
    <t>P3.01, vstupné dvere z T3.19</t>
  </si>
  <si>
    <t>T3.19,</t>
  </si>
  <si>
    <t>MD + SA Š A2.2</t>
  </si>
  <si>
    <t>TRASA 07</t>
  </si>
  <si>
    <t>Š A2.1</t>
  </si>
  <si>
    <t>Š A2.2</t>
  </si>
  <si>
    <t>Trasa sčasti vedená v kovovom žľabe SLP, a sčasti na strope na príchytkách na povrchu.</t>
  </si>
  <si>
    <t>CR 3A.1</t>
  </si>
  <si>
    <t>DS 3A.1</t>
  </si>
  <si>
    <t>TRASA 08</t>
  </si>
  <si>
    <t>T3.26, vstupné dvere z A3.02</t>
  </si>
  <si>
    <t>A3.02, pred vstupnými dverami do T3.26</t>
  </si>
  <si>
    <t>T3.27, vstupné dvere</t>
  </si>
  <si>
    <t>MD + SA Š A2.3</t>
  </si>
  <si>
    <t>MD + SA Š A2.4</t>
  </si>
  <si>
    <t>Š A2.3</t>
  </si>
  <si>
    <t>RJ3A</t>
  </si>
  <si>
    <t>Š A2.4</t>
  </si>
  <si>
    <t>Trasa sčasti uchytená na príchytkách na povrchu nad podhľadom a sčasti uložená v betóne počas liatia skeletu</t>
  </si>
  <si>
    <t xml:space="preserve">T3.26,  </t>
  </si>
  <si>
    <t>T3.26, vstupné dvere z T3.28</t>
  </si>
  <si>
    <t>MD + SA Š A2.5</t>
  </si>
  <si>
    <t>T3.28, pred vstupnými dverami do T3.26</t>
  </si>
  <si>
    <t>TRASA 09</t>
  </si>
  <si>
    <t>Š A2.5</t>
  </si>
  <si>
    <t>T3.29, vstupné dvere</t>
  </si>
  <si>
    <t xml:space="preserve">T3.29, </t>
  </si>
  <si>
    <t>MD + SA Š A2.6</t>
  </si>
  <si>
    <t>TRASA 10</t>
  </si>
  <si>
    <t>Š A2.6</t>
  </si>
  <si>
    <t xml:space="preserve">Trasa uchytená na príchytkách na povrchu nad podhľadom </t>
  </si>
  <si>
    <t>T2.1.10,</t>
  </si>
  <si>
    <t>T2.1.10, vstupné dvere z T2.1.09</t>
  </si>
  <si>
    <t>MD + SA Š A2.7</t>
  </si>
  <si>
    <t>CR 3A.2</t>
  </si>
  <si>
    <t>DS 3A.2</t>
  </si>
  <si>
    <t>T2.1.09, pred vstupnými dverami do T2.1.10</t>
  </si>
  <si>
    <t>TRASA 11</t>
  </si>
  <si>
    <t>Š A2.7</t>
  </si>
  <si>
    <t>RJ4A</t>
  </si>
  <si>
    <t>CR 4A.1</t>
  </si>
  <si>
    <t>DS 4A.1</t>
  </si>
  <si>
    <t>CR 4A.2</t>
  </si>
  <si>
    <t>DS 4A.2</t>
  </si>
  <si>
    <t>T3.1.09,</t>
  </si>
  <si>
    <t>T3.1.09, vstupné dvere z T3.1.10</t>
  </si>
  <si>
    <t>T3.1.10, pred vstupnými dverami do T3.1.09</t>
  </si>
  <si>
    <t>MD + SA Š A2.8</t>
  </si>
  <si>
    <t>Š A2.8</t>
  </si>
  <si>
    <t>TRASA 12</t>
  </si>
  <si>
    <t xml:space="preserve">T4.10, </t>
  </si>
  <si>
    <t>T4.10, vstupné dvere</t>
  </si>
  <si>
    <t>MD + SA Š A2.9</t>
  </si>
  <si>
    <t>Š A2.9</t>
  </si>
  <si>
    <t xml:space="preserve">Trasa uchytená na príchytkách na povrchu na strope </t>
  </si>
  <si>
    <t>CR 5A.1</t>
  </si>
  <si>
    <t>DS 5A.1</t>
  </si>
  <si>
    <t>MD + SA Š A2.10</t>
  </si>
  <si>
    <t xml:space="preserve">MD  </t>
  </si>
  <si>
    <t>MD + SA Š A2.11</t>
  </si>
  <si>
    <t>T4.06,</t>
  </si>
  <si>
    <t>T4.06, vstupné dvere</t>
  </si>
  <si>
    <t>T4.12, pred vstupnými dverami do T4.06</t>
  </si>
  <si>
    <t>T4.11, vstupné dvere</t>
  </si>
  <si>
    <t>TRASA 13</t>
  </si>
  <si>
    <t>Š A2.10</t>
  </si>
  <si>
    <t>RJ5A</t>
  </si>
  <si>
    <t>Š A2.11</t>
  </si>
  <si>
    <t>LÍNIA 04</t>
  </si>
  <si>
    <t>POD3A</t>
  </si>
  <si>
    <t>LÍNIA 05</t>
  </si>
  <si>
    <t>LÍNIA 06</t>
  </si>
  <si>
    <t>LÍNIA 07</t>
  </si>
  <si>
    <t>P3.01, vstupné dvere z T3.01</t>
  </si>
  <si>
    <t>MD + SA Š A3.1</t>
  </si>
  <si>
    <t>TRASA 14</t>
  </si>
  <si>
    <t>Š A3.1</t>
  </si>
  <si>
    <t>T3.03, vstupné dvere</t>
  </si>
  <si>
    <t xml:space="preserve">T3.03,  </t>
  </si>
  <si>
    <t>MD + SA Š A3.2</t>
  </si>
  <si>
    <t>TRASA 15</t>
  </si>
  <si>
    <t>Š A3.2</t>
  </si>
  <si>
    <t>T4.09, vstupné dvere</t>
  </si>
  <si>
    <t xml:space="preserve">T4.09,  </t>
  </si>
  <si>
    <t>MD + SA Š A3.3</t>
  </si>
  <si>
    <t>T4.08, vstupné dvere</t>
  </si>
  <si>
    <t xml:space="preserve">T4.08,  </t>
  </si>
  <si>
    <t>MD + SA Š A3.4</t>
  </si>
  <si>
    <t>TRASA 16</t>
  </si>
  <si>
    <t>Š A3.3</t>
  </si>
  <si>
    <t>TRASA 17</t>
  </si>
  <si>
    <t>Š A3.4</t>
  </si>
  <si>
    <t>LÍNIA 08</t>
  </si>
  <si>
    <t>POD4A</t>
  </si>
  <si>
    <t>P2.01,</t>
  </si>
  <si>
    <t>P2.01, vstupné dvere z T2.06</t>
  </si>
  <si>
    <t>MD + SA Š A4.1</t>
  </si>
  <si>
    <t>T2.28,</t>
  </si>
  <si>
    <t>T2.28, vstupné dvere</t>
  </si>
  <si>
    <t>MD + SA Š A4.2</t>
  </si>
  <si>
    <t>T2.30,</t>
  </si>
  <si>
    <t>T2.30, vstupné dvere</t>
  </si>
  <si>
    <t>MD + SA Š A4.3</t>
  </si>
  <si>
    <t>TRASA 18</t>
  </si>
  <si>
    <t>TRASA 19</t>
  </si>
  <si>
    <t>TRASA 20</t>
  </si>
  <si>
    <t>Š A4.1</t>
  </si>
  <si>
    <t>Š A4.2</t>
  </si>
  <si>
    <t>Š A4.3</t>
  </si>
  <si>
    <t>LÍNIA 09</t>
  </si>
  <si>
    <t>POD5A</t>
  </si>
  <si>
    <t>T2.11,</t>
  </si>
  <si>
    <t>T2.11, vstupné dvere z T2.09</t>
  </si>
  <si>
    <t>CR 6A.1</t>
  </si>
  <si>
    <t>DS 6A.1</t>
  </si>
  <si>
    <t>T2.09, pred vstupnými dverami do T2.11</t>
  </si>
  <si>
    <t>MD + SA Š A5.1</t>
  </si>
  <si>
    <t>TRASA 21</t>
  </si>
  <si>
    <t>Š A5.1</t>
  </si>
  <si>
    <t>CR 6A.2</t>
  </si>
  <si>
    <t>DS 6A.2</t>
  </si>
  <si>
    <t>TRASA 22</t>
  </si>
  <si>
    <t>CR 7A.1</t>
  </si>
  <si>
    <t>DS 7A.1</t>
  </si>
  <si>
    <t>CR 7A.2</t>
  </si>
  <si>
    <t>DS 7A.2</t>
  </si>
  <si>
    <t>T2.11, pred vstupnými dverami do T2.12</t>
  </si>
  <si>
    <t>T2.12, vstupné dvere z T2.11</t>
  </si>
  <si>
    <t>RJ6A</t>
  </si>
  <si>
    <t>TRASA 23</t>
  </si>
  <si>
    <t>TRASA 24</t>
  </si>
  <si>
    <t>T2.12, pred vstupnými dverami do T2.13, T2.14</t>
  </si>
  <si>
    <t>T2.12, vstupné dvere do chodby k T2.13, T2.14</t>
  </si>
  <si>
    <t>P2.01, pred vstupnými dverami do T2.17</t>
  </si>
  <si>
    <t>T2.17, vstupné dvere z P2.01</t>
  </si>
  <si>
    <t>RJ7A</t>
  </si>
  <si>
    <t>T1.1.06,</t>
  </si>
  <si>
    <t>T1.1.06, vstupné dvere</t>
  </si>
  <si>
    <t>MD + SA Š A5.2</t>
  </si>
  <si>
    <t>T1.1.04, pred vstupnými dverami do T1.1.06</t>
  </si>
  <si>
    <t>TRASA 25</t>
  </si>
  <si>
    <t>Š A5.2</t>
  </si>
  <si>
    <t>RJ8A</t>
  </si>
  <si>
    <t>CR 8A.1</t>
  </si>
  <si>
    <t>DS 8A.1</t>
  </si>
  <si>
    <t>T1.16,</t>
  </si>
  <si>
    <t>MD + SA Š A5.3</t>
  </si>
  <si>
    <t>T1.16, vstupné dvere</t>
  </si>
  <si>
    <t>CR 8A.2</t>
  </si>
  <si>
    <t>DS 8A.2</t>
  </si>
  <si>
    <t>T1.15, pred vstupnými dverami do T1.16</t>
  </si>
  <si>
    <t>TRASA 26</t>
  </si>
  <si>
    <t>Š A5.3</t>
  </si>
  <si>
    <t>T1.15, sabotáž kamery</t>
  </si>
  <si>
    <t>TRASA 27</t>
  </si>
  <si>
    <t>T1.13,</t>
  </si>
  <si>
    <t>T1.13, vstupné dvere</t>
  </si>
  <si>
    <t>MD + SA Š A5.4</t>
  </si>
  <si>
    <t>TRASA 28</t>
  </si>
  <si>
    <t>Š A5.4</t>
  </si>
  <si>
    <t>Trasa sčasti uložená v betóne počas liatia skeletu a sčasti zasekaná pod omietkou</t>
  </si>
  <si>
    <t>T0.08,</t>
  </si>
  <si>
    <t>T0.08, vstupné dvere</t>
  </si>
  <si>
    <t>MD + SA Š A5.5</t>
  </si>
  <si>
    <t>CR 9A.1</t>
  </si>
  <si>
    <t>DS 9A.1</t>
  </si>
  <si>
    <t>T0.04, pred vstupnými dverami do T0.08</t>
  </si>
  <si>
    <t>TRASA 29</t>
  </si>
  <si>
    <t>Š A5.5</t>
  </si>
  <si>
    <t>RJ9A</t>
  </si>
  <si>
    <t>T0.07, vstupné dvere</t>
  </si>
  <si>
    <t>MD + SA Š A5.6</t>
  </si>
  <si>
    <t xml:space="preserve">T0.07,  </t>
  </si>
  <si>
    <t xml:space="preserve">T0.06,  </t>
  </si>
  <si>
    <t>T0.06, vstupné dvere</t>
  </si>
  <si>
    <t>MD + SA Š A5.7</t>
  </si>
  <si>
    <t>TRASA 30</t>
  </si>
  <si>
    <t>Š A5.6</t>
  </si>
  <si>
    <t>Š A5.7</t>
  </si>
  <si>
    <t>LÍNIA 10</t>
  </si>
  <si>
    <t>POD6A</t>
  </si>
  <si>
    <t>LÍNIA 11</t>
  </si>
  <si>
    <t>LÍNIA 12</t>
  </si>
  <si>
    <t>LÍNIA 13</t>
  </si>
  <si>
    <t>LÍNIA 14</t>
  </si>
  <si>
    <t>T2.22,</t>
  </si>
  <si>
    <t>T2.22, vstupné dvere</t>
  </si>
  <si>
    <t>MD + SA Š A6.1</t>
  </si>
  <si>
    <t>TRASA 31</t>
  </si>
  <si>
    <t>Š A6.1</t>
  </si>
  <si>
    <t>T2.21, vstupné dvere</t>
  </si>
  <si>
    <t>MD + SA Š A6.2</t>
  </si>
  <si>
    <t>T2.20, pred vstupnými dverami do T2.21</t>
  </si>
  <si>
    <t xml:space="preserve">T2.21,  </t>
  </si>
  <si>
    <t>TRASA 32</t>
  </si>
  <si>
    <t>Š A6.2</t>
  </si>
  <si>
    <t>TRASA 33</t>
  </si>
  <si>
    <t>T1.1.09,</t>
  </si>
  <si>
    <t>T1.1.09, vstupné dvere</t>
  </si>
  <si>
    <t>T1.1.08, pred vstupnými dverami do T1,1.09</t>
  </si>
  <si>
    <t>MD + SA Š A6.3</t>
  </si>
  <si>
    <t>TRASA 34</t>
  </si>
  <si>
    <t>Š A6.3</t>
  </si>
  <si>
    <t>SA</t>
  </si>
  <si>
    <t>Prepoj do modulu</t>
  </si>
  <si>
    <t>Ústredňa "B"</t>
  </si>
  <si>
    <t>UB</t>
  </si>
  <si>
    <t>POD1B</t>
  </si>
  <si>
    <t>POD2B</t>
  </si>
  <si>
    <t>POD3B</t>
  </si>
  <si>
    <t>POD4B</t>
  </si>
  <si>
    <t>POD5B</t>
  </si>
  <si>
    <t>DZN 1 Pokles výstupného napätia 12VDC</t>
  </si>
  <si>
    <t>DZN 1 Strata sieťového napätia 230VAC</t>
  </si>
  <si>
    <t>DZN 1 Poistka akumulátora</t>
  </si>
  <si>
    <t>DZN 2 Pokles výstupného napätia 12VDC</t>
  </si>
  <si>
    <t>DZN 2 Strata sieťového napätia 230VAC</t>
  </si>
  <si>
    <t>DZN 2 Poistka akumulátora</t>
  </si>
  <si>
    <t>DZN 2 Kryt zdroja</t>
  </si>
  <si>
    <t>DZN 3 Pokles výstupného napätia 12VDC</t>
  </si>
  <si>
    <t>DZN 3 Strata sieťového napätia 230VAC</t>
  </si>
  <si>
    <t>DZN 3 Poistka akumulátora</t>
  </si>
  <si>
    <t>DZN 3 Kryt zdroja</t>
  </si>
  <si>
    <t>DZN 4 Pokles výstupného napätia 12VDC</t>
  </si>
  <si>
    <t>DZN 4 Strata sieťového napätia 230VAC</t>
  </si>
  <si>
    <t>DZN 4 Poistka akumulátora</t>
  </si>
  <si>
    <t>DZN 4 Kryt zdroja</t>
  </si>
  <si>
    <t>DZN 5 Pokles výstupného napätia 12VDC</t>
  </si>
  <si>
    <t>DZN 5 Strata sieťového napätia 230VAC</t>
  </si>
  <si>
    <t>DZN 5 Poistka akumulátora</t>
  </si>
  <si>
    <t>DZN 5 Kryt zdroja</t>
  </si>
  <si>
    <t>DZN 6 Pokles výstupného napätia 12VDC</t>
  </si>
  <si>
    <t>DZN 6 Strata sieťového napätia 230VAC</t>
  </si>
  <si>
    <t>DZN 6 Poistka akumulátora</t>
  </si>
  <si>
    <t>DZN 6 Kryt zdroja</t>
  </si>
  <si>
    <t>T1.38,</t>
  </si>
  <si>
    <t>T1.38, vstupné dvere</t>
  </si>
  <si>
    <t>MD + SA Š B0.1</t>
  </si>
  <si>
    <t>TRASA 35</t>
  </si>
  <si>
    <t>Š B0.1</t>
  </si>
  <si>
    <t>T1.42,</t>
  </si>
  <si>
    <t>MD + SA Š B0.2</t>
  </si>
  <si>
    <t>T1.42, vstupné dvere</t>
  </si>
  <si>
    <t>TRASA 36</t>
  </si>
  <si>
    <t>Š B0.2</t>
  </si>
  <si>
    <t>O1.12,</t>
  </si>
  <si>
    <t>O1.12, vstupné dvere z exteriéru</t>
  </si>
  <si>
    <t>O1.12, sabotáž kamery</t>
  </si>
  <si>
    <t>MD + SA Š B0.3</t>
  </si>
  <si>
    <t>TRASA 37</t>
  </si>
  <si>
    <t>TRASA 38</t>
  </si>
  <si>
    <t>P1.01, vstupné dvere</t>
  </si>
  <si>
    <t>P1.01, vstupné dvere - otočné</t>
  </si>
  <si>
    <t>P1.01,</t>
  </si>
  <si>
    <t>MD + SA Š B0.4</t>
  </si>
  <si>
    <t>MD + SA Š B0.5</t>
  </si>
  <si>
    <t>MD + SA Š B0.6</t>
  </si>
  <si>
    <t>Š B0.3</t>
  </si>
  <si>
    <t>Š B0.4</t>
  </si>
  <si>
    <t>Š B0.05</t>
  </si>
  <si>
    <t>LÍNIA 17</t>
  </si>
  <si>
    <t>CR 1B.1</t>
  </si>
  <si>
    <t>DS 1B.1</t>
  </si>
  <si>
    <t>CR 1B.2</t>
  </si>
  <si>
    <t>DS 1B.2</t>
  </si>
  <si>
    <t>O1.14, pred vstupom do T1.37</t>
  </si>
  <si>
    <t>T1.37, vstupné dvere z O1.14</t>
  </si>
  <si>
    <t>T1.33, vstupné dvere z T1.37</t>
  </si>
  <si>
    <t>TRASA 39</t>
  </si>
  <si>
    <t>TRASA 40</t>
  </si>
  <si>
    <t>RJ1B</t>
  </si>
  <si>
    <t>T1.36, vstupné dvere</t>
  </si>
  <si>
    <t xml:space="preserve">T1.36,  </t>
  </si>
  <si>
    <t>CR 2B.1</t>
  </si>
  <si>
    <t>DS 2B.1</t>
  </si>
  <si>
    <t>MD + SA Š B1.1</t>
  </si>
  <si>
    <t>Š B1.1</t>
  </si>
  <si>
    <t>RJ2B</t>
  </si>
  <si>
    <t>T1.37, pred vstupnými dverami do T1.36</t>
  </si>
  <si>
    <t>T1.37, pred vstupnými dverami do T1.33</t>
  </si>
  <si>
    <t xml:space="preserve">T1.33,  </t>
  </si>
  <si>
    <t>CR 2B.2</t>
  </si>
  <si>
    <t>DS 2B.2</t>
  </si>
  <si>
    <t>T1.36, vstupné dvere z T1.37</t>
  </si>
  <si>
    <t>T1.33, vstupné dvere z T1.19</t>
  </si>
  <si>
    <t>T1.19, pred vstupnými dverami do T1.33</t>
  </si>
  <si>
    <t>MD + SA Š B1.2</t>
  </si>
  <si>
    <t>TRASA 41</t>
  </si>
  <si>
    <t>Š B1.2</t>
  </si>
  <si>
    <t>T1.34, vstupné dvere</t>
  </si>
  <si>
    <t>T1.23, vstupné dvere</t>
  </si>
  <si>
    <t>T1.24, vstupné dvere</t>
  </si>
  <si>
    <t>T1.25, vstupné dvere</t>
  </si>
  <si>
    <t>MD + SA Š B1.3</t>
  </si>
  <si>
    <t>MD + SA Š B1.4</t>
  </si>
  <si>
    <t>MD + SA Š B1.5</t>
  </si>
  <si>
    <t>MD + SA Š B1.6</t>
  </si>
  <si>
    <t>TRASA 42</t>
  </si>
  <si>
    <t>Š B1.3</t>
  </si>
  <si>
    <t>Š B1.4</t>
  </si>
  <si>
    <t>Š B1.5</t>
  </si>
  <si>
    <t>Š B1.6</t>
  </si>
  <si>
    <t>T1.26, vstupné dvere</t>
  </si>
  <si>
    <t>MD + SA Š B1.7</t>
  </si>
  <si>
    <t>MD + SA Š B1.8</t>
  </si>
  <si>
    <t>MD + SA Š B1.9</t>
  </si>
  <si>
    <t>MD + SA Š B1.10</t>
  </si>
  <si>
    <t>T1.27, vstupné dvere</t>
  </si>
  <si>
    <t>T1.28, vstupné dvere</t>
  </si>
  <si>
    <t>T1.29, vstupné dvere</t>
  </si>
  <si>
    <t>TRASA 43</t>
  </si>
  <si>
    <t>Š B1.7</t>
  </si>
  <si>
    <t>Š B1.8</t>
  </si>
  <si>
    <t>Š B1.9</t>
  </si>
  <si>
    <t>Š B1.10</t>
  </si>
  <si>
    <t>MD + SA Š B1.11</t>
  </si>
  <si>
    <t>T1.30, vstupné dvere</t>
  </si>
  <si>
    <t>T1.30, sabotáž kamery</t>
  </si>
  <si>
    <t>MD + SA Š B1.12</t>
  </si>
  <si>
    <t>T1.32, vstupné dvere</t>
  </si>
  <si>
    <t xml:space="preserve">T1.32,  </t>
  </si>
  <si>
    <t>TRASA 44</t>
  </si>
  <si>
    <t>Š B1.11</t>
  </si>
  <si>
    <t>Š B1.12</t>
  </si>
  <si>
    <t>T1.19, sabotáž kamery</t>
  </si>
  <si>
    <t xml:space="preserve">O1.37b, </t>
  </si>
  <si>
    <t>O1.37b, vstupné dvere</t>
  </si>
  <si>
    <t>MD + SA Š B1.13</t>
  </si>
  <si>
    <t>TRASA 45</t>
  </si>
  <si>
    <t>Š B1.13</t>
  </si>
  <si>
    <t>LÍNIA 18</t>
  </si>
  <si>
    <t>LÍNIA 19</t>
  </si>
  <si>
    <t>LÍNIA 20</t>
  </si>
  <si>
    <t>O1.37b, vstupné dvere z T1.19</t>
  </si>
  <si>
    <t xml:space="preserve">O1.37b,  </t>
  </si>
  <si>
    <t xml:space="preserve">T1.20, </t>
  </si>
  <si>
    <t>T1.20, vstupné dvere z T1.19</t>
  </si>
  <si>
    <t>MD + SA Š B2.1</t>
  </si>
  <si>
    <t>MD + SA Š B2.2</t>
  </si>
  <si>
    <t>TRASA 46</t>
  </si>
  <si>
    <t>Š B2.1</t>
  </si>
  <si>
    <t>Š B2.2</t>
  </si>
  <si>
    <t>O1.35c, vstupné dvere z T1.19</t>
  </si>
  <si>
    <t>MD + SA Š B2.3</t>
  </si>
  <si>
    <t xml:space="preserve">O1.35c,  </t>
  </si>
  <si>
    <t>T1.17,</t>
  </si>
  <si>
    <t>T1.17, vstupné dvere</t>
  </si>
  <si>
    <t>MD + SA Š B2.4</t>
  </si>
  <si>
    <t>TRASA 47</t>
  </si>
  <si>
    <t>Š B2.3</t>
  </si>
  <si>
    <t>Š B2.4</t>
  </si>
  <si>
    <t>LÍNIA 21</t>
  </si>
  <si>
    <t>RJ3B</t>
  </si>
  <si>
    <t>T0.12,</t>
  </si>
  <si>
    <t>T0.12, vstupné dvere</t>
  </si>
  <si>
    <t>MD + SA Š B2.5</t>
  </si>
  <si>
    <t>CR 3B.1</t>
  </si>
  <si>
    <t>DS 3B.1</t>
  </si>
  <si>
    <t>T0.09, pred vstupnými dverami do T0.12</t>
  </si>
  <si>
    <t>TRASA 48</t>
  </si>
  <si>
    <t>Š B2.5</t>
  </si>
  <si>
    <t>Trasa sčasti uchytená na príchytkách na povrchu a sčasti uložená v betóne počas liatia skeletu</t>
  </si>
  <si>
    <t>T0.10,</t>
  </si>
  <si>
    <t>T0.10, vstupné dvere</t>
  </si>
  <si>
    <t>MD + SA Š B2.6</t>
  </si>
  <si>
    <t>TRASA 49</t>
  </si>
  <si>
    <t>Š B2.6</t>
  </si>
  <si>
    <t>T0.14,</t>
  </si>
  <si>
    <t>T0.14, vstupné dvere</t>
  </si>
  <si>
    <t>MD + SA Š B2.7</t>
  </si>
  <si>
    <t>TRASA 50</t>
  </si>
  <si>
    <t>Š B2.7</t>
  </si>
  <si>
    <t>Trasa uchytená na príchytkách na povrchu na strope</t>
  </si>
  <si>
    <t>DZN 1 Kryt zdroja + kryt ACC</t>
  </si>
  <si>
    <t>DZN 7 Pokles výstupného napätia 12VDC</t>
  </si>
  <si>
    <t>DZN 7 Strata sieťového napätia 230VAC</t>
  </si>
  <si>
    <t>DZN 7 Poistka akumulátora</t>
  </si>
  <si>
    <t>DZN 7 Kryt zdroja + kryt ACC</t>
  </si>
  <si>
    <t>LÍNIA 22</t>
  </si>
  <si>
    <t>DZN 8 Pokles výstupného napätia 12VDC</t>
  </si>
  <si>
    <t>DZN 8 Strata sieťového napätia 230VAC</t>
  </si>
  <si>
    <t>DZN 8 Poistka akumulátora</t>
  </si>
  <si>
    <t>DZN 8 Kryt zdroja</t>
  </si>
  <si>
    <t>T1.47, vstupné dvere</t>
  </si>
  <si>
    <t>MD + SA Š B3.1</t>
  </si>
  <si>
    <t xml:space="preserve">T1.14 , </t>
  </si>
  <si>
    <t>TRASA 51</t>
  </si>
  <si>
    <t>Š B3.1</t>
  </si>
  <si>
    <t>MD + SA Š B3.2</t>
  </si>
  <si>
    <t>T1.07, vstupné dvere z T1.08</t>
  </si>
  <si>
    <t xml:space="preserve">T1.07, </t>
  </si>
  <si>
    <t>T1.07, sabotáž kamery</t>
  </si>
  <si>
    <t>T1.12, sabotáž kamery</t>
  </si>
  <si>
    <t>TRASA 52.2</t>
  </si>
  <si>
    <t>TRASA 52.1</t>
  </si>
  <si>
    <t>Š B3.2</t>
  </si>
  <si>
    <t>Trasa sčasti vedená v kovovom žľabe SLP, a sčasti uložená v betóne počas liatia skeletu</t>
  </si>
  <si>
    <t>ako TRASA 52.1</t>
  </si>
  <si>
    <t>T1.07, vstupné dvere z exteriéru</t>
  </si>
  <si>
    <t>MD + SA Š B3.3</t>
  </si>
  <si>
    <t>O1.34, vstupné dvere z exteriéru O1.34a</t>
  </si>
  <si>
    <t>MD + SA Š B3.4</t>
  </si>
  <si>
    <t>T0.27,</t>
  </si>
  <si>
    <t>T0.27, vstupné dvere</t>
  </si>
  <si>
    <t>MD + SA Š B3.5</t>
  </si>
  <si>
    <t>TRASA 53.1</t>
  </si>
  <si>
    <t>TRASA 53.2</t>
  </si>
  <si>
    <t>Š B3.3</t>
  </si>
  <si>
    <t>Š B3.4</t>
  </si>
  <si>
    <t>Š B3.5</t>
  </si>
  <si>
    <t>ako TRASA 53.1</t>
  </si>
  <si>
    <t>LÍNIA 23</t>
  </si>
  <si>
    <t>T1.03, vstupné dvere</t>
  </si>
  <si>
    <t xml:space="preserve">T1.03,  </t>
  </si>
  <si>
    <t>MD + SA Š B4.1</t>
  </si>
  <si>
    <t>TRASA 54</t>
  </si>
  <si>
    <t>Š B4.1</t>
  </si>
  <si>
    <t>T1.04, vstupné dvere z exteriéru</t>
  </si>
  <si>
    <t>MD + SA Š B4.2</t>
  </si>
  <si>
    <t xml:space="preserve">T1.04,  </t>
  </si>
  <si>
    <t>TRASA 55</t>
  </si>
  <si>
    <t>Š B4.2</t>
  </si>
  <si>
    <t>P1.01, vstupné dvere z exteriéru</t>
  </si>
  <si>
    <t>MD + SA Š B4.3</t>
  </si>
  <si>
    <t>P1.01, vstupné dvere z exteriéru - otočné</t>
  </si>
  <si>
    <t>MD + SA Š B4.4</t>
  </si>
  <si>
    <t>MD + SA Š B4.5</t>
  </si>
  <si>
    <t>MD + SA Š B4.6</t>
  </si>
  <si>
    <t>TRASA 55.1</t>
  </si>
  <si>
    <t>Š B4.3</t>
  </si>
  <si>
    <t>Š B4.4</t>
  </si>
  <si>
    <t>Š B4.5</t>
  </si>
  <si>
    <t>Š B4.6</t>
  </si>
  <si>
    <t xml:space="preserve">P1.01, </t>
  </si>
  <si>
    <t>P1.01, sabotáž kamery</t>
  </si>
  <si>
    <t>TRASA 56.2</t>
  </si>
  <si>
    <t>TRASA 57.1</t>
  </si>
  <si>
    <t>TRASA 57.2</t>
  </si>
  <si>
    <t>TRASA 56.3</t>
  </si>
  <si>
    <t>Trasa sčasti uchytená na príchytkách na povrchu nad podhľadom a sčasti na príchytkách na povrchu na strope</t>
  </si>
  <si>
    <t>Trasa uchytená na príchytkách na povrchu nad podhľadom</t>
  </si>
  <si>
    <t>ako TRASA 56.1</t>
  </si>
  <si>
    <t>MD + SA Š B4.7</t>
  </si>
  <si>
    <t>MD + SA Š B4.8</t>
  </si>
  <si>
    <t>O1.07, sabotáž kamery</t>
  </si>
  <si>
    <t>TRASA 58</t>
  </si>
  <si>
    <t>Š B4.7</t>
  </si>
  <si>
    <t>Š B4.8</t>
  </si>
  <si>
    <t>T0.23,</t>
  </si>
  <si>
    <t>T0.23, vstupné dvere</t>
  </si>
  <si>
    <t>CR 4B.1</t>
  </si>
  <si>
    <t>DS 4B.1</t>
  </si>
  <si>
    <t>T0.04, pred vstupnými dverami do T0.23</t>
  </si>
  <si>
    <t>MD + SA Š B4.9</t>
  </si>
  <si>
    <t>TRASA 59</t>
  </si>
  <si>
    <t>Š B4.9</t>
  </si>
  <si>
    <t>RJ4B</t>
  </si>
  <si>
    <t>Trasa zasekaná pod omietkou</t>
  </si>
  <si>
    <t>T0.22,</t>
  </si>
  <si>
    <t>T0.22, vstupné dvere</t>
  </si>
  <si>
    <t>MD + SA Š B4.10</t>
  </si>
  <si>
    <t>TRASA 60</t>
  </si>
  <si>
    <t>Š B4.10</t>
  </si>
  <si>
    <t>DZN 9 Pokles výstupného napätia 12VDC</t>
  </si>
  <si>
    <t>DZN 9 Strata sieťového napätia 230VAC</t>
  </si>
  <si>
    <t>DZN 9 Poistka akumulátora</t>
  </si>
  <si>
    <t>DZN 9 Kryt zdroja</t>
  </si>
  <si>
    <t>LÍNIA 24</t>
  </si>
  <si>
    <t>LÍNIA 25</t>
  </si>
  <si>
    <t>DZN 10 Pokles výstupného napätia 12VDC</t>
  </si>
  <si>
    <t>DZN 10 Strata sieťového napätia 230VAC</t>
  </si>
  <si>
    <t>DZN 10 Poistka akumulátora</t>
  </si>
  <si>
    <t>DZN 10 Kryt zdroja</t>
  </si>
  <si>
    <t>T0.17, vstupné posuvné dvere</t>
  </si>
  <si>
    <t xml:space="preserve">T0.17,  </t>
  </si>
  <si>
    <t>MD + SA Š B5.1</t>
  </si>
  <si>
    <t>T0.16,</t>
  </si>
  <si>
    <t>MD + SA Š B5.2</t>
  </si>
  <si>
    <t>MD + SA Š B5.3</t>
  </si>
  <si>
    <t>T0.16, vstupné dvere</t>
  </si>
  <si>
    <t>TRASA 61</t>
  </si>
  <si>
    <t>Š B5.1</t>
  </si>
  <si>
    <t>TRASA 62</t>
  </si>
  <si>
    <t>TRASA 63</t>
  </si>
  <si>
    <t>Š B5.3</t>
  </si>
  <si>
    <t>Š B5.2</t>
  </si>
  <si>
    <t>Sentrol 6155Al-E</t>
  </si>
  <si>
    <t>Previs DZN 13,8V/5A</t>
  </si>
  <si>
    <t>Verex 120-8234W</t>
  </si>
  <si>
    <t>T3.18</t>
  </si>
  <si>
    <t>EZS A</t>
  </si>
  <si>
    <t>120-3603E</t>
  </si>
  <si>
    <t>Riadiaci panel XL s rozširovacím modulom pre SKV s transformátorom</t>
  </si>
  <si>
    <t>Moduly na línii</t>
  </si>
  <si>
    <t>Popis</t>
  </si>
  <si>
    <t>8 reléových výstupov (len doska elektroniky) - pripojiteľný na VBUS</t>
  </si>
  <si>
    <t>8 vstupov (len doska elektroniky) - pripojiteľný na VBUS</t>
  </si>
  <si>
    <t>120-3642</t>
  </si>
  <si>
    <t>120-3641</t>
  </si>
  <si>
    <t>Modul IP rozhrania Primary</t>
  </si>
  <si>
    <t>120-8102</t>
  </si>
  <si>
    <t>Umiestnenie</t>
  </si>
  <si>
    <t>Rozširovací modul 8 vstupov/ 2 potenciálové výstupy v kovovom kryte (25.7x20.8x7 cm)</t>
  </si>
  <si>
    <t>120-3643</t>
  </si>
  <si>
    <t>ISM 2 dverový kontrolér s 230V transformátorom (malý kryt)</t>
  </si>
  <si>
    <t>120-8209</t>
  </si>
  <si>
    <t>Rozširovací modul 16 vstupov / 2 potenciálové výstupy v kovovom kryte</t>
  </si>
  <si>
    <t>120-3646</t>
  </si>
  <si>
    <t>1 ks</t>
  </si>
  <si>
    <t>2 ks</t>
  </si>
  <si>
    <t>T3.29</t>
  </si>
  <si>
    <t>4.NP Parkovisko, sabotáž kamery</t>
  </si>
  <si>
    <t>TRASA 6.1</t>
  </si>
  <si>
    <t>T4.10, sabotáž kamery</t>
  </si>
  <si>
    <t>TRASA 13.1</t>
  </si>
  <si>
    <t>TRASA 13.2</t>
  </si>
  <si>
    <t>T4.12, sabotáž kamery</t>
  </si>
  <si>
    <t>TRASA 13.3</t>
  </si>
  <si>
    <t>T4.09, sabotáž kamery</t>
  </si>
  <si>
    <t>T4.08, sabotáž kamery</t>
  </si>
  <si>
    <t>T4.02, sabotáž kamery</t>
  </si>
  <si>
    <t>TRASA 17.1</t>
  </si>
  <si>
    <t>TRASA 17.2</t>
  </si>
  <si>
    <t>T3.03</t>
  </si>
  <si>
    <t>T2.28</t>
  </si>
  <si>
    <t>T2.13</t>
  </si>
  <si>
    <t>T2.22</t>
  </si>
  <si>
    <t>ks</t>
  </si>
  <si>
    <t>EZS B</t>
  </si>
  <si>
    <t>T1.38</t>
  </si>
  <si>
    <t>T1.47</t>
  </si>
  <si>
    <t>T1.03</t>
  </si>
  <si>
    <t>T0.16</t>
  </si>
  <si>
    <t>P.Č.</t>
  </si>
  <si>
    <t>Kód položky</t>
  </si>
  <si>
    <t>MJ</t>
  </si>
  <si>
    <t>Množstvo celkom</t>
  </si>
  <si>
    <t>22-M</t>
  </si>
  <si>
    <t>Montáže oznam. a zabezp. zariadení</t>
  </si>
  <si>
    <t xml:space="preserve"> </t>
  </si>
  <si>
    <t>Magnetický detektor</t>
  </si>
  <si>
    <t>m</t>
  </si>
  <si>
    <t>131 RR FF-E3</t>
  </si>
  <si>
    <t>331 URF-E9</t>
  </si>
  <si>
    <t>17 RR E4</t>
  </si>
  <si>
    <t>1078CW*-NVB6</t>
  </si>
  <si>
    <t>1085TW-N6S1</t>
  </si>
  <si>
    <t>EA281</t>
  </si>
  <si>
    <t>Napájací zdroj 13,8V/5A</t>
  </si>
  <si>
    <t>Široká čítačka prox kariet G-Prox II, logo Verex, 3m kábel, biela farba</t>
  </si>
  <si>
    <t>Nízkoodberový otvárač 12V AC/DC s monitorovaním</t>
  </si>
  <si>
    <t>Nízkoodberový otvárač 12V AC/DC s monitorovaním pre požiarne odolné dvere</t>
  </si>
  <si>
    <t>Nízkoodberový otvárač inverzný 12V AC/DC s monitorovaním pre požiarne odolné dvere</t>
  </si>
  <si>
    <t>Káblová prechodka zápustná</t>
  </si>
  <si>
    <t>Priestorový detektor</t>
  </si>
  <si>
    <t>TRASA 50.1</t>
  </si>
  <si>
    <t>Dodávka elektroinštalačného materiálu</t>
  </si>
  <si>
    <t>RJ5B</t>
  </si>
  <si>
    <t>RJ6B</t>
  </si>
  <si>
    <t>CR 4B.2</t>
  </si>
  <si>
    <t>DS 4B.2</t>
  </si>
  <si>
    <t>CR 5B.1</t>
  </si>
  <si>
    <t>DS 5B.1</t>
  </si>
  <si>
    <t>k RJ3B</t>
  </si>
  <si>
    <t>Prepoj medzi modulmi - línia v stupačke</t>
  </si>
  <si>
    <t>LÍNIA 21.1</t>
  </si>
  <si>
    <t>LÍNIA 21.2</t>
  </si>
  <si>
    <t>CR 6B.1</t>
  </si>
  <si>
    <t>DS 6B.1</t>
  </si>
  <si>
    <t>Cena jednotková</t>
  </si>
  <si>
    <t>Cena celkom</t>
  </si>
  <si>
    <t>Zaškolenie systémového správcu ( kalk. na počet hodín )</t>
  </si>
  <si>
    <t>Zašk. obsluhy ( kalkulácia na pocet hodín pre max. 10 osôb )</t>
  </si>
  <si>
    <t>Montáž CCTV</t>
  </si>
  <si>
    <t xml:space="preserve">Montáž dome kamery vnútornej do podhľadu </t>
  </si>
  <si>
    <t>Montáž digitálneho záznamového zariadenia</t>
  </si>
  <si>
    <t>Naprogramovanie DZZ</t>
  </si>
  <si>
    <t>Montáž monitora</t>
  </si>
  <si>
    <t>Nastavenie kamery vnútornej v kryte</t>
  </si>
  <si>
    <t>sub</t>
  </si>
  <si>
    <t>Montáž konektora</t>
  </si>
  <si>
    <t>Oživenie a pretestovanioe systému CCTV do 16 kamier</t>
  </si>
  <si>
    <t>Kamerová skúška</t>
  </si>
  <si>
    <t>Technicko inžinierska činnosť</t>
  </si>
  <si>
    <t>hod</t>
  </si>
  <si>
    <t xml:space="preserve">Prvá odbor. prehl.a skúška systému </t>
  </si>
  <si>
    <t>deň</t>
  </si>
  <si>
    <t>Nastavenie vonkajšej kamery</t>
  </si>
  <si>
    <t>Podružné rozpočtové náklady</t>
  </si>
  <si>
    <t>Odpad</t>
  </si>
  <si>
    <t>Odvoz a likvidácia odpadu 0,5% z dodávky</t>
  </si>
  <si>
    <t>Energie</t>
  </si>
  <si>
    <t>Energie, 0,5% z montážnych prác</t>
  </si>
  <si>
    <t>Stavenisko</t>
  </si>
  <si>
    <t>Zriadenie staveniska, 0,5% zo súhrnných rozpočtových nákladov</t>
  </si>
  <si>
    <t>cctv001</t>
  </si>
  <si>
    <t>cctv002</t>
  </si>
  <si>
    <t>cctv003</t>
  </si>
  <si>
    <t>cctv004</t>
  </si>
  <si>
    <t>cctv005</t>
  </si>
  <si>
    <t>cctv006</t>
  </si>
  <si>
    <t>cctv007</t>
  </si>
  <si>
    <t>cctv008</t>
  </si>
  <si>
    <t>cctv009</t>
  </si>
  <si>
    <t>cctv010</t>
  </si>
  <si>
    <t>cctv011</t>
  </si>
  <si>
    <t>cctv012</t>
  </si>
  <si>
    <t>cctv013</t>
  </si>
  <si>
    <t>cctv014</t>
  </si>
  <si>
    <t>cctv015</t>
  </si>
  <si>
    <t>cctv016</t>
  </si>
  <si>
    <t>cctv017</t>
  </si>
  <si>
    <t>cctv018</t>
  </si>
  <si>
    <t>WV-SPW532L</t>
  </si>
  <si>
    <t>1080p HD obraz,  do 30 snímok za sekundu, 1/3 obrazový snímač MOS, objektív 2,8-10mm, 0,07 lx (farba), 0,003 lx (Č / B) na F1,6, infračervené LED prisvietenie - 30 m, denné / nočné (ICR), videokompresia  H.264, ABF, ABS, WDR, VIQS, Smart kódovanie, HLC, kompenzácia hmly, IP66, PoE, ONVIF miesto pre kartu</t>
  </si>
  <si>
    <t>HDD 3TB WD Purple 24/7</t>
  </si>
  <si>
    <t>22" LED-Backlit TFT LCD monitor, Vysoké rozlišenie 1280 × 1024 SXGA, Technológia Anti-Burn-in™, Vstupy videa (vstup BNC in/out, S-Video</t>
  </si>
  <si>
    <t>Kamerový systém nacenienie platí pre uvedené typy</t>
  </si>
  <si>
    <t>WV-SFN130</t>
  </si>
  <si>
    <t>CP-Box</t>
  </si>
  <si>
    <t>SC-22</t>
  </si>
  <si>
    <t>Konektor RJ45/u, Cat 5E, 8p8c, 50 µ Au</t>
  </si>
  <si>
    <t>Gumová káblová priechodka na konektor RJ45</t>
  </si>
  <si>
    <t>Patch kábel UTP, Cat 5E, 2m</t>
  </si>
  <si>
    <t>KEZ -3</t>
  </si>
  <si>
    <t xml:space="preserve">Elektronštalačná krabica do zateplenia </t>
  </si>
  <si>
    <t>MDZ</t>
  </si>
  <si>
    <t>Montážna doska do zateplenia</t>
  </si>
  <si>
    <t>Objimka zatváracia OZM</t>
  </si>
  <si>
    <t>Kotva SRO M6x30</t>
  </si>
  <si>
    <t>839.42160</t>
  </si>
  <si>
    <t>Páska viazacia 2,5x160</t>
  </si>
  <si>
    <t>FX20</t>
  </si>
  <si>
    <t>Montáž a ožinenie switcha</t>
  </si>
  <si>
    <t>Značenie trasy vedenie</t>
  </si>
  <si>
    <t>Jadrové vrty diamantovými korunkami do D 50 mm do stien - betónových, obkladov -0,00006t</t>
  </si>
  <si>
    <t>cm</t>
  </si>
  <si>
    <t>Prieraz do steny do 20cm</t>
  </si>
  <si>
    <t xml:space="preserve">Drážka do tehlovej steny, podlahy </t>
  </si>
  <si>
    <t xml:space="preserve">Rúrka  elektroinštalačná  PVC  uložená  pod  omietku.   Rúrkové  vedenie  vrátane napojenia do krabíc, montáž vývodiek do pripravenej drážky (bez dodania krabíc). D 20 mm   </t>
  </si>
  <si>
    <t xml:space="preserve">Rúrka  elektroinštalačná  PVC  uchytená na strope na príchytkách .   Rúrkové  vedenie  vrátane napojenia do krabíc, montáž vývodiek do pripravenej drážky (bez dodania krabíc). D 20 mm   </t>
  </si>
  <si>
    <t>Zapravenie drážky</t>
  </si>
  <si>
    <t>Kábelová forma   do 5x2</t>
  </si>
  <si>
    <t>Meranie kontinuity, izolačného stavu a odporu 1 slučky(vedenia)od jedného signalizačného prvku k druhému</t>
  </si>
  <si>
    <t>cctv019</t>
  </si>
  <si>
    <t>cctv020</t>
  </si>
  <si>
    <t>cctv021</t>
  </si>
  <si>
    <t>cctv022</t>
  </si>
  <si>
    <t>cctv023</t>
  </si>
  <si>
    <t>cctv024</t>
  </si>
  <si>
    <t>cctv025</t>
  </si>
  <si>
    <t>cctv026</t>
  </si>
  <si>
    <t>cctv027</t>
  </si>
  <si>
    <t>cctv028</t>
  </si>
  <si>
    <t>cctv029</t>
  </si>
  <si>
    <t>cctv030</t>
  </si>
  <si>
    <t>cctv031</t>
  </si>
  <si>
    <t>cctv032</t>
  </si>
  <si>
    <t>Kábel do 5x2x0,5 v rúrkach pod omietkou, na príchytkách</t>
  </si>
  <si>
    <t>Inžinierska činnosť, technický dozor</t>
  </si>
  <si>
    <t>Montáž kamery v kryte na konzolu</t>
  </si>
  <si>
    <t>Zapojenie rozvodnej škatule</t>
  </si>
  <si>
    <t>Odviečkovanie a zaviečkovanie škatule s viečkom na 2 skrutky</t>
  </si>
  <si>
    <t>Montáž škatule</t>
  </si>
  <si>
    <t>Osadenie príchyky,vyvŕt.diery,zatlač.príchytky,v tvrdom kameni,železobetóne D8</t>
  </si>
  <si>
    <t>Montáž zatváracej príchytky</t>
  </si>
  <si>
    <t xml:space="preserve">Montážna krabička pod  kameru </t>
  </si>
  <si>
    <t>Prídavný montážny nástavec pre IP kamery , CP PLUS, Rozmery:ɸ138mm x 42mm , Hmotnosť 0.4 Kg,  Nosnosť 3.0 Kg, Farba:biela</t>
  </si>
  <si>
    <t>KS</t>
  </si>
  <si>
    <t>CP-PR-39</t>
  </si>
  <si>
    <t>Vonkajšie kamery</t>
  </si>
  <si>
    <t>Monitoring tribún</t>
  </si>
  <si>
    <t>WV-S1531L TN</t>
  </si>
  <si>
    <t>Interiérové kamery</t>
  </si>
  <si>
    <t>WV-S2131</t>
  </si>
  <si>
    <t>Full HD 1080p 60fps, objektív 9-22mm, motorický zoom, iA (inteligentný Auto), sieťová kamera Box kompaktná kamera, Extreme Super Dynamic 144dB, Color Night Vision (0.0007 až 0.01 lx) H.265 Smart Coding</t>
  </si>
  <si>
    <t xml:space="preserve">Full HD / 1 920 x 1 080 Dome sieťová kamera, 1080p Full HD obrazy až do 30 fps, objektív 2,8mm, viacnásobné H.264 (vysoký profil) prúdy a JPEG stream, Super Dynamic a ABS, Deň / Noc (elektrická): 0,1 lx (farba), 0,08 lx (Č / B) pri F2,3, VIQS, Smart kódovanie, </t>
  </si>
  <si>
    <t>Full HD / 1 920 x 1 080 Dome sieťová kamera, 1080p Full HD obrazy až do 60 snímok za sekundu, objektív 2,8-10 mm, viacnásobné H.265 (vysoký profil) prúdov a JPEG stream , Super Dynamic a ABS, Face SDR, High citlivosť s funkciou Deň / Noc (elektrická): 0,01 lx (farba), 0,0008 lx (čierna farba) v F2,3, VIQS, technológia kódovania Smart</t>
  </si>
  <si>
    <t>Záznam a switche</t>
  </si>
  <si>
    <r>
      <t xml:space="preserve">64 kanálový sieťový Full HD videorekordér, 2 x 1 GB sieťová karta 380 Mbps na záznam, </t>
    </r>
    <r>
      <rPr>
        <b/>
        <sz val="8"/>
        <rFont val="Arial"/>
        <family val="2"/>
      </rPr>
      <t>vstavaných 12 TB HDD</t>
    </r>
    <r>
      <rPr>
        <sz val="8"/>
        <rFont val="Arial"/>
        <family val="2"/>
      </rPr>
      <t xml:space="preserve"> , RAID 1,5, 6 podpora kamier Panasonic, video výstup HDMI, Embeded Linux, kompresia H264, H265 Panasonic Mobile (iPhone, Android)</t>
    </r>
  </si>
  <si>
    <t>WJ HXE400/12TB</t>
  </si>
  <si>
    <t>Držiak na HDD</t>
  </si>
  <si>
    <t>WJ HDU 40K</t>
  </si>
  <si>
    <t>PC klient na vrátnicu, pre zobrazenie kamier, Intel i7, Tower case</t>
  </si>
  <si>
    <t>Káblový žlab - dodávka štruktúrovanej kabeláže</t>
  </si>
  <si>
    <t>Rúrka pevná s príchytkou</t>
  </si>
  <si>
    <t>Rúrka ohybná s príchytkou</t>
  </si>
  <si>
    <t>Dátové rozvádzače - dodávky štruktúrovanej kabeláže</t>
  </si>
  <si>
    <t>HFIRM20</t>
  </si>
  <si>
    <t>Kábel FTP (F/UTP) 4x2xAWG24, Cat 5E, 300 MHz, Euroclass Eca , 305 m v krabiciach</t>
  </si>
  <si>
    <t>DirectP Gigabit PoE Switch, 24 portov PoE, max. 400W, 2 uplink port (10/100 / 1000BASE-T),2xSFP,  19", napájanie AC 100-240V, 50-60Hz, 1,2A, 85W</t>
  </si>
  <si>
    <t>Skušobna prevádzka ( asistencia 1 deň = 4 hod )</t>
  </si>
  <si>
    <t>Montáž krabide do zatepenia</t>
  </si>
  <si>
    <t>cctv033</t>
  </si>
  <si>
    <t>Drobný montážny materiál (0,5% z dod.materiálu )</t>
  </si>
  <si>
    <t>súb</t>
  </si>
  <si>
    <t>DH-2118PF</t>
  </si>
  <si>
    <t>P09D-SCSC-020</t>
  </si>
  <si>
    <t>SC-SC Duplex patch kábel, OS2 9/125 µm (ITU-T G.652.D)</t>
  </si>
  <si>
    <t>SFP WDM 155Mbps (SC/20km,SM) TX=1310nm</t>
  </si>
  <si>
    <t>VÝKAZ VÝMER                     E1-13  KAMEROVÝ SYSTÉM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</si>
</sst>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k&quot;_-;\-* #,##0.00\ &quot;Sk&quot;_-;_-* &quot;-&quot;??\ &quot;Sk&quot;_-;_-@_-"/>
    <numFmt numFmtId="165" formatCode="#"/>
    <numFmt numFmtId="166" formatCode="#,##0.000"/>
    <numFmt numFmtId="167" formatCode="#,##0.00\ [$€-1]"/>
    <numFmt numFmtId="168" formatCode="0.0"/>
    <numFmt numFmtId="169" formatCode="#,##0.0"/>
    <numFmt numFmtId="170" formatCode="#,##0\ _S_k"/>
    <numFmt numFmtId="171" formatCode="#,##0.0;\-#,##0.0"/>
    <numFmt numFmtId="172" formatCode="#,##0.00;\-#,##0.00"/>
    <numFmt numFmtId="173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i/>
      <u val="single"/>
      <sz val="8"/>
      <name val="Arial CE"/>
      <family val="2"/>
    </font>
    <font>
      <sz val="10"/>
      <name val="Helvetica CE"/>
      <family val="0"/>
    </font>
    <font>
      <sz val="8"/>
      <color indexed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8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thin"/>
      <right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8" fillId="0" borderId="5">
      <alignment/>
      <protection/>
    </xf>
    <xf numFmtId="0" fontId="0" fillId="23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8" fillId="0" borderId="0">
      <alignment/>
      <protection/>
    </xf>
    <xf numFmtId="170" fontId="19" fillId="0" borderId="9">
      <alignment vertical="top" wrapText="1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10" applyNumberFormat="0" applyAlignment="0" applyProtection="0"/>
    <xf numFmtId="0" fontId="54" fillId="25" borderId="10" applyNumberFormat="0" applyAlignment="0" applyProtection="0"/>
    <xf numFmtId="0" fontId="55" fillId="25" borderId="11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9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Alignment="1">
      <alignment horizontal="center" vertical="center"/>
    </xf>
    <xf numFmtId="3" fontId="0" fillId="0" borderId="9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34" borderId="9" xfId="0" applyNumberFormat="1" applyFill="1" applyBorder="1" applyAlignment="1">
      <alignment vertical="center"/>
    </xf>
    <xf numFmtId="3" fontId="0" fillId="34" borderId="9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49" fontId="3" fillId="35" borderId="0" xfId="0" applyNumberFormat="1" applyFont="1" applyFill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0" fontId="0" fillId="35" borderId="9" xfId="0" applyFill="1" applyBorder="1" applyAlignment="1">
      <alignment vertical="center"/>
    </xf>
    <xf numFmtId="3" fontId="0" fillId="35" borderId="9" xfId="0" applyNumberFormat="1" applyFill="1" applyBorder="1" applyAlignment="1">
      <alignment vertical="center"/>
    </xf>
    <xf numFmtId="3" fontId="0" fillId="35" borderId="9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4" fillId="36" borderId="16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0" xfId="49" applyFont="1">
      <alignment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49" applyFont="1" applyFill="1">
      <alignment/>
      <protection/>
    </xf>
    <xf numFmtId="3" fontId="0" fillId="33" borderId="9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65" fontId="12" fillId="0" borderId="25" xfId="49" applyNumberFormat="1" applyFont="1" applyFill="1" applyBorder="1" applyAlignment="1" applyProtection="1">
      <alignment wrapText="1"/>
      <protection/>
    </xf>
    <xf numFmtId="0" fontId="14" fillId="0" borderId="25" xfId="49" applyFont="1" applyFill="1" applyBorder="1" applyAlignment="1" applyProtection="1">
      <alignment vertical="top" wrapText="1"/>
      <protection locked="0"/>
    </xf>
    <xf numFmtId="0" fontId="2" fillId="0" borderId="25" xfId="49" applyFont="1" applyFill="1" applyBorder="1" applyAlignment="1" applyProtection="1">
      <alignment horizontal="right" vertical="center"/>
      <protection/>
    </xf>
    <xf numFmtId="0" fontId="10" fillId="37" borderId="5" xfId="0" applyNumberFormat="1" applyFont="1" applyFill="1" applyBorder="1" applyAlignment="1" applyProtection="1">
      <alignment/>
      <protection/>
    </xf>
    <xf numFmtId="0" fontId="0" fillId="0" borderId="0" xfId="49" applyFont="1" applyFill="1">
      <alignment/>
      <protection/>
    </xf>
    <xf numFmtId="3" fontId="12" fillId="0" borderId="26" xfId="49" applyNumberFormat="1" applyFont="1" applyFill="1" applyBorder="1" applyAlignment="1" applyProtection="1">
      <alignment horizontal="center" wrapText="1"/>
      <protection/>
    </xf>
    <xf numFmtId="0" fontId="12" fillId="0" borderId="25" xfId="49" applyFont="1" applyFill="1" applyBorder="1" applyAlignment="1" applyProtection="1">
      <alignment vertical="top" wrapText="1"/>
      <protection locked="0"/>
    </xf>
    <xf numFmtId="165" fontId="12" fillId="38" borderId="25" xfId="0" applyNumberFormat="1" applyFont="1" applyFill="1" applyBorder="1" applyAlignment="1" applyProtection="1">
      <alignment wrapText="1"/>
      <protection/>
    </xf>
    <xf numFmtId="0" fontId="2" fillId="0" borderId="27" xfId="49" applyFont="1" applyFill="1" applyBorder="1">
      <alignment/>
      <protection/>
    </xf>
    <xf numFmtId="0" fontId="12" fillId="0" borderId="25" xfId="0" applyFont="1" applyBorder="1" applyAlignment="1">
      <alignment horizontal="left" wrapText="1"/>
    </xf>
    <xf numFmtId="165" fontId="11" fillId="38" borderId="25" xfId="0" applyNumberFormat="1" applyFont="1" applyFill="1" applyBorder="1" applyAlignment="1" applyProtection="1">
      <alignment wrapText="1"/>
      <protection/>
    </xf>
    <xf numFmtId="165" fontId="12" fillId="38" borderId="25" xfId="0" applyNumberFormat="1" applyFont="1" applyFill="1" applyBorder="1" applyAlignment="1" applyProtection="1">
      <alignment vertical="center" wrapText="1"/>
      <protection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left" wrapText="1"/>
    </xf>
    <xf numFmtId="2" fontId="2" fillId="23" borderId="25" xfId="0" applyNumberFormat="1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2" fillId="23" borderId="25" xfId="49" applyFont="1" applyFill="1" applyBorder="1">
      <alignment/>
      <protection/>
    </xf>
    <xf numFmtId="0" fontId="2" fillId="23" borderId="25" xfId="49" applyFont="1" applyFill="1" applyBorder="1">
      <alignment/>
      <protection/>
    </xf>
    <xf numFmtId="0" fontId="2" fillId="23" borderId="25" xfId="0" applyFont="1" applyFill="1" applyBorder="1" applyAlignment="1">
      <alignment/>
    </xf>
    <xf numFmtId="165" fontId="12" fillId="0" borderId="25" xfId="49" applyNumberFormat="1" applyFont="1" applyFill="1" applyBorder="1" applyAlignment="1" applyProtection="1">
      <alignment horizontal="left" wrapText="1"/>
      <protection/>
    </xf>
    <xf numFmtId="3" fontId="11" fillId="38" borderId="28" xfId="49" applyNumberFormat="1" applyFont="1" applyFill="1" applyBorder="1" applyAlignment="1" applyProtection="1">
      <alignment horizontal="center" wrapText="1"/>
      <protection/>
    </xf>
    <xf numFmtId="165" fontId="11" fillId="38" borderId="29" xfId="49" applyNumberFormat="1" applyFont="1" applyFill="1" applyBorder="1" applyAlignment="1" applyProtection="1">
      <alignment wrapText="1"/>
      <protection/>
    </xf>
    <xf numFmtId="166" fontId="11" fillId="38" borderId="29" xfId="49" applyNumberFormat="1" applyFont="1" applyFill="1" applyBorder="1" applyAlignment="1" applyProtection="1">
      <alignment wrapText="1"/>
      <protection/>
    </xf>
    <xf numFmtId="0" fontId="0" fillId="0" borderId="29" xfId="49" applyFont="1" applyFill="1" applyBorder="1">
      <alignment/>
      <protection/>
    </xf>
    <xf numFmtId="0" fontId="0" fillId="0" borderId="30" xfId="49" applyFont="1" applyFill="1" applyBorder="1">
      <alignment/>
      <protection/>
    </xf>
    <xf numFmtId="49" fontId="59" fillId="0" borderId="25" xfId="0" applyNumberFormat="1" applyFont="1" applyBorder="1" applyAlignment="1">
      <alignment horizontal="left" vertical="top"/>
    </xf>
    <xf numFmtId="0" fontId="59" fillId="0" borderId="25" xfId="0" applyFont="1" applyBorder="1" applyAlignment="1">
      <alignment vertical="top" wrapText="1"/>
    </xf>
    <xf numFmtId="49" fontId="59" fillId="0" borderId="31" xfId="0" applyNumberFormat="1" applyFont="1" applyBorder="1" applyAlignment="1">
      <alignment horizontal="left" vertical="top"/>
    </xf>
    <xf numFmtId="0" fontId="59" fillId="0" borderId="31" xfId="0" applyFont="1" applyBorder="1" applyAlignment="1">
      <alignment vertical="top" wrapText="1"/>
    </xf>
    <xf numFmtId="0" fontId="0" fillId="0" borderId="27" xfId="49" applyFont="1" applyBorder="1">
      <alignment/>
      <protection/>
    </xf>
    <xf numFmtId="0" fontId="2" fillId="23" borderId="25" xfId="49" applyFont="1" applyFill="1" applyBorder="1" applyAlignment="1">
      <alignment horizontal="right" wrapText="1"/>
      <protection/>
    </xf>
    <xf numFmtId="0" fontId="0" fillId="23" borderId="25" xfId="49" applyFont="1" applyFill="1" applyBorder="1">
      <alignment/>
      <protection/>
    </xf>
    <xf numFmtId="0" fontId="0" fillId="23" borderId="31" xfId="49" applyFont="1" applyFill="1" applyBorder="1">
      <alignment/>
      <protection/>
    </xf>
    <xf numFmtId="0" fontId="9" fillId="37" borderId="32" xfId="0" applyNumberFormat="1" applyFont="1" applyFill="1" applyBorder="1" applyAlignment="1" applyProtection="1">
      <alignment/>
      <protection/>
    </xf>
    <xf numFmtId="166" fontId="10" fillId="37" borderId="5" xfId="0" applyNumberFormat="1" applyFont="1" applyFill="1" applyBorder="1" applyAlignment="1" applyProtection="1">
      <alignment/>
      <protection/>
    </xf>
    <xf numFmtId="0" fontId="10" fillId="37" borderId="33" xfId="0" applyNumberFormat="1" applyFont="1" applyFill="1" applyBorder="1" applyAlignment="1" applyProtection="1">
      <alignment/>
      <protection/>
    </xf>
    <xf numFmtId="0" fontId="14" fillId="0" borderId="34" xfId="49" applyFont="1" applyFill="1" applyBorder="1" applyAlignment="1" applyProtection="1">
      <alignment vertical="top" wrapText="1"/>
      <protection locked="0"/>
    </xf>
    <xf numFmtId="0" fontId="2" fillId="0" borderId="25" xfId="0" applyFont="1" applyFill="1" applyBorder="1" applyAlignment="1">
      <alignment vertical="top" wrapText="1"/>
    </xf>
    <xf numFmtId="0" fontId="2" fillId="39" borderId="25" xfId="0" applyFont="1" applyFill="1" applyBorder="1" applyAlignment="1">
      <alignment horizontal="left" vertical="center" wrapText="1"/>
    </xf>
    <xf numFmtId="3" fontId="12" fillId="0" borderId="35" xfId="49" applyNumberFormat="1" applyFont="1" applyFill="1" applyBorder="1" applyAlignment="1" applyProtection="1">
      <alignment horizontal="center" wrapText="1"/>
      <protection/>
    </xf>
    <xf numFmtId="0" fontId="12" fillId="0" borderId="34" xfId="0" applyFont="1" applyBorder="1" applyAlignment="1" applyProtection="1">
      <alignment horizontal="left" vertical="top" wrapText="1"/>
      <protection locked="0"/>
    </xf>
    <xf numFmtId="165" fontId="12" fillId="38" borderId="25" xfId="0" applyNumberFormat="1" applyFont="1" applyFill="1" applyBorder="1" applyAlignment="1" applyProtection="1">
      <alignment horizontal="center" wrapText="1"/>
      <protection/>
    </xf>
    <xf numFmtId="1" fontId="2" fillId="0" borderId="25" xfId="0" applyNumberFormat="1" applyFont="1" applyBorder="1" applyAlignment="1">
      <alignment horizontal="left"/>
    </xf>
    <xf numFmtId="0" fontId="16" fillId="0" borderId="25" xfId="0" applyFont="1" applyFill="1" applyBorder="1" applyAlignment="1">
      <alignment horizontal="left" vertical="center"/>
    </xf>
    <xf numFmtId="1" fontId="12" fillId="0" borderId="25" xfId="0" applyNumberFormat="1" applyFont="1" applyBorder="1" applyAlignment="1">
      <alignment horizontal="left"/>
    </xf>
    <xf numFmtId="165" fontId="12" fillId="38" borderId="25" xfId="0" applyNumberFormat="1" applyFont="1" applyFill="1" applyBorder="1" applyAlignment="1" applyProtection="1">
      <alignment horizontal="left" wrapText="1"/>
      <protection/>
    </xf>
    <xf numFmtId="0" fontId="22" fillId="0" borderId="25" xfId="0" applyFont="1" applyFill="1" applyBorder="1" applyAlignment="1">
      <alignment horizontal="left" vertical="center"/>
    </xf>
    <xf numFmtId="4" fontId="2" fillId="23" borderId="25" xfId="0" applyNumberFormat="1" applyFont="1" applyFill="1" applyBorder="1" applyAlignment="1">
      <alignment/>
    </xf>
    <xf numFmtId="4" fontId="12" fillId="23" borderId="25" xfId="0" applyNumberFormat="1" applyFont="1" applyFill="1" applyBorder="1" applyAlignment="1">
      <alignment/>
    </xf>
    <xf numFmtId="0" fontId="12" fillId="0" borderId="25" xfId="0" applyFont="1" applyBorder="1" applyAlignment="1" applyProtection="1">
      <alignment horizontal="left" wrapText="1"/>
      <protection locked="0"/>
    </xf>
    <xf numFmtId="2" fontId="12" fillId="23" borderId="25" xfId="0" applyNumberFormat="1" applyFont="1" applyFill="1" applyBorder="1" applyAlignment="1">
      <alignment/>
    </xf>
    <xf numFmtId="0" fontId="12" fillId="0" borderId="25" xfId="36" applyFont="1" applyBorder="1" applyAlignment="1">
      <alignment horizontal="left" wrapText="1"/>
    </xf>
    <xf numFmtId="0" fontId="12" fillId="0" borderId="25" xfId="51" applyFont="1" applyBorder="1" applyAlignment="1">
      <alignment horizontal="left"/>
      <protection/>
    </xf>
    <xf numFmtId="4" fontId="16" fillId="0" borderId="25" xfId="50" applyNumberFormat="1" applyFont="1" applyFill="1" applyBorder="1" applyAlignment="1">
      <alignment horizontal="left" wrapText="1"/>
      <protection/>
    </xf>
    <xf numFmtId="4" fontId="16" fillId="0" borderId="25" xfId="50" applyNumberFormat="1" applyFont="1" applyFill="1" applyBorder="1" applyAlignment="1">
      <alignment horizontal="left" vertical="top" wrapText="1"/>
      <protection/>
    </xf>
    <xf numFmtId="0" fontId="5" fillId="0" borderId="25" xfId="0" applyFont="1" applyFill="1" applyBorder="1" applyAlignment="1">
      <alignment vertical="center" wrapText="1"/>
    </xf>
    <xf numFmtId="15" fontId="12" fillId="38" borderId="25" xfId="0" applyNumberFormat="1" applyFont="1" applyFill="1" applyBorder="1" applyAlignment="1" applyProtection="1">
      <alignment wrapText="1"/>
      <protection/>
    </xf>
    <xf numFmtId="165" fontId="12" fillId="0" borderId="25" xfId="49" applyNumberFormat="1" applyFont="1" applyFill="1" applyBorder="1" applyAlignment="1" applyProtection="1">
      <alignment horizontal="center" wrapText="1"/>
      <protection/>
    </xf>
    <xf numFmtId="0" fontId="12" fillId="0" borderId="25" xfId="0" applyFont="1" applyBorder="1" applyAlignment="1">
      <alignment horizontal="center"/>
    </xf>
    <xf numFmtId="165" fontId="12" fillId="38" borderId="25" xfId="0" applyNumberFormat="1" applyFont="1" applyFill="1" applyBorder="1" applyAlignment="1" applyProtection="1">
      <alignment horizontal="center" vertical="center" wrapText="1"/>
      <protection/>
    </xf>
    <xf numFmtId="165" fontId="12" fillId="38" borderId="31" xfId="0" applyNumberFormat="1" applyFont="1" applyFill="1" applyBorder="1" applyAlignment="1" applyProtection="1">
      <alignment horizontal="center" wrapText="1"/>
      <protection/>
    </xf>
    <xf numFmtId="0" fontId="2" fillId="0" borderId="25" xfId="49" applyFont="1" applyFill="1" applyBorder="1" applyAlignment="1" applyProtection="1">
      <alignment/>
      <protection/>
    </xf>
    <xf numFmtId="0" fontId="2" fillId="0" borderId="25" xfId="49" applyFont="1" applyFill="1" applyBorder="1" applyAlignment="1" applyProtection="1">
      <alignment wrapText="1"/>
      <protection/>
    </xf>
    <xf numFmtId="3" fontId="2" fillId="0" borderId="25" xfId="49" applyNumberFormat="1" applyFont="1" applyFill="1" applyBorder="1" applyAlignment="1" applyProtection="1">
      <alignment/>
      <protection hidden="1"/>
    </xf>
    <xf numFmtId="169" fontId="12" fillId="38" borderId="25" xfId="0" applyNumberFormat="1" applyFont="1" applyFill="1" applyBorder="1" applyAlignment="1" applyProtection="1">
      <alignment wrapText="1"/>
      <protection/>
    </xf>
    <xf numFmtId="3" fontId="2" fillId="0" borderId="25" xfId="49" applyNumberFormat="1" applyFont="1" applyFill="1" applyBorder="1" applyAlignment="1" applyProtection="1">
      <alignment vertical="center"/>
      <protection/>
    </xf>
    <xf numFmtId="0" fontId="2" fillId="0" borderId="25" xfId="49" applyFont="1" applyFill="1" applyBorder="1" applyAlignment="1" applyProtection="1">
      <alignment vertical="center"/>
      <protection/>
    </xf>
    <xf numFmtId="168" fontId="12" fillId="38" borderId="25" xfId="0" applyNumberFormat="1" applyFont="1" applyFill="1" applyBorder="1" applyAlignment="1" applyProtection="1">
      <alignment wrapText="1"/>
      <protection/>
    </xf>
    <xf numFmtId="168" fontId="12" fillId="0" borderId="25" xfId="0" applyNumberFormat="1" applyFont="1" applyFill="1" applyBorder="1" applyAlignment="1" applyProtection="1">
      <alignment wrapText="1"/>
      <protection/>
    </xf>
    <xf numFmtId="171" fontId="12" fillId="0" borderId="25" xfId="0" applyNumberFormat="1" applyFont="1" applyBorder="1" applyAlignment="1" applyProtection="1">
      <alignment/>
      <protection locked="0"/>
    </xf>
    <xf numFmtId="3" fontId="12" fillId="38" borderId="25" xfId="0" applyNumberFormat="1" applyFont="1" applyFill="1" applyBorder="1" applyAlignment="1" applyProtection="1">
      <alignment wrapText="1"/>
      <protection/>
    </xf>
    <xf numFmtId="168" fontId="12" fillId="0" borderId="25" xfId="0" applyNumberFormat="1" applyFont="1" applyFill="1" applyBorder="1" applyAlignment="1">
      <alignment/>
    </xf>
    <xf numFmtId="1" fontId="12" fillId="38" borderId="25" xfId="0" applyNumberFormat="1" applyFont="1" applyFill="1" applyBorder="1" applyAlignment="1" applyProtection="1">
      <alignment wrapText="1"/>
      <protection/>
    </xf>
    <xf numFmtId="169" fontId="12" fillId="38" borderId="25" xfId="0" applyNumberFormat="1" applyFont="1" applyFill="1" applyBorder="1" applyAlignment="1" applyProtection="1">
      <alignment vertical="center" wrapText="1"/>
      <protection/>
    </xf>
    <xf numFmtId="169" fontId="12" fillId="38" borderId="31" xfId="0" applyNumberFormat="1" applyFont="1" applyFill="1" applyBorder="1" applyAlignment="1" applyProtection="1">
      <alignment wrapText="1"/>
      <protection/>
    </xf>
    <xf numFmtId="0" fontId="2" fillId="0" borderId="27" xfId="49" applyFont="1" applyBorder="1">
      <alignment/>
      <protection/>
    </xf>
    <xf numFmtId="0" fontId="2" fillId="0" borderId="36" xfId="49" applyFont="1" applyBorder="1">
      <alignment/>
      <protection/>
    </xf>
    <xf numFmtId="172" fontId="12" fillId="38" borderId="25" xfId="0" applyNumberFormat="1" applyFont="1" applyFill="1" applyBorder="1" applyAlignment="1" applyProtection="1">
      <alignment horizontal="right" wrapText="1"/>
      <protection/>
    </xf>
    <xf numFmtId="0" fontId="12" fillId="0" borderId="25" xfId="0" applyFont="1" applyBorder="1" applyAlignment="1" applyProtection="1">
      <alignment horizontal="left"/>
      <protection locked="0"/>
    </xf>
    <xf numFmtId="168" fontId="12" fillId="38" borderId="25" xfId="0" applyNumberFormat="1" applyFont="1" applyFill="1" applyBorder="1" applyAlignment="1" applyProtection="1">
      <alignment horizontal="right" wrapText="1"/>
      <protection/>
    </xf>
    <xf numFmtId="3" fontId="12" fillId="0" borderId="37" xfId="49" applyNumberFormat="1" applyFont="1" applyFill="1" applyBorder="1" applyAlignment="1" applyProtection="1">
      <alignment horizontal="center" wrapText="1"/>
      <protection/>
    </xf>
    <xf numFmtId="0" fontId="14" fillId="0" borderId="38" xfId="49" applyFont="1" applyFill="1" applyBorder="1" applyAlignment="1" applyProtection="1">
      <alignment vertical="top" wrapText="1"/>
      <protection locked="0"/>
    </xf>
    <xf numFmtId="165" fontId="12" fillId="0" borderId="39" xfId="49" applyNumberFormat="1" applyFont="1" applyFill="1" applyBorder="1" applyAlignment="1" applyProtection="1">
      <alignment wrapText="1"/>
      <protection/>
    </xf>
    <xf numFmtId="0" fontId="2" fillId="0" borderId="25" xfId="0" applyFont="1" applyFill="1" applyBorder="1" applyAlignment="1">
      <alignment vertical="center" wrapText="1"/>
    </xf>
    <xf numFmtId="0" fontId="2" fillId="0" borderId="25" xfId="47" applyFont="1" applyFill="1" applyBorder="1" applyAlignment="1">
      <alignment horizontal="left" vertical="top" wrapText="1"/>
      <protection/>
    </xf>
    <xf numFmtId="0" fontId="23" fillId="0" borderId="25" xfId="47" applyFont="1" applyFill="1" applyBorder="1" applyAlignment="1">
      <alignment horizontal="left" vertical="top" wrapText="1"/>
      <protection/>
    </xf>
    <xf numFmtId="0" fontId="5" fillId="0" borderId="25" xfId="0" applyFont="1" applyFill="1" applyBorder="1" applyAlignment="1">
      <alignment horizontal="justify" vertical="top" wrapText="1"/>
    </xf>
    <xf numFmtId="0" fontId="23" fillId="0" borderId="25" xfId="0" applyFont="1" applyFill="1" applyBorder="1" applyAlignment="1">
      <alignment vertical="top" wrapText="1"/>
    </xf>
    <xf numFmtId="49" fontId="2" fillId="0" borderId="25" xfId="46" applyNumberFormat="1" applyFont="1" applyFill="1" applyBorder="1" applyAlignment="1">
      <alignment horizontal="left" vertical="top" wrapText="1"/>
      <protection/>
    </xf>
    <xf numFmtId="0" fontId="2" fillId="0" borderId="25" xfId="0" applyFont="1" applyBorder="1" applyAlignment="1">
      <alignment horizontal="left"/>
    </xf>
    <xf numFmtId="0" fontId="21" fillId="0" borderId="25" xfId="0" applyFont="1" applyBorder="1" applyAlignment="1">
      <alignment horizontal="left" wrapText="1"/>
    </xf>
    <xf numFmtId="0" fontId="22" fillId="0" borderId="25" xfId="48" applyFont="1" applyFill="1" applyBorder="1" applyAlignment="1">
      <alignment horizontal="left" vertical="center" wrapText="1"/>
      <protection/>
    </xf>
    <xf numFmtId="2" fontId="2" fillId="23" borderId="25" xfId="49" applyNumberFormat="1" applyFont="1" applyFill="1" applyBorder="1">
      <alignment/>
      <protection/>
    </xf>
    <xf numFmtId="0" fontId="60" fillId="0" borderId="0" xfId="0" applyFont="1" applyAlignment="1">
      <alignment/>
    </xf>
    <xf numFmtId="2" fontId="2" fillId="0" borderId="27" xfId="49" applyNumberFormat="1" applyFont="1" applyFill="1" applyBorder="1">
      <alignment/>
      <protection/>
    </xf>
    <xf numFmtId="173" fontId="2" fillId="0" borderId="25" xfId="49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35" borderId="0" xfId="0" applyFont="1" applyFill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40" borderId="51" xfId="49" applyNumberFormat="1" applyFont="1" applyFill="1" applyBorder="1" applyAlignment="1" applyProtection="1">
      <alignment horizontal="center" vertical="center" wrapText="1"/>
      <protection/>
    </xf>
    <xf numFmtId="0" fontId="12" fillId="40" borderId="52" xfId="49" applyNumberFormat="1" applyFont="1" applyFill="1" applyBorder="1" applyAlignment="1" applyProtection="1">
      <alignment horizontal="center" vertical="center" wrapText="1"/>
      <protection/>
    </xf>
    <xf numFmtId="0" fontId="12" fillId="40" borderId="53" xfId="49" applyNumberFormat="1" applyFont="1" applyFill="1" applyBorder="1" applyAlignment="1" applyProtection="1">
      <alignment horizontal="center" vertical="center" wrapText="1"/>
      <protection/>
    </xf>
    <xf numFmtId="0" fontId="12" fillId="40" borderId="54" xfId="49" applyNumberFormat="1" applyFont="1" applyFill="1" applyBorder="1" applyAlignment="1" applyProtection="1">
      <alignment horizontal="center" vertical="center" wrapText="1"/>
      <protection/>
    </xf>
    <xf numFmtId="0" fontId="12" fillId="40" borderId="31" xfId="49" applyNumberFormat="1" applyFont="1" applyFill="1" applyBorder="1" applyAlignment="1" applyProtection="1">
      <alignment horizontal="center" vertical="center" wrapText="1"/>
      <protection/>
    </xf>
    <xf numFmtId="0" fontId="12" fillId="40" borderId="36" xfId="49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e 2" xfId="47"/>
    <cellStyle name="normálne 9" xfId="48"/>
    <cellStyle name="normálne_ponuka " xfId="49"/>
    <cellStyle name="normální_Cennik" xfId="50"/>
    <cellStyle name="normální_List1" xfId="51"/>
    <cellStyle name="Percent" xfId="52"/>
    <cellStyle name="podkapitola" xfId="53"/>
    <cellStyle name="Poznámka" xfId="54"/>
    <cellStyle name="Prepojená bunka" xfId="55"/>
    <cellStyle name="Spolu" xfId="56"/>
    <cellStyle name="Štýl 1" xfId="57"/>
    <cellStyle name="tabulka cenník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" name="Text Box 3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" name="Text Box 3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" name="Text Box 3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" name="Text Box 3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5" name="Text Box 3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6" name="Text Box 3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7" name="Text Box 5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8" name="Text Box 5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" name="Text Box 5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0" name="Text Box 5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" name="Text Box 5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" name="Text Box 5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" name="Text Box 5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" name="Text Box 6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" name="Text Box 6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" name="Text Box 6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" name="Text Box 6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" name="Text Box 6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" name="Text Box 6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" name="Text Box 6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1" name="Text Box 6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2" name="Text Box 6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3" name="Text Box 6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4" name="Text Box 7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5" name="Text Box 7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6" name="Text Box 7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7" name="Text Box 7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8" name="Text Box 7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9" name="Text Box 7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0" name="Text Box 7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1" name="Text Box 5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2" name="Text Box 5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3" name="Text Box 5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4" name="Text Box 5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5" name="Text Box 5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6" name="Text Box 5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7" name="Text Box 5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8" name="Text Box 6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39" name="Text Box 6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0" name="Text Box 6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1" name="Text Box 6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2" name="Text Box 6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3" name="Text Box 6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4" name="Text Box 6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5" name="Text Box 6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6" name="Text Box 6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7" name="Text Box 6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8" name="Text Box 7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49" name="Text Box 7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50" name="Text Box 7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51" name="Text Box 7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52" name="Text Box 7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53" name="Text Box 7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54" name="Text Box 7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55" name="Text Box 79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56" name="Text Box 80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57" name="Text Box 81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58" name="Text Box 82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59" name="Text Box 83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0" name="Text Box 84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1" name="Text Box 85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2" name="Text Box 86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3" name="Text Box 87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4" name="Text Box 88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5" name="Text Box 89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6" name="Text Box 90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7" name="Text Box 91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8" name="Text Box 92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69" name="Text Box 93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0" name="Text Box 94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1" name="Text Box 95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2" name="Text Box 96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3" name="Text Box 97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4" name="Text Box 98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5" name="Text Box 99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6" name="Text Box 100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7" name="Text Box 101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8" name="Text Box 102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79" name="Text Box 103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0" name="Text Box 104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1" name="Text Box 105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2" name="Text Box 106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3" name="Text Box 107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4" name="Text Box 108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5" name="Text Box 109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6" name="Text Box 110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7" name="Text Box 111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8" name="Text Box 112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89" name="Text Box 113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61925"/>
    <xdr:sp fLocksText="0">
      <xdr:nvSpPr>
        <xdr:cNvPr id="90" name="Text Box 114"/>
        <xdr:cNvSpPr txBox="1">
          <a:spLocks noChangeArrowheads="1"/>
        </xdr:cNvSpPr>
      </xdr:nvSpPr>
      <xdr:spPr>
        <a:xfrm>
          <a:off x="257175" y="962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1" name="Text Box 11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2" name="Text Box 11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3" name="Text Box 11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4" name="Text Box 12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5" name="Text Box 12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6" name="Text Box 12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7" name="Text Box 11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8" name="Text Box 11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99" name="Text Box 11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00" name="Text Box 12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01" name="Text Box 12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02" name="Text Box 12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4</xdr:row>
      <xdr:rowOff>0</xdr:rowOff>
    </xdr:from>
    <xdr:to>
      <xdr:col>1</xdr:col>
      <xdr:colOff>257175</xdr:colOff>
      <xdr:row>4</xdr:row>
      <xdr:rowOff>0</xdr:rowOff>
    </xdr:to>
    <xdr:pic>
      <xdr:nvPicPr>
        <xdr:cNvPr id="103" name="Picture 30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20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4</xdr:row>
      <xdr:rowOff>9525</xdr:rowOff>
    </xdr:from>
    <xdr:ext cx="66675" cy="180975"/>
    <xdr:sp fLocksText="0">
      <xdr:nvSpPr>
        <xdr:cNvPr id="104" name="Text Box 30"/>
        <xdr:cNvSpPr txBox="1">
          <a:spLocks noChangeArrowheads="1"/>
        </xdr:cNvSpPr>
      </xdr:nvSpPr>
      <xdr:spPr>
        <a:xfrm>
          <a:off x="952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180975"/>
    <xdr:sp fLocksText="0">
      <xdr:nvSpPr>
        <xdr:cNvPr id="105" name="Text Box 31"/>
        <xdr:cNvSpPr txBox="1">
          <a:spLocks noChangeArrowheads="1"/>
        </xdr:cNvSpPr>
      </xdr:nvSpPr>
      <xdr:spPr>
        <a:xfrm>
          <a:off x="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180975"/>
    <xdr:sp fLocksText="0">
      <xdr:nvSpPr>
        <xdr:cNvPr id="106" name="Text Box 32"/>
        <xdr:cNvSpPr txBox="1">
          <a:spLocks noChangeArrowheads="1"/>
        </xdr:cNvSpPr>
      </xdr:nvSpPr>
      <xdr:spPr>
        <a:xfrm>
          <a:off x="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180975"/>
    <xdr:sp fLocksText="0">
      <xdr:nvSpPr>
        <xdr:cNvPr id="107" name="Text Box 33"/>
        <xdr:cNvSpPr txBox="1">
          <a:spLocks noChangeArrowheads="1"/>
        </xdr:cNvSpPr>
      </xdr:nvSpPr>
      <xdr:spPr>
        <a:xfrm>
          <a:off x="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180975"/>
    <xdr:sp fLocksText="0">
      <xdr:nvSpPr>
        <xdr:cNvPr id="108" name="Text Box 34"/>
        <xdr:cNvSpPr txBox="1">
          <a:spLocks noChangeArrowheads="1"/>
        </xdr:cNvSpPr>
      </xdr:nvSpPr>
      <xdr:spPr>
        <a:xfrm>
          <a:off x="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6675" cy="180975"/>
    <xdr:sp fLocksText="0">
      <xdr:nvSpPr>
        <xdr:cNvPr id="109" name="Text Box 35"/>
        <xdr:cNvSpPr txBox="1">
          <a:spLocks noChangeArrowheads="1"/>
        </xdr:cNvSpPr>
      </xdr:nvSpPr>
      <xdr:spPr>
        <a:xfrm>
          <a:off x="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0" name="Text Box 3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1" name="Text Box 3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2" name="Text Box 3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3" name="Text Box 3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4" name="Text Box 3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5" name="Text Box 3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6" name="Text Box 5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7" name="Text Box 5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8" name="Text Box 5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19" name="Text Box 5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0" name="Text Box 5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1" name="Text Box 5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2" name="Text Box 5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3" name="Text Box 6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4" name="Text Box 6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5" name="Text Box 6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6" name="Text Box 6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7" name="Text Box 6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8" name="Text Box 6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29" name="Text Box 6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0" name="Text Box 6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1" name="Text Box 6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2" name="Text Box 6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3" name="Text Box 7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4" name="Text Box 7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5" name="Text Box 7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6" name="Text Box 7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7" name="Text Box 7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8" name="Text Box 7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39" name="Text Box 7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4</xdr:row>
      <xdr:rowOff>28575</xdr:rowOff>
    </xdr:from>
    <xdr:ext cx="66675" cy="180975"/>
    <xdr:sp>
      <xdr:nvSpPr>
        <xdr:cNvPr id="140" name="Text Box 53"/>
        <xdr:cNvSpPr txBox="1">
          <a:spLocks noChangeArrowheads="1"/>
        </xdr:cNvSpPr>
      </xdr:nvSpPr>
      <xdr:spPr>
        <a:xfrm>
          <a:off x="104775" y="99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1" name="Text Box 5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2" name="Text Box 5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3" name="Text Box 5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4" name="Text Box 5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5" name="Text Box 5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6" name="Text Box 5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7" name="Text Box 6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8" name="Text Box 6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49" name="Text Box 6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0" name="Text Box 6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1" name="Text Box 6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2" name="Text Box 6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3" name="Text Box 6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4" name="Text Box 6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5" name="Text Box 6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6" name="Text Box 6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7" name="Text Box 7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8" name="Text Box 7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59" name="Text Box 7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0" name="Text Box 7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1" name="Text Box 7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2" name="Text Box 7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3" name="Text Box 7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4" name="Text Box 11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5" name="Text Box 11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6" name="Text Box 11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7" name="Text Box 12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8" name="Text Box 12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69" name="Text Box 12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0" name="Text Box 7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1" name="Text Box 8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2" name="Text Box 8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3" name="Text Box 8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4" name="Text Box 8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5" name="Text Box 8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6" name="Text Box 8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7" name="Text Box 8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8" name="Text Box 8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79" name="Text Box 8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0" name="Text Box 8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1" name="Text Box 9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2" name="Text Box 9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3" name="Text Box 9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4" name="Text Box 9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5" name="Text Box 9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6" name="Text Box 9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7" name="Text Box 9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8" name="Text Box 9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89" name="Text Box 9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0" name="Text Box 9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1" name="Text Box 10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2" name="Text Box 10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3" name="Text Box 10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4" name="Text Box 10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5" name="Text Box 10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6" name="Text Box 10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7" name="Text Box 106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8" name="Text Box 10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199" name="Text Box 10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0" name="Text Box 10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1" name="Text Box 11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2" name="Text Box 11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3" name="Text Box 11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4" name="Text Box 11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5" name="Text Box 11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6" name="Text Box 117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7" name="Text Box 118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8" name="Text Box 119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09" name="Text Box 12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10" name="Text Box 12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11" name="Text Box 12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4</xdr:row>
      <xdr:rowOff>0</xdr:rowOff>
    </xdr:from>
    <xdr:to>
      <xdr:col>1</xdr:col>
      <xdr:colOff>257175</xdr:colOff>
      <xdr:row>4</xdr:row>
      <xdr:rowOff>0</xdr:rowOff>
    </xdr:to>
    <xdr:pic>
      <xdr:nvPicPr>
        <xdr:cNvPr id="212" name="Picture 30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20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142875</xdr:rowOff>
    </xdr:from>
    <xdr:ext cx="66675" cy="238125"/>
    <xdr:sp fLocksText="0">
      <xdr:nvSpPr>
        <xdr:cNvPr id="213" name="Text Box 53"/>
        <xdr:cNvSpPr txBox="1">
          <a:spLocks noChangeArrowheads="1"/>
        </xdr:cNvSpPr>
      </xdr:nvSpPr>
      <xdr:spPr>
        <a:xfrm>
          <a:off x="257175" y="23050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14" name="Text Box 54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15" name="Text Box 55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16" name="Text Box 56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17" name="Text Box 57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18" name="Text Box 58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19" name="Text Box 59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0" name="Text Box 60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1" name="Text Box 61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2" name="Text Box 62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3" name="Text Box 63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4" name="Text Box 64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5" name="Text Box 65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6" name="Text Box 66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7" name="Text Box 67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8" name="Text Box 68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29" name="Text Box 69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0" name="Text Box 70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1" name="Text Box 71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2" name="Text Box 72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3" name="Text Box 73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4" name="Text Box 74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5" name="Text Box 75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36" name="Text Box 76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25</xdr:row>
      <xdr:rowOff>0</xdr:rowOff>
    </xdr:from>
    <xdr:ext cx="66675" cy="161925"/>
    <xdr:sp fLocksText="0">
      <xdr:nvSpPr>
        <xdr:cNvPr id="237" name="Text Box 79"/>
        <xdr:cNvSpPr txBox="1">
          <a:spLocks noChangeArrowheads="1"/>
        </xdr:cNvSpPr>
      </xdr:nvSpPr>
      <xdr:spPr>
        <a:xfrm>
          <a:off x="23812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38" name="Text Box 80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39" name="Text Box 81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0" name="Text Box 82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1" name="Text Box 83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2" name="Text Box 84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3" name="Text Box 85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4" name="Text Box 86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5" name="Text Box 87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6" name="Text Box 88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7" name="Text Box 89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8" name="Text Box 90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49" name="Text Box 91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0" name="Text Box 92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1" name="Text Box 93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2" name="Text Box 94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3" name="Text Box 95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4" name="Text Box 96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5" name="Text Box 97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6" name="Text Box 98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7" name="Text Box 99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8" name="Text Box 100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59" name="Text Box 101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0" name="Text Box 102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1" name="Text Box 103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2" name="Text Box 104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3" name="Text Box 105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4" name="Text Box 106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5" name="Text Box 107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6" name="Text Box 108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7" name="Text Box 109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8" name="Text Box 110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69" name="Text Box 111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70" name="Text Box 112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71" name="Text Box 113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66675" cy="161925"/>
    <xdr:sp fLocksText="0">
      <xdr:nvSpPr>
        <xdr:cNvPr id="272" name="Text Box 114"/>
        <xdr:cNvSpPr txBox="1">
          <a:spLocks noChangeArrowheads="1"/>
        </xdr:cNvSpPr>
      </xdr:nvSpPr>
      <xdr:spPr>
        <a:xfrm>
          <a:off x="257175" y="61626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73" name="Text Box 117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74" name="Text Box 118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75" name="Text Box 119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76" name="Text Box 120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77" name="Text Box 121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6675" cy="238125"/>
    <xdr:sp fLocksText="0">
      <xdr:nvSpPr>
        <xdr:cNvPr id="278" name="Text Box 122"/>
        <xdr:cNvSpPr txBox="1">
          <a:spLocks noChangeArrowheads="1"/>
        </xdr:cNvSpPr>
      </xdr:nvSpPr>
      <xdr:spPr>
        <a:xfrm>
          <a:off x="257175" y="21621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79" name="Text Box 30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80" name="Text Box 31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81" name="Text Box 32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82" name="Text Box 33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83" name="Text Box 34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6675" cy="180975"/>
    <xdr:sp fLocksText="0">
      <xdr:nvSpPr>
        <xdr:cNvPr id="284" name="Text Box 35"/>
        <xdr:cNvSpPr txBox="1">
          <a:spLocks noChangeArrowheads="1"/>
        </xdr:cNvSpPr>
      </xdr:nvSpPr>
      <xdr:spPr>
        <a:xfrm>
          <a:off x="257175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285" name="AutoShape 39508" descr="fetch%3EUID%3E"/>
        <xdr:cNvSpPr>
          <a:spLocks noChangeAspect="1"/>
        </xdr:cNvSpPr>
      </xdr:nvSpPr>
      <xdr:spPr>
        <a:xfrm>
          <a:off x="1276350" y="5248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86" name="AutoShape 39508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87" name="AutoShape 39509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88" name="AutoShape 39508" descr="fetch%3EUID%3E"/>
        <xdr:cNvSpPr>
          <a:spLocks noChangeAspect="1"/>
        </xdr:cNvSpPr>
      </xdr:nvSpPr>
      <xdr:spPr>
        <a:xfrm>
          <a:off x="127635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89" name="AutoShape 39509" descr="fetch%3EUID%3E"/>
        <xdr:cNvSpPr>
          <a:spLocks noChangeAspect="1"/>
        </xdr:cNvSpPr>
      </xdr:nvSpPr>
      <xdr:spPr>
        <a:xfrm>
          <a:off x="127635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90" name="AutoShape 39508" descr="fetch%3EUID%3E"/>
        <xdr:cNvSpPr>
          <a:spLocks noChangeAspect="1"/>
        </xdr:cNvSpPr>
      </xdr:nvSpPr>
      <xdr:spPr>
        <a:xfrm>
          <a:off x="127635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91" name="AutoShape 39509" descr="fetch%3EUID%3E"/>
        <xdr:cNvSpPr>
          <a:spLocks noChangeAspect="1"/>
        </xdr:cNvSpPr>
      </xdr:nvSpPr>
      <xdr:spPr>
        <a:xfrm>
          <a:off x="127635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92" name="AutoShape 39508" descr="fetch%3EUID%3E"/>
        <xdr:cNvSpPr>
          <a:spLocks noChangeAspect="1"/>
        </xdr:cNvSpPr>
      </xdr:nvSpPr>
      <xdr:spPr>
        <a:xfrm>
          <a:off x="127635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293" name="AutoShape 39509" descr="fetch%3EUID%3E"/>
        <xdr:cNvSpPr>
          <a:spLocks noChangeAspect="1"/>
        </xdr:cNvSpPr>
      </xdr:nvSpPr>
      <xdr:spPr>
        <a:xfrm>
          <a:off x="127635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294" name="AutoShape 39508" descr="fetch%3EUID%3E"/>
        <xdr:cNvSpPr>
          <a:spLocks noChangeAspect="1"/>
        </xdr:cNvSpPr>
      </xdr:nvSpPr>
      <xdr:spPr>
        <a:xfrm>
          <a:off x="1276350" y="541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295" name="AutoShape 39509" descr="fetch%3EUID%3E"/>
        <xdr:cNvSpPr>
          <a:spLocks noChangeAspect="1"/>
        </xdr:cNvSpPr>
      </xdr:nvSpPr>
      <xdr:spPr>
        <a:xfrm>
          <a:off x="1276350" y="541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96" name="AutoShape 39508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97" name="AutoShape 39509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98" name="AutoShape 39508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99" name="AutoShape 39509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300" name="AutoShape 39508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301" name="AutoShape 39509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302" name="AutoShape 39508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303" name="AutoShape 39509" descr="fetch%3EUID%3E"/>
        <xdr:cNvSpPr>
          <a:spLocks noChangeAspect="1"/>
        </xdr:cNvSpPr>
      </xdr:nvSpPr>
      <xdr:spPr>
        <a:xfrm>
          <a:off x="1276350" y="567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8"/>
  <sheetViews>
    <sheetView tabSelected="1" zoomScale="110" zoomScaleNormal="110" zoomScaleSheetLayoutView="30" zoomScalePageLayoutView="0" workbookViewId="0" topLeftCell="A1">
      <selection activeCell="C12" sqref="C12"/>
    </sheetView>
  </sheetViews>
  <sheetFormatPr defaultColWidth="9.140625" defaultRowHeight="12.75"/>
  <cols>
    <col min="1" max="1" width="3.8515625" style="108" customWidth="1"/>
    <col min="2" max="2" width="15.28125" style="108" customWidth="1"/>
    <col min="3" max="3" width="80.57421875" style="108" customWidth="1"/>
    <col min="4" max="4" width="5.00390625" style="108" customWidth="1"/>
    <col min="5" max="5" width="7.8515625" style="108" customWidth="1"/>
    <col min="6" max="6" width="9.7109375" style="108" customWidth="1"/>
    <col min="7" max="7" width="10.57421875" style="108" customWidth="1"/>
    <col min="8" max="61" width="9.140625" style="119" customWidth="1"/>
    <col min="62" max="16384" width="9.140625" style="108" customWidth="1"/>
  </cols>
  <sheetData>
    <row r="1" spans="1:7" ht="18">
      <c r="A1" s="150" t="s">
        <v>932</v>
      </c>
      <c r="B1" s="118"/>
      <c r="C1" s="118"/>
      <c r="D1" s="118"/>
      <c r="E1" s="118"/>
      <c r="F1" s="151"/>
      <c r="G1" s="152"/>
    </row>
    <row r="2" spans="1:7" ht="22.5">
      <c r="A2" s="283" t="s">
        <v>765</v>
      </c>
      <c r="B2" s="284" t="s">
        <v>766</v>
      </c>
      <c r="C2" s="284" t="s">
        <v>726</v>
      </c>
      <c r="D2" s="284" t="s">
        <v>767</v>
      </c>
      <c r="E2" s="284" t="s">
        <v>768</v>
      </c>
      <c r="F2" s="284" t="s">
        <v>801</v>
      </c>
      <c r="G2" s="285" t="s">
        <v>802</v>
      </c>
    </row>
    <row r="3" spans="1:7" ht="12.75">
      <c r="A3" s="286">
        <v>1</v>
      </c>
      <c r="B3" s="287">
        <v>2</v>
      </c>
      <c r="C3" s="287">
        <v>3</v>
      </c>
      <c r="D3" s="287">
        <v>4</v>
      </c>
      <c r="E3" s="287">
        <v>5</v>
      </c>
      <c r="F3" s="287">
        <v>6</v>
      </c>
      <c r="G3" s="288">
        <v>7</v>
      </c>
    </row>
    <row r="4" spans="1:12" ht="22.5" customHeight="1">
      <c r="A4" s="137"/>
      <c r="B4" s="138" t="s">
        <v>769</v>
      </c>
      <c r="C4" s="138" t="s">
        <v>770</v>
      </c>
      <c r="D4" s="138"/>
      <c r="E4" s="139"/>
      <c r="F4" s="140"/>
      <c r="G4" s="141"/>
      <c r="L4" s="119" t="s">
        <v>771</v>
      </c>
    </row>
    <row r="5" spans="1:61" s="111" customFormat="1" ht="12.75">
      <c r="A5" s="120">
        <v>1</v>
      </c>
      <c r="B5" s="157"/>
      <c r="C5" s="153" t="s">
        <v>849</v>
      </c>
      <c r="D5" s="115"/>
      <c r="E5" s="117"/>
      <c r="F5" s="134"/>
      <c r="G5" s="123" t="s">
        <v>771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</row>
    <row r="6" spans="1:61" s="111" customFormat="1" ht="12.75">
      <c r="A6" s="156">
        <f>A5+1</f>
        <v>2</v>
      </c>
      <c r="B6" s="157"/>
      <c r="C6" s="198" t="s">
        <v>902</v>
      </c>
      <c r="D6" s="199"/>
      <c r="E6" s="117"/>
      <c r="F6" s="134"/>
      <c r="G6" s="123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</row>
    <row r="7" spans="1:61" s="111" customFormat="1" ht="33.75">
      <c r="A7" s="120">
        <f>A6+1</f>
        <v>3</v>
      </c>
      <c r="B7" s="168" t="s">
        <v>845</v>
      </c>
      <c r="C7" s="200" t="s">
        <v>846</v>
      </c>
      <c r="D7" s="174" t="s">
        <v>759</v>
      </c>
      <c r="E7" s="178">
        <v>12</v>
      </c>
      <c r="F7" s="134"/>
      <c r="G7" s="123">
        <f aca="true" t="shared" si="0" ref="G7:G23">E7*F7</f>
        <v>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</row>
    <row r="8" spans="1:61" s="111" customFormat="1" ht="22.5">
      <c r="A8" s="120">
        <f>A7+1</f>
        <v>4</v>
      </c>
      <c r="B8" s="168" t="s">
        <v>901</v>
      </c>
      <c r="C8" s="201" t="s">
        <v>899</v>
      </c>
      <c r="D8" s="174" t="s">
        <v>900</v>
      </c>
      <c r="E8" s="178">
        <v>12</v>
      </c>
      <c r="F8" s="134"/>
      <c r="G8" s="123">
        <f t="shared" si="0"/>
        <v>0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</row>
    <row r="9" spans="1:61" s="111" customFormat="1" ht="12.75">
      <c r="A9" s="120">
        <f aca="true" t="shared" si="1" ref="A9:A77">A8+1</f>
        <v>5</v>
      </c>
      <c r="B9" s="168"/>
      <c r="C9" s="202" t="s">
        <v>903</v>
      </c>
      <c r="D9" s="174"/>
      <c r="E9" s="178"/>
      <c r="F9" s="134"/>
      <c r="G9" s="123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</row>
    <row r="10" spans="1:61" s="111" customFormat="1" ht="31.5">
      <c r="A10" s="120">
        <f t="shared" si="1"/>
        <v>6</v>
      </c>
      <c r="B10" s="169" t="s">
        <v>904</v>
      </c>
      <c r="C10" s="203" t="s">
        <v>907</v>
      </c>
      <c r="D10" s="174" t="s">
        <v>759</v>
      </c>
      <c r="E10" s="179">
        <v>8</v>
      </c>
      <c r="F10" s="147"/>
      <c r="G10" s="123">
        <f t="shared" si="0"/>
        <v>0</v>
      </c>
      <c r="H10" s="119"/>
      <c r="I10" s="119"/>
      <c r="J10" s="119"/>
      <c r="K10" s="119"/>
      <c r="L10" s="119"/>
      <c r="M10" s="119" t="s">
        <v>771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</row>
    <row r="11" spans="1:61" s="111" customFormat="1" ht="12.75">
      <c r="A11" s="120">
        <f t="shared" si="1"/>
        <v>7</v>
      </c>
      <c r="B11" s="169"/>
      <c r="C11" s="202" t="s">
        <v>905</v>
      </c>
      <c r="D11" s="174"/>
      <c r="E11" s="179"/>
      <c r="F11" s="147"/>
      <c r="G11" s="123" t="s">
        <v>771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</row>
    <row r="12" spans="1:61" s="111" customFormat="1" ht="33.75">
      <c r="A12" s="120">
        <f t="shared" si="1"/>
        <v>8</v>
      </c>
      <c r="B12" s="169" t="s">
        <v>850</v>
      </c>
      <c r="C12" s="201" t="s">
        <v>908</v>
      </c>
      <c r="D12" s="174" t="s">
        <v>759</v>
      </c>
      <c r="E12" s="179">
        <v>8</v>
      </c>
      <c r="F12" s="147"/>
      <c r="G12" s="123">
        <f t="shared" si="0"/>
        <v>0</v>
      </c>
      <c r="H12" s="119"/>
      <c r="I12" s="119"/>
      <c r="J12" s="119"/>
      <c r="K12" s="119"/>
      <c r="L12" s="119"/>
      <c r="M12" s="119" t="s">
        <v>771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</row>
    <row r="13" spans="1:61" s="111" customFormat="1" ht="45">
      <c r="A13" s="120">
        <f t="shared" si="1"/>
        <v>9</v>
      </c>
      <c r="B13" s="169" t="s">
        <v>906</v>
      </c>
      <c r="C13" s="201" t="s">
        <v>909</v>
      </c>
      <c r="D13" s="174" t="s">
        <v>759</v>
      </c>
      <c r="E13" s="179">
        <v>10</v>
      </c>
      <c r="F13" s="147"/>
      <c r="G13" s="123">
        <f t="shared" si="0"/>
        <v>0</v>
      </c>
      <c r="H13" s="119"/>
      <c r="I13" s="119"/>
      <c r="J13" s="119"/>
      <c r="K13" s="119"/>
      <c r="L13" s="119"/>
      <c r="M13" s="119" t="s">
        <v>771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</row>
    <row r="14" spans="1:61" s="111" customFormat="1" ht="12.75">
      <c r="A14" s="120">
        <f t="shared" si="1"/>
        <v>10</v>
      </c>
      <c r="B14" s="170" t="s">
        <v>851</v>
      </c>
      <c r="C14" s="154" t="s">
        <v>898</v>
      </c>
      <c r="D14" s="174" t="s">
        <v>759</v>
      </c>
      <c r="E14" s="180">
        <f>E12+E13</f>
        <v>18</v>
      </c>
      <c r="F14" s="133"/>
      <c r="G14" s="123">
        <f t="shared" si="0"/>
        <v>0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</row>
    <row r="15" spans="1:61" s="111" customFormat="1" ht="12.75">
      <c r="A15" s="120">
        <f t="shared" si="1"/>
        <v>11</v>
      </c>
      <c r="B15" s="170"/>
      <c r="C15" s="204" t="s">
        <v>910</v>
      </c>
      <c r="D15" s="174"/>
      <c r="E15" s="180"/>
      <c r="F15" s="133"/>
      <c r="G15" s="123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</row>
    <row r="16" spans="1:61" s="111" customFormat="1" ht="22.5">
      <c r="A16" s="120">
        <f t="shared" si="1"/>
        <v>12</v>
      </c>
      <c r="B16" s="124" t="s">
        <v>928</v>
      </c>
      <c r="C16" s="154" t="s">
        <v>922</v>
      </c>
      <c r="D16" s="174" t="s">
        <v>759</v>
      </c>
      <c r="E16" s="180">
        <v>3</v>
      </c>
      <c r="F16" s="133"/>
      <c r="G16" s="123">
        <f t="shared" si="0"/>
        <v>0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</row>
    <row r="17" spans="1:61" s="111" customFormat="1" ht="12.75">
      <c r="A17" s="120"/>
      <c r="B17" s="124"/>
      <c r="C17" s="154" t="s">
        <v>931</v>
      </c>
      <c r="D17" s="174" t="s">
        <v>759</v>
      </c>
      <c r="E17" s="180">
        <v>6</v>
      </c>
      <c r="F17" s="133"/>
      <c r="G17" s="123">
        <f t="shared" si="0"/>
        <v>0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</row>
    <row r="18" spans="1:61" s="111" customFormat="1" ht="12.75">
      <c r="A18" s="120"/>
      <c r="B18" s="210" t="s">
        <v>929</v>
      </c>
      <c r="C18" s="154" t="s">
        <v>930</v>
      </c>
      <c r="D18" s="174" t="s">
        <v>759</v>
      </c>
      <c r="E18" s="180">
        <v>8</v>
      </c>
      <c r="F18" s="133"/>
      <c r="G18" s="123">
        <f t="shared" si="0"/>
        <v>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</row>
    <row r="19" spans="1:61" s="111" customFormat="1" ht="33.75">
      <c r="A19" s="120">
        <f>A16+1</f>
        <v>13</v>
      </c>
      <c r="B19" s="170" t="s">
        <v>912</v>
      </c>
      <c r="C19" s="205" t="s">
        <v>911</v>
      </c>
      <c r="D19" s="174" t="s">
        <v>759</v>
      </c>
      <c r="E19" s="180">
        <v>1</v>
      </c>
      <c r="F19" s="133"/>
      <c r="G19" s="123">
        <f t="shared" si="0"/>
        <v>0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</row>
    <row r="20" spans="1:61" s="111" customFormat="1" ht="12.75">
      <c r="A20" s="120">
        <f t="shared" si="1"/>
        <v>14</v>
      </c>
      <c r="B20" s="170" t="s">
        <v>914</v>
      </c>
      <c r="C20" s="205" t="s">
        <v>913</v>
      </c>
      <c r="D20" s="174" t="s">
        <v>759</v>
      </c>
      <c r="E20" s="180">
        <v>4</v>
      </c>
      <c r="F20" s="133"/>
      <c r="G20" s="123">
        <f t="shared" si="0"/>
        <v>0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</row>
    <row r="21" spans="1:61" s="111" customFormat="1" ht="12.75">
      <c r="A21" s="120">
        <f t="shared" si="1"/>
        <v>15</v>
      </c>
      <c r="B21" s="170"/>
      <c r="C21" s="155" t="s">
        <v>847</v>
      </c>
      <c r="D21" s="174" t="s">
        <v>759</v>
      </c>
      <c r="E21" s="180">
        <v>4</v>
      </c>
      <c r="F21" s="133"/>
      <c r="G21" s="123">
        <f t="shared" si="0"/>
        <v>0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</row>
    <row r="22" spans="1:61" s="111" customFormat="1" ht="21">
      <c r="A22" s="120">
        <f t="shared" si="1"/>
        <v>16</v>
      </c>
      <c r="B22" s="132" t="s">
        <v>852</v>
      </c>
      <c r="C22" s="129" t="s">
        <v>848</v>
      </c>
      <c r="D22" s="174" t="s">
        <v>759</v>
      </c>
      <c r="E22" s="180">
        <v>1</v>
      </c>
      <c r="F22" s="133"/>
      <c r="G22" s="123">
        <f t="shared" si="0"/>
        <v>0</v>
      </c>
      <c r="H22" s="119"/>
      <c r="I22" s="119"/>
      <c r="J22" s="119"/>
      <c r="K22" s="119"/>
      <c r="L22" s="119" t="s">
        <v>771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</row>
    <row r="23" spans="1:61" s="111" customFormat="1" ht="12.75">
      <c r="A23" s="120">
        <f t="shared" si="1"/>
        <v>17</v>
      </c>
      <c r="B23" s="170" t="s">
        <v>771</v>
      </c>
      <c r="C23" s="208" t="s">
        <v>915</v>
      </c>
      <c r="D23" s="174" t="s">
        <v>759</v>
      </c>
      <c r="E23" s="180">
        <v>2</v>
      </c>
      <c r="F23" s="133"/>
      <c r="G23" s="123">
        <f t="shared" si="0"/>
        <v>0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</row>
    <row r="24" spans="1:61" s="111" customFormat="1" ht="12.75">
      <c r="A24" s="120">
        <f t="shared" si="1"/>
        <v>18</v>
      </c>
      <c r="B24" s="206" t="s">
        <v>771</v>
      </c>
      <c r="C24" s="207" t="s">
        <v>919</v>
      </c>
      <c r="D24" s="158" t="s">
        <v>771</v>
      </c>
      <c r="E24" s="181" t="s">
        <v>771</v>
      </c>
      <c r="F24" s="131"/>
      <c r="G24" s="123" t="s">
        <v>771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</row>
    <row r="25" spans="1:61" s="111" customFormat="1" ht="12.75">
      <c r="A25" s="120">
        <f t="shared" si="1"/>
        <v>19</v>
      </c>
      <c r="B25" s="206"/>
      <c r="C25" s="207" t="s">
        <v>916</v>
      </c>
      <c r="D25" s="158"/>
      <c r="E25" s="181"/>
      <c r="F25" s="131"/>
      <c r="G25" s="123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111" customFormat="1" ht="12.75">
      <c r="A26" s="120">
        <f t="shared" si="1"/>
        <v>20</v>
      </c>
      <c r="B26" s="170"/>
      <c r="C26" s="116" t="s">
        <v>788</v>
      </c>
      <c r="D26" s="174" t="s">
        <v>771</v>
      </c>
      <c r="E26" s="182" t="s">
        <v>771</v>
      </c>
      <c r="F26" s="133"/>
      <c r="G26" s="123" t="s">
        <v>771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</row>
    <row r="27" spans="1:61" s="111" customFormat="1" ht="12.75">
      <c r="A27" s="120">
        <f t="shared" si="1"/>
        <v>21</v>
      </c>
      <c r="B27" s="171"/>
      <c r="C27" s="121" t="s">
        <v>921</v>
      </c>
      <c r="D27" s="174" t="s">
        <v>773</v>
      </c>
      <c r="E27" s="182">
        <v>1525</v>
      </c>
      <c r="F27" s="133"/>
      <c r="G27" s="123">
        <f>E27*F27</f>
        <v>0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</row>
    <row r="28" spans="1:61" s="111" customFormat="1" ht="12.75">
      <c r="A28" s="120">
        <f t="shared" si="1"/>
        <v>22</v>
      </c>
      <c r="B28" s="171"/>
      <c r="C28" s="121" t="s">
        <v>853</v>
      </c>
      <c r="D28" s="174" t="s">
        <v>759</v>
      </c>
      <c r="E28" s="182">
        <f>(E7+E10+E13+E12)*2</f>
        <v>76</v>
      </c>
      <c r="F28" s="133"/>
      <c r="G28" s="123">
        <f aca="true" t="shared" si="2" ref="G28:G74">E28*F28</f>
        <v>0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1" s="111" customFormat="1" ht="12.75">
      <c r="A29" s="120">
        <f t="shared" si="1"/>
        <v>23</v>
      </c>
      <c r="B29" s="171"/>
      <c r="C29" s="121" t="s">
        <v>854</v>
      </c>
      <c r="D29" s="174" t="s">
        <v>759</v>
      </c>
      <c r="E29" s="182">
        <f>E28</f>
        <v>76</v>
      </c>
      <c r="F29" s="133"/>
      <c r="G29" s="123">
        <f t="shared" si="2"/>
        <v>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</row>
    <row r="30" spans="1:61" s="111" customFormat="1" ht="12.75">
      <c r="A30" s="120">
        <f t="shared" si="1"/>
        <v>24</v>
      </c>
      <c r="B30" s="171"/>
      <c r="C30" s="121" t="s">
        <v>855</v>
      </c>
      <c r="D30" s="174" t="s">
        <v>759</v>
      </c>
      <c r="E30" s="182">
        <v>38</v>
      </c>
      <c r="F30" s="133"/>
      <c r="G30" s="123">
        <f t="shared" si="2"/>
        <v>0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</row>
    <row r="31" spans="1:61" s="111" customFormat="1" ht="12.75">
      <c r="A31" s="120">
        <f t="shared" si="1"/>
        <v>25</v>
      </c>
      <c r="B31" s="161" t="s">
        <v>856</v>
      </c>
      <c r="C31" s="160" t="s">
        <v>857</v>
      </c>
      <c r="D31" s="174" t="s">
        <v>759</v>
      </c>
      <c r="E31" s="182">
        <f>E7</f>
        <v>12</v>
      </c>
      <c r="F31" s="133"/>
      <c r="G31" s="123">
        <f t="shared" si="2"/>
        <v>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</row>
    <row r="32" spans="1:61" s="111" customFormat="1" ht="12.75">
      <c r="A32" s="120">
        <f t="shared" si="1"/>
        <v>26</v>
      </c>
      <c r="B32" s="161" t="s">
        <v>858</v>
      </c>
      <c r="C32" s="160" t="s">
        <v>859</v>
      </c>
      <c r="D32" s="174" t="s">
        <v>759</v>
      </c>
      <c r="E32" s="182">
        <f>E31</f>
        <v>12</v>
      </c>
      <c r="F32" s="133"/>
      <c r="G32" s="123">
        <f t="shared" si="2"/>
        <v>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</row>
    <row r="33" spans="1:61" s="111" customFormat="1" ht="12.75">
      <c r="A33" s="120">
        <f t="shared" si="1"/>
        <v>27</v>
      </c>
      <c r="B33" s="162">
        <v>752400</v>
      </c>
      <c r="C33" s="122" t="s">
        <v>860</v>
      </c>
      <c r="D33" s="158" t="s">
        <v>759</v>
      </c>
      <c r="E33" s="182">
        <v>600</v>
      </c>
      <c r="F33" s="133"/>
      <c r="G33" s="123">
        <f t="shared" si="2"/>
        <v>0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</row>
    <row r="34" spans="1:61" s="111" customFormat="1" ht="12.75">
      <c r="A34" s="120">
        <f t="shared" si="1"/>
        <v>28</v>
      </c>
      <c r="B34" s="162">
        <v>803900</v>
      </c>
      <c r="C34" s="163" t="s">
        <v>861</v>
      </c>
      <c r="D34" s="158" t="s">
        <v>759</v>
      </c>
      <c r="E34" s="182">
        <f>E33</f>
        <v>600</v>
      </c>
      <c r="F34" s="133"/>
      <c r="G34" s="123">
        <f t="shared" si="2"/>
        <v>0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</row>
    <row r="35" spans="1:61" s="111" customFormat="1" ht="12.75">
      <c r="A35" s="120">
        <f t="shared" si="1"/>
        <v>29</v>
      </c>
      <c r="B35" s="159" t="s">
        <v>862</v>
      </c>
      <c r="C35" s="160" t="s">
        <v>863</v>
      </c>
      <c r="D35" s="174" t="s">
        <v>759</v>
      </c>
      <c r="E35" s="182">
        <v>400</v>
      </c>
      <c r="F35" s="133"/>
      <c r="G35" s="123">
        <f t="shared" si="2"/>
        <v>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</row>
    <row r="36" spans="1:61" s="111" customFormat="1" ht="12.75">
      <c r="A36" s="120">
        <f t="shared" si="1"/>
        <v>30</v>
      </c>
      <c r="B36" s="159" t="s">
        <v>864</v>
      </c>
      <c r="C36" s="160" t="s">
        <v>918</v>
      </c>
      <c r="D36" s="174" t="s">
        <v>773</v>
      </c>
      <c r="E36" s="182">
        <v>400</v>
      </c>
      <c r="F36" s="133"/>
      <c r="G36" s="123">
        <f t="shared" si="2"/>
        <v>0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</row>
    <row r="37" spans="1:61" s="111" customFormat="1" ht="12.75">
      <c r="A37" s="120">
        <f t="shared" si="1"/>
        <v>31</v>
      </c>
      <c r="B37" s="159" t="s">
        <v>920</v>
      </c>
      <c r="C37" s="160" t="s">
        <v>917</v>
      </c>
      <c r="D37" s="174" t="s">
        <v>773</v>
      </c>
      <c r="E37" s="182">
        <v>200</v>
      </c>
      <c r="F37" s="209"/>
      <c r="G37" s="123">
        <f t="shared" si="2"/>
        <v>0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</row>
    <row r="38" spans="1:61" s="111" customFormat="1" ht="12.75">
      <c r="A38" s="120">
        <f t="shared" si="1"/>
        <v>32</v>
      </c>
      <c r="B38" s="159"/>
      <c r="C38" s="122" t="s">
        <v>926</v>
      </c>
      <c r="D38" s="158" t="s">
        <v>927</v>
      </c>
      <c r="E38" s="212">
        <v>0.005</v>
      </c>
      <c r="F38" s="209"/>
      <c r="G38" s="123"/>
      <c r="H38" s="119" t="s">
        <v>771</v>
      </c>
      <c r="I38" s="119" t="s">
        <v>771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</row>
    <row r="39" spans="1:7" ht="12.75">
      <c r="A39" s="120">
        <f t="shared" si="1"/>
        <v>33</v>
      </c>
      <c r="B39" s="136" t="s">
        <v>771</v>
      </c>
      <c r="C39" s="116" t="s">
        <v>805</v>
      </c>
      <c r="D39" s="174" t="s">
        <v>759</v>
      </c>
      <c r="E39" s="183">
        <v>12</v>
      </c>
      <c r="F39" s="135"/>
      <c r="G39" s="123">
        <f t="shared" si="2"/>
        <v>0</v>
      </c>
    </row>
    <row r="40" spans="1:7" ht="12.75">
      <c r="A40" s="120">
        <f t="shared" si="1"/>
        <v>34</v>
      </c>
      <c r="B40" s="136" t="s">
        <v>827</v>
      </c>
      <c r="C40" s="122" t="s">
        <v>866</v>
      </c>
      <c r="D40" s="158" t="s">
        <v>773</v>
      </c>
      <c r="E40" s="184">
        <v>400</v>
      </c>
      <c r="F40" s="164"/>
      <c r="G40" s="123">
        <f t="shared" si="2"/>
        <v>0</v>
      </c>
    </row>
    <row r="41" spans="1:7" ht="12.75">
      <c r="A41" s="120">
        <f t="shared" si="1"/>
        <v>35</v>
      </c>
      <c r="B41" s="136" t="s">
        <v>828</v>
      </c>
      <c r="C41" s="127" t="s">
        <v>867</v>
      </c>
      <c r="D41" s="158" t="s">
        <v>868</v>
      </c>
      <c r="E41" s="185">
        <v>300</v>
      </c>
      <c r="F41" s="164"/>
      <c r="G41" s="123">
        <f t="shared" si="2"/>
        <v>0</v>
      </c>
    </row>
    <row r="42" spans="1:7" ht="12.75">
      <c r="A42" s="120">
        <f t="shared" si="1"/>
        <v>36</v>
      </c>
      <c r="B42" s="136" t="s">
        <v>829</v>
      </c>
      <c r="C42" s="127" t="s">
        <v>924</v>
      </c>
      <c r="D42" s="158"/>
      <c r="E42" s="185"/>
      <c r="F42" s="164"/>
      <c r="G42" s="123"/>
    </row>
    <row r="43" spans="1:7" ht="12.75">
      <c r="A43" s="120">
        <f t="shared" si="1"/>
        <v>37</v>
      </c>
      <c r="B43" s="136" t="s">
        <v>830</v>
      </c>
      <c r="C43" s="122" t="s">
        <v>869</v>
      </c>
      <c r="D43" s="158" t="s">
        <v>759</v>
      </c>
      <c r="E43" s="184">
        <v>50</v>
      </c>
      <c r="F43" s="164"/>
      <c r="G43" s="123">
        <f t="shared" si="2"/>
        <v>0</v>
      </c>
    </row>
    <row r="44" spans="1:7" ht="12.75">
      <c r="A44" s="120">
        <f t="shared" si="1"/>
        <v>38</v>
      </c>
      <c r="B44" s="136" t="s">
        <v>831</v>
      </c>
      <c r="C44" s="130" t="s">
        <v>896</v>
      </c>
      <c r="D44" s="158" t="s">
        <v>759</v>
      </c>
      <c r="E44" s="194">
        <f>E34</f>
        <v>600</v>
      </c>
      <c r="F44" s="164"/>
      <c r="G44" s="123">
        <f t="shared" si="2"/>
        <v>0</v>
      </c>
    </row>
    <row r="45" spans="1:7" ht="12.75">
      <c r="A45" s="120">
        <f t="shared" si="1"/>
        <v>39</v>
      </c>
      <c r="B45" s="136" t="s">
        <v>832</v>
      </c>
      <c r="C45" s="195" t="s">
        <v>897</v>
      </c>
      <c r="D45" s="158" t="s">
        <v>759</v>
      </c>
      <c r="E45" s="196">
        <f>E44</f>
        <v>600</v>
      </c>
      <c r="F45" s="135"/>
      <c r="G45" s="123">
        <f t="shared" si="2"/>
        <v>0</v>
      </c>
    </row>
    <row r="46" spans="1:7" ht="12.75">
      <c r="A46" s="120">
        <f t="shared" si="1"/>
        <v>40</v>
      </c>
      <c r="B46" s="136" t="s">
        <v>833</v>
      </c>
      <c r="C46" s="122" t="s">
        <v>870</v>
      </c>
      <c r="D46" s="128" t="s">
        <v>773</v>
      </c>
      <c r="E46" s="186">
        <v>50</v>
      </c>
      <c r="F46" s="165"/>
      <c r="G46" s="123">
        <f t="shared" si="2"/>
        <v>0</v>
      </c>
    </row>
    <row r="47" spans="1:7" ht="22.5">
      <c r="A47" s="120">
        <f t="shared" si="1"/>
        <v>41</v>
      </c>
      <c r="B47" s="136" t="s">
        <v>834</v>
      </c>
      <c r="C47" s="166" t="s">
        <v>871</v>
      </c>
      <c r="D47" s="128" t="s">
        <v>773</v>
      </c>
      <c r="E47" s="186">
        <v>150</v>
      </c>
      <c r="F47" s="165"/>
      <c r="G47" s="123">
        <f t="shared" si="2"/>
        <v>0</v>
      </c>
    </row>
    <row r="48" spans="1:7" ht="22.5">
      <c r="A48" s="120">
        <f t="shared" si="1"/>
        <v>42</v>
      </c>
      <c r="B48" s="136" t="s">
        <v>835</v>
      </c>
      <c r="C48" s="166" t="s">
        <v>872</v>
      </c>
      <c r="D48" s="128" t="s">
        <v>773</v>
      </c>
      <c r="E48" s="186">
        <f>E37</f>
        <v>200</v>
      </c>
      <c r="F48" s="165"/>
      <c r="G48" s="123">
        <f t="shared" si="2"/>
        <v>0</v>
      </c>
    </row>
    <row r="49" spans="1:7" ht="22.5">
      <c r="A49" s="283" t="s">
        <v>765</v>
      </c>
      <c r="B49" s="284" t="s">
        <v>766</v>
      </c>
      <c r="C49" s="284" t="s">
        <v>726</v>
      </c>
      <c r="D49" s="284" t="s">
        <v>767</v>
      </c>
      <c r="E49" s="284" t="s">
        <v>768</v>
      </c>
      <c r="F49" s="284" t="s">
        <v>801</v>
      </c>
      <c r="G49" s="285" t="s">
        <v>802</v>
      </c>
    </row>
    <row r="50" spans="1:7" ht="12.75">
      <c r="A50" s="286">
        <v>1</v>
      </c>
      <c r="B50" s="287">
        <v>2</v>
      </c>
      <c r="C50" s="287">
        <v>3</v>
      </c>
      <c r="D50" s="287">
        <v>4</v>
      </c>
      <c r="E50" s="287">
        <v>5</v>
      </c>
      <c r="F50" s="287">
        <v>6</v>
      </c>
      <c r="G50" s="288">
        <v>7</v>
      </c>
    </row>
    <row r="51" spans="1:7" ht="12.75">
      <c r="A51" s="120">
        <f>A48+1</f>
        <v>43</v>
      </c>
      <c r="B51" s="136" t="s">
        <v>836</v>
      </c>
      <c r="C51" s="122" t="s">
        <v>873</v>
      </c>
      <c r="D51" s="158" t="s">
        <v>773</v>
      </c>
      <c r="E51" s="186">
        <f>E46</f>
        <v>50</v>
      </c>
      <c r="F51" s="165"/>
      <c r="G51" s="123">
        <f t="shared" si="2"/>
        <v>0</v>
      </c>
    </row>
    <row r="52" spans="1:7" ht="12.75">
      <c r="A52" s="120">
        <f t="shared" si="1"/>
        <v>44</v>
      </c>
      <c r="B52" s="136" t="s">
        <v>837</v>
      </c>
      <c r="C52" s="166" t="s">
        <v>890</v>
      </c>
      <c r="D52" s="128" t="s">
        <v>773</v>
      </c>
      <c r="E52" s="186">
        <f>E27</f>
        <v>1525</v>
      </c>
      <c r="F52" s="167"/>
      <c r="G52" s="211">
        <f t="shared" si="2"/>
        <v>0</v>
      </c>
    </row>
    <row r="53" spans="1:7" ht="12.75">
      <c r="A53" s="120">
        <f t="shared" si="1"/>
        <v>45</v>
      </c>
      <c r="B53" s="136" t="s">
        <v>838</v>
      </c>
      <c r="C53" s="122" t="s">
        <v>874</v>
      </c>
      <c r="D53" s="158" t="s">
        <v>759</v>
      </c>
      <c r="E53" s="187">
        <f>(38)*2</f>
        <v>76</v>
      </c>
      <c r="F53" s="164"/>
      <c r="G53" s="123">
        <f t="shared" si="2"/>
        <v>0</v>
      </c>
    </row>
    <row r="54" spans="1:7" ht="12.75">
      <c r="A54" s="120">
        <f t="shared" si="1"/>
        <v>46</v>
      </c>
      <c r="B54" s="136" t="s">
        <v>839</v>
      </c>
      <c r="C54" s="124" t="s">
        <v>812</v>
      </c>
      <c r="D54" s="175" t="s">
        <v>759</v>
      </c>
      <c r="E54" s="188">
        <f>E28</f>
        <v>76</v>
      </c>
      <c r="F54" s="135"/>
      <c r="G54" s="123">
        <f t="shared" si="2"/>
        <v>0</v>
      </c>
    </row>
    <row r="55" spans="1:7" ht="12.75">
      <c r="A55" s="120">
        <f t="shared" si="1"/>
        <v>47</v>
      </c>
      <c r="B55" s="136" t="s">
        <v>840</v>
      </c>
      <c r="C55" s="122" t="s">
        <v>875</v>
      </c>
      <c r="D55" s="158" t="s">
        <v>759</v>
      </c>
      <c r="E55" s="189">
        <f>E53/2</f>
        <v>38</v>
      </c>
      <c r="F55" s="164"/>
      <c r="G55" s="123">
        <f t="shared" si="2"/>
        <v>0</v>
      </c>
    </row>
    <row r="56" spans="1:7" ht="12.75">
      <c r="A56" s="120">
        <f t="shared" si="1"/>
        <v>48</v>
      </c>
      <c r="B56" s="136" t="s">
        <v>841</v>
      </c>
      <c r="C56" s="122" t="s">
        <v>806</v>
      </c>
      <c r="D56" s="158" t="s">
        <v>759</v>
      </c>
      <c r="E56" s="185">
        <f>E12+E13</f>
        <v>18</v>
      </c>
      <c r="F56" s="135"/>
      <c r="G56" s="123">
        <f t="shared" si="2"/>
        <v>0</v>
      </c>
    </row>
    <row r="57" spans="1:7" ht="12.75">
      <c r="A57" s="120">
        <f t="shared" si="1"/>
        <v>49</v>
      </c>
      <c r="B57" s="136" t="s">
        <v>842</v>
      </c>
      <c r="C57" s="122" t="s">
        <v>892</v>
      </c>
      <c r="D57" s="158" t="s">
        <v>759</v>
      </c>
      <c r="E57" s="185">
        <f>E7+E10</f>
        <v>20</v>
      </c>
      <c r="F57" s="135"/>
      <c r="G57" s="123">
        <f t="shared" si="2"/>
        <v>0</v>
      </c>
    </row>
    <row r="58" spans="1:7" ht="12.75">
      <c r="A58" s="120">
        <f t="shared" si="1"/>
        <v>50</v>
      </c>
      <c r="B58" s="136" t="s">
        <v>843</v>
      </c>
      <c r="C58" s="172" t="s">
        <v>895</v>
      </c>
      <c r="D58" s="158" t="s">
        <v>759</v>
      </c>
      <c r="E58" s="187">
        <v>38</v>
      </c>
      <c r="F58" s="164"/>
      <c r="G58" s="123">
        <f t="shared" si="2"/>
        <v>0</v>
      </c>
    </row>
    <row r="59" spans="1:7" ht="12.75">
      <c r="A59" s="120">
        <f t="shared" si="1"/>
        <v>51</v>
      </c>
      <c r="B59" s="136" t="s">
        <v>844</v>
      </c>
      <c r="C59" s="173" t="s">
        <v>893</v>
      </c>
      <c r="D59" s="158" t="s">
        <v>759</v>
      </c>
      <c r="E59" s="187">
        <f>E58</f>
        <v>38</v>
      </c>
      <c r="F59" s="164"/>
      <c r="G59" s="123">
        <f t="shared" si="2"/>
        <v>0</v>
      </c>
    </row>
    <row r="60" spans="1:7" ht="12.75">
      <c r="A60" s="120">
        <f t="shared" si="1"/>
        <v>52</v>
      </c>
      <c r="B60" s="136" t="s">
        <v>876</v>
      </c>
      <c r="C60" s="115" t="s">
        <v>894</v>
      </c>
      <c r="D60" s="158" t="s">
        <v>759</v>
      </c>
      <c r="E60" s="187">
        <f>E58</f>
        <v>38</v>
      </c>
      <c r="F60" s="164"/>
      <c r="G60" s="123">
        <f t="shared" si="2"/>
        <v>0</v>
      </c>
    </row>
    <row r="61" spans="1:7" ht="12.75">
      <c r="A61" s="120">
        <f t="shared" si="1"/>
        <v>53</v>
      </c>
      <c r="B61" s="136" t="s">
        <v>877</v>
      </c>
      <c r="C61" s="122" t="s">
        <v>807</v>
      </c>
      <c r="D61" s="158" t="s">
        <v>759</v>
      </c>
      <c r="E61" s="185">
        <v>1</v>
      </c>
      <c r="F61" s="135"/>
      <c r="G61" s="123">
        <f t="shared" si="2"/>
        <v>0</v>
      </c>
    </row>
    <row r="62" spans="1:7" ht="12.75">
      <c r="A62" s="120">
        <f t="shared" si="1"/>
        <v>54</v>
      </c>
      <c r="B62" s="136" t="s">
        <v>878</v>
      </c>
      <c r="C62" s="122" t="s">
        <v>865</v>
      </c>
      <c r="D62" s="158" t="s">
        <v>816</v>
      </c>
      <c r="E62" s="185">
        <v>4</v>
      </c>
      <c r="F62" s="135"/>
      <c r="G62" s="123">
        <f t="shared" si="2"/>
        <v>0</v>
      </c>
    </row>
    <row r="63" spans="1:7" ht="12.75">
      <c r="A63" s="120">
        <f t="shared" si="1"/>
        <v>55</v>
      </c>
      <c r="B63" s="136" t="s">
        <v>879</v>
      </c>
      <c r="C63" s="122" t="s">
        <v>808</v>
      </c>
      <c r="D63" s="158" t="s">
        <v>816</v>
      </c>
      <c r="E63" s="185">
        <v>6</v>
      </c>
      <c r="F63" s="135"/>
      <c r="G63" s="123">
        <f t="shared" si="2"/>
        <v>0</v>
      </c>
    </row>
    <row r="64" spans="1:7" ht="12.75">
      <c r="A64" s="120">
        <f t="shared" si="1"/>
        <v>56</v>
      </c>
      <c r="B64" s="136" t="s">
        <v>880</v>
      </c>
      <c r="C64" s="122" t="s">
        <v>809</v>
      </c>
      <c r="D64" s="158" t="s">
        <v>759</v>
      </c>
      <c r="E64" s="185">
        <v>1</v>
      </c>
      <c r="F64" s="135"/>
      <c r="G64" s="123">
        <f t="shared" si="2"/>
        <v>0</v>
      </c>
    </row>
    <row r="65" spans="1:7" ht="12.75">
      <c r="A65" s="120">
        <f t="shared" si="1"/>
        <v>57</v>
      </c>
      <c r="B65" s="136" t="s">
        <v>881</v>
      </c>
      <c r="C65" s="122" t="s">
        <v>810</v>
      </c>
      <c r="D65" s="158" t="s">
        <v>759</v>
      </c>
      <c r="E65" s="185">
        <f>E13+E12</f>
        <v>18</v>
      </c>
      <c r="F65" s="135"/>
      <c r="G65" s="123">
        <f t="shared" si="2"/>
        <v>0</v>
      </c>
    </row>
    <row r="66" spans="1:7" ht="12.75">
      <c r="A66" s="120">
        <f t="shared" si="1"/>
        <v>58</v>
      </c>
      <c r="B66" s="136" t="s">
        <v>882</v>
      </c>
      <c r="C66" s="122" t="s">
        <v>819</v>
      </c>
      <c r="D66" s="158" t="s">
        <v>759</v>
      </c>
      <c r="E66" s="185">
        <f>E10+E7</f>
        <v>20</v>
      </c>
      <c r="F66" s="135"/>
      <c r="G66" s="123">
        <f t="shared" si="2"/>
        <v>0</v>
      </c>
    </row>
    <row r="67" spans="1:7" ht="12.75">
      <c r="A67" s="120">
        <f t="shared" si="1"/>
        <v>59</v>
      </c>
      <c r="B67" s="136" t="s">
        <v>883</v>
      </c>
      <c r="C67" s="122" t="s">
        <v>814</v>
      </c>
      <c r="D67" s="158" t="s">
        <v>759</v>
      </c>
      <c r="E67" s="185">
        <f>38</f>
        <v>38</v>
      </c>
      <c r="F67" s="135"/>
      <c r="G67" s="123">
        <f t="shared" si="2"/>
        <v>0</v>
      </c>
    </row>
    <row r="68" spans="1:7" ht="12.75">
      <c r="A68" s="120">
        <f t="shared" si="1"/>
        <v>60</v>
      </c>
      <c r="B68" s="136" t="s">
        <v>884</v>
      </c>
      <c r="C68" s="122" t="s">
        <v>813</v>
      </c>
      <c r="D68" s="158" t="s">
        <v>759</v>
      </c>
      <c r="E68" s="185">
        <v>1</v>
      </c>
      <c r="F68" s="135"/>
      <c r="G68" s="123">
        <f t="shared" si="2"/>
        <v>0</v>
      </c>
    </row>
    <row r="69" spans="1:7" ht="12.75">
      <c r="A69" s="120">
        <f t="shared" si="1"/>
        <v>61</v>
      </c>
      <c r="B69" s="136" t="s">
        <v>885</v>
      </c>
      <c r="C69" s="125" t="s">
        <v>815</v>
      </c>
      <c r="D69" s="158" t="s">
        <v>771</v>
      </c>
      <c r="E69" s="181"/>
      <c r="F69" s="135"/>
      <c r="G69" s="123" t="s">
        <v>771</v>
      </c>
    </row>
    <row r="70" spans="1:7" ht="12.75">
      <c r="A70" s="120">
        <f t="shared" si="1"/>
        <v>62</v>
      </c>
      <c r="B70" s="136" t="s">
        <v>886</v>
      </c>
      <c r="C70" s="126" t="s">
        <v>891</v>
      </c>
      <c r="D70" s="176" t="s">
        <v>816</v>
      </c>
      <c r="E70" s="190">
        <v>20</v>
      </c>
      <c r="F70" s="135"/>
      <c r="G70" s="123">
        <f t="shared" si="2"/>
        <v>0</v>
      </c>
    </row>
    <row r="71" spans="1:7" ht="12.75">
      <c r="A71" s="120">
        <f t="shared" si="1"/>
        <v>63</v>
      </c>
      <c r="B71" s="136" t="s">
        <v>887</v>
      </c>
      <c r="C71" s="122" t="s">
        <v>803</v>
      </c>
      <c r="D71" s="158" t="s">
        <v>816</v>
      </c>
      <c r="E71" s="181">
        <v>3</v>
      </c>
      <c r="F71" s="135"/>
      <c r="G71" s="123">
        <f t="shared" si="2"/>
        <v>0</v>
      </c>
    </row>
    <row r="72" spans="1:7" ht="12.75">
      <c r="A72" s="120">
        <f t="shared" si="1"/>
        <v>64</v>
      </c>
      <c r="B72" s="136" t="s">
        <v>888</v>
      </c>
      <c r="C72" s="122" t="s">
        <v>804</v>
      </c>
      <c r="D72" s="158" t="s">
        <v>816</v>
      </c>
      <c r="E72" s="181">
        <v>2</v>
      </c>
      <c r="F72" s="135"/>
      <c r="G72" s="123">
        <f t="shared" si="2"/>
        <v>0</v>
      </c>
    </row>
    <row r="73" spans="1:7" ht="12.75">
      <c r="A73" s="120">
        <f t="shared" si="1"/>
        <v>65</v>
      </c>
      <c r="B73" s="136" t="s">
        <v>889</v>
      </c>
      <c r="C73" s="122" t="s">
        <v>817</v>
      </c>
      <c r="D73" s="158" t="s">
        <v>816</v>
      </c>
      <c r="E73" s="181">
        <v>17</v>
      </c>
      <c r="F73" s="135"/>
      <c r="G73" s="123">
        <f t="shared" si="2"/>
        <v>0</v>
      </c>
    </row>
    <row r="74" spans="1:7" ht="12.75">
      <c r="A74" s="120">
        <f t="shared" si="1"/>
        <v>66</v>
      </c>
      <c r="B74" s="136" t="s">
        <v>925</v>
      </c>
      <c r="C74" s="126" t="s">
        <v>923</v>
      </c>
      <c r="D74" s="176" t="s">
        <v>818</v>
      </c>
      <c r="E74" s="190">
        <v>5</v>
      </c>
      <c r="F74" s="135"/>
      <c r="G74" s="123">
        <f t="shared" si="2"/>
        <v>0</v>
      </c>
    </row>
    <row r="75" spans="1:7" ht="12.75">
      <c r="A75" s="120">
        <f t="shared" si="1"/>
        <v>67</v>
      </c>
      <c r="B75" s="136"/>
      <c r="C75" s="125" t="s">
        <v>820</v>
      </c>
      <c r="D75" s="158"/>
      <c r="E75" s="181"/>
      <c r="F75" s="148"/>
      <c r="G75" s="146"/>
    </row>
    <row r="76" spans="1:8" ht="12.75">
      <c r="A76" s="120">
        <f t="shared" si="1"/>
        <v>68</v>
      </c>
      <c r="B76" s="142" t="s">
        <v>821</v>
      </c>
      <c r="C76" s="143" t="s">
        <v>822</v>
      </c>
      <c r="D76" s="158" t="s">
        <v>811</v>
      </c>
      <c r="E76" s="181">
        <v>1</v>
      </c>
      <c r="F76" s="148"/>
      <c r="G76" s="192"/>
      <c r="H76" s="119" t="s">
        <v>771</v>
      </c>
    </row>
    <row r="77" spans="1:8" ht="12.75">
      <c r="A77" s="120">
        <f t="shared" si="1"/>
        <v>69</v>
      </c>
      <c r="B77" s="142" t="s">
        <v>823</v>
      </c>
      <c r="C77" s="143" t="s">
        <v>824</v>
      </c>
      <c r="D77" s="158" t="s">
        <v>811</v>
      </c>
      <c r="E77" s="181">
        <v>1</v>
      </c>
      <c r="F77" s="148"/>
      <c r="G77" s="192"/>
      <c r="H77" s="119" t="s">
        <v>771</v>
      </c>
    </row>
    <row r="78" spans="1:7" ht="12.75">
      <c r="A78" s="197">
        <f>A77+1</f>
        <v>70</v>
      </c>
      <c r="B78" s="144" t="s">
        <v>825</v>
      </c>
      <c r="C78" s="145" t="s">
        <v>826</v>
      </c>
      <c r="D78" s="177" t="s">
        <v>811</v>
      </c>
      <c r="E78" s="191">
        <v>1</v>
      </c>
      <c r="F78" s="149"/>
      <c r="G78" s="193"/>
    </row>
  </sheetData>
  <sheetProtection/>
  <printOptions horizontalCentered="1"/>
  <pageMargins left="0.7086614173228347" right="0.7086614173228347" top="0.6299212598425197" bottom="0.7480314960629921" header="0.31496062992125984" footer="0.31496062992125984"/>
  <pageSetup horizontalDpi="600" verticalDpi="600" orientation="landscape" paperSize="9" scale="64" r:id="rId2"/>
  <headerFooter alignWithMargins="0">
    <oddFooter>&amp;L&amp;8 &amp;C&amp;8Strana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437"/>
  <sheetViews>
    <sheetView view="pageBreakPreview" zoomScaleNormal="115" zoomScaleSheetLayoutView="100" zoomScalePageLayoutView="0" workbookViewId="0" topLeftCell="A1">
      <selection activeCell="Z58" sqref="Z58"/>
    </sheetView>
  </sheetViews>
  <sheetFormatPr defaultColWidth="9.140625" defaultRowHeight="12.75"/>
  <cols>
    <col min="1" max="1" width="4.28125" style="1" customWidth="1"/>
    <col min="2" max="2" width="8.57421875" style="2" customWidth="1"/>
    <col min="3" max="3" width="4.28125" style="3" customWidth="1"/>
    <col min="4" max="4" width="42.8515625" style="4" customWidth="1"/>
    <col min="5" max="5" width="17.140625" style="4" customWidth="1"/>
    <col min="6" max="6" width="15.421875" style="87" customWidth="1"/>
    <col min="7" max="7" width="14.140625" style="4" customWidth="1"/>
    <col min="8" max="8" width="2.28125" style="73" customWidth="1"/>
    <col min="9" max="9" width="9.140625" style="7" customWidth="1"/>
    <col min="10" max="11" width="9.140625" style="4" customWidth="1"/>
    <col min="12" max="12" width="10.140625" style="4" bestFit="1" customWidth="1"/>
    <col min="13" max="22" width="9.140625" style="4" customWidth="1"/>
    <col min="23" max="24" width="9.140625" style="2" customWidth="1"/>
    <col min="25" max="27" width="9.140625" style="4" customWidth="1"/>
    <col min="28" max="28" width="48.00390625" style="4" customWidth="1"/>
    <col min="29" max="16384" width="9.140625" style="4" customWidth="1"/>
  </cols>
  <sheetData>
    <row r="1" ht="13.5" thickBot="1"/>
    <row r="2" spans="1:8" ht="14.25" thickBot="1" thickTop="1">
      <c r="A2" s="231" t="s">
        <v>725</v>
      </c>
      <c r="B2" s="231"/>
      <c r="C2" s="231"/>
      <c r="D2" s="106" t="s">
        <v>726</v>
      </c>
      <c r="E2" s="107" t="s">
        <v>759</v>
      </c>
      <c r="F2" s="106" t="s">
        <v>150</v>
      </c>
      <c r="G2" s="106" t="s">
        <v>733</v>
      </c>
      <c r="H2" s="91"/>
    </row>
    <row r="3" spans="1:8" ht="23.25" thickTop="1">
      <c r="A3" s="222" t="s">
        <v>722</v>
      </c>
      <c r="B3" s="223"/>
      <c r="C3" s="223"/>
      <c r="D3" s="96" t="s">
        <v>724</v>
      </c>
      <c r="E3" s="97" t="s">
        <v>740</v>
      </c>
      <c r="F3" s="98" t="s">
        <v>723</v>
      </c>
      <c r="G3" s="213" t="s">
        <v>721</v>
      </c>
      <c r="H3" s="91"/>
    </row>
    <row r="4" spans="1:8" ht="22.5">
      <c r="A4" s="216"/>
      <c r="B4" s="217"/>
      <c r="C4" s="217"/>
      <c r="D4" s="92" t="s">
        <v>727</v>
      </c>
      <c r="E4" s="93" t="s">
        <v>740</v>
      </c>
      <c r="F4" s="94" t="s">
        <v>730</v>
      </c>
      <c r="G4" s="214"/>
      <c r="H4" s="91"/>
    </row>
    <row r="5" spans="1:8" ht="22.5">
      <c r="A5" s="216"/>
      <c r="B5" s="217"/>
      <c r="C5" s="217"/>
      <c r="D5" s="92" t="s">
        <v>728</v>
      </c>
      <c r="E5" s="93" t="s">
        <v>740</v>
      </c>
      <c r="F5" s="94" t="s">
        <v>729</v>
      </c>
      <c r="G5" s="214"/>
      <c r="H5" s="91"/>
    </row>
    <row r="6" spans="1:8" ht="12.75">
      <c r="A6" s="216"/>
      <c r="B6" s="217"/>
      <c r="C6" s="217"/>
      <c r="D6" s="95" t="s">
        <v>731</v>
      </c>
      <c r="E6" s="93" t="s">
        <v>740</v>
      </c>
      <c r="F6" s="94" t="s">
        <v>732</v>
      </c>
      <c r="G6" s="214"/>
      <c r="H6" s="91"/>
    </row>
    <row r="7" spans="1:8" ht="22.5">
      <c r="A7" s="216" t="s">
        <v>219</v>
      </c>
      <c r="B7" s="217"/>
      <c r="C7" s="217"/>
      <c r="D7" s="92" t="s">
        <v>734</v>
      </c>
      <c r="E7" s="93" t="s">
        <v>740</v>
      </c>
      <c r="F7" s="94" t="s">
        <v>735</v>
      </c>
      <c r="G7" s="214"/>
      <c r="H7" s="91"/>
    </row>
    <row r="8" spans="1:8" ht="12" customHeight="1">
      <c r="A8" s="216" t="s">
        <v>189</v>
      </c>
      <c r="B8" s="217"/>
      <c r="C8" s="217"/>
      <c r="D8" s="92" t="s">
        <v>736</v>
      </c>
      <c r="E8" s="93" t="s">
        <v>740</v>
      </c>
      <c r="F8" s="94" t="s">
        <v>737</v>
      </c>
      <c r="G8" s="214"/>
      <c r="H8" s="91"/>
    </row>
    <row r="9" spans="1:8" ht="12" customHeight="1" thickBot="1">
      <c r="A9" s="218" t="s">
        <v>216</v>
      </c>
      <c r="B9" s="219"/>
      <c r="C9" s="219"/>
      <c r="D9" s="99" t="s">
        <v>736</v>
      </c>
      <c r="E9" s="100" t="s">
        <v>740</v>
      </c>
      <c r="F9" s="101" t="s">
        <v>737</v>
      </c>
      <c r="G9" s="215"/>
      <c r="H9" s="91"/>
    </row>
    <row r="10" spans="1:8" ht="23.25" thickTop="1">
      <c r="A10" s="222" t="s">
        <v>224</v>
      </c>
      <c r="B10" s="223"/>
      <c r="C10" s="223"/>
      <c r="D10" s="96" t="s">
        <v>738</v>
      </c>
      <c r="E10" s="97" t="s">
        <v>740</v>
      </c>
      <c r="F10" s="98" t="s">
        <v>739</v>
      </c>
      <c r="G10" s="213" t="s">
        <v>742</v>
      </c>
      <c r="H10" s="91"/>
    </row>
    <row r="11" spans="1:8" ht="22.5">
      <c r="A11" s="216"/>
      <c r="B11" s="217"/>
      <c r="C11" s="217"/>
      <c r="D11" s="92" t="s">
        <v>728</v>
      </c>
      <c r="E11" s="93" t="s">
        <v>741</v>
      </c>
      <c r="F11" s="94" t="s">
        <v>729</v>
      </c>
      <c r="G11" s="214"/>
      <c r="H11" s="91"/>
    </row>
    <row r="12" spans="1:8" ht="12.75" customHeight="1">
      <c r="A12" s="216" t="s">
        <v>248</v>
      </c>
      <c r="B12" s="217"/>
      <c r="C12" s="217"/>
      <c r="D12" s="92" t="s">
        <v>736</v>
      </c>
      <c r="E12" s="93" t="s">
        <v>740</v>
      </c>
      <c r="F12" s="94" t="s">
        <v>737</v>
      </c>
      <c r="G12" s="214"/>
      <c r="H12" s="91"/>
    </row>
    <row r="13" spans="1:8" ht="12.75" customHeight="1">
      <c r="A13" s="216" t="s">
        <v>271</v>
      </c>
      <c r="B13" s="217"/>
      <c r="C13" s="217"/>
      <c r="D13" s="92" t="s">
        <v>736</v>
      </c>
      <c r="E13" s="93" t="s">
        <v>740</v>
      </c>
      <c r="F13" s="94" t="s">
        <v>737</v>
      </c>
      <c r="G13" s="214"/>
      <c r="H13" s="91"/>
    </row>
    <row r="14" spans="1:8" ht="12.75" customHeight="1" thickBot="1">
      <c r="A14" s="218" t="s">
        <v>298</v>
      </c>
      <c r="B14" s="219"/>
      <c r="C14" s="219"/>
      <c r="D14" s="99" t="s">
        <v>736</v>
      </c>
      <c r="E14" s="100" t="s">
        <v>740</v>
      </c>
      <c r="F14" s="101" t="s">
        <v>737</v>
      </c>
      <c r="G14" s="215"/>
      <c r="H14" s="91"/>
    </row>
    <row r="15" spans="1:8" ht="24" thickBot="1" thickTop="1">
      <c r="A15" s="220" t="s">
        <v>301</v>
      </c>
      <c r="B15" s="221"/>
      <c r="C15" s="221"/>
      <c r="D15" s="102" t="s">
        <v>738</v>
      </c>
      <c r="E15" s="103" t="s">
        <v>740</v>
      </c>
      <c r="F15" s="104" t="s">
        <v>739</v>
      </c>
      <c r="G15" s="105" t="s">
        <v>755</v>
      </c>
      <c r="H15" s="91"/>
    </row>
    <row r="16" spans="1:8" ht="24" thickBot="1" thickTop="1">
      <c r="A16" s="220" t="s">
        <v>325</v>
      </c>
      <c r="B16" s="221"/>
      <c r="C16" s="221"/>
      <c r="D16" s="102" t="s">
        <v>738</v>
      </c>
      <c r="E16" s="103" t="s">
        <v>740</v>
      </c>
      <c r="F16" s="104" t="s">
        <v>739</v>
      </c>
      <c r="G16" s="105" t="s">
        <v>756</v>
      </c>
      <c r="H16" s="91"/>
    </row>
    <row r="17" spans="1:8" ht="23.25" thickTop="1">
      <c r="A17" s="222" t="s">
        <v>342</v>
      </c>
      <c r="B17" s="223"/>
      <c r="C17" s="223"/>
      <c r="D17" s="96" t="s">
        <v>738</v>
      </c>
      <c r="E17" s="97" t="s">
        <v>740</v>
      </c>
      <c r="F17" s="98" t="s">
        <v>739</v>
      </c>
      <c r="G17" s="213" t="s">
        <v>757</v>
      </c>
      <c r="H17" s="91"/>
    </row>
    <row r="18" spans="1:8" ht="22.5">
      <c r="A18" s="216"/>
      <c r="B18" s="217"/>
      <c r="C18" s="217"/>
      <c r="D18" s="92" t="s">
        <v>728</v>
      </c>
      <c r="E18" s="93" t="s">
        <v>741</v>
      </c>
      <c r="F18" s="94" t="s">
        <v>729</v>
      </c>
      <c r="G18" s="214"/>
      <c r="H18" s="91"/>
    </row>
    <row r="19" spans="1:8" ht="12.75" customHeight="1">
      <c r="A19" s="216" t="s">
        <v>360</v>
      </c>
      <c r="B19" s="217"/>
      <c r="C19" s="217"/>
      <c r="D19" s="92" t="s">
        <v>736</v>
      </c>
      <c r="E19" s="93" t="s">
        <v>740</v>
      </c>
      <c r="F19" s="94" t="s">
        <v>737</v>
      </c>
      <c r="G19" s="214"/>
      <c r="H19" s="91"/>
    </row>
    <row r="20" spans="1:8" ht="12.75" customHeight="1">
      <c r="A20" s="216" t="s">
        <v>367</v>
      </c>
      <c r="B20" s="217"/>
      <c r="C20" s="217"/>
      <c r="D20" s="92" t="s">
        <v>736</v>
      </c>
      <c r="E20" s="93" t="s">
        <v>740</v>
      </c>
      <c r="F20" s="94" t="s">
        <v>737</v>
      </c>
      <c r="G20" s="214"/>
      <c r="H20" s="91"/>
    </row>
    <row r="21" spans="1:8" ht="12.75" customHeight="1">
      <c r="A21" s="216" t="s">
        <v>374</v>
      </c>
      <c r="B21" s="217"/>
      <c r="C21" s="217"/>
      <c r="D21" s="92" t="s">
        <v>736</v>
      </c>
      <c r="E21" s="93" t="s">
        <v>740</v>
      </c>
      <c r="F21" s="94" t="s">
        <v>737</v>
      </c>
      <c r="G21" s="214"/>
      <c r="H21" s="91"/>
    </row>
    <row r="22" spans="1:8" ht="12.75" customHeight="1" thickBot="1">
      <c r="A22" s="218" t="s">
        <v>401</v>
      </c>
      <c r="B22" s="219"/>
      <c r="C22" s="219"/>
      <c r="D22" s="99" t="s">
        <v>736</v>
      </c>
      <c r="E22" s="100" t="s">
        <v>740</v>
      </c>
      <c r="F22" s="101" t="s">
        <v>737</v>
      </c>
      <c r="G22" s="215"/>
      <c r="H22" s="91"/>
    </row>
    <row r="23" spans="1:8" ht="24" thickBot="1" thickTop="1">
      <c r="A23" s="220" t="s">
        <v>412</v>
      </c>
      <c r="B23" s="221"/>
      <c r="C23" s="221"/>
      <c r="D23" s="102" t="s">
        <v>738</v>
      </c>
      <c r="E23" s="103" t="s">
        <v>740</v>
      </c>
      <c r="F23" s="104" t="s">
        <v>739</v>
      </c>
      <c r="G23" s="105" t="s">
        <v>758</v>
      </c>
      <c r="H23" s="91"/>
    </row>
    <row r="24" spans="1:7" ht="14.25" thickBot="1" thickTop="1">
      <c r="A24" s="2"/>
      <c r="C24" s="2"/>
      <c r="D24" s="88"/>
      <c r="E24" s="2"/>
      <c r="F24" s="4"/>
      <c r="G24" s="90"/>
    </row>
    <row r="25" spans="1:8" ht="23.25" thickTop="1">
      <c r="A25" s="222" t="s">
        <v>760</v>
      </c>
      <c r="B25" s="223"/>
      <c r="C25" s="223"/>
      <c r="D25" s="96" t="s">
        <v>724</v>
      </c>
      <c r="E25" s="97" t="s">
        <v>740</v>
      </c>
      <c r="F25" s="98" t="s">
        <v>723</v>
      </c>
      <c r="G25" s="213" t="s">
        <v>761</v>
      </c>
      <c r="H25" s="91"/>
    </row>
    <row r="26" spans="1:8" ht="22.5">
      <c r="A26" s="216"/>
      <c r="B26" s="217"/>
      <c r="C26" s="217"/>
      <c r="D26" s="92" t="s">
        <v>727</v>
      </c>
      <c r="E26" s="93" t="s">
        <v>740</v>
      </c>
      <c r="F26" s="94" t="s">
        <v>730</v>
      </c>
      <c r="G26" s="214"/>
      <c r="H26" s="91"/>
    </row>
    <row r="27" spans="1:8" ht="22.5">
      <c r="A27" s="216"/>
      <c r="B27" s="217"/>
      <c r="C27" s="217"/>
      <c r="D27" s="92" t="s">
        <v>728</v>
      </c>
      <c r="E27" s="93" t="s">
        <v>740</v>
      </c>
      <c r="F27" s="94" t="s">
        <v>729</v>
      </c>
      <c r="G27" s="214"/>
      <c r="H27" s="91"/>
    </row>
    <row r="28" spans="1:8" ht="12.75">
      <c r="A28" s="216"/>
      <c r="B28" s="217"/>
      <c r="C28" s="217"/>
      <c r="D28" s="95" t="s">
        <v>731</v>
      </c>
      <c r="E28" s="93" t="s">
        <v>740</v>
      </c>
      <c r="F28" s="94" t="s">
        <v>732</v>
      </c>
      <c r="G28" s="214"/>
      <c r="H28" s="91"/>
    </row>
    <row r="29" spans="1:8" ht="22.5">
      <c r="A29" s="216" t="s">
        <v>439</v>
      </c>
      <c r="B29" s="217"/>
      <c r="C29" s="217"/>
      <c r="D29" s="92" t="s">
        <v>738</v>
      </c>
      <c r="E29" s="93" t="s">
        <v>740</v>
      </c>
      <c r="F29" s="94" t="s">
        <v>739</v>
      </c>
      <c r="G29" s="214"/>
      <c r="H29" s="91"/>
    </row>
    <row r="30" spans="1:8" ht="22.5">
      <c r="A30" s="216"/>
      <c r="B30" s="217"/>
      <c r="C30" s="217"/>
      <c r="D30" s="92" t="s">
        <v>728</v>
      </c>
      <c r="E30" s="93" t="s">
        <v>741</v>
      </c>
      <c r="F30" s="94" t="s">
        <v>729</v>
      </c>
      <c r="G30" s="214"/>
      <c r="H30" s="91"/>
    </row>
    <row r="31" spans="1:8" ht="22.5">
      <c r="A31" s="216" t="s">
        <v>440</v>
      </c>
      <c r="B31" s="217"/>
      <c r="C31" s="217"/>
      <c r="D31" s="92" t="s">
        <v>738</v>
      </c>
      <c r="E31" s="93" t="s">
        <v>740</v>
      </c>
      <c r="F31" s="94" t="s">
        <v>739</v>
      </c>
      <c r="G31" s="214"/>
      <c r="H31" s="91"/>
    </row>
    <row r="32" spans="1:8" ht="22.5">
      <c r="A32" s="216"/>
      <c r="B32" s="217"/>
      <c r="C32" s="217"/>
      <c r="D32" s="92" t="s">
        <v>728</v>
      </c>
      <c r="E32" s="93" t="s">
        <v>740</v>
      </c>
      <c r="F32" s="94" t="s">
        <v>729</v>
      </c>
      <c r="G32" s="214"/>
      <c r="H32" s="91"/>
    </row>
    <row r="33" spans="1:8" ht="12" customHeight="1">
      <c r="A33" s="216" t="s">
        <v>502</v>
      </c>
      <c r="B33" s="217"/>
      <c r="C33" s="217"/>
      <c r="D33" s="92" t="s">
        <v>736</v>
      </c>
      <c r="E33" s="93" t="s">
        <v>740</v>
      </c>
      <c r="F33" s="94" t="s">
        <v>737</v>
      </c>
      <c r="G33" s="214"/>
      <c r="H33" s="91"/>
    </row>
    <row r="34" spans="1:8" ht="12" customHeight="1">
      <c r="A34" s="216" t="s">
        <v>509</v>
      </c>
      <c r="B34" s="217"/>
      <c r="C34" s="217"/>
      <c r="D34" s="92" t="s">
        <v>736</v>
      </c>
      <c r="E34" s="93" t="s">
        <v>740</v>
      </c>
      <c r="F34" s="94" t="s">
        <v>737</v>
      </c>
      <c r="G34" s="214"/>
      <c r="H34" s="91"/>
    </row>
    <row r="35" spans="1:8" ht="12" customHeight="1" thickBot="1">
      <c r="A35" s="218" t="s">
        <v>584</v>
      </c>
      <c r="B35" s="219"/>
      <c r="C35" s="219"/>
      <c r="D35" s="99" t="s">
        <v>736</v>
      </c>
      <c r="E35" s="100" t="s">
        <v>740</v>
      </c>
      <c r="F35" s="101" t="s">
        <v>737</v>
      </c>
      <c r="G35" s="215"/>
      <c r="H35" s="91"/>
    </row>
    <row r="36" spans="1:8" ht="12.75" customHeight="1" thickTop="1">
      <c r="A36" s="216" t="s">
        <v>688</v>
      </c>
      <c r="B36" s="217"/>
      <c r="C36" s="217"/>
      <c r="D36" s="92" t="s">
        <v>736</v>
      </c>
      <c r="E36" s="93" t="s">
        <v>740</v>
      </c>
      <c r="F36" s="94" t="s">
        <v>737</v>
      </c>
      <c r="G36" s="224" t="s">
        <v>758</v>
      </c>
      <c r="H36" s="91"/>
    </row>
    <row r="37" spans="1:8" ht="12.75" customHeight="1" thickBot="1">
      <c r="A37" s="218" t="s">
        <v>789</v>
      </c>
      <c r="B37" s="219"/>
      <c r="C37" s="219"/>
      <c r="D37" s="99" t="s">
        <v>736</v>
      </c>
      <c r="E37" s="100" t="s">
        <v>740</v>
      </c>
      <c r="F37" s="101" t="s">
        <v>737</v>
      </c>
      <c r="G37" s="225"/>
      <c r="H37" s="91"/>
    </row>
    <row r="38" spans="1:8" ht="23.25" thickTop="1">
      <c r="A38" s="222" t="s">
        <v>441</v>
      </c>
      <c r="B38" s="223"/>
      <c r="C38" s="223"/>
      <c r="D38" s="96" t="s">
        <v>738</v>
      </c>
      <c r="E38" s="97" t="s">
        <v>740</v>
      </c>
      <c r="F38" s="98" t="s">
        <v>739</v>
      </c>
      <c r="G38" s="213" t="s">
        <v>762</v>
      </c>
      <c r="H38" s="91"/>
    </row>
    <row r="39" spans="1:8" ht="23.25" thickBot="1">
      <c r="A39" s="218"/>
      <c r="B39" s="219"/>
      <c r="C39" s="219"/>
      <c r="D39" s="99" t="s">
        <v>728</v>
      </c>
      <c r="E39" s="100" t="s">
        <v>740</v>
      </c>
      <c r="F39" s="101" t="s">
        <v>729</v>
      </c>
      <c r="G39" s="215"/>
      <c r="H39" s="91"/>
    </row>
    <row r="40" spans="1:8" ht="23.25" thickTop="1">
      <c r="A40" s="222" t="s">
        <v>442</v>
      </c>
      <c r="B40" s="223"/>
      <c r="C40" s="223"/>
      <c r="D40" s="96" t="s">
        <v>738</v>
      </c>
      <c r="E40" s="97" t="s">
        <v>740</v>
      </c>
      <c r="F40" s="98" t="s">
        <v>739</v>
      </c>
      <c r="G40" s="213" t="s">
        <v>763</v>
      </c>
      <c r="H40" s="91"/>
    </row>
    <row r="41" spans="1:8" ht="22.5">
      <c r="A41" s="216"/>
      <c r="B41" s="217"/>
      <c r="C41" s="217"/>
      <c r="D41" s="92" t="s">
        <v>728</v>
      </c>
      <c r="E41" s="93" t="s">
        <v>741</v>
      </c>
      <c r="F41" s="94" t="s">
        <v>729</v>
      </c>
      <c r="G41" s="214"/>
      <c r="H41" s="91"/>
    </row>
    <row r="42" spans="1:8" ht="12" customHeight="1" thickBot="1">
      <c r="A42" s="218" t="s">
        <v>790</v>
      </c>
      <c r="B42" s="219"/>
      <c r="C42" s="219"/>
      <c r="D42" s="99" t="s">
        <v>736</v>
      </c>
      <c r="E42" s="100" t="s">
        <v>740</v>
      </c>
      <c r="F42" s="101" t="s">
        <v>737</v>
      </c>
      <c r="G42" s="215"/>
      <c r="H42" s="91"/>
    </row>
    <row r="43" spans="1:8" ht="24" thickBot="1" thickTop="1">
      <c r="A43" s="220" t="s">
        <v>443</v>
      </c>
      <c r="B43" s="221"/>
      <c r="C43" s="221"/>
      <c r="D43" s="102" t="s">
        <v>738</v>
      </c>
      <c r="E43" s="103" t="s">
        <v>740</v>
      </c>
      <c r="F43" s="104" t="s">
        <v>739</v>
      </c>
      <c r="G43" s="105" t="s">
        <v>764</v>
      </c>
      <c r="H43" s="91"/>
    </row>
    <row r="44" spans="1:7" ht="13.5" thickTop="1">
      <c r="A44" s="2"/>
      <c r="C44" s="2"/>
      <c r="D44" s="88"/>
      <c r="E44" s="2"/>
      <c r="F44" s="4"/>
      <c r="G44" s="90"/>
    </row>
    <row r="45" spans="1:7" ht="12.75">
      <c r="A45" s="2"/>
      <c r="C45" s="2"/>
      <c r="D45" s="88"/>
      <c r="E45" s="2"/>
      <c r="F45" s="4"/>
      <c r="G45" s="90"/>
    </row>
    <row r="46" spans="1:7" ht="12.75">
      <c r="A46" s="2"/>
      <c r="C46" s="2"/>
      <c r="D46" s="88"/>
      <c r="E46" s="2"/>
      <c r="F46" s="4"/>
      <c r="G46" s="90"/>
    </row>
    <row r="47" spans="1:7" ht="12.75">
      <c r="A47" s="2"/>
      <c r="C47" s="2"/>
      <c r="D47" s="88"/>
      <c r="E47" s="2"/>
      <c r="F47" s="4"/>
      <c r="G47" s="90"/>
    </row>
    <row r="48" spans="1:7" ht="12.75">
      <c r="A48" s="2"/>
      <c r="C48" s="2"/>
      <c r="D48" s="88"/>
      <c r="E48" s="2"/>
      <c r="F48" s="4"/>
      <c r="G48" s="90"/>
    </row>
    <row r="49" spans="1:7" ht="12.75">
      <c r="A49" s="2"/>
      <c r="C49" s="2"/>
      <c r="D49" s="88"/>
      <c r="E49" s="2"/>
      <c r="F49" s="4"/>
      <c r="G49" s="90"/>
    </row>
    <row r="50" ht="12.75"/>
    <row r="51" ht="12.75"/>
    <row r="52" spans="6:28" ht="12.75">
      <c r="F52" s="82"/>
      <c r="H52" s="72"/>
      <c r="I52" s="247" t="s">
        <v>153</v>
      </c>
      <c r="J52" s="247"/>
      <c r="K52" s="247"/>
      <c r="L52" s="2" t="s">
        <v>155</v>
      </c>
      <c r="M52" s="2" t="s">
        <v>155</v>
      </c>
      <c r="N52" s="2" t="s">
        <v>158</v>
      </c>
      <c r="O52" s="2" t="s">
        <v>160</v>
      </c>
      <c r="P52" s="2" t="s">
        <v>160</v>
      </c>
      <c r="Q52" s="2" t="s">
        <v>160</v>
      </c>
      <c r="R52" s="2" t="s">
        <v>161</v>
      </c>
      <c r="S52" s="2" t="s">
        <v>161</v>
      </c>
      <c r="T52" s="2" t="s">
        <v>161</v>
      </c>
      <c r="U52" s="2" t="s">
        <v>167</v>
      </c>
      <c r="V52" s="2" t="s">
        <v>167</v>
      </c>
      <c r="Y52" s="2" t="s">
        <v>168</v>
      </c>
      <c r="Z52" s="2" t="s">
        <v>175</v>
      </c>
      <c r="AA52" s="2" t="s">
        <v>176</v>
      </c>
      <c r="AB52" s="4" t="s">
        <v>170</v>
      </c>
    </row>
    <row r="53" spans="1:25" ht="12.75">
      <c r="A53" s="282" t="s">
        <v>148</v>
      </c>
      <c r="B53" s="282"/>
      <c r="C53" s="282"/>
      <c r="D53" s="4" t="s">
        <v>149</v>
      </c>
      <c r="E53" s="4" t="s">
        <v>152</v>
      </c>
      <c r="F53" s="82" t="s">
        <v>150</v>
      </c>
      <c r="G53" s="4" t="s">
        <v>151</v>
      </c>
      <c r="I53" s="7" t="s">
        <v>177</v>
      </c>
      <c r="J53" s="2" t="s">
        <v>154</v>
      </c>
      <c r="K53" s="2" t="s">
        <v>154</v>
      </c>
      <c r="L53" s="2" t="s">
        <v>156</v>
      </c>
      <c r="M53" s="2" t="s">
        <v>157</v>
      </c>
      <c r="N53" s="2" t="s">
        <v>159</v>
      </c>
      <c r="O53" s="2">
        <v>20</v>
      </c>
      <c r="P53" s="2">
        <v>25</v>
      </c>
      <c r="Q53" s="2">
        <v>32</v>
      </c>
      <c r="R53" s="2">
        <v>20</v>
      </c>
      <c r="S53" s="2">
        <v>25</v>
      </c>
      <c r="T53" s="2">
        <v>32</v>
      </c>
      <c r="U53" s="2">
        <v>111</v>
      </c>
      <c r="V53" s="2">
        <v>211</v>
      </c>
      <c r="W53" s="2" t="s">
        <v>166</v>
      </c>
      <c r="X53" s="2" t="s">
        <v>169</v>
      </c>
      <c r="Y53" s="2">
        <v>100</v>
      </c>
    </row>
    <row r="54" spans="1:25" ht="12.75">
      <c r="A54" s="5"/>
      <c r="B54" s="5"/>
      <c r="C54" s="5"/>
      <c r="F54" s="8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Y54" s="2"/>
    </row>
    <row r="55" spans="1:28" s="7" customFormat="1" ht="12.75">
      <c r="A55" s="15" t="s">
        <v>0</v>
      </c>
      <c r="B55" s="16" t="s">
        <v>174</v>
      </c>
      <c r="C55" s="17">
        <v>1</v>
      </c>
      <c r="D55" s="7" t="s">
        <v>171</v>
      </c>
      <c r="E55" s="7" t="s">
        <v>194</v>
      </c>
      <c r="F55" s="83" t="s">
        <v>777</v>
      </c>
      <c r="H55" s="73"/>
      <c r="I55" s="242" t="s">
        <v>185</v>
      </c>
      <c r="J55" s="248" t="s">
        <v>162</v>
      </c>
      <c r="K55" s="248" t="s">
        <v>187</v>
      </c>
      <c r="L55" s="259">
        <f>17824/3</f>
        <v>5941.333333333333</v>
      </c>
      <c r="M55" s="32"/>
      <c r="N55" s="32"/>
      <c r="O55" s="32"/>
      <c r="P55" s="32"/>
      <c r="Q55" s="32"/>
      <c r="R55" s="32"/>
      <c r="S55" s="32"/>
      <c r="T55" s="245">
        <f>(13396+10800)/3</f>
        <v>8065.333333333333</v>
      </c>
      <c r="U55" s="255">
        <v>1</v>
      </c>
      <c r="V55" s="32"/>
      <c r="W55" s="255">
        <v>2</v>
      </c>
      <c r="X55" s="33"/>
      <c r="Y55" s="32"/>
      <c r="Z55" s="32"/>
      <c r="AA55" s="32"/>
      <c r="AB55" s="250" t="s">
        <v>173</v>
      </c>
    </row>
    <row r="56" spans="1:28" s="7" customFormat="1" ht="12.75">
      <c r="A56" s="15" t="s">
        <v>1</v>
      </c>
      <c r="B56" s="16" t="s">
        <v>174</v>
      </c>
      <c r="C56" s="17">
        <v>2</v>
      </c>
      <c r="D56" s="7" t="s">
        <v>171</v>
      </c>
      <c r="E56" s="7" t="s">
        <v>163</v>
      </c>
      <c r="F56" s="83" t="s">
        <v>777</v>
      </c>
      <c r="H56" s="73"/>
      <c r="I56" s="243"/>
      <c r="J56" s="249"/>
      <c r="K56" s="249"/>
      <c r="L56" s="260"/>
      <c r="M56" s="34"/>
      <c r="N56" s="34"/>
      <c r="O56" s="34"/>
      <c r="P56" s="34"/>
      <c r="Q56" s="34"/>
      <c r="R56" s="34"/>
      <c r="S56" s="34"/>
      <c r="T56" s="258"/>
      <c r="U56" s="256"/>
      <c r="V56" s="34"/>
      <c r="W56" s="256"/>
      <c r="X56" s="35"/>
      <c r="Y56" s="34"/>
      <c r="Z56" s="34"/>
      <c r="AA56" s="34"/>
      <c r="AB56" s="251"/>
    </row>
    <row r="57" spans="1:28" s="7" customFormat="1" ht="12.75">
      <c r="A57" s="15" t="s">
        <v>2</v>
      </c>
      <c r="B57" s="16" t="s">
        <v>174</v>
      </c>
      <c r="C57" s="17">
        <v>3</v>
      </c>
      <c r="D57" s="7" t="s">
        <v>172</v>
      </c>
      <c r="E57" s="7" t="s">
        <v>165</v>
      </c>
      <c r="F57" s="83" t="s">
        <v>718</v>
      </c>
      <c r="H57" s="73"/>
      <c r="I57" s="243"/>
      <c r="J57" s="18" t="s">
        <v>162</v>
      </c>
      <c r="K57" s="18" t="s">
        <v>164</v>
      </c>
      <c r="L57" s="34">
        <f>10800/3</f>
        <v>3600</v>
      </c>
      <c r="M57" s="34"/>
      <c r="N57" s="34"/>
      <c r="O57" s="34"/>
      <c r="P57" s="34"/>
      <c r="Q57" s="34"/>
      <c r="R57" s="34"/>
      <c r="S57" s="34"/>
      <c r="T57" s="258"/>
      <c r="U57" s="34"/>
      <c r="V57" s="34"/>
      <c r="W57" s="256"/>
      <c r="X57" s="35"/>
      <c r="Y57" s="34"/>
      <c r="Z57" s="34"/>
      <c r="AA57" s="34"/>
      <c r="AB57" s="251"/>
    </row>
    <row r="58" spans="1:28" s="7" customFormat="1" ht="12.75">
      <c r="A58" s="15" t="s">
        <v>3</v>
      </c>
      <c r="B58" s="16" t="s">
        <v>174</v>
      </c>
      <c r="C58" s="17">
        <v>4</v>
      </c>
      <c r="D58" s="7" t="s">
        <v>180</v>
      </c>
      <c r="E58" s="7" t="s">
        <v>165</v>
      </c>
      <c r="F58" s="83" t="s">
        <v>718</v>
      </c>
      <c r="H58" s="73"/>
      <c r="I58" s="244"/>
      <c r="J58" s="19" t="s">
        <v>162</v>
      </c>
      <c r="K58" s="19" t="s">
        <v>164</v>
      </c>
      <c r="L58" s="36">
        <f>17171/3</f>
        <v>5723.666666666667</v>
      </c>
      <c r="M58" s="36"/>
      <c r="N58" s="36"/>
      <c r="O58" s="36"/>
      <c r="P58" s="36"/>
      <c r="Q58" s="36"/>
      <c r="R58" s="36"/>
      <c r="S58" s="36"/>
      <c r="T58" s="246"/>
      <c r="U58" s="36"/>
      <c r="V58" s="36"/>
      <c r="W58" s="257"/>
      <c r="X58" s="37"/>
      <c r="Y58" s="36"/>
      <c r="Z58" s="36"/>
      <c r="AA58" s="36"/>
      <c r="AB58" s="252"/>
    </row>
    <row r="59" spans="1:28" s="7" customFormat="1" ht="12.75">
      <c r="A59" s="15" t="s">
        <v>4</v>
      </c>
      <c r="B59" s="16" t="s">
        <v>174</v>
      </c>
      <c r="C59" s="17">
        <v>5</v>
      </c>
      <c r="D59" s="7" t="s">
        <v>181</v>
      </c>
      <c r="E59" s="7" t="s">
        <v>193</v>
      </c>
      <c r="F59" s="83" t="s">
        <v>777</v>
      </c>
      <c r="H59" s="73"/>
      <c r="I59" s="242" t="s">
        <v>186</v>
      </c>
      <c r="J59" s="248" t="s">
        <v>162</v>
      </c>
      <c r="K59" s="248" t="s">
        <v>188</v>
      </c>
      <c r="L59" s="259">
        <f>7558/3</f>
        <v>2519.3333333333335</v>
      </c>
      <c r="M59" s="32"/>
      <c r="N59" s="32"/>
      <c r="O59" s="32"/>
      <c r="P59" s="32"/>
      <c r="Q59" s="32"/>
      <c r="R59" s="32"/>
      <c r="S59" s="229">
        <f>(7558+2550)/3</f>
        <v>3369.3333333333335</v>
      </c>
      <c r="T59" s="32"/>
      <c r="U59" s="32"/>
      <c r="V59" s="255">
        <v>1</v>
      </c>
      <c r="W59" s="236">
        <v>2</v>
      </c>
      <c r="X59" s="33"/>
      <c r="Y59" s="32"/>
      <c r="Z59" s="32"/>
      <c r="AA59" s="32"/>
      <c r="AB59" s="233" t="s">
        <v>173</v>
      </c>
    </row>
    <row r="60" spans="1:28" s="7" customFormat="1" ht="12.75">
      <c r="A60" s="15" t="s">
        <v>5</v>
      </c>
      <c r="B60" s="16" t="s">
        <v>174</v>
      </c>
      <c r="C60" s="17">
        <v>6</v>
      </c>
      <c r="D60" s="7" t="s">
        <v>181</v>
      </c>
      <c r="E60" s="7" t="s">
        <v>163</v>
      </c>
      <c r="F60" s="83" t="s">
        <v>777</v>
      </c>
      <c r="H60" s="73"/>
      <c r="I60" s="243"/>
      <c r="J60" s="249"/>
      <c r="K60" s="249"/>
      <c r="L60" s="260"/>
      <c r="M60" s="34"/>
      <c r="N60" s="34"/>
      <c r="O60" s="34"/>
      <c r="P60" s="34"/>
      <c r="Q60" s="34"/>
      <c r="R60" s="34"/>
      <c r="S60" s="230"/>
      <c r="T60" s="34"/>
      <c r="U60" s="34"/>
      <c r="V60" s="256"/>
      <c r="W60" s="232"/>
      <c r="X60" s="35"/>
      <c r="Y60" s="34"/>
      <c r="Z60" s="34"/>
      <c r="AA60" s="34"/>
      <c r="AB60" s="234"/>
    </row>
    <row r="61" spans="1:28" s="7" customFormat="1" ht="12.75">
      <c r="A61" s="15"/>
      <c r="B61" s="22" t="s">
        <v>178</v>
      </c>
      <c r="C61" s="17"/>
      <c r="D61" s="7" t="s">
        <v>182</v>
      </c>
      <c r="E61" s="7" t="s">
        <v>183</v>
      </c>
      <c r="F61" s="83" t="s">
        <v>720</v>
      </c>
      <c r="H61" s="73"/>
      <c r="I61" s="243"/>
      <c r="J61" s="18" t="s">
        <v>189</v>
      </c>
      <c r="K61" s="18" t="s">
        <v>183</v>
      </c>
      <c r="L61" s="34"/>
      <c r="M61" s="34">
        <f>6658/3</f>
        <v>2219.3333333333335</v>
      </c>
      <c r="N61" s="34"/>
      <c r="O61" s="34"/>
      <c r="P61" s="34"/>
      <c r="Q61" s="34"/>
      <c r="R61" s="34"/>
      <c r="S61" s="230"/>
      <c r="T61" s="34"/>
      <c r="U61" s="34"/>
      <c r="V61" s="34"/>
      <c r="W61" s="232"/>
      <c r="X61" s="35"/>
      <c r="Y61" s="34"/>
      <c r="Z61" s="34"/>
      <c r="AA61" s="34"/>
      <c r="AB61" s="234"/>
    </row>
    <row r="62" spans="1:28" s="7" customFormat="1" ht="12.75">
      <c r="A62" s="15"/>
      <c r="B62" s="22" t="s">
        <v>179</v>
      </c>
      <c r="C62" s="17"/>
      <c r="D62" s="7" t="s">
        <v>181</v>
      </c>
      <c r="E62" s="7" t="s">
        <v>184</v>
      </c>
      <c r="F62" s="83" t="s">
        <v>775</v>
      </c>
      <c r="G62" s="7" t="s">
        <v>779</v>
      </c>
      <c r="H62" s="73"/>
      <c r="I62" s="244"/>
      <c r="J62" s="19" t="s">
        <v>189</v>
      </c>
      <c r="K62" s="19" t="s">
        <v>184</v>
      </c>
      <c r="L62" s="36">
        <f>7558/3</f>
        <v>2519.3333333333335</v>
      </c>
      <c r="M62" s="36"/>
      <c r="N62" s="36"/>
      <c r="O62" s="36"/>
      <c r="P62" s="36"/>
      <c r="Q62" s="36"/>
      <c r="R62" s="36"/>
      <c r="S62" s="235"/>
      <c r="T62" s="36"/>
      <c r="U62" s="36"/>
      <c r="V62" s="36"/>
      <c r="W62" s="237"/>
      <c r="X62" s="37"/>
      <c r="Y62" s="36"/>
      <c r="Z62" s="36"/>
      <c r="AA62" s="36"/>
      <c r="AB62" s="238"/>
    </row>
    <row r="63" spans="1:27" s="14" customFormat="1" ht="12.75">
      <c r="A63" s="11" t="s">
        <v>6</v>
      </c>
      <c r="B63" s="12" t="s">
        <v>174</v>
      </c>
      <c r="C63" s="13">
        <v>7</v>
      </c>
      <c r="D63" s="14" t="s">
        <v>190</v>
      </c>
      <c r="F63" s="84"/>
      <c r="H63" s="73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/>
      <c r="X63" s="42"/>
      <c r="Y63" s="41"/>
      <c r="Z63" s="41"/>
      <c r="AA63" s="41"/>
    </row>
    <row r="64" spans="1:28" s="7" customFormat="1" ht="12.75">
      <c r="A64" s="15" t="s">
        <v>7</v>
      </c>
      <c r="B64" s="16" t="s">
        <v>174</v>
      </c>
      <c r="C64" s="17">
        <v>8</v>
      </c>
      <c r="D64" s="7" t="s">
        <v>172</v>
      </c>
      <c r="E64" s="7" t="s">
        <v>191</v>
      </c>
      <c r="F64" s="114">
        <v>1450</v>
      </c>
      <c r="H64" s="73"/>
      <c r="I64" s="20" t="s">
        <v>192</v>
      </c>
      <c r="J64" s="20" t="s">
        <v>162</v>
      </c>
      <c r="K64" s="20" t="s">
        <v>191</v>
      </c>
      <c r="L64" s="43">
        <f>51593/3</f>
        <v>17197.666666666668</v>
      </c>
      <c r="M64" s="43"/>
      <c r="N64" s="43"/>
      <c r="O64" s="43"/>
      <c r="P64" s="43"/>
      <c r="Q64" s="43"/>
      <c r="R64" s="43">
        <f>51593/3</f>
        <v>17197.666666666668</v>
      </c>
      <c r="S64" s="43"/>
      <c r="T64" s="43"/>
      <c r="U64" s="43"/>
      <c r="V64" s="43"/>
      <c r="W64" s="44">
        <v>2</v>
      </c>
      <c r="X64" s="44"/>
      <c r="Y64" s="43"/>
      <c r="Z64" s="43"/>
      <c r="AA64" s="43"/>
      <c r="AB64" s="21" t="s">
        <v>173</v>
      </c>
    </row>
    <row r="65" spans="1:28" s="7" customFormat="1" ht="12.75">
      <c r="A65" s="15" t="s">
        <v>8</v>
      </c>
      <c r="B65" s="16" t="s">
        <v>174</v>
      </c>
      <c r="C65" s="17">
        <v>9</v>
      </c>
      <c r="D65" s="7" t="s">
        <v>195</v>
      </c>
      <c r="E65" s="7" t="s">
        <v>196</v>
      </c>
      <c r="F65" s="83" t="s">
        <v>777</v>
      </c>
      <c r="H65" s="73"/>
      <c r="I65" s="242" t="s">
        <v>197</v>
      </c>
      <c r="J65" s="248" t="s">
        <v>162</v>
      </c>
      <c r="K65" s="248" t="s">
        <v>205</v>
      </c>
      <c r="L65" s="259">
        <f>11695/3</f>
        <v>3898.3333333333335</v>
      </c>
      <c r="M65" s="32"/>
      <c r="N65" s="32"/>
      <c r="O65" s="32"/>
      <c r="P65" s="32"/>
      <c r="Q65" s="32"/>
      <c r="R65" s="245">
        <f>11695/3</f>
        <v>3898.3333333333335</v>
      </c>
      <c r="S65" s="32"/>
      <c r="T65" s="32"/>
      <c r="U65" s="255">
        <v>1</v>
      </c>
      <c r="V65" s="32"/>
      <c r="W65" s="255">
        <v>2</v>
      </c>
      <c r="X65" s="33"/>
      <c r="Y65" s="32"/>
      <c r="Z65" s="32"/>
      <c r="AA65" s="32"/>
      <c r="AB65" s="253" t="s">
        <v>173</v>
      </c>
    </row>
    <row r="66" spans="1:28" s="7" customFormat="1" ht="12.75">
      <c r="A66" s="15" t="s">
        <v>9</v>
      </c>
      <c r="B66" s="16" t="s">
        <v>174</v>
      </c>
      <c r="C66" s="17">
        <v>10</v>
      </c>
      <c r="D66" s="7" t="s">
        <v>195</v>
      </c>
      <c r="E66" s="7" t="s">
        <v>163</v>
      </c>
      <c r="F66" s="83" t="s">
        <v>777</v>
      </c>
      <c r="H66" s="73"/>
      <c r="I66" s="244"/>
      <c r="J66" s="261"/>
      <c r="K66" s="261"/>
      <c r="L66" s="262"/>
      <c r="M66" s="36"/>
      <c r="N66" s="36"/>
      <c r="O66" s="36"/>
      <c r="P66" s="36"/>
      <c r="Q66" s="36"/>
      <c r="R66" s="246"/>
      <c r="S66" s="36"/>
      <c r="T66" s="36"/>
      <c r="U66" s="257"/>
      <c r="V66" s="36"/>
      <c r="W66" s="257"/>
      <c r="X66" s="37"/>
      <c r="Y66" s="36"/>
      <c r="Z66" s="36"/>
      <c r="AA66" s="36"/>
      <c r="AB66" s="254"/>
    </row>
    <row r="67" spans="1:28" s="7" customFormat="1" ht="12.75">
      <c r="A67" s="15" t="s">
        <v>10</v>
      </c>
      <c r="B67" s="16" t="s">
        <v>174</v>
      </c>
      <c r="C67" s="17">
        <v>11</v>
      </c>
      <c r="D67" s="7" t="s">
        <v>201</v>
      </c>
      <c r="E67" s="7" t="s">
        <v>200</v>
      </c>
      <c r="F67" s="83" t="s">
        <v>777</v>
      </c>
      <c r="H67" s="73"/>
      <c r="I67" s="242" t="s">
        <v>204</v>
      </c>
      <c r="J67" s="248" t="s">
        <v>162</v>
      </c>
      <c r="K67" s="248" t="s">
        <v>206</v>
      </c>
      <c r="L67" s="259">
        <f>(7749/3)+4000</f>
        <v>6583</v>
      </c>
      <c r="M67" s="32"/>
      <c r="N67" s="32"/>
      <c r="O67" s="32"/>
      <c r="P67" s="32"/>
      <c r="Q67" s="32"/>
      <c r="R67" s="32"/>
      <c r="S67" s="229">
        <f>(4598+3900)/3</f>
        <v>2832.6666666666665</v>
      </c>
      <c r="T67" s="229">
        <f>(3849/3)+4000</f>
        <v>5283</v>
      </c>
      <c r="U67" s="32"/>
      <c r="V67" s="255">
        <v>1</v>
      </c>
      <c r="W67" s="236">
        <v>4</v>
      </c>
      <c r="X67" s="33"/>
      <c r="Y67" s="32"/>
      <c r="Z67" s="32"/>
      <c r="AA67" s="32"/>
      <c r="AB67" s="239" t="s">
        <v>173</v>
      </c>
    </row>
    <row r="68" spans="1:28" s="7" customFormat="1" ht="12.75">
      <c r="A68" s="15" t="s">
        <v>11</v>
      </c>
      <c r="B68" s="16" t="s">
        <v>174</v>
      </c>
      <c r="C68" s="17">
        <v>12</v>
      </c>
      <c r="D68" s="7" t="s">
        <v>201</v>
      </c>
      <c r="E68" s="7" t="s">
        <v>163</v>
      </c>
      <c r="F68" s="83" t="s">
        <v>777</v>
      </c>
      <c r="H68" s="73"/>
      <c r="I68" s="243"/>
      <c r="J68" s="249"/>
      <c r="K68" s="249"/>
      <c r="L68" s="260"/>
      <c r="M68" s="34"/>
      <c r="N68" s="34"/>
      <c r="O68" s="34"/>
      <c r="P68" s="34"/>
      <c r="Q68" s="34"/>
      <c r="R68" s="34"/>
      <c r="S68" s="230"/>
      <c r="T68" s="230"/>
      <c r="U68" s="34"/>
      <c r="V68" s="256"/>
      <c r="W68" s="232"/>
      <c r="X68" s="35"/>
      <c r="Y68" s="34"/>
      <c r="Z68" s="34"/>
      <c r="AA68" s="34"/>
      <c r="AB68" s="240"/>
    </row>
    <row r="69" spans="1:28" s="7" customFormat="1" ht="12.75">
      <c r="A69" s="15"/>
      <c r="B69" s="22" t="s">
        <v>198</v>
      </c>
      <c r="C69" s="17"/>
      <c r="D69" s="7" t="s">
        <v>203</v>
      </c>
      <c r="E69" s="7" t="s">
        <v>183</v>
      </c>
      <c r="F69" s="83" t="s">
        <v>720</v>
      </c>
      <c r="H69" s="73"/>
      <c r="I69" s="243"/>
      <c r="J69" s="18" t="s">
        <v>189</v>
      </c>
      <c r="K69" s="18" t="s">
        <v>183</v>
      </c>
      <c r="L69" s="34"/>
      <c r="M69" s="34">
        <f>(6399/3)+4000</f>
        <v>6133</v>
      </c>
      <c r="N69" s="34"/>
      <c r="O69" s="34"/>
      <c r="P69" s="34"/>
      <c r="Q69" s="34"/>
      <c r="R69" s="34"/>
      <c r="S69" s="230"/>
      <c r="T69" s="230"/>
      <c r="U69" s="34"/>
      <c r="V69" s="34"/>
      <c r="W69" s="232"/>
      <c r="X69" s="35"/>
      <c r="Y69" s="34"/>
      <c r="Z69" s="34"/>
      <c r="AA69" s="34"/>
      <c r="AB69" s="240"/>
    </row>
    <row r="70" spans="1:28" s="7" customFormat="1" ht="12.75">
      <c r="A70" s="15"/>
      <c r="B70" s="22" t="s">
        <v>199</v>
      </c>
      <c r="C70" s="17"/>
      <c r="D70" s="7" t="s">
        <v>201</v>
      </c>
      <c r="E70" s="7" t="s">
        <v>184</v>
      </c>
      <c r="F70" s="83" t="s">
        <v>775</v>
      </c>
      <c r="G70" s="7" t="s">
        <v>779</v>
      </c>
      <c r="H70" s="73"/>
      <c r="I70" s="243"/>
      <c r="J70" s="18" t="s">
        <v>189</v>
      </c>
      <c r="K70" s="18" t="s">
        <v>184</v>
      </c>
      <c r="L70" s="34">
        <f>(7749/3)+4000</f>
        <v>6583</v>
      </c>
      <c r="M70" s="34"/>
      <c r="N70" s="34"/>
      <c r="O70" s="34"/>
      <c r="P70" s="34"/>
      <c r="Q70" s="34"/>
      <c r="R70" s="34"/>
      <c r="S70" s="230"/>
      <c r="T70" s="230"/>
      <c r="U70" s="34"/>
      <c r="V70" s="34"/>
      <c r="W70" s="232"/>
      <c r="X70" s="35"/>
      <c r="Y70" s="34"/>
      <c r="Z70" s="34"/>
      <c r="AA70" s="34"/>
      <c r="AB70" s="240"/>
    </row>
    <row r="71" spans="1:28" s="7" customFormat="1" ht="12.75">
      <c r="A71" s="15" t="s">
        <v>12</v>
      </c>
      <c r="B71" s="16" t="s">
        <v>174</v>
      </c>
      <c r="C71" s="17">
        <v>13</v>
      </c>
      <c r="D71" s="7" t="s">
        <v>202</v>
      </c>
      <c r="E71" s="7" t="s">
        <v>165</v>
      </c>
      <c r="F71" s="83" t="s">
        <v>718</v>
      </c>
      <c r="H71" s="73"/>
      <c r="I71" s="244"/>
      <c r="J71" s="19" t="s">
        <v>162</v>
      </c>
      <c r="K71" s="19" t="s">
        <v>164</v>
      </c>
      <c r="L71" s="36">
        <f>(5897/3)+4000</f>
        <v>5965.666666666667</v>
      </c>
      <c r="M71" s="36"/>
      <c r="N71" s="36"/>
      <c r="O71" s="36"/>
      <c r="P71" s="36"/>
      <c r="Q71" s="36"/>
      <c r="R71" s="36"/>
      <c r="S71" s="235"/>
      <c r="T71" s="235"/>
      <c r="U71" s="36"/>
      <c r="V71" s="36"/>
      <c r="W71" s="237"/>
      <c r="X71" s="37"/>
      <c r="Y71" s="36"/>
      <c r="Z71" s="36"/>
      <c r="AA71" s="36"/>
      <c r="AB71" s="241"/>
    </row>
    <row r="72" spans="1:28" s="7" customFormat="1" ht="12.75">
      <c r="A72" s="15" t="s">
        <v>13</v>
      </c>
      <c r="B72" s="16" t="s">
        <v>174</v>
      </c>
      <c r="C72" s="17">
        <v>14</v>
      </c>
      <c r="D72" s="7" t="s">
        <v>209</v>
      </c>
      <c r="E72" s="7" t="s">
        <v>212</v>
      </c>
      <c r="F72" s="83" t="s">
        <v>777</v>
      </c>
      <c r="H72" s="73"/>
      <c r="I72" s="242" t="s">
        <v>218</v>
      </c>
      <c r="J72" s="248" t="s">
        <v>162</v>
      </c>
      <c r="K72" s="248" t="s">
        <v>215</v>
      </c>
      <c r="L72" s="259">
        <f>((40188+27905)/3)+4000</f>
        <v>26697.666666666668</v>
      </c>
      <c r="M72" s="32"/>
      <c r="N72" s="32"/>
      <c r="O72" s="32"/>
      <c r="P72" s="32"/>
      <c r="Q72" s="32"/>
      <c r="R72" s="32"/>
      <c r="S72" s="229">
        <f>(11021+4598+3900)/3</f>
        <v>6506.333333333333</v>
      </c>
      <c r="T72" s="229">
        <f>((38375+3724+27905+27905)/3+4000)</f>
        <v>36636.33333333333</v>
      </c>
      <c r="U72" s="32"/>
      <c r="V72" s="255">
        <v>1</v>
      </c>
      <c r="W72" s="236">
        <v>14</v>
      </c>
      <c r="X72" s="33"/>
      <c r="Y72" s="32"/>
      <c r="Z72" s="32"/>
      <c r="AA72" s="32"/>
      <c r="AB72" s="239" t="s">
        <v>173</v>
      </c>
    </row>
    <row r="73" spans="1:28" s="7" customFormat="1" ht="12.75">
      <c r="A73" s="15" t="s">
        <v>14</v>
      </c>
      <c r="B73" s="16" t="s">
        <v>174</v>
      </c>
      <c r="C73" s="17">
        <v>15</v>
      </c>
      <c r="D73" s="7" t="s">
        <v>209</v>
      </c>
      <c r="E73" s="7" t="s">
        <v>163</v>
      </c>
      <c r="F73" s="83" t="s">
        <v>777</v>
      </c>
      <c r="H73" s="73"/>
      <c r="I73" s="243"/>
      <c r="J73" s="249"/>
      <c r="K73" s="249"/>
      <c r="L73" s="260"/>
      <c r="M73" s="34"/>
      <c r="N73" s="34"/>
      <c r="O73" s="34"/>
      <c r="P73" s="34"/>
      <c r="Q73" s="34"/>
      <c r="R73" s="34"/>
      <c r="S73" s="230"/>
      <c r="T73" s="230"/>
      <c r="U73" s="34"/>
      <c r="V73" s="256"/>
      <c r="W73" s="232"/>
      <c r="X73" s="35"/>
      <c r="Y73" s="34"/>
      <c r="Z73" s="34"/>
      <c r="AA73" s="34"/>
      <c r="AB73" s="240"/>
    </row>
    <row r="74" spans="1:28" s="7" customFormat="1" ht="12.75">
      <c r="A74" s="15"/>
      <c r="B74" s="22" t="s">
        <v>207</v>
      </c>
      <c r="C74" s="17"/>
      <c r="D74" s="7" t="s">
        <v>211</v>
      </c>
      <c r="E74" s="7" t="s">
        <v>183</v>
      </c>
      <c r="F74" s="83" t="s">
        <v>720</v>
      </c>
      <c r="H74" s="73"/>
      <c r="I74" s="243"/>
      <c r="J74" s="18" t="s">
        <v>216</v>
      </c>
      <c r="K74" s="18" t="s">
        <v>183</v>
      </c>
      <c r="L74" s="34"/>
      <c r="M74" s="34">
        <f>((38838+27905)/3)+4000</f>
        <v>26247.666666666668</v>
      </c>
      <c r="N74" s="34"/>
      <c r="O74" s="34"/>
      <c r="P74" s="34"/>
      <c r="Q74" s="34"/>
      <c r="R74" s="34"/>
      <c r="S74" s="230"/>
      <c r="T74" s="230"/>
      <c r="U74" s="34"/>
      <c r="V74" s="34"/>
      <c r="W74" s="232"/>
      <c r="X74" s="35"/>
      <c r="Y74" s="34"/>
      <c r="Z74" s="34"/>
      <c r="AA74" s="34"/>
      <c r="AB74" s="240"/>
    </row>
    <row r="75" spans="1:28" s="7" customFormat="1" ht="12.75">
      <c r="A75" s="15"/>
      <c r="B75" s="22" t="s">
        <v>208</v>
      </c>
      <c r="C75" s="17"/>
      <c r="D75" s="7" t="s">
        <v>209</v>
      </c>
      <c r="E75" s="7" t="s">
        <v>184</v>
      </c>
      <c r="F75" s="83" t="s">
        <v>775</v>
      </c>
      <c r="G75" s="7" t="s">
        <v>779</v>
      </c>
      <c r="H75" s="73"/>
      <c r="I75" s="243"/>
      <c r="J75" s="18" t="s">
        <v>216</v>
      </c>
      <c r="K75" s="18" t="s">
        <v>184</v>
      </c>
      <c r="L75" s="34">
        <f>((40188+27905)/3)+4000</f>
        <v>26697.666666666668</v>
      </c>
      <c r="M75" s="34"/>
      <c r="N75" s="34"/>
      <c r="O75" s="34"/>
      <c r="P75" s="34"/>
      <c r="Q75" s="34"/>
      <c r="R75" s="34"/>
      <c r="S75" s="230"/>
      <c r="T75" s="230"/>
      <c r="U75" s="34"/>
      <c r="V75" s="34"/>
      <c r="W75" s="232"/>
      <c r="X75" s="35"/>
      <c r="Y75" s="34"/>
      <c r="Z75" s="34"/>
      <c r="AA75" s="34"/>
      <c r="AB75" s="240"/>
    </row>
    <row r="76" spans="1:28" s="7" customFormat="1" ht="12.75">
      <c r="A76" s="15" t="s">
        <v>15</v>
      </c>
      <c r="B76" s="16" t="s">
        <v>174</v>
      </c>
      <c r="C76" s="17">
        <v>16</v>
      </c>
      <c r="D76" s="7" t="s">
        <v>210</v>
      </c>
      <c r="E76" s="7" t="s">
        <v>165</v>
      </c>
      <c r="F76" s="83" t="s">
        <v>718</v>
      </c>
      <c r="H76" s="73"/>
      <c r="I76" s="243"/>
      <c r="J76" s="18" t="s">
        <v>162</v>
      </c>
      <c r="K76" s="18" t="s">
        <v>164</v>
      </c>
      <c r="L76" s="34">
        <f>((38339+27905)/3)+4000</f>
        <v>26081.333333333332</v>
      </c>
      <c r="M76" s="34"/>
      <c r="N76" s="34"/>
      <c r="O76" s="34"/>
      <c r="P76" s="34"/>
      <c r="Q76" s="34"/>
      <c r="R76" s="34"/>
      <c r="S76" s="230"/>
      <c r="T76" s="230"/>
      <c r="U76" s="34"/>
      <c r="V76" s="34"/>
      <c r="W76" s="232"/>
      <c r="X76" s="35"/>
      <c r="Y76" s="34"/>
      <c r="Z76" s="34"/>
      <c r="AA76" s="34"/>
      <c r="AB76" s="240"/>
    </row>
    <row r="77" spans="1:28" s="7" customFormat="1" ht="12.75">
      <c r="A77" s="15" t="s">
        <v>16</v>
      </c>
      <c r="B77" s="16" t="s">
        <v>174</v>
      </c>
      <c r="C77" s="17">
        <v>17</v>
      </c>
      <c r="D77" s="7" t="s">
        <v>213</v>
      </c>
      <c r="E77" s="7" t="s">
        <v>214</v>
      </c>
      <c r="F77" s="83" t="s">
        <v>777</v>
      </c>
      <c r="H77" s="73"/>
      <c r="I77" s="243"/>
      <c r="J77" s="249" t="s">
        <v>162</v>
      </c>
      <c r="K77" s="249" t="s">
        <v>217</v>
      </c>
      <c r="L77" s="260">
        <f>((43562+27905)/3)+4000</f>
        <v>27822.333333333332</v>
      </c>
      <c r="M77" s="34"/>
      <c r="N77" s="34"/>
      <c r="O77" s="34"/>
      <c r="P77" s="34"/>
      <c r="Q77" s="34"/>
      <c r="R77" s="34"/>
      <c r="S77" s="230"/>
      <c r="T77" s="230"/>
      <c r="U77" s="256">
        <v>1</v>
      </c>
      <c r="V77" s="34"/>
      <c r="W77" s="232"/>
      <c r="X77" s="35"/>
      <c r="Y77" s="34"/>
      <c r="Z77" s="34"/>
      <c r="AA77" s="34"/>
      <c r="AB77" s="240"/>
    </row>
    <row r="78" spans="1:28" s="7" customFormat="1" ht="12.75">
      <c r="A78" s="15" t="s">
        <v>17</v>
      </c>
      <c r="B78" s="16" t="s">
        <v>174</v>
      </c>
      <c r="C78" s="17">
        <v>18</v>
      </c>
      <c r="D78" s="7" t="s">
        <v>213</v>
      </c>
      <c r="E78" s="7" t="s">
        <v>163</v>
      </c>
      <c r="F78" s="83" t="s">
        <v>777</v>
      </c>
      <c r="H78" s="73"/>
      <c r="I78" s="244"/>
      <c r="J78" s="261"/>
      <c r="K78" s="261"/>
      <c r="L78" s="262"/>
      <c r="M78" s="36"/>
      <c r="N78" s="36"/>
      <c r="O78" s="36"/>
      <c r="P78" s="36"/>
      <c r="Q78" s="36"/>
      <c r="R78" s="36"/>
      <c r="S78" s="235"/>
      <c r="T78" s="235"/>
      <c r="U78" s="257"/>
      <c r="V78" s="36"/>
      <c r="W78" s="237"/>
      <c r="X78" s="37"/>
      <c r="Y78" s="36"/>
      <c r="Z78" s="36"/>
      <c r="AA78" s="36"/>
      <c r="AB78" s="241"/>
    </row>
    <row r="79" spans="1:27" s="14" customFormat="1" ht="12.75">
      <c r="A79" s="11" t="s">
        <v>18</v>
      </c>
      <c r="B79" s="12" t="s">
        <v>174</v>
      </c>
      <c r="C79" s="13">
        <v>19</v>
      </c>
      <c r="D79" s="14" t="s">
        <v>190</v>
      </c>
      <c r="F79" s="84"/>
      <c r="H79" s="73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2"/>
      <c r="X79" s="42"/>
      <c r="Y79" s="41"/>
      <c r="Z79" s="41"/>
      <c r="AA79" s="41"/>
    </row>
    <row r="80" spans="1:27" s="14" customFormat="1" ht="12.75">
      <c r="A80" s="11" t="s">
        <v>19</v>
      </c>
      <c r="B80" s="12" t="s">
        <v>174</v>
      </c>
      <c r="C80" s="13">
        <v>20</v>
      </c>
      <c r="D80" s="14" t="s">
        <v>190</v>
      </c>
      <c r="F80" s="84"/>
      <c r="H80" s="73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42"/>
      <c r="Y80" s="41"/>
      <c r="Z80" s="41"/>
      <c r="AA80" s="41"/>
    </row>
    <row r="81" spans="1:27" ht="12.75">
      <c r="A81" s="8"/>
      <c r="B81" s="9"/>
      <c r="C81" s="10"/>
      <c r="F81" s="82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5"/>
      <c r="Z81" s="45"/>
      <c r="AA81" s="45"/>
    </row>
    <row r="82" spans="1:28" s="29" customFormat="1" ht="12.75">
      <c r="A82" s="26"/>
      <c r="B82" s="27"/>
      <c r="C82" s="28"/>
      <c r="F82" s="85"/>
      <c r="H82" s="73"/>
      <c r="I82" s="30" t="s">
        <v>221</v>
      </c>
      <c r="J82" s="30" t="s">
        <v>162</v>
      </c>
      <c r="K82" s="30" t="s">
        <v>219</v>
      </c>
      <c r="L82" s="47"/>
      <c r="M82" s="47"/>
      <c r="N82" s="47">
        <v>1000</v>
      </c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7"/>
      <c r="Z82" s="47"/>
      <c r="AA82" s="47"/>
      <c r="AB82" s="31" t="s">
        <v>225</v>
      </c>
    </row>
    <row r="83" spans="1:28" s="7" customFormat="1" ht="12.75">
      <c r="A83" s="15">
        <v>21</v>
      </c>
      <c r="B83" s="16" t="s">
        <v>219</v>
      </c>
      <c r="C83" s="17">
        <v>1</v>
      </c>
      <c r="D83" s="7" t="s">
        <v>743</v>
      </c>
      <c r="E83" s="7" t="s">
        <v>163</v>
      </c>
      <c r="F83" s="83" t="s">
        <v>778</v>
      </c>
      <c r="H83" s="73"/>
      <c r="I83" s="89" t="s">
        <v>744</v>
      </c>
      <c r="J83" s="20" t="s">
        <v>219</v>
      </c>
      <c r="K83" s="20" t="s">
        <v>163</v>
      </c>
      <c r="L83" s="43">
        <v>20000</v>
      </c>
      <c r="M83" s="43"/>
      <c r="N83" s="43"/>
      <c r="O83" s="43"/>
      <c r="P83" s="43">
        <v>20000</v>
      </c>
      <c r="Q83" s="43"/>
      <c r="R83" s="43"/>
      <c r="S83" s="43"/>
      <c r="T83" s="43"/>
      <c r="U83" s="43"/>
      <c r="V83" s="43"/>
      <c r="W83" s="44">
        <v>1</v>
      </c>
      <c r="X83" s="44"/>
      <c r="Y83" s="43"/>
      <c r="Z83" s="44">
        <v>2</v>
      </c>
      <c r="AA83" s="43"/>
      <c r="AB83" s="21" t="s">
        <v>173</v>
      </c>
    </row>
    <row r="84" spans="1:27" s="14" customFormat="1" ht="12.75">
      <c r="A84" s="11" t="s">
        <v>20</v>
      </c>
      <c r="B84" s="12" t="s">
        <v>219</v>
      </c>
      <c r="C84" s="13">
        <v>2</v>
      </c>
      <c r="D84" s="14" t="s">
        <v>190</v>
      </c>
      <c r="F84" s="84"/>
      <c r="H84" s="73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42"/>
      <c r="Y84" s="41"/>
      <c r="Z84" s="41"/>
      <c r="AA84" s="41"/>
    </row>
    <row r="85" spans="1:27" s="14" customFormat="1" ht="12.75">
      <c r="A85" s="11" t="s">
        <v>21</v>
      </c>
      <c r="B85" s="12" t="s">
        <v>219</v>
      </c>
      <c r="C85" s="13">
        <v>3</v>
      </c>
      <c r="D85" s="14" t="s">
        <v>190</v>
      </c>
      <c r="F85" s="84"/>
      <c r="H85" s="73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2"/>
      <c r="X85" s="42"/>
      <c r="Y85" s="41"/>
      <c r="Z85" s="41"/>
      <c r="AA85" s="41"/>
    </row>
    <row r="86" spans="1:27" s="14" customFormat="1" ht="12.75">
      <c r="A86" s="11" t="s">
        <v>22</v>
      </c>
      <c r="B86" s="12" t="s">
        <v>219</v>
      </c>
      <c r="C86" s="13">
        <v>4</v>
      </c>
      <c r="D86" s="14" t="s">
        <v>190</v>
      </c>
      <c r="F86" s="84"/>
      <c r="H86" s="73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2"/>
      <c r="X86" s="42"/>
      <c r="Y86" s="41"/>
      <c r="Z86" s="41"/>
      <c r="AA86" s="41"/>
    </row>
    <row r="87" spans="1:28" s="14" customFormat="1" ht="12.75">
      <c r="A87" s="60" t="s">
        <v>23</v>
      </c>
      <c r="B87" s="61" t="s">
        <v>219</v>
      </c>
      <c r="C87" s="62">
        <v>5</v>
      </c>
      <c r="D87" s="63" t="s">
        <v>444</v>
      </c>
      <c r="E87" s="63" t="s">
        <v>435</v>
      </c>
      <c r="F87" s="277" t="s">
        <v>719</v>
      </c>
      <c r="G87" s="63"/>
      <c r="H87" s="73"/>
      <c r="I87" s="64"/>
      <c r="J87" s="64"/>
      <c r="K87" s="64"/>
      <c r="L87" s="65">
        <v>500</v>
      </c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5"/>
      <c r="Z87" s="65"/>
      <c r="AA87" s="65"/>
      <c r="AB87" s="67" t="s">
        <v>436</v>
      </c>
    </row>
    <row r="88" spans="1:28" s="14" customFormat="1" ht="12.75">
      <c r="A88" s="60" t="s">
        <v>24</v>
      </c>
      <c r="B88" s="61" t="s">
        <v>219</v>
      </c>
      <c r="C88" s="62">
        <v>6</v>
      </c>
      <c r="D88" s="63" t="s">
        <v>445</v>
      </c>
      <c r="E88" s="63" t="s">
        <v>435</v>
      </c>
      <c r="F88" s="277"/>
      <c r="G88" s="63"/>
      <c r="H88" s="73"/>
      <c r="I88" s="64"/>
      <c r="J88" s="64"/>
      <c r="K88" s="64"/>
      <c r="L88" s="65">
        <v>500</v>
      </c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5"/>
      <c r="Z88" s="65"/>
      <c r="AA88" s="65"/>
      <c r="AB88" s="67" t="s">
        <v>436</v>
      </c>
    </row>
    <row r="89" spans="1:28" s="14" customFormat="1" ht="12.75">
      <c r="A89" s="60" t="s">
        <v>25</v>
      </c>
      <c r="B89" s="61" t="s">
        <v>219</v>
      </c>
      <c r="C89" s="62">
        <v>7</v>
      </c>
      <c r="D89" s="63" t="s">
        <v>446</v>
      </c>
      <c r="E89" s="63" t="s">
        <v>435</v>
      </c>
      <c r="F89" s="277"/>
      <c r="G89" s="63"/>
      <c r="H89" s="73"/>
      <c r="I89" s="64"/>
      <c r="J89" s="64"/>
      <c r="K89" s="64"/>
      <c r="L89" s="65">
        <v>500</v>
      </c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66"/>
      <c r="Y89" s="65"/>
      <c r="Z89" s="65"/>
      <c r="AA89" s="65"/>
      <c r="AB89" s="67" t="s">
        <v>436</v>
      </c>
    </row>
    <row r="90" spans="1:28" s="14" customFormat="1" ht="12.75">
      <c r="A90" s="60" t="s">
        <v>26</v>
      </c>
      <c r="B90" s="61" t="s">
        <v>219</v>
      </c>
      <c r="C90" s="62">
        <v>8</v>
      </c>
      <c r="D90" s="63" t="s">
        <v>605</v>
      </c>
      <c r="E90" s="63" t="s">
        <v>435</v>
      </c>
      <c r="F90" s="277"/>
      <c r="G90" s="63"/>
      <c r="H90" s="73"/>
      <c r="I90" s="64"/>
      <c r="J90" s="64"/>
      <c r="K90" s="64"/>
      <c r="L90" s="65">
        <v>500</v>
      </c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6"/>
      <c r="Y90" s="65"/>
      <c r="Z90" s="65"/>
      <c r="AA90" s="65"/>
      <c r="AB90" s="67" t="s">
        <v>436</v>
      </c>
    </row>
    <row r="91" spans="1:27" ht="12.75">
      <c r="A91" s="8"/>
      <c r="B91" s="9"/>
      <c r="C91" s="10"/>
      <c r="F91" s="82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46"/>
      <c r="Y91" s="45"/>
      <c r="Z91" s="45"/>
      <c r="AA91" s="45"/>
    </row>
    <row r="92" spans="1:28" s="29" customFormat="1" ht="12.75">
      <c r="A92" s="26"/>
      <c r="B92" s="27"/>
      <c r="C92" s="28"/>
      <c r="F92" s="85"/>
      <c r="H92" s="73"/>
      <c r="I92" s="30" t="s">
        <v>222</v>
      </c>
      <c r="J92" s="30" t="s">
        <v>219</v>
      </c>
      <c r="K92" s="30" t="s">
        <v>189</v>
      </c>
      <c r="L92" s="47"/>
      <c r="M92" s="47"/>
      <c r="N92" s="47">
        <v>1000</v>
      </c>
      <c r="O92" s="47"/>
      <c r="P92" s="47"/>
      <c r="Q92" s="47"/>
      <c r="R92" s="47"/>
      <c r="S92" s="47"/>
      <c r="T92" s="47"/>
      <c r="U92" s="47"/>
      <c r="V92" s="47"/>
      <c r="W92" s="48"/>
      <c r="X92" s="48"/>
      <c r="Y92" s="47"/>
      <c r="Z92" s="47"/>
      <c r="AA92" s="47"/>
      <c r="AB92" s="31" t="s">
        <v>226</v>
      </c>
    </row>
    <row r="93" spans="1:28" s="29" customFormat="1" ht="12.75">
      <c r="A93" s="26"/>
      <c r="B93" s="27"/>
      <c r="C93" s="28"/>
      <c r="F93" s="85"/>
      <c r="H93" s="73"/>
      <c r="I93" s="30" t="s">
        <v>223</v>
      </c>
      <c r="J93" s="30" t="s">
        <v>189</v>
      </c>
      <c r="K93" s="30" t="s">
        <v>216</v>
      </c>
      <c r="L93" s="47"/>
      <c r="M93" s="47"/>
      <c r="N93" s="47">
        <v>1000</v>
      </c>
      <c r="O93" s="47"/>
      <c r="P93" s="47"/>
      <c r="Q93" s="47"/>
      <c r="R93" s="47"/>
      <c r="S93" s="47"/>
      <c r="T93" s="47"/>
      <c r="U93" s="47"/>
      <c r="V93" s="47"/>
      <c r="W93" s="48"/>
      <c r="X93" s="48"/>
      <c r="Y93" s="47"/>
      <c r="Z93" s="47"/>
      <c r="AA93" s="47"/>
      <c r="AB93" s="31" t="s">
        <v>226</v>
      </c>
    </row>
    <row r="94" spans="1:28" s="29" customFormat="1" ht="12.75">
      <c r="A94" s="26"/>
      <c r="B94" s="27"/>
      <c r="C94" s="28"/>
      <c r="F94" s="85"/>
      <c r="H94" s="73"/>
      <c r="I94" s="30" t="s">
        <v>223</v>
      </c>
      <c r="J94" s="30" t="s">
        <v>216</v>
      </c>
      <c r="K94" s="30" t="s">
        <v>224</v>
      </c>
      <c r="L94" s="47"/>
      <c r="M94" s="47"/>
      <c r="N94" s="47">
        <v>79643</v>
      </c>
      <c r="O94" s="47">
        <v>79643</v>
      </c>
      <c r="P94" s="47"/>
      <c r="Q94" s="47"/>
      <c r="R94" s="47"/>
      <c r="S94" s="47"/>
      <c r="T94" s="47"/>
      <c r="U94" s="47"/>
      <c r="V94" s="47"/>
      <c r="W94" s="48"/>
      <c r="X94" s="48"/>
      <c r="Y94" s="47"/>
      <c r="Z94" s="47"/>
      <c r="AA94" s="47"/>
      <c r="AB94" s="31" t="s">
        <v>227</v>
      </c>
    </row>
    <row r="95" spans="1:28" ht="12.75">
      <c r="A95" s="8" t="s">
        <v>27</v>
      </c>
      <c r="B95" s="9" t="s">
        <v>224</v>
      </c>
      <c r="C95" s="10">
        <v>1</v>
      </c>
      <c r="D95" s="4" t="s">
        <v>231</v>
      </c>
      <c r="E95" s="4" t="s">
        <v>230</v>
      </c>
      <c r="F95" s="83" t="s">
        <v>777</v>
      </c>
      <c r="I95" s="242" t="s">
        <v>235</v>
      </c>
      <c r="J95" s="226" t="s">
        <v>224</v>
      </c>
      <c r="K95" s="226" t="s">
        <v>236</v>
      </c>
      <c r="L95" s="229">
        <f>92559/3</f>
        <v>30853</v>
      </c>
      <c r="M95" s="53"/>
      <c r="N95" s="53"/>
      <c r="O95" s="229">
        <f>(28350+3574+3522)/3</f>
        <v>11815.333333333334</v>
      </c>
      <c r="P95" s="229">
        <f>63909/3</f>
        <v>21303</v>
      </c>
      <c r="Q95" s="53"/>
      <c r="R95" s="53"/>
      <c r="S95" s="53"/>
      <c r="T95" s="53"/>
      <c r="U95" s="236">
        <v>1</v>
      </c>
      <c r="V95" s="53"/>
      <c r="W95" s="38"/>
      <c r="X95" s="38"/>
      <c r="Y95" s="236">
        <v>1</v>
      </c>
      <c r="Z95" s="236">
        <v>2</v>
      </c>
      <c r="AA95" s="53"/>
      <c r="AB95" s="233" t="s">
        <v>238</v>
      </c>
    </row>
    <row r="96" spans="1:28" ht="12.75">
      <c r="A96" s="8" t="s">
        <v>28</v>
      </c>
      <c r="B96" s="9" t="s">
        <v>224</v>
      </c>
      <c r="C96" s="10">
        <v>2</v>
      </c>
      <c r="D96" s="4" t="s">
        <v>231</v>
      </c>
      <c r="E96" s="4" t="s">
        <v>163</v>
      </c>
      <c r="F96" s="83" t="s">
        <v>777</v>
      </c>
      <c r="I96" s="243"/>
      <c r="J96" s="227"/>
      <c r="K96" s="227"/>
      <c r="L96" s="230"/>
      <c r="M96" s="54"/>
      <c r="N96" s="54"/>
      <c r="O96" s="230"/>
      <c r="P96" s="230"/>
      <c r="Q96" s="54"/>
      <c r="R96" s="54"/>
      <c r="S96" s="54"/>
      <c r="T96" s="54"/>
      <c r="U96" s="232"/>
      <c r="V96" s="54"/>
      <c r="W96" s="39"/>
      <c r="X96" s="39"/>
      <c r="Y96" s="232"/>
      <c r="Z96" s="232"/>
      <c r="AA96" s="54"/>
      <c r="AB96" s="234"/>
    </row>
    <row r="97" spans="1:28" ht="12.75">
      <c r="A97" s="8" t="s">
        <v>29</v>
      </c>
      <c r="B97" s="9" t="s">
        <v>224</v>
      </c>
      <c r="C97" s="10">
        <v>3</v>
      </c>
      <c r="D97" s="4" t="s">
        <v>232</v>
      </c>
      <c r="E97" s="4" t="s">
        <v>234</v>
      </c>
      <c r="F97" s="83" t="s">
        <v>777</v>
      </c>
      <c r="I97" s="243"/>
      <c r="J97" s="227" t="s">
        <v>224</v>
      </c>
      <c r="K97" s="227" t="s">
        <v>237</v>
      </c>
      <c r="L97" s="230">
        <f>67484/3</f>
        <v>22494.666666666668</v>
      </c>
      <c r="M97" s="54"/>
      <c r="N97" s="54"/>
      <c r="O97" s="230"/>
      <c r="P97" s="230"/>
      <c r="Q97" s="54"/>
      <c r="R97" s="54"/>
      <c r="S97" s="54"/>
      <c r="T97" s="54"/>
      <c r="U97" s="232">
        <v>1</v>
      </c>
      <c r="V97" s="54"/>
      <c r="W97" s="39"/>
      <c r="X97" s="39"/>
      <c r="Y97" s="232"/>
      <c r="Z97" s="232"/>
      <c r="AA97" s="54"/>
      <c r="AB97" s="234"/>
    </row>
    <row r="98" spans="1:28" ht="12.75">
      <c r="A98" s="8" t="s">
        <v>30</v>
      </c>
      <c r="B98" s="9" t="s">
        <v>224</v>
      </c>
      <c r="C98" s="10">
        <v>4</v>
      </c>
      <c r="D98" s="4" t="s">
        <v>232</v>
      </c>
      <c r="E98" s="4" t="s">
        <v>163</v>
      </c>
      <c r="F98" s="83" t="s">
        <v>777</v>
      </c>
      <c r="I98" s="243"/>
      <c r="J98" s="227"/>
      <c r="K98" s="227"/>
      <c r="L98" s="230"/>
      <c r="M98" s="54"/>
      <c r="N98" s="54"/>
      <c r="O98" s="230"/>
      <c r="P98" s="230"/>
      <c r="Q98" s="54"/>
      <c r="R98" s="54"/>
      <c r="S98" s="54"/>
      <c r="T98" s="54"/>
      <c r="U98" s="232"/>
      <c r="V98" s="54"/>
      <c r="W98" s="39"/>
      <c r="X98" s="39"/>
      <c r="Y98" s="232"/>
      <c r="Z98" s="232"/>
      <c r="AA98" s="54"/>
      <c r="AB98" s="234"/>
    </row>
    <row r="99" spans="1:28" ht="12.75">
      <c r="A99" s="8" t="s">
        <v>31</v>
      </c>
      <c r="B99" s="9" t="s">
        <v>224</v>
      </c>
      <c r="C99" s="10">
        <v>5</v>
      </c>
      <c r="D99" s="4" t="s">
        <v>233</v>
      </c>
      <c r="E99" s="4" t="s">
        <v>165</v>
      </c>
      <c r="F99" s="83" t="s">
        <v>718</v>
      </c>
      <c r="I99" s="244"/>
      <c r="J99" s="56" t="s">
        <v>224</v>
      </c>
      <c r="K99" s="56" t="s">
        <v>164</v>
      </c>
      <c r="L99" s="55">
        <f>67432/3</f>
        <v>22477.333333333332</v>
      </c>
      <c r="M99" s="55"/>
      <c r="N99" s="55"/>
      <c r="O99" s="235"/>
      <c r="P99" s="235"/>
      <c r="Q99" s="55"/>
      <c r="R99" s="55"/>
      <c r="S99" s="55"/>
      <c r="T99" s="55"/>
      <c r="U99" s="55"/>
      <c r="V99" s="55"/>
      <c r="W99" s="40"/>
      <c r="X99" s="40"/>
      <c r="Y99" s="237"/>
      <c r="Z99" s="237"/>
      <c r="AA99" s="55"/>
      <c r="AB99" s="238"/>
    </row>
    <row r="100" spans="1:28" ht="12.75">
      <c r="A100" s="8" t="s">
        <v>32</v>
      </c>
      <c r="B100" s="9" t="s">
        <v>224</v>
      </c>
      <c r="C100" s="10">
        <v>6</v>
      </c>
      <c r="D100" s="4" t="s">
        <v>242</v>
      </c>
      <c r="E100" s="4" t="s">
        <v>245</v>
      </c>
      <c r="F100" s="83" t="s">
        <v>777</v>
      </c>
      <c r="I100" s="242" t="s">
        <v>241</v>
      </c>
      <c r="J100" s="226" t="s">
        <v>224</v>
      </c>
      <c r="K100" s="226" t="s">
        <v>247</v>
      </c>
      <c r="L100" s="229">
        <f>49770/3</f>
        <v>16590</v>
      </c>
      <c r="M100" s="53"/>
      <c r="N100" s="53"/>
      <c r="O100" s="53"/>
      <c r="P100" s="53"/>
      <c r="Q100" s="229">
        <f>34920/3</f>
        <v>11640</v>
      </c>
      <c r="R100" s="229">
        <f>24480/3</f>
        <v>8160</v>
      </c>
      <c r="S100" s="53"/>
      <c r="T100" s="229">
        <f>21900/3</f>
        <v>7300</v>
      </c>
      <c r="U100" s="53"/>
      <c r="V100" s="236">
        <v>1</v>
      </c>
      <c r="W100" s="236">
        <v>3</v>
      </c>
      <c r="X100" s="38"/>
      <c r="Y100" s="53"/>
      <c r="Z100" s="236">
        <v>1</v>
      </c>
      <c r="AA100" s="53"/>
      <c r="AB100" s="233" t="s">
        <v>250</v>
      </c>
    </row>
    <row r="101" spans="1:28" ht="12.75">
      <c r="A101" s="8" t="s">
        <v>33</v>
      </c>
      <c r="B101" s="9" t="s">
        <v>224</v>
      </c>
      <c r="C101" s="10">
        <v>7</v>
      </c>
      <c r="D101" s="4" t="s">
        <v>242</v>
      </c>
      <c r="E101" s="4" t="s">
        <v>163</v>
      </c>
      <c r="F101" s="83" t="s">
        <v>777</v>
      </c>
      <c r="I101" s="243"/>
      <c r="J101" s="227"/>
      <c r="K101" s="227"/>
      <c r="L101" s="230"/>
      <c r="M101" s="54"/>
      <c r="N101" s="54"/>
      <c r="O101" s="54"/>
      <c r="P101" s="54"/>
      <c r="Q101" s="230"/>
      <c r="R101" s="230"/>
      <c r="S101" s="54"/>
      <c r="T101" s="230"/>
      <c r="U101" s="54"/>
      <c r="V101" s="232"/>
      <c r="W101" s="232"/>
      <c r="X101" s="39"/>
      <c r="Y101" s="54"/>
      <c r="Z101" s="232"/>
      <c r="AA101" s="54"/>
      <c r="AB101" s="234"/>
    </row>
    <row r="102" spans="1:28" ht="12.75">
      <c r="A102" s="8"/>
      <c r="B102" s="22" t="s">
        <v>239</v>
      </c>
      <c r="C102" s="10"/>
      <c r="D102" s="4" t="s">
        <v>243</v>
      </c>
      <c r="E102" s="7" t="s">
        <v>183</v>
      </c>
      <c r="F102" s="83" t="s">
        <v>720</v>
      </c>
      <c r="I102" s="243"/>
      <c r="J102" s="57" t="s">
        <v>248</v>
      </c>
      <c r="K102" s="18" t="s">
        <v>183</v>
      </c>
      <c r="L102" s="54"/>
      <c r="M102" s="54">
        <f>56820/3</f>
        <v>18940</v>
      </c>
      <c r="N102" s="54"/>
      <c r="O102" s="54"/>
      <c r="P102" s="54"/>
      <c r="Q102" s="230"/>
      <c r="R102" s="230"/>
      <c r="S102" s="54"/>
      <c r="T102" s="230"/>
      <c r="U102" s="54"/>
      <c r="V102" s="54"/>
      <c r="W102" s="232"/>
      <c r="X102" s="39"/>
      <c r="Y102" s="54"/>
      <c r="Z102" s="232"/>
      <c r="AA102" s="54"/>
      <c r="AB102" s="234"/>
    </row>
    <row r="103" spans="1:28" ht="12.75">
      <c r="A103" s="8"/>
      <c r="B103" s="22" t="s">
        <v>240</v>
      </c>
      <c r="C103" s="10"/>
      <c r="D103" s="4" t="s">
        <v>242</v>
      </c>
      <c r="E103" s="7" t="s">
        <v>184</v>
      </c>
      <c r="F103" s="83" t="s">
        <v>775</v>
      </c>
      <c r="G103" s="7" t="s">
        <v>779</v>
      </c>
      <c r="I103" s="243"/>
      <c r="J103" s="57" t="s">
        <v>248</v>
      </c>
      <c r="K103" s="18" t="s">
        <v>184</v>
      </c>
      <c r="L103" s="54">
        <f>49770/3</f>
        <v>16590</v>
      </c>
      <c r="M103" s="54"/>
      <c r="N103" s="54"/>
      <c r="O103" s="54"/>
      <c r="P103" s="54"/>
      <c r="Q103" s="230"/>
      <c r="R103" s="230"/>
      <c r="S103" s="54"/>
      <c r="T103" s="230"/>
      <c r="U103" s="54"/>
      <c r="V103" s="54"/>
      <c r="W103" s="232"/>
      <c r="X103" s="39"/>
      <c r="Y103" s="54"/>
      <c r="Z103" s="232"/>
      <c r="AA103" s="54"/>
      <c r="AB103" s="234"/>
    </row>
    <row r="104" spans="1:28" ht="12.75">
      <c r="A104" s="8" t="s">
        <v>34</v>
      </c>
      <c r="B104" s="9" t="s">
        <v>224</v>
      </c>
      <c r="C104" s="10">
        <v>8</v>
      </c>
      <c r="D104" s="4" t="s">
        <v>244</v>
      </c>
      <c r="E104" s="4" t="s">
        <v>246</v>
      </c>
      <c r="F104" s="83" t="s">
        <v>777</v>
      </c>
      <c r="I104" s="244"/>
      <c r="J104" s="56" t="s">
        <v>224</v>
      </c>
      <c r="K104" s="56" t="s">
        <v>249</v>
      </c>
      <c r="L104" s="55">
        <f>80700/3</f>
        <v>26900</v>
      </c>
      <c r="M104" s="55"/>
      <c r="N104" s="55"/>
      <c r="O104" s="55"/>
      <c r="P104" s="55"/>
      <c r="Q104" s="235"/>
      <c r="R104" s="235"/>
      <c r="S104" s="55"/>
      <c r="T104" s="235"/>
      <c r="U104" s="40">
        <v>1</v>
      </c>
      <c r="V104" s="55"/>
      <c r="W104" s="237"/>
      <c r="X104" s="40"/>
      <c r="Y104" s="55"/>
      <c r="Z104" s="237"/>
      <c r="AA104" s="55"/>
      <c r="AB104" s="238"/>
    </row>
    <row r="105" spans="1:28" ht="12.75">
      <c r="A105" s="8" t="s">
        <v>35</v>
      </c>
      <c r="B105" s="9" t="s">
        <v>224</v>
      </c>
      <c r="C105" s="10">
        <v>9</v>
      </c>
      <c r="D105" s="4" t="s">
        <v>251</v>
      </c>
      <c r="E105" s="4" t="s">
        <v>165</v>
      </c>
      <c r="F105" s="83" t="s">
        <v>718</v>
      </c>
      <c r="I105" s="242" t="s">
        <v>255</v>
      </c>
      <c r="J105" s="58" t="s">
        <v>224</v>
      </c>
      <c r="K105" s="58" t="s">
        <v>164</v>
      </c>
      <c r="L105" s="53">
        <f>38018/3</f>
        <v>12672.666666666666</v>
      </c>
      <c r="M105" s="53"/>
      <c r="N105" s="53"/>
      <c r="O105" s="53"/>
      <c r="P105" s="53"/>
      <c r="Q105" s="229">
        <f>35370/3</f>
        <v>11790</v>
      </c>
      <c r="R105" s="229">
        <f>2648/3</f>
        <v>882.6666666666666</v>
      </c>
      <c r="S105" s="229">
        <f>7950/3</f>
        <v>2650</v>
      </c>
      <c r="T105" s="53"/>
      <c r="U105" s="53"/>
      <c r="V105" s="53"/>
      <c r="W105" s="236">
        <v>2</v>
      </c>
      <c r="X105" s="38"/>
      <c r="Y105" s="53"/>
      <c r="Z105" s="236">
        <v>1</v>
      </c>
      <c r="AA105" s="53"/>
      <c r="AB105" s="233" t="s">
        <v>250</v>
      </c>
    </row>
    <row r="106" spans="1:28" ht="12.75">
      <c r="A106" s="8" t="s">
        <v>36</v>
      </c>
      <c r="B106" s="9" t="s">
        <v>224</v>
      </c>
      <c r="C106" s="10">
        <v>10</v>
      </c>
      <c r="D106" s="4" t="s">
        <v>252</v>
      </c>
      <c r="E106" s="4" t="s">
        <v>253</v>
      </c>
      <c r="F106" s="83" t="s">
        <v>777</v>
      </c>
      <c r="I106" s="243"/>
      <c r="J106" s="227" t="s">
        <v>224</v>
      </c>
      <c r="K106" s="227" t="s">
        <v>256</v>
      </c>
      <c r="L106" s="230">
        <f>37770/3</f>
        <v>12590</v>
      </c>
      <c r="M106" s="54"/>
      <c r="N106" s="54"/>
      <c r="O106" s="54"/>
      <c r="P106" s="54"/>
      <c r="Q106" s="230"/>
      <c r="R106" s="230"/>
      <c r="S106" s="230"/>
      <c r="T106" s="54"/>
      <c r="U106" s="54"/>
      <c r="V106" s="232">
        <v>1</v>
      </c>
      <c r="W106" s="232"/>
      <c r="X106" s="39"/>
      <c r="Y106" s="54"/>
      <c r="Z106" s="232"/>
      <c r="AA106" s="54"/>
      <c r="AB106" s="234"/>
    </row>
    <row r="107" spans="1:28" ht="12.75">
      <c r="A107" s="8" t="s">
        <v>37</v>
      </c>
      <c r="B107" s="9" t="s">
        <v>224</v>
      </c>
      <c r="C107" s="10">
        <v>11</v>
      </c>
      <c r="D107" s="4" t="s">
        <v>252</v>
      </c>
      <c r="E107" s="4" t="s">
        <v>163</v>
      </c>
      <c r="F107" s="83" t="s">
        <v>777</v>
      </c>
      <c r="I107" s="243"/>
      <c r="J107" s="227"/>
      <c r="K107" s="227"/>
      <c r="L107" s="230"/>
      <c r="M107" s="54"/>
      <c r="N107" s="54"/>
      <c r="O107" s="54"/>
      <c r="P107" s="54"/>
      <c r="Q107" s="230"/>
      <c r="R107" s="230"/>
      <c r="S107" s="230"/>
      <c r="T107" s="54"/>
      <c r="U107" s="54"/>
      <c r="V107" s="232"/>
      <c r="W107" s="232"/>
      <c r="X107" s="39"/>
      <c r="Y107" s="54"/>
      <c r="Z107" s="232"/>
      <c r="AA107" s="54"/>
      <c r="AB107" s="234"/>
    </row>
    <row r="108" spans="1:28" ht="12.75">
      <c r="A108" s="8"/>
      <c r="B108" s="22" t="s">
        <v>266</v>
      </c>
      <c r="C108" s="10"/>
      <c r="D108" s="4" t="s">
        <v>254</v>
      </c>
      <c r="E108" s="7" t="s">
        <v>183</v>
      </c>
      <c r="F108" s="83" t="s">
        <v>720</v>
      </c>
      <c r="I108" s="243"/>
      <c r="J108" s="57" t="s">
        <v>248</v>
      </c>
      <c r="K108" s="18" t="s">
        <v>183</v>
      </c>
      <c r="L108" s="54"/>
      <c r="M108" s="54">
        <f>43320/3</f>
        <v>14440</v>
      </c>
      <c r="N108" s="54"/>
      <c r="O108" s="54"/>
      <c r="P108" s="54"/>
      <c r="Q108" s="230"/>
      <c r="R108" s="230"/>
      <c r="S108" s="230"/>
      <c r="T108" s="54"/>
      <c r="U108" s="54"/>
      <c r="V108" s="54"/>
      <c r="W108" s="232"/>
      <c r="X108" s="39"/>
      <c r="Y108" s="54"/>
      <c r="Z108" s="232"/>
      <c r="AA108" s="54"/>
      <c r="AB108" s="234"/>
    </row>
    <row r="109" spans="1:28" ht="12.75">
      <c r="A109" s="8"/>
      <c r="B109" s="22" t="s">
        <v>267</v>
      </c>
      <c r="C109" s="10"/>
      <c r="D109" s="4" t="s">
        <v>252</v>
      </c>
      <c r="E109" s="7" t="s">
        <v>184</v>
      </c>
      <c r="F109" s="83" t="s">
        <v>775</v>
      </c>
      <c r="G109" s="7" t="s">
        <v>779</v>
      </c>
      <c r="I109" s="244"/>
      <c r="J109" s="56" t="s">
        <v>248</v>
      </c>
      <c r="K109" s="19" t="s">
        <v>184</v>
      </c>
      <c r="L109" s="55">
        <f>37770/3</f>
        <v>12590</v>
      </c>
      <c r="M109" s="55"/>
      <c r="N109" s="55"/>
      <c r="O109" s="55"/>
      <c r="P109" s="55"/>
      <c r="Q109" s="235"/>
      <c r="R109" s="235"/>
      <c r="S109" s="235"/>
      <c r="T109" s="55"/>
      <c r="U109" s="55"/>
      <c r="V109" s="55"/>
      <c r="W109" s="237"/>
      <c r="X109" s="40"/>
      <c r="Y109" s="55"/>
      <c r="Z109" s="237"/>
      <c r="AA109" s="55"/>
      <c r="AB109" s="238"/>
    </row>
    <row r="110" spans="1:28" ht="12.75">
      <c r="A110" s="8" t="s">
        <v>38</v>
      </c>
      <c r="B110" s="9" t="s">
        <v>224</v>
      </c>
      <c r="C110" s="10">
        <v>12</v>
      </c>
      <c r="D110" s="4" t="s">
        <v>257</v>
      </c>
      <c r="E110" s="4" t="s">
        <v>259</v>
      </c>
      <c r="F110" s="83" t="s">
        <v>777</v>
      </c>
      <c r="I110" s="242" t="s">
        <v>260</v>
      </c>
      <c r="J110" s="226" t="s">
        <v>224</v>
      </c>
      <c r="K110" s="226" t="s">
        <v>261</v>
      </c>
      <c r="L110" s="229">
        <f>12249/3</f>
        <v>4083</v>
      </c>
      <c r="M110" s="53"/>
      <c r="N110" s="53"/>
      <c r="O110" s="229">
        <f>12249/3</f>
        <v>4083</v>
      </c>
      <c r="P110" s="53"/>
      <c r="Q110" s="53"/>
      <c r="R110" s="53"/>
      <c r="S110" s="53"/>
      <c r="T110" s="53"/>
      <c r="U110" s="236">
        <v>1</v>
      </c>
      <c r="V110" s="53"/>
      <c r="W110" s="38"/>
      <c r="X110" s="38"/>
      <c r="Y110" s="236">
        <v>1</v>
      </c>
      <c r="Z110" s="236">
        <v>1</v>
      </c>
      <c r="AA110" s="53"/>
      <c r="AB110" s="233" t="s">
        <v>262</v>
      </c>
    </row>
    <row r="111" spans="1:28" ht="12.75">
      <c r="A111" s="8" t="s">
        <v>39</v>
      </c>
      <c r="B111" s="9" t="s">
        <v>224</v>
      </c>
      <c r="C111" s="10">
        <v>13</v>
      </c>
      <c r="D111" s="4" t="s">
        <v>257</v>
      </c>
      <c r="E111" s="4" t="s">
        <v>163</v>
      </c>
      <c r="F111" s="83" t="s">
        <v>777</v>
      </c>
      <c r="I111" s="243"/>
      <c r="J111" s="227"/>
      <c r="K111" s="227"/>
      <c r="L111" s="230"/>
      <c r="M111" s="54"/>
      <c r="N111" s="54"/>
      <c r="O111" s="230"/>
      <c r="P111" s="54"/>
      <c r="Q111" s="54"/>
      <c r="R111" s="54"/>
      <c r="S111" s="54"/>
      <c r="T111" s="54"/>
      <c r="U111" s="232"/>
      <c r="V111" s="54"/>
      <c r="W111" s="39"/>
      <c r="X111" s="39"/>
      <c r="Y111" s="232"/>
      <c r="Z111" s="232"/>
      <c r="AA111" s="54"/>
      <c r="AB111" s="234"/>
    </row>
    <row r="112" spans="1:28" ht="12.75">
      <c r="A112" s="8" t="s">
        <v>40</v>
      </c>
      <c r="B112" s="9" t="s">
        <v>224</v>
      </c>
      <c r="C112" s="10">
        <v>14</v>
      </c>
      <c r="D112" s="4" t="s">
        <v>258</v>
      </c>
      <c r="E112" s="4" t="s">
        <v>165</v>
      </c>
      <c r="F112" s="83" t="s">
        <v>718</v>
      </c>
      <c r="I112" s="244"/>
      <c r="J112" s="56" t="s">
        <v>224</v>
      </c>
      <c r="K112" s="56" t="s">
        <v>164</v>
      </c>
      <c r="L112" s="55">
        <f>9248/3</f>
        <v>3082.6666666666665</v>
      </c>
      <c r="M112" s="55"/>
      <c r="N112" s="55"/>
      <c r="O112" s="235"/>
      <c r="P112" s="55"/>
      <c r="Q112" s="55"/>
      <c r="R112" s="55"/>
      <c r="S112" s="55"/>
      <c r="T112" s="55"/>
      <c r="U112" s="55"/>
      <c r="V112" s="55"/>
      <c r="W112" s="40"/>
      <c r="X112" s="40"/>
      <c r="Y112" s="237"/>
      <c r="Z112" s="237"/>
      <c r="AA112" s="55"/>
      <c r="AB112" s="238"/>
    </row>
    <row r="113" spans="1:28" ht="12.75">
      <c r="A113" s="8" t="s">
        <v>41</v>
      </c>
      <c r="B113" s="9" t="s">
        <v>224</v>
      </c>
      <c r="C113" s="10">
        <v>15</v>
      </c>
      <c r="D113" s="4" t="s">
        <v>263</v>
      </c>
      <c r="E113" s="4" t="s">
        <v>165</v>
      </c>
      <c r="F113" s="83" t="s">
        <v>718</v>
      </c>
      <c r="I113" s="242" t="s">
        <v>269</v>
      </c>
      <c r="J113" s="58" t="s">
        <v>224</v>
      </c>
      <c r="K113" s="58" t="s">
        <v>164</v>
      </c>
      <c r="L113" s="53">
        <f>(11948/3)+4000</f>
        <v>7982.666666666666</v>
      </c>
      <c r="M113" s="53"/>
      <c r="N113" s="53"/>
      <c r="O113" s="53"/>
      <c r="P113" s="53"/>
      <c r="Q113" s="229">
        <f>(38670/3)+4000</f>
        <v>16890</v>
      </c>
      <c r="R113" s="53"/>
      <c r="S113" s="53"/>
      <c r="T113" s="53"/>
      <c r="U113" s="53"/>
      <c r="V113" s="53"/>
      <c r="W113" s="53"/>
      <c r="X113" s="38"/>
      <c r="Y113" s="236">
        <v>1</v>
      </c>
      <c r="Z113" s="236">
        <v>2</v>
      </c>
      <c r="AA113" s="53"/>
      <c r="AB113" s="233" t="s">
        <v>262</v>
      </c>
    </row>
    <row r="114" spans="1:28" ht="12.75">
      <c r="A114" s="8" t="s">
        <v>42</v>
      </c>
      <c r="B114" s="9" t="s">
        <v>224</v>
      </c>
      <c r="C114" s="10">
        <v>16</v>
      </c>
      <c r="D114" s="4" t="s">
        <v>264</v>
      </c>
      <c r="E114" s="4" t="s">
        <v>265</v>
      </c>
      <c r="F114" s="83" t="s">
        <v>777</v>
      </c>
      <c r="I114" s="243"/>
      <c r="J114" s="57" t="s">
        <v>224</v>
      </c>
      <c r="K114" s="57" t="s">
        <v>270</v>
      </c>
      <c r="L114" s="54">
        <f>(35520/3)+4000</f>
        <v>15840</v>
      </c>
      <c r="M114" s="54"/>
      <c r="N114" s="54"/>
      <c r="O114" s="54"/>
      <c r="P114" s="54"/>
      <c r="Q114" s="230"/>
      <c r="R114" s="54"/>
      <c r="S114" s="54"/>
      <c r="T114" s="54"/>
      <c r="U114" s="54"/>
      <c r="V114" s="39">
        <v>1</v>
      </c>
      <c r="W114" s="54"/>
      <c r="X114" s="39"/>
      <c r="Y114" s="232"/>
      <c r="Z114" s="232"/>
      <c r="AA114" s="54"/>
      <c r="AB114" s="234"/>
    </row>
    <row r="115" spans="1:28" ht="12.75">
      <c r="A115" s="8"/>
      <c r="B115" s="22" t="s">
        <v>272</v>
      </c>
      <c r="C115" s="10"/>
      <c r="D115" s="4" t="s">
        <v>268</v>
      </c>
      <c r="E115" s="7" t="s">
        <v>183</v>
      </c>
      <c r="F115" s="83" t="s">
        <v>720</v>
      </c>
      <c r="I115" s="243"/>
      <c r="J115" s="57" t="s">
        <v>271</v>
      </c>
      <c r="K115" s="18" t="s">
        <v>183</v>
      </c>
      <c r="L115" s="54"/>
      <c r="M115" s="54">
        <f>(38670/3)+4000</f>
        <v>16890</v>
      </c>
      <c r="N115" s="54"/>
      <c r="O115" s="54"/>
      <c r="P115" s="54"/>
      <c r="Q115" s="230"/>
      <c r="R115" s="54"/>
      <c r="S115" s="54"/>
      <c r="T115" s="54"/>
      <c r="U115" s="54"/>
      <c r="V115" s="54"/>
      <c r="W115" s="54"/>
      <c r="X115" s="39"/>
      <c r="Y115" s="232"/>
      <c r="Z115" s="232"/>
      <c r="AA115" s="54"/>
      <c r="AB115" s="234"/>
    </row>
    <row r="116" spans="1:28" ht="12.75">
      <c r="A116" s="8"/>
      <c r="B116" s="22" t="s">
        <v>273</v>
      </c>
      <c r="C116" s="10"/>
      <c r="D116" s="4" t="s">
        <v>264</v>
      </c>
      <c r="E116" s="7" t="s">
        <v>184</v>
      </c>
      <c r="F116" s="82" t="s">
        <v>774</v>
      </c>
      <c r="I116" s="244"/>
      <c r="J116" s="56" t="s">
        <v>271</v>
      </c>
      <c r="K116" s="19" t="s">
        <v>184</v>
      </c>
      <c r="L116" s="55">
        <f>(35520/3)+4000</f>
        <v>15840</v>
      </c>
      <c r="M116" s="55"/>
      <c r="N116" s="55"/>
      <c r="O116" s="55"/>
      <c r="P116" s="55"/>
      <c r="Q116" s="235"/>
      <c r="R116" s="55"/>
      <c r="S116" s="55"/>
      <c r="T116" s="55"/>
      <c r="U116" s="55"/>
      <c r="V116" s="55"/>
      <c r="W116" s="55"/>
      <c r="X116" s="40"/>
      <c r="Y116" s="237"/>
      <c r="Z116" s="237"/>
      <c r="AA116" s="55"/>
      <c r="AB116" s="238"/>
    </row>
    <row r="117" spans="1:28" ht="12.75">
      <c r="A117" s="8" t="s">
        <v>43</v>
      </c>
      <c r="B117" s="9" t="s">
        <v>224</v>
      </c>
      <c r="C117" s="10">
        <v>17</v>
      </c>
      <c r="D117" s="4" t="s">
        <v>276</v>
      </c>
      <c r="E117" s="4" t="s">
        <v>165</v>
      </c>
      <c r="F117" s="83" t="s">
        <v>718</v>
      </c>
      <c r="I117" s="242" t="s">
        <v>281</v>
      </c>
      <c r="J117" s="58" t="s">
        <v>224</v>
      </c>
      <c r="K117" s="58" t="s">
        <v>164</v>
      </c>
      <c r="L117" s="53">
        <f>(14048/3)+4000</f>
        <v>8682.666666666668</v>
      </c>
      <c r="M117" s="53"/>
      <c r="N117" s="53"/>
      <c r="O117" s="53"/>
      <c r="P117" s="53"/>
      <c r="Q117" s="229">
        <f>(37770/3)+4000</f>
        <v>16590</v>
      </c>
      <c r="R117" s="53"/>
      <c r="S117" s="53"/>
      <c r="T117" s="53"/>
      <c r="U117" s="53"/>
      <c r="V117" s="53"/>
      <c r="W117" s="38"/>
      <c r="X117" s="38"/>
      <c r="Y117" s="236">
        <v>1</v>
      </c>
      <c r="Z117" s="236">
        <v>2</v>
      </c>
      <c r="AA117" s="53"/>
      <c r="AB117" s="233" t="s">
        <v>262</v>
      </c>
    </row>
    <row r="118" spans="1:28" ht="12.75">
      <c r="A118" s="8" t="s">
        <v>44</v>
      </c>
      <c r="B118" s="9" t="s">
        <v>224</v>
      </c>
      <c r="C118" s="10">
        <v>18</v>
      </c>
      <c r="D118" s="4" t="s">
        <v>277</v>
      </c>
      <c r="E118" s="4" t="s">
        <v>279</v>
      </c>
      <c r="F118" s="83" t="s">
        <v>777</v>
      </c>
      <c r="I118" s="243"/>
      <c r="J118" s="57" t="s">
        <v>224</v>
      </c>
      <c r="K118" s="57" t="s">
        <v>280</v>
      </c>
      <c r="L118" s="54">
        <f>(34320/3)+4000</f>
        <v>15440</v>
      </c>
      <c r="M118" s="54"/>
      <c r="N118" s="54"/>
      <c r="O118" s="54"/>
      <c r="P118" s="54"/>
      <c r="Q118" s="230"/>
      <c r="R118" s="54"/>
      <c r="S118" s="54"/>
      <c r="T118" s="54"/>
      <c r="U118" s="54"/>
      <c r="V118" s="39">
        <v>1</v>
      </c>
      <c r="W118" s="39"/>
      <c r="X118" s="39"/>
      <c r="Y118" s="232"/>
      <c r="Z118" s="232"/>
      <c r="AA118" s="54"/>
      <c r="AB118" s="234"/>
    </row>
    <row r="119" spans="1:28" ht="12.75">
      <c r="A119" s="8"/>
      <c r="B119" s="22" t="s">
        <v>274</v>
      </c>
      <c r="C119" s="10"/>
      <c r="D119" s="4" t="s">
        <v>278</v>
      </c>
      <c r="E119" s="7" t="s">
        <v>183</v>
      </c>
      <c r="F119" s="83" t="s">
        <v>720</v>
      </c>
      <c r="I119" s="243"/>
      <c r="J119" s="57" t="s">
        <v>271</v>
      </c>
      <c r="K119" s="18" t="s">
        <v>183</v>
      </c>
      <c r="L119" s="54"/>
      <c r="M119" s="54">
        <f>(37770/3)+4000</f>
        <v>16590</v>
      </c>
      <c r="N119" s="54"/>
      <c r="O119" s="54"/>
      <c r="P119" s="54"/>
      <c r="Q119" s="230"/>
      <c r="R119" s="54"/>
      <c r="S119" s="54"/>
      <c r="T119" s="54"/>
      <c r="U119" s="54"/>
      <c r="V119" s="54"/>
      <c r="W119" s="39"/>
      <c r="X119" s="39"/>
      <c r="Y119" s="232"/>
      <c r="Z119" s="232"/>
      <c r="AA119" s="54"/>
      <c r="AB119" s="234"/>
    </row>
    <row r="120" spans="1:28" ht="12.75">
      <c r="A120" s="8"/>
      <c r="B120" s="22" t="s">
        <v>275</v>
      </c>
      <c r="C120" s="10"/>
      <c r="D120" s="4" t="s">
        <v>277</v>
      </c>
      <c r="E120" s="7" t="s">
        <v>184</v>
      </c>
      <c r="F120" s="82" t="s">
        <v>774</v>
      </c>
      <c r="I120" s="244"/>
      <c r="J120" s="56" t="s">
        <v>271</v>
      </c>
      <c r="K120" s="19" t="s">
        <v>184</v>
      </c>
      <c r="L120" s="55">
        <f>(34320/3)+4000</f>
        <v>15440</v>
      </c>
      <c r="M120" s="55"/>
      <c r="N120" s="55"/>
      <c r="O120" s="55"/>
      <c r="P120" s="55"/>
      <c r="Q120" s="235"/>
      <c r="R120" s="55"/>
      <c r="S120" s="55"/>
      <c r="T120" s="55"/>
      <c r="U120" s="55"/>
      <c r="V120" s="55"/>
      <c r="W120" s="40"/>
      <c r="X120" s="40"/>
      <c r="Y120" s="237"/>
      <c r="Z120" s="237"/>
      <c r="AA120" s="55"/>
      <c r="AB120" s="238"/>
    </row>
    <row r="121" spans="1:28" ht="12.75">
      <c r="A121" s="8" t="s">
        <v>45</v>
      </c>
      <c r="B121" s="9" t="s">
        <v>224</v>
      </c>
      <c r="C121" s="10">
        <v>19</v>
      </c>
      <c r="D121" s="4" t="s">
        <v>282</v>
      </c>
      <c r="E121" s="4" t="s">
        <v>165</v>
      </c>
      <c r="F121" s="83" t="s">
        <v>718</v>
      </c>
      <c r="I121" s="242" t="s">
        <v>281</v>
      </c>
      <c r="J121" s="58" t="s">
        <v>224</v>
      </c>
      <c r="K121" s="58" t="s">
        <v>164</v>
      </c>
      <c r="L121" s="53">
        <v>47000</v>
      </c>
      <c r="M121" s="53"/>
      <c r="N121" s="53"/>
      <c r="O121" s="229">
        <v>48000</v>
      </c>
      <c r="P121" s="53"/>
      <c r="Q121" s="53"/>
      <c r="R121" s="53"/>
      <c r="S121" s="53"/>
      <c r="T121" s="53"/>
      <c r="U121" s="53"/>
      <c r="V121" s="53"/>
      <c r="W121" s="38"/>
      <c r="X121" s="38"/>
      <c r="Y121" s="236">
        <v>1</v>
      </c>
      <c r="Z121" s="236">
        <v>2</v>
      </c>
      <c r="AA121" s="53"/>
      <c r="AB121" s="233" t="s">
        <v>286</v>
      </c>
    </row>
    <row r="122" spans="1:28" ht="12.75">
      <c r="A122" s="8" t="s">
        <v>46</v>
      </c>
      <c r="B122" s="9" t="s">
        <v>224</v>
      </c>
      <c r="C122" s="10">
        <v>20</v>
      </c>
      <c r="D122" s="4" t="s">
        <v>283</v>
      </c>
      <c r="E122" s="4" t="s">
        <v>284</v>
      </c>
      <c r="F122" s="83" t="s">
        <v>777</v>
      </c>
      <c r="I122" s="244"/>
      <c r="J122" s="56" t="s">
        <v>224</v>
      </c>
      <c r="K122" s="56" t="s">
        <v>285</v>
      </c>
      <c r="L122" s="55">
        <v>48000</v>
      </c>
      <c r="M122" s="55"/>
      <c r="N122" s="55"/>
      <c r="O122" s="235"/>
      <c r="P122" s="55"/>
      <c r="Q122" s="55"/>
      <c r="R122" s="55"/>
      <c r="S122" s="55"/>
      <c r="T122" s="55"/>
      <c r="U122" s="40">
        <v>1</v>
      </c>
      <c r="V122" s="55"/>
      <c r="W122" s="40"/>
      <c r="X122" s="40"/>
      <c r="Y122" s="237"/>
      <c r="Z122" s="237"/>
      <c r="AA122" s="55"/>
      <c r="AB122" s="238"/>
    </row>
    <row r="123" spans="1:28" ht="12.75">
      <c r="A123" s="8" t="s">
        <v>47</v>
      </c>
      <c r="B123" s="9" t="s">
        <v>224</v>
      </c>
      <c r="C123" s="10">
        <v>21</v>
      </c>
      <c r="D123" s="4" t="s">
        <v>292</v>
      </c>
      <c r="E123" s="4" t="s">
        <v>165</v>
      </c>
      <c r="F123" s="83" t="s">
        <v>718</v>
      </c>
      <c r="I123" s="242" t="s">
        <v>296</v>
      </c>
      <c r="J123" s="58" t="s">
        <v>224</v>
      </c>
      <c r="K123" s="58" t="s">
        <v>164</v>
      </c>
      <c r="L123" s="53">
        <f>((2619+34620)/3)+8000</f>
        <v>20413</v>
      </c>
      <c r="M123" s="53"/>
      <c r="N123" s="53"/>
      <c r="O123" s="53"/>
      <c r="P123" s="53"/>
      <c r="Q123" s="229">
        <f>((34620+34620)/3)+4000</f>
        <v>27080</v>
      </c>
      <c r="R123" s="53"/>
      <c r="S123" s="229">
        <f>(2619+3000+34620)/3</f>
        <v>13413</v>
      </c>
      <c r="T123" s="229">
        <f>((34620+34620)/3)+4000</f>
        <v>27080</v>
      </c>
      <c r="U123" s="53"/>
      <c r="V123" s="53"/>
      <c r="W123" s="236">
        <v>4</v>
      </c>
      <c r="X123" s="38"/>
      <c r="Y123" s="53"/>
      <c r="Z123" s="53"/>
      <c r="AA123" s="53"/>
      <c r="AB123" s="233" t="s">
        <v>250</v>
      </c>
    </row>
    <row r="124" spans="1:28" ht="12.75">
      <c r="A124" s="8" t="s">
        <v>48</v>
      </c>
      <c r="B124" s="9" t="s">
        <v>224</v>
      </c>
      <c r="C124" s="10">
        <v>22</v>
      </c>
      <c r="D124" s="4" t="s">
        <v>293</v>
      </c>
      <c r="E124" s="4" t="s">
        <v>289</v>
      </c>
      <c r="F124" s="83" t="s">
        <v>777</v>
      </c>
      <c r="I124" s="243"/>
      <c r="J124" s="227" t="s">
        <v>224</v>
      </c>
      <c r="K124" s="227" t="s">
        <v>297</v>
      </c>
      <c r="L124" s="230">
        <f>((3000+34620)/3)+8000</f>
        <v>20540</v>
      </c>
      <c r="M124" s="54"/>
      <c r="N124" s="54"/>
      <c r="O124" s="54"/>
      <c r="P124" s="54"/>
      <c r="Q124" s="230"/>
      <c r="R124" s="54"/>
      <c r="S124" s="230"/>
      <c r="T124" s="230"/>
      <c r="U124" s="54"/>
      <c r="V124" s="232">
        <v>1</v>
      </c>
      <c r="W124" s="232"/>
      <c r="X124" s="39"/>
      <c r="Y124" s="54"/>
      <c r="Z124" s="54"/>
      <c r="AA124" s="54"/>
      <c r="AB124" s="234"/>
    </row>
    <row r="125" spans="1:28" ht="12.75">
      <c r="A125" s="8" t="s">
        <v>49</v>
      </c>
      <c r="B125" s="9" t="s">
        <v>224</v>
      </c>
      <c r="C125" s="10">
        <v>23</v>
      </c>
      <c r="D125" s="4" t="s">
        <v>293</v>
      </c>
      <c r="E125" s="4" t="s">
        <v>290</v>
      </c>
      <c r="F125" s="83" t="s">
        <v>777</v>
      </c>
      <c r="I125" s="243"/>
      <c r="J125" s="227"/>
      <c r="K125" s="227"/>
      <c r="L125" s="230"/>
      <c r="M125" s="54"/>
      <c r="N125" s="54"/>
      <c r="O125" s="54"/>
      <c r="P125" s="54"/>
      <c r="Q125" s="230"/>
      <c r="R125" s="54"/>
      <c r="S125" s="230"/>
      <c r="T125" s="230"/>
      <c r="U125" s="54"/>
      <c r="V125" s="232"/>
      <c r="W125" s="232"/>
      <c r="X125" s="39"/>
      <c r="Y125" s="54"/>
      <c r="Z125" s="54"/>
      <c r="AA125" s="54"/>
      <c r="AB125" s="234"/>
    </row>
    <row r="126" spans="1:28" ht="12.75">
      <c r="A126" s="8"/>
      <c r="B126" s="22" t="s">
        <v>287</v>
      </c>
      <c r="C126" s="10"/>
      <c r="D126" s="4" t="s">
        <v>294</v>
      </c>
      <c r="E126" s="7" t="s">
        <v>183</v>
      </c>
      <c r="F126" s="83" t="s">
        <v>720</v>
      </c>
      <c r="I126" s="243"/>
      <c r="J126" s="57" t="s">
        <v>298</v>
      </c>
      <c r="K126" s="18" t="s">
        <v>183</v>
      </c>
      <c r="L126" s="54"/>
      <c r="M126" s="54">
        <f>((2100+34620)/3)+8000</f>
        <v>20240</v>
      </c>
      <c r="N126" s="54"/>
      <c r="O126" s="54"/>
      <c r="P126" s="54"/>
      <c r="Q126" s="230"/>
      <c r="R126" s="54"/>
      <c r="S126" s="230"/>
      <c r="T126" s="230"/>
      <c r="U126" s="54"/>
      <c r="V126" s="54"/>
      <c r="W126" s="232"/>
      <c r="X126" s="39"/>
      <c r="Y126" s="54"/>
      <c r="Z126" s="54"/>
      <c r="AA126" s="54"/>
      <c r="AB126" s="234"/>
    </row>
    <row r="127" spans="1:28" ht="12.75">
      <c r="A127" s="8"/>
      <c r="B127" s="22" t="s">
        <v>288</v>
      </c>
      <c r="C127" s="10"/>
      <c r="D127" s="4" t="s">
        <v>293</v>
      </c>
      <c r="E127" s="7" t="s">
        <v>184</v>
      </c>
      <c r="F127" s="82" t="s">
        <v>774</v>
      </c>
      <c r="G127" s="7" t="s">
        <v>779</v>
      </c>
      <c r="I127" s="243"/>
      <c r="J127" s="57" t="s">
        <v>298</v>
      </c>
      <c r="K127" s="18" t="s">
        <v>184</v>
      </c>
      <c r="L127" s="54">
        <f>((3000+34620)/3)+8000</f>
        <v>20540</v>
      </c>
      <c r="M127" s="54"/>
      <c r="N127" s="54"/>
      <c r="O127" s="54"/>
      <c r="P127" s="54"/>
      <c r="Q127" s="230"/>
      <c r="R127" s="54"/>
      <c r="S127" s="230"/>
      <c r="T127" s="230"/>
      <c r="U127" s="54"/>
      <c r="V127" s="54"/>
      <c r="W127" s="232"/>
      <c r="X127" s="39"/>
      <c r="Y127" s="54"/>
      <c r="Z127" s="54"/>
      <c r="AA127" s="54"/>
      <c r="AB127" s="234"/>
    </row>
    <row r="128" spans="1:28" ht="12.75">
      <c r="A128" s="8" t="s">
        <v>50</v>
      </c>
      <c r="B128" s="9" t="s">
        <v>224</v>
      </c>
      <c r="C128" s="10">
        <v>24</v>
      </c>
      <c r="D128" s="4" t="s">
        <v>295</v>
      </c>
      <c r="E128" s="4" t="s">
        <v>291</v>
      </c>
      <c r="F128" s="83" t="s">
        <v>777</v>
      </c>
      <c r="I128" s="244"/>
      <c r="J128" s="56" t="s">
        <v>224</v>
      </c>
      <c r="K128" s="56" t="s">
        <v>299</v>
      </c>
      <c r="L128" s="55">
        <f>((29580+34620)/3)+8000</f>
        <v>29400</v>
      </c>
      <c r="M128" s="55"/>
      <c r="N128" s="55"/>
      <c r="O128" s="55"/>
      <c r="P128" s="55"/>
      <c r="Q128" s="235"/>
      <c r="R128" s="55"/>
      <c r="S128" s="235"/>
      <c r="T128" s="235"/>
      <c r="U128" s="40">
        <v>1</v>
      </c>
      <c r="V128" s="55"/>
      <c r="W128" s="237"/>
      <c r="X128" s="40"/>
      <c r="Y128" s="55"/>
      <c r="Z128" s="55"/>
      <c r="AA128" s="55"/>
      <c r="AB128" s="238"/>
    </row>
    <row r="129" spans="1:28" s="7" customFormat="1" ht="12.75">
      <c r="A129" s="15" t="s">
        <v>51</v>
      </c>
      <c r="B129" s="16" t="s">
        <v>224</v>
      </c>
      <c r="C129" s="17">
        <v>25</v>
      </c>
      <c r="D129" s="7" t="s">
        <v>745</v>
      </c>
      <c r="E129" s="7" t="s">
        <v>163</v>
      </c>
      <c r="F129" s="83" t="s">
        <v>778</v>
      </c>
      <c r="H129" s="73"/>
      <c r="I129" s="89" t="s">
        <v>746</v>
      </c>
      <c r="J129" s="20" t="s">
        <v>224</v>
      </c>
      <c r="K129" s="20" t="s">
        <v>163</v>
      </c>
      <c r="L129" s="43">
        <v>30000</v>
      </c>
      <c r="M129" s="43"/>
      <c r="N129" s="43"/>
      <c r="O129" s="43"/>
      <c r="P129" s="43">
        <v>30000</v>
      </c>
      <c r="Q129" s="43"/>
      <c r="R129" s="43"/>
      <c r="S129" s="43"/>
      <c r="T129" s="43"/>
      <c r="U129" s="43"/>
      <c r="V129" s="43"/>
      <c r="W129" s="44"/>
      <c r="X129" s="44"/>
      <c r="Y129" s="43"/>
      <c r="Z129" s="44">
        <v>2</v>
      </c>
      <c r="AA129" s="43"/>
      <c r="AB129" s="21" t="s">
        <v>286</v>
      </c>
    </row>
    <row r="130" spans="1:28" s="7" customFormat="1" ht="12.75">
      <c r="A130" s="15" t="s">
        <v>52</v>
      </c>
      <c r="B130" s="16" t="s">
        <v>224</v>
      </c>
      <c r="C130" s="17">
        <v>26</v>
      </c>
      <c r="D130" s="7" t="s">
        <v>748</v>
      </c>
      <c r="E130" s="7" t="s">
        <v>163</v>
      </c>
      <c r="F130" s="83" t="s">
        <v>778</v>
      </c>
      <c r="H130" s="73"/>
      <c r="I130" s="89" t="s">
        <v>747</v>
      </c>
      <c r="J130" s="20" t="s">
        <v>224</v>
      </c>
      <c r="K130" s="20" t="s">
        <v>163</v>
      </c>
      <c r="L130" s="43">
        <v>26000</v>
      </c>
      <c r="M130" s="43"/>
      <c r="N130" s="43"/>
      <c r="O130" s="43"/>
      <c r="P130" s="43"/>
      <c r="Q130" s="43">
        <v>26000</v>
      </c>
      <c r="R130" s="43"/>
      <c r="S130" s="43"/>
      <c r="T130" s="43"/>
      <c r="U130" s="43"/>
      <c r="V130" s="43"/>
      <c r="W130" s="44">
        <v>1</v>
      </c>
      <c r="X130" s="44"/>
      <c r="Y130" s="43"/>
      <c r="Z130" s="44"/>
      <c r="AA130" s="43"/>
      <c r="AB130" s="21" t="s">
        <v>173</v>
      </c>
    </row>
    <row r="131" spans="1:28" s="7" customFormat="1" ht="12.75">
      <c r="A131" s="15" t="s">
        <v>53</v>
      </c>
      <c r="B131" s="16" t="s">
        <v>224</v>
      </c>
      <c r="C131" s="17">
        <v>27</v>
      </c>
      <c r="D131" s="7" t="s">
        <v>748</v>
      </c>
      <c r="E131" s="7" t="s">
        <v>163</v>
      </c>
      <c r="F131" s="83" t="s">
        <v>778</v>
      </c>
      <c r="H131" s="73"/>
      <c r="I131" s="89" t="s">
        <v>749</v>
      </c>
      <c r="J131" s="20" t="s">
        <v>224</v>
      </c>
      <c r="K131" s="20" t="s">
        <v>163</v>
      </c>
      <c r="L131" s="43">
        <v>56000</v>
      </c>
      <c r="M131" s="43"/>
      <c r="N131" s="43"/>
      <c r="O131" s="43"/>
      <c r="P131" s="43">
        <v>56000</v>
      </c>
      <c r="Q131" s="43"/>
      <c r="R131" s="43"/>
      <c r="S131" s="43"/>
      <c r="T131" s="43"/>
      <c r="U131" s="43"/>
      <c r="V131" s="43"/>
      <c r="W131" s="44"/>
      <c r="X131" s="44"/>
      <c r="Y131" s="43"/>
      <c r="Z131" s="44">
        <v>2</v>
      </c>
      <c r="AA131" s="43"/>
      <c r="AB131" s="21" t="s">
        <v>286</v>
      </c>
    </row>
    <row r="132" spans="1:27" s="14" customFormat="1" ht="12.75">
      <c r="A132" s="11" t="s">
        <v>54</v>
      </c>
      <c r="B132" s="12" t="s">
        <v>224</v>
      </c>
      <c r="C132" s="13">
        <v>28</v>
      </c>
      <c r="D132" s="14" t="s">
        <v>190</v>
      </c>
      <c r="F132" s="84"/>
      <c r="H132" s="73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2"/>
      <c r="X132" s="42"/>
      <c r="Y132" s="41"/>
      <c r="Z132" s="41"/>
      <c r="AA132" s="41"/>
    </row>
    <row r="133" spans="1:28" s="14" customFormat="1" ht="12.75">
      <c r="A133" s="60" t="s">
        <v>55</v>
      </c>
      <c r="B133" s="61" t="s">
        <v>224</v>
      </c>
      <c r="C133" s="62">
        <v>29</v>
      </c>
      <c r="D133" s="63" t="s">
        <v>447</v>
      </c>
      <c r="E133" s="63" t="s">
        <v>435</v>
      </c>
      <c r="F133" s="277" t="s">
        <v>719</v>
      </c>
      <c r="G133" s="63"/>
      <c r="H133" s="73"/>
      <c r="I133" s="64"/>
      <c r="J133" s="64"/>
      <c r="K133" s="64"/>
      <c r="L133" s="65">
        <v>500</v>
      </c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6"/>
      <c r="X133" s="66"/>
      <c r="Y133" s="65"/>
      <c r="Z133" s="65"/>
      <c r="AA133" s="65"/>
      <c r="AB133" s="67" t="s">
        <v>436</v>
      </c>
    </row>
    <row r="134" spans="1:28" s="14" customFormat="1" ht="12.75">
      <c r="A134" s="60" t="s">
        <v>56</v>
      </c>
      <c r="B134" s="61" t="s">
        <v>224</v>
      </c>
      <c r="C134" s="62">
        <v>30</v>
      </c>
      <c r="D134" s="63" t="s">
        <v>448</v>
      </c>
      <c r="E134" s="63" t="s">
        <v>435</v>
      </c>
      <c r="F134" s="277"/>
      <c r="G134" s="63"/>
      <c r="H134" s="73"/>
      <c r="I134" s="64"/>
      <c r="J134" s="64"/>
      <c r="K134" s="64"/>
      <c r="L134" s="65">
        <v>500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6"/>
      <c r="X134" s="66"/>
      <c r="Y134" s="65"/>
      <c r="Z134" s="65"/>
      <c r="AA134" s="65"/>
      <c r="AB134" s="67" t="s">
        <v>436</v>
      </c>
    </row>
    <row r="135" spans="1:28" s="14" customFormat="1" ht="12.75">
      <c r="A135" s="60" t="s">
        <v>57</v>
      </c>
      <c r="B135" s="61" t="s">
        <v>224</v>
      </c>
      <c r="C135" s="62">
        <v>31</v>
      </c>
      <c r="D135" s="63" t="s">
        <v>449</v>
      </c>
      <c r="E135" s="63" t="s">
        <v>435</v>
      </c>
      <c r="F135" s="277"/>
      <c r="G135" s="63"/>
      <c r="H135" s="73"/>
      <c r="I135" s="64"/>
      <c r="J135" s="64"/>
      <c r="K135" s="64"/>
      <c r="L135" s="65">
        <v>500</v>
      </c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6"/>
      <c r="X135" s="66"/>
      <c r="Y135" s="65"/>
      <c r="Z135" s="65"/>
      <c r="AA135" s="65"/>
      <c r="AB135" s="67" t="s">
        <v>436</v>
      </c>
    </row>
    <row r="136" spans="1:28" s="14" customFormat="1" ht="12.75">
      <c r="A136" s="60" t="s">
        <v>58</v>
      </c>
      <c r="B136" s="61" t="s">
        <v>224</v>
      </c>
      <c r="C136" s="62">
        <v>32</v>
      </c>
      <c r="D136" s="63" t="s">
        <v>450</v>
      </c>
      <c r="E136" s="63" t="s">
        <v>435</v>
      </c>
      <c r="F136" s="277"/>
      <c r="G136" s="63"/>
      <c r="H136" s="73"/>
      <c r="I136" s="64"/>
      <c r="J136" s="64"/>
      <c r="K136" s="64"/>
      <c r="L136" s="65">
        <v>500</v>
      </c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6"/>
      <c r="X136" s="66"/>
      <c r="Y136" s="65"/>
      <c r="Z136" s="65"/>
      <c r="AA136" s="65"/>
      <c r="AB136" s="67" t="s">
        <v>436</v>
      </c>
    </row>
    <row r="137" spans="1:27" ht="12.75">
      <c r="A137" s="8"/>
      <c r="B137" s="9"/>
      <c r="C137" s="10"/>
      <c r="F137" s="82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6"/>
      <c r="X137" s="46"/>
      <c r="Y137" s="45"/>
      <c r="Z137" s="45"/>
      <c r="AA137" s="45"/>
    </row>
    <row r="138" spans="1:28" s="29" customFormat="1" ht="12.75">
      <c r="A138" s="26"/>
      <c r="B138" s="27"/>
      <c r="C138" s="28"/>
      <c r="F138" s="85"/>
      <c r="H138" s="73"/>
      <c r="I138" s="30" t="s">
        <v>300</v>
      </c>
      <c r="J138" s="30" t="s">
        <v>224</v>
      </c>
      <c r="K138" s="30" t="s">
        <v>248</v>
      </c>
      <c r="L138" s="47"/>
      <c r="M138" s="47"/>
      <c r="N138" s="47">
        <v>1000</v>
      </c>
      <c r="O138" s="47"/>
      <c r="P138" s="47"/>
      <c r="Q138" s="47"/>
      <c r="R138" s="47"/>
      <c r="S138" s="47"/>
      <c r="T138" s="47"/>
      <c r="U138" s="47"/>
      <c r="V138" s="47"/>
      <c r="W138" s="48"/>
      <c r="X138" s="48"/>
      <c r="Y138" s="47"/>
      <c r="Z138" s="47"/>
      <c r="AA138" s="47"/>
      <c r="AB138" s="31" t="s">
        <v>226</v>
      </c>
    </row>
    <row r="139" spans="1:28" s="29" customFormat="1" ht="12.75">
      <c r="A139" s="26"/>
      <c r="B139" s="27"/>
      <c r="C139" s="28"/>
      <c r="F139" s="85"/>
      <c r="H139" s="73"/>
      <c r="I139" s="30" t="s">
        <v>302</v>
      </c>
      <c r="J139" s="30" t="s">
        <v>248</v>
      </c>
      <c r="K139" s="30" t="s">
        <v>271</v>
      </c>
      <c r="L139" s="47"/>
      <c r="M139" s="47"/>
      <c r="N139" s="47">
        <v>1000</v>
      </c>
      <c r="O139" s="47"/>
      <c r="P139" s="47"/>
      <c r="Q139" s="47"/>
      <c r="R139" s="47"/>
      <c r="S139" s="47"/>
      <c r="T139" s="47"/>
      <c r="U139" s="47"/>
      <c r="V139" s="47"/>
      <c r="W139" s="48"/>
      <c r="X139" s="48"/>
      <c r="Y139" s="47"/>
      <c r="Z139" s="47"/>
      <c r="AA139" s="47"/>
      <c r="AB139" s="31" t="s">
        <v>226</v>
      </c>
    </row>
    <row r="140" spans="1:28" s="29" customFormat="1" ht="12.75">
      <c r="A140" s="26"/>
      <c r="B140" s="27"/>
      <c r="C140" s="28"/>
      <c r="F140" s="85"/>
      <c r="H140" s="73"/>
      <c r="I140" s="30" t="s">
        <v>303</v>
      </c>
      <c r="J140" s="30" t="s">
        <v>271</v>
      </c>
      <c r="K140" s="30" t="s">
        <v>298</v>
      </c>
      <c r="L140" s="47"/>
      <c r="M140" s="47"/>
      <c r="N140" s="47">
        <v>1000</v>
      </c>
      <c r="O140" s="47"/>
      <c r="P140" s="47"/>
      <c r="Q140" s="47"/>
      <c r="R140" s="47"/>
      <c r="S140" s="47"/>
      <c r="T140" s="47"/>
      <c r="U140" s="47"/>
      <c r="V140" s="47"/>
      <c r="W140" s="48"/>
      <c r="X140" s="48"/>
      <c r="Y140" s="47"/>
      <c r="Z140" s="47"/>
      <c r="AA140" s="47"/>
      <c r="AB140" s="31" t="s">
        <v>226</v>
      </c>
    </row>
    <row r="141" spans="1:28" s="29" customFormat="1" ht="12.75">
      <c r="A141" s="26"/>
      <c r="B141" s="27"/>
      <c r="C141" s="28"/>
      <c r="F141" s="85"/>
      <c r="H141" s="73"/>
      <c r="I141" s="30" t="s">
        <v>304</v>
      </c>
      <c r="J141" s="30" t="s">
        <v>298</v>
      </c>
      <c r="K141" s="30" t="s">
        <v>301</v>
      </c>
      <c r="L141" s="47"/>
      <c r="M141" s="47"/>
      <c r="N141" s="47">
        <v>156045</v>
      </c>
      <c r="O141" s="47">
        <v>156045</v>
      </c>
      <c r="P141" s="47"/>
      <c r="Q141" s="47"/>
      <c r="R141" s="47"/>
      <c r="S141" s="47"/>
      <c r="T141" s="47"/>
      <c r="U141" s="47"/>
      <c r="V141" s="47"/>
      <c r="W141" s="48"/>
      <c r="X141" s="48"/>
      <c r="Y141" s="47"/>
      <c r="Z141" s="47"/>
      <c r="AA141" s="47"/>
      <c r="AB141" s="31" t="s">
        <v>227</v>
      </c>
    </row>
    <row r="142" spans="1:28" ht="12.75">
      <c r="A142" s="8" t="s">
        <v>59</v>
      </c>
      <c r="B142" s="9" t="s">
        <v>301</v>
      </c>
      <c r="C142" s="10">
        <v>1</v>
      </c>
      <c r="D142" s="4" t="s">
        <v>305</v>
      </c>
      <c r="E142" s="4" t="s">
        <v>306</v>
      </c>
      <c r="F142" s="83" t="s">
        <v>777</v>
      </c>
      <c r="I142" s="242" t="s">
        <v>307</v>
      </c>
      <c r="J142" s="226" t="s">
        <v>301</v>
      </c>
      <c r="K142" s="226" t="s">
        <v>308</v>
      </c>
      <c r="L142" s="229">
        <f>46703/3</f>
        <v>15567.666666666666</v>
      </c>
      <c r="M142" s="53"/>
      <c r="N142" s="53"/>
      <c r="O142" s="229">
        <f>46703/3</f>
        <v>15567.666666666666</v>
      </c>
      <c r="P142" s="53"/>
      <c r="Q142" s="53"/>
      <c r="R142" s="53"/>
      <c r="S142" s="53"/>
      <c r="T142" s="53"/>
      <c r="U142" s="236">
        <v>1</v>
      </c>
      <c r="V142" s="53"/>
      <c r="W142" s="38"/>
      <c r="X142" s="38"/>
      <c r="Y142" s="53"/>
      <c r="Z142" s="236">
        <v>1</v>
      </c>
      <c r="AA142" s="53"/>
      <c r="AB142" s="233" t="s">
        <v>238</v>
      </c>
    </row>
    <row r="143" spans="1:28" ht="12.75">
      <c r="A143" s="8" t="s">
        <v>60</v>
      </c>
      <c r="B143" s="9" t="s">
        <v>301</v>
      </c>
      <c r="C143" s="10">
        <v>2</v>
      </c>
      <c r="D143" s="4" t="s">
        <v>305</v>
      </c>
      <c r="E143" s="4" t="s">
        <v>290</v>
      </c>
      <c r="F143" s="83" t="s">
        <v>777</v>
      </c>
      <c r="I143" s="244"/>
      <c r="J143" s="228"/>
      <c r="K143" s="228"/>
      <c r="L143" s="235"/>
      <c r="M143" s="55"/>
      <c r="N143" s="55"/>
      <c r="O143" s="235"/>
      <c r="P143" s="55"/>
      <c r="Q143" s="55"/>
      <c r="R143" s="55"/>
      <c r="S143" s="55"/>
      <c r="T143" s="55"/>
      <c r="U143" s="237"/>
      <c r="V143" s="55"/>
      <c r="W143" s="40"/>
      <c r="X143" s="40"/>
      <c r="Y143" s="55"/>
      <c r="Z143" s="237"/>
      <c r="AA143" s="55"/>
      <c r="AB143" s="238"/>
    </row>
    <row r="144" spans="1:28" ht="12.75">
      <c r="A144" s="8" t="s">
        <v>61</v>
      </c>
      <c r="B144" s="9" t="s">
        <v>301</v>
      </c>
      <c r="C144" s="10">
        <v>3</v>
      </c>
      <c r="D144" s="4" t="s">
        <v>309</v>
      </c>
      <c r="E144" s="4" t="s">
        <v>311</v>
      </c>
      <c r="F144" s="83" t="s">
        <v>777</v>
      </c>
      <c r="I144" s="242" t="s">
        <v>312</v>
      </c>
      <c r="J144" s="58" t="s">
        <v>301</v>
      </c>
      <c r="K144" s="58" t="s">
        <v>313</v>
      </c>
      <c r="L144" s="53">
        <f>10425/3</f>
        <v>3475</v>
      </c>
      <c r="M144" s="53"/>
      <c r="N144" s="53"/>
      <c r="O144" s="229">
        <f>10425/3</f>
        <v>3475</v>
      </c>
      <c r="P144" s="53"/>
      <c r="Q144" s="53"/>
      <c r="R144" s="53"/>
      <c r="S144" s="53"/>
      <c r="T144" s="53"/>
      <c r="U144" s="38">
        <v>1</v>
      </c>
      <c r="V144" s="53"/>
      <c r="W144" s="38"/>
      <c r="X144" s="38"/>
      <c r="Y144" s="236">
        <v>1</v>
      </c>
      <c r="Z144" s="53"/>
      <c r="AA144" s="53"/>
      <c r="AB144" s="233" t="s">
        <v>286</v>
      </c>
    </row>
    <row r="145" spans="1:28" ht="12.75">
      <c r="A145" s="8" t="s">
        <v>62</v>
      </c>
      <c r="B145" s="9" t="s">
        <v>301</v>
      </c>
      <c r="C145" s="10">
        <v>4</v>
      </c>
      <c r="D145" s="4" t="s">
        <v>310</v>
      </c>
      <c r="E145" s="4" t="s">
        <v>165</v>
      </c>
      <c r="F145" s="83" t="s">
        <v>718</v>
      </c>
      <c r="I145" s="244"/>
      <c r="J145" s="56" t="s">
        <v>301</v>
      </c>
      <c r="K145" s="56" t="s">
        <v>164</v>
      </c>
      <c r="L145" s="55">
        <f>6450/3</f>
        <v>2150</v>
      </c>
      <c r="M145" s="55"/>
      <c r="N145" s="55"/>
      <c r="O145" s="235"/>
      <c r="P145" s="55"/>
      <c r="Q145" s="55"/>
      <c r="R145" s="55"/>
      <c r="S145" s="55"/>
      <c r="T145" s="55"/>
      <c r="U145" s="55"/>
      <c r="V145" s="55"/>
      <c r="W145" s="40"/>
      <c r="X145" s="40"/>
      <c r="Y145" s="237"/>
      <c r="Z145" s="55"/>
      <c r="AA145" s="55"/>
      <c r="AB145" s="238"/>
    </row>
    <row r="146" spans="1:28" ht="12.75">
      <c r="A146" s="8" t="s">
        <v>63</v>
      </c>
      <c r="B146" s="9" t="s">
        <v>301</v>
      </c>
      <c r="C146" s="10">
        <v>5</v>
      </c>
      <c r="D146" s="4" t="s">
        <v>314</v>
      </c>
      <c r="E146" s="4" t="s">
        <v>316</v>
      </c>
      <c r="F146" s="83" t="s">
        <v>777</v>
      </c>
      <c r="I146" s="242" t="s">
        <v>320</v>
      </c>
      <c r="J146" s="58" t="s">
        <v>301</v>
      </c>
      <c r="K146" s="58" t="s">
        <v>321</v>
      </c>
      <c r="L146" s="53">
        <v>48000</v>
      </c>
      <c r="M146" s="53"/>
      <c r="N146" s="53"/>
      <c r="O146" s="53"/>
      <c r="P146" s="53">
        <v>48000</v>
      </c>
      <c r="Q146" s="53"/>
      <c r="R146" s="53"/>
      <c r="S146" s="53"/>
      <c r="T146" s="53"/>
      <c r="U146" s="38">
        <v>1</v>
      </c>
      <c r="V146" s="53"/>
      <c r="W146" s="38"/>
      <c r="X146" s="38"/>
      <c r="Y146" s="236">
        <v>1</v>
      </c>
      <c r="Z146" s="236">
        <v>2</v>
      </c>
      <c r="AA146" s="53"/>
      <c r="AB146" s="233" t="s">
        <v>286</v>
      </c>
    </row>
    <row r="147" spans="1:28" ht="12.75">
      <c r="A147" s="8" t="s">
        <v>64</v>
      </c>
      <c r="B147" s="9" t="s">
        <v>301</v>
      </c>
      <c r="C147" s="10">
        <v>6</v>
      </c>
      <c r="D147" s="4" t="s">
        <v>315</v>
      </c>
      <c r="E147" s="4" t="s">
        <v>165</v>
      </c>
      <c r="F147" s="83" t="s">
        <v>718</v>
      </c>
      <c r="I147" s="244"/>
      <c r="J147" s="56" t="s">
        <v>301</v>
      </c>
      <c r="K147" s="56" t="s">
        <v>164</v>
      </c>
      <c r="L147" s="55">
        <v>47000</v>
      </c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40"/>
      <c r="X147" s="40"/>
      <c r="Y147" s="237"/>
      <c r="Z147" s="237"/>
      <c r="AA147" s="55"/>
      <c r="AB147" s="238"/>
    </row>
    <row r="148" spans="1:28" ht="12.75">
      <c r="A148" s="8" t="s">
        <v>65</v>
      </c>
      <c r="B148" s="9" t="s">
        <v>301</v>
      </c>
      <c r="C148" s="10">
        <v>7</v>
      </c>
      <c r="D148" s="4" t="s">
        <v>317</v>
      </c>
      <c r="E148" s="4" t="s">
        <v>319</v>
      </c>
      <c r="F148" s="83" t="s">
        <v>777</v>
      </c>
      <c r="I148" s="242" t="s">
        <v>322</v>
      </c>
      <c r="J148" s="58" t="s">
        <v>301</v>
      </c>
      <c r="K148" s="58" t="s">
        <v>323</v>
      </c>
      <c r="L148" s="53">
        <v>71000</v>
      </c>
      <c r="M148" s="53"/>
      <c r="N148" s="53"/>
      <c r="O148" s="53"/>
      <c r="P148" s="53">
        <v>72000</v>
      </c>
      <c r="Q148" s="53"/>
      <c r="R148" s="53"/>
      <c r="S148" s="53"/>
      <c r="T148" s="53"/>
      <c r="U148" s="38">
        <v>1</v>
      </c>
      <c r="V148" s="53"/>
      <c r="W148" s="38"/>
      <c r="X148" s="38"/>
      <c r="Y148" s="236">
        <v>1</v>
      </c>
      <c r="Z148" s="236">
        <v>2</v>
      </c>
      <c r="AA148" s="53"/>
      <c r="AB148" s="233" t="s">
        <v>286</v>
      </c>
    </row>
    <row r="149" spans="1:28" ht="12.75">
      <c r="A149" s="8" t="s">
        <v>66</v>
      </c>
      <c r="B149" s="9" t="s">
        <v>301</v>
      </c>
      <c r="C149" s="10">
        <v>8</v>
      </c>
      <c r="D149" s="4" t="s">
        <v>318</v>
      </c>
      <c r="E149" s="4" t="s">
        <v>165</v>
      </c>
      <c r="F149" s="83" t="s">
        <v>718</v>
      </c>
      <c r="I149" s="244"/>
      <c r="J149" s="56" t="s">
        <v>301</v>
      </c>
      <c r="K149" s="56" t="s">
        <v>164</v>
      </c>
      <c r="L149" s="55">
        <v>72000</v>
      </c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40"/>
      <c r="X149" s="40"/>
      <c r="Y149" s="237"/>
      <c r="Z149" s="237"/>
      <c r="AA149" s="55"/>
      <c r="AB149" s="238"/>
    </row>
    <row r="150" spans="1:28" s="7" customFormat="1" ht="12.75">
      <c r="A150" s="15" t="s">
        <v>67</v>
      </c>
      <c r="B150" s="16" t="s">
        <v>301</v>
      </c>
      <c r="C150" s="17">
        <v>9</v>
      </c>
      <c r="D150" s="7" t="s">
        <v>750</v>
      </c>
      <c r="E150" s="7" t="s">
        <v>163</v>
      </c>
      <c r="F150" s="83" t="s">
        <v>778</v>
      </c>
      <c r="H150" s="73"/>
      <c r="I150" s="280" t="s">
        <v>753</v>
      </c>
      <c r="J150" s="59" t="s">
        <v>301</v>
      </c>
      <c r="K150" s="59" t="s">
        <v>163</v>
      </c>
      <c r="L150" s="32">
        <v>23000</v>
      </c>
      <c r="M150" s="32"/>
      <c r="N150" s="32"/>
      <c r="O150" s="32"/>
      <c r="P150" s="245">
        <v>53000</v>
      </c>
      <c r="Q150" s="32"/>
      <c r="R150" s="32"/>
      <c r="S150" s="32"/>
      <c r="T150" s="32"/>
      <c r="U150" s="32"/>
      <c r="V150" s="32"/>
      <c r="W150" s="33"/>
      <c r="X150" s="33"/>
      <c r="Y150" s="255">
        <v>1</v>
      </c>
      <c r="Z150" s="33"/>
      <c r="AA150" s="32"/>
      <c r="AB150" s="233" t="s">
        <v>286</v>
      </c>
    </row>
    <row r="151" spans="1:28" s="7" customFormat="1" ht="12.75">
      <c r="A151" s="15" t="s">
        <v>68</v>
      </c>
      <c r="B151" s="16" t="s">
        <v>301</v>
      </c>
      <c r="C151" s="17">
        <v>10</v>
      </c>
      <c r="D151" s="7" t="s">
        <v>751</v>
      </c>
      <c r="E151" s="7" t="s">
        <v>163</v>
      </c>
      <c r="F151" s="83" t="s">
        <v>778</v>
      </c>
      <c r="H151" s="73"/>
      <c r="I151" s="281"/>
      <c r="J151" s="19" t="s">
        <v>301</v>
      </c>
      <c r="K151" s="19" t="s">
        <v>163</v>
      </c>
      <c r="L151" s="36">
        <v>53000</v>
      </c>
      <c r="M151" s="36"/>
      <c r="N151" s="36"/>
      <c r="O151" s="36"/>
      <c r="P151" s="246"/>
      <c r="Q151" s="36"/>
      <c r="R151" s="36"/>
      <c r="S151" s="36"/>
      <c r="T151" s="36"/>
      <c r="U151" s="36"/>
      <c r="V151" s="36"/>
      <c r="W151" s="37"/>
      <c r="X151" s="37"/>
      <c r="Y151" s="257"/>
      <c r="Z151" s="37"/>
      <c r="AA151" s="36"/>
      <c r="AB151" s="238"/>
    </row>
    <row r="152" spans="1:28" s="7" customFormat="1" ht="12.75">
      <c r="A152" s="15" t="s">
        <v>69</v>
      </c>
      <c r="B152" s="16" t="s">
        <v>301</v>
      </c>
      <c r="C152" s="17">
        <v>11</v>
      </c>
      <c r="D152" s="7" t="s">
        <v>752</v>
      </c>
      <c r="E152" s="7" t="s">
        <v>163</v>
      </c>
      <c r="F152" s="83" t="s">
        <v>778</v>
      </c>
      <c r="H152" s="73"/>
      <c r="I152" s="280" t="s">
        <v>754</v>
      </c>
      <c r="J152" s="59" t="s">
        <v>301</v>
      </c>
      <c r="K152" s="59" t="s">
        <v>163</v>
      </c>
      <c r="L152" s="32">
        <v>88000</v>
      </c>
      <c r="M152" s="32"/>
      <c r="N152" s="32"/>
      <c r="O152" s="32"/>
      <c r="P152" s="245">
        <v>131000</v>
      </c>
      <c r="Q152" s="32"/>
      <c r="R152" s="32"/>
      <c r="S152" s="32"/>
      <c r="T152" s="32"/>
      <c r="U152" s="32"/>
      <c r="V152" s="32"/>
      <c r="W152" s="33"/>
      <c r="X152" s="33"/>
      <c r="Y152" s="255">
        <v>1</v>
      </c>
      <c r="Z152" s="33"/>
      <c r="AA152" s="32"/>
      <c r="AB152" s="233" t="s">
        <v>286</v>
      </c>
    </row>
    <row r="153" spans="1:28" s="7" customFormat="1" ht="12.75">
      <c r="A153" s="15" t="s">
        <v>70</v>
      </c>
      <c r="B153" s="16" t="s">
        <v>301</v>
      </c>
      <c r="C153" s="17">
        <v>12</v>
      </c>
      <c r="D153" s="7" t="s">
        <v>752</v>
      </c>
      <c r="E153" s="7" t="s">
        <v>163</v>
      </c>
      <c r="F153" s="83" t="s">
        <v>778</v>
      </c>
      <c r="H153" s="73"/>
      <c r="I153" s="281"/>
      <c r="J153" s="19" t="s">
        <v>301</v>
      </c>
      <c r="K153" s="19" t="s">
        <v>163</v>
      </c>
      <c r="L153" s="36">
        <v>84000</v>
      </c>
      <c r="M153" s="36"/>
      <c r="N153" s="36"/>
      <c r="O153" s="36"/>
      <c r="P153" s="246"/>
      <c r="Q153" s="36"/>
      <c r="R153" s="36"/>
      <c r="S153" s="36"/>
      <c r="T153" s="36"/>
      <c r="U153" s="36"/>
      <c r="V153" s="36"/>
      <c r="W153" s="37"/>
      <c r="X153" s="37"/>
      <c r="Y153" s="257"/>
      <c r="Z153" s="37"/>
      <c r="AA153" s="36"/>
      <c r="AB153" s="238"/>
    </row>
    <row r="154" spans="1:28" s="14" customFormat="1" ht="12.75">
      <c r="A154" s="60" t="s">
        <v>71</v>
      </c>
      <c r="B154" s="61" t="s">
        <v>301</v>
      </c>
      <c r="C154" s="62">
        <v>13</v>
      </c>
      <c r="D154" s="63" t="s">
        <v>451</v>
      </c>
      <c r="E154" s="63" t="s">
        <v>435</v>
      </c>
      <c r="F154" s="277" t="s">
        <v>719</v>
      </c>
      <c r="G154" s="63"/>
      <c r="H154" s="73"/>
      <c r="I154" s="64"/>
      <c r="J154" s="64"/>
      <c r="K154" s="64"/>
      <c r="L154" s="65">
        <v>500</v>
      </c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6"/>
      <c r="X154" s="66"/>
      <c r="Y154" s="65"/>
      <c r="Z154" s="65"/>
      <c r="AA154" s="65"/>
      <c r="AB154" s="67" t="s">
        <v>436</v>
      </c>
    </row>
    <row r="155" spans="1:28" s="14" customFormat="1" ht="12.75">
      <c r="A155" s="60" t="s">
        <v>72</v>
      </c>
      <c r="B155" s="61" t="s">
        <v>301</v>
      </c>
      <c r="C155" s="62">
        <v>14</v>
      </c>
      <c r="D155" s="63" t="s">
        <v>452</v>
      </c>
      <c r="E155" s="63" t="s">
        <v>435</v>
      </c>
      <c r="F155" s="277"/>
      <c r="G155" s="63"/>
      <c r="H155" s="73"/>
      <c r="I155" s="64"/>
      <c r="J155" s="64"/>
      <c r="K155" s="64"/>
      <c r="L155" s="65">
        <v>500</v>
      </c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6"/>
      <c r="X155" s="66"/>
      <c r="Y155" s="65"/>
      <c r="Z155" s="65"/>
      <c r="AA155" s="65"/>
      <c r="AB155" s="67" t="s">
        <v>436</v>
      </c>
    </row>
    <row r="156" spans="1:28" s="14" customFormat="1" ht="12.75">
      <c r="A156" s="60" t="s">
        <v>73</v>
      </c>
      <c r="B156" s="61" t="s">
        <v>301</v>
      </c>
      <c r="C156" s="62">
        <v>15</v>
      </c>
      <c r="D156" s="63" t="s">
        <v>453</v>
      </c>
      <c r="E156" s="63" t="s">
        <v>435</v>
      </c>
      <c r="F156" s="277"/>
      <c r="G156" s="63"/>
      <c r="H156" s="73"/>
      <c r="I156" s="64"/>
      <c r="J156" s="64"/>
      <c r="K156" s="64"/>
      <c r="L156" s="65">
        <v>500</v>
      </c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6"/>
      <c r="X156" s="66"/>
      <c r="Y156" s="65"/>
      <c r="Z156" s="65"/>
      <c r="AA156" s="65"/>
      <c r="AB156" s="67" t="s">
        <v>436</v>
      </c>
    </row>
    <row r="157" spans="1:28" s="14" customFormat="1" ht="12.75">
      <c r="A157" s="60" t="s">
        <v>74</v>
      </c>
      <c r="B157" s="61" t="s">
        <v>301</v>
      </c>
      <c r="C157" s="62">
        <v>16</v>
      </c>
      <c r="D157" s="63" t="s">
        <v>454</v>
      </c>
      <c r="E157" s="63" t="s">
        <v>435</v>
      </c>
      <c r="F157" s="277"/>
      <c r="G157" s="63"/>
      <c r="H157" s="73"/>
      <c r="I157" s="64"/>
      <c r="J157" s="64"/>
      <c r="K157" s="64"/>
      <c r="L157" s="65">
        <v>500</v>
      </c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6"/>
      <c r="X157" s="66"/>
      <c r="Y157" s="65"/>
      <c r="Z157" s="65"/>
      <c r="AA157" s="65"/>
      <c r="AB157" s="67" t="s">
        <v>436</v>
      </c>
    </row>
    <row r="158" spans="1:27" ht="12.75">
      <c r="A158" s="8"/>
      <c r="B158" s="9"/>
      <c r="C158" s="10"/>
      <c r="F158" s="82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6"/>
      <c r="X158" s="46"/>
      <c r="Y158" s="45"/>
      <c r="Z158" s="45"/>
      <c r="AA158" s="45"/>
    </row>
    <row r="159" spans="1:28" s="29" customFormat="1" ht="12.75">
      <c r="A159" s="26"/>
      <c r="B159" s="27"/>
      <c r="C159" s="28"/>
      <c r="F159" s="85"/>
      <c r="H159" s="73"/>
      <c r="I159" s="30" t="s">
        <v>324</v>
      </c>
      <c r="J159" s="30" t="s">
        <v>301</v>
      </c>
      <c r="K159" s="30" t="s">
        <v>325</v>
      </c>
      <c r="L159" s="47"/>
      <c r="M159" s="47"/>
      <c r="N159" s="47">
        <v>76000</v>
      </c>
      <c r="O159" s="47">
        <v>76000</v>
      </c>
      <c r="P159" s="47"/>
      <c r="Q159" s="47"/>
      <c r="R159" s="47"/>
      <c r="S159" s="47"/>
      <c r="T159" s="47"/>
      <c r="U159" s="47"/>
      <c r="V159" s="47"/>
      <c r="W159" s="48"/>
      <c r="X159" s="48"/>
      <c r="Y159" s="47"/>
      <c r="Z159" s="47"/>
      <c r="AA159" s="47"/>
      <c r="AB159" s="31" t="s">
        <v>227</v>
      </c>
    </row>
    <row r="160" spans="1:28" ht="12.75">
      <c r="A160" s="8" t="s">
        <v>75</v>
      </c>
      <c r="B160" s="9" t="s">
        <v>325</v>
      </c>
      <c r="C160" s="10">
        <v>1</v>
      </c>
      <c r="D160" s="4" t="s">
        <v>326</v>
      </c>
      <c r="E160" s="4" t="s">
        <v>165</v>
      </c>
      <c r="F160" s="83" t="s">
        <v>718</v>
      </c>
      <c r="I160" s="242" t="s">
        <v>335</v>
      </c>
      <c r="J160" s="58" t="s">
        <v>325</v>
      </c>
      <c r="K160" s="58" t="s">
        <v>164</v>
      </c>
      <c r="L160" s="53">
        <v>22000</v>
      </c>
      <c r="M160" s="53"/>
      <c r="N160" s="53"/>
      <c r="O160" s="229">
        <v>22000</v>
      </c>
      <c r="P160" s="53"/>
      <c r="Q160" s="53"/>
      <c r="R160" s="53"/>
      <c r="S160" s="53"/>
      <c r="T160" s="53"/>
      <c r="U160" s="53"/>
      <c r="V160" s="53"/>
      <c r="W160" s="38"/>
      <c r="X160" s="38"/>
      <c r="Y160" s="53"/>
      <c r="Z160" s="236">
        <v>1</v>
      </c>
      <c r="AA160" s="53"/>
      <c r="AB160" s="233" t="s">
        <v>238</v>
      </c>
    </row>
    <row r="161" spans="1:28" ht="12.75">
      <c r="A161" s="8" t="s">
        <v>76</v>
      </c>
      <c r="B161" s="9" t="s">
        <v>325</v>
      </c>
      <c r="C161" s="10">
        <v>2</v>
      </c>
      <c r="D161" s="4" t="s">
        <v>327</v>
      </c>
      <c r="E161" s="4" t="s">
        <v>328</v>
      </c>
      <c r="F161" s="83" t="s">
        <v>777</v>
      </c>
      <c r="I161" s="243"/>
      <c r="J161" s="227" t="s">
        <v>325</v>
      </c>
      <c r="K161" s="227" t="s">
        <v>338</v>
      </c>
      <c r="L161" s="230">
        <v>18000</v>
      </c>
      <c r="M161" s="54"/>
      <c r="N161" s="54"/>
      <c r="O161" s="230"/>
      <c r="P161" s="54"/>
      <c r="Q161" s="54"/>
      <c r="R161" s="54"/>
      <c r="S161" s="54"/>
      <c r="T161" s="54"/>
      <c r="U161" s="232">
        <v>1</v>
      </c>
      <c r="V161" s="54"/>
      <c r="W161" s="39"/>
      <c r="X161" s="39"/>
      <c r="Y161" s="54"/>
      <c r="Z161" s="232"/>
      <c r="AA161" s="54"/>
      <c r="AB161" s="234"/>
    </row>
    <row r="162" spans="1:28" ht="12.75">
      <c r="A162" s="8" t="s">
        <v>77</v>
      </c>
      <c r="B162" s="9" t="s">
        <v>325</v>
      </c>
      <c r="C162" s="10">
        <v>3</v>
      </c>
      <c r="D162" s="4" t="s">
        <v>327</v>
      </c>
      <c r="E162" s="4" t="s">
        <v>163</v>
      </c>
      <c r="F162" s="83" t="s">
        <v>777</v>
      </c>
      <c r="I162" s="244"/>
      <c r="J162" s="228"/>
      <c r="K162" s="228"/>
      <c r="L162" s="235"/>
      <c r="M162" s="55"/>
      <c r="N162" s="55"/>
      <c r="O162" s="235"/>
      <c r="P162" s="55"/>
      <c r="Q162" s="55"/>
      <c r="R162" s="55"/>
      <c r="S162" s="55"/>
      <c r="T162" s="55"/>
      <c r="U162" s="237"/>
      <c r="V162" s="55"/>
      <c r="W162" s="40"/>
      <c r="X162" s="40"/>
      <c r="Y162" s="55"/>
      <c r="Z162" s="237"/>
      <c r="AA162" s="55"/>
      <c r="AB162" s="238"/>
    </row>
    <row r="163" spans="1:28" ht="12.75">
      <c r="A163" s="8" t="s">
        <v>78</v>
      </c>
      <c r="B163" s="9" t="s">
        <v>325</v>
      </c>
      <c r="C163" s="10">
        <v>4</v>
      </c>
      <c r="D163" s="4" t="s">
        <v>329</v>
      </c>
      <c r="E163" s="4" t="s">
        <v>165</v>
      </c>
      <c r="F163" s="83" t="s">
        <v>718</v>
      </c>
      <c r="I163" s="242" t="s">
        <v>336</v>
      </c>
      <c r="J163" s="58" t="s">
        <v>325</v>
      </c>
      <c r="K163" s="58" t="s">
        <v>164</v>
      </c>
      <c r="L163" s="53">
        <f>17700/3</f>
        <v>5900</v>
      </c>
      <c r="M163" s="53"/>
      <c r="N163" s="53"/>
      <c r="O163" s="229">
        <f>17700/3</f>
        <v>5900</v>
      </c>
      <c r="P163" s="53"/>
      <c r="Q163" s="53"/>
      <c r="R163" s="53"/>
      <c r="S163" s="53"/>
      <c r="T163" s="53"/>
      <c r="U163" s="53"/>
      <c r="V163" s="53"/>
      <c r="W163" s="38"/>
      <c r="X163" s="38"/>
      <c r="Y163" s="53"/>
      <c r="Z163" s="236">
        <v>1</v>
      </c>
      <c r="AA163" s="53"/>
      <c r="AB163" s="233" t="s">
        <v>286</v>
      </c>
    </row>
    <row r="164" spans="1:28" ht="12.75">
      <c r="A164" s="8" t="s">
        <v>79</v>
      </c>
      <c r="B164" s="9" t="s">
        <v>325</v>
      </c>
      <c r="C164" s="10">
        <v>5</v>
      </c>
      <c r="D164" s="4" t="s">
        <v>330</v>
      </c>
      <c r="E164" s="4" t="s">
        <v>331</v>
      </c>
      <c r="F164" s="83" t="s">
        <v>777</v>
      </c>
      <c r="I164" s="244"/>
      <c r="J164" s="56" t="s">
        <v>325</v>
      </c>
      <c r="K164" s="56" t="s">
        <v>339</v>
      </c>
      <c r="L164" s="55">
        <f>13438/3</f>
        <v>4479.333333333333</v>
      </c>
      <c r="M164" s="55"/>
      <c r="N164" s="55"/>
      <c r="O164" s="235"/>
      <c r="P164" s="55"/>
      <c r="Q164" s="55"/>
      <c r="R164" s="55"/>
      <c r="S164" s="55"/>
      <c r="T164" s="55"/>
      <c r="U164" s="40">
        <v>1</v>
      </c>
      <c r="V164" s="55"/>
      <c r="W164" s="40"/>
      <c r="X164" s="40"/>
      <c r="Y164" s="55"/>
      <c r="Z164" s="237"/>
      <c r="AA164" s="55"/>
      <c r="AB164" s="238"/>
    </row>
    <row r="165" spans="1:28" ht="12.75">
      <c r="A165" s="8" t="s">
        <v>80</v>
      </c>
      <c r="B165" s="9" t="s">
        <v>325</v>
      </c>
      <c r="C165" s="10">
        <v>6</v>
      </c>
      <c r="D165" s="4" t="s">
        <v>332</v>
      </c>
      <c r="E165" s="4" t="s">
        <v>165</v>
      </c>
      <c r="F165" s="83" t="s">
        <v>718</v>
      </c>
      <c r="I165" s="242" t="s">
        <v>337</v>
      </c>
      <c r="J165" s="58" t="s">
        <v>325</v>
      </c>
      <c r="K165" s="58" t="s">
        <v>164</v>
      </c>
      <c r="L165" s="53">
        <v>51000</v>
      </c>
      <c r="M165" s="53"/>
      <c r="N165" s="53"/>
      <c r="O165" s="229">
        <v>52000</v>
      </c>
      <c r="P165" s="53"/>
      <c r="Q165" s="53"/>
      <c r="R165" s="53"/>
      <c r="S165" s="53"/>
      <c r="T165" s="53"/>
      <c r="U165" s="53"/>
      <c r="V165" s="53"/>
      <c r="W165" s="38"/>
      <c r="X165" s="38"/>
      <c r="Y165" s="236">
        <v>1</v>
      </c>
      <c r="Z165" s="236">
        <v>2</v>
      </c>
      <c r="AA165" s="53"/>
      <c r="AB165" s="233" t="s">
        <v>238</v>
      </c>
    </row>
    <row r="166" spans="1:28" ht="12.75">
      <c r="A166" s="8" t="s">
        <v>81</v>
      </c>
      <c r="B166" s="9" t="s">
        <v>325</v>
      </c>
      <c r="C166" s="10">
        <v>7</v>
      </c>
      <c r="D166" s="4" t="s">
        <v>333</v>
      </c>
      <c r="E166" s="4" t="s">
        <v>334</v>
      </c>
      <c r="F166" s="83" t="s">
        <v>777</v>
      </c>
      <c r="I166" s="244"/>
      <c r="J166" s="56" t="s">
        <v>325</v>
      </c>
      <c r="K166" s="56" t="s">
        <v>340</v>
      </c>
      <c r="L166" s="55">
        <v>52000</v>
      </c>
      <c r="M166" s="55"/>
      <c r="N166" s="55"/>
      <c r="O166" s="235"/>
      <c r="P166" s="55"/>
      <c r="Q166" s="55"/>
      <c r="R166" s="55"/>
      <c r="S166" s="55"/>
      <c r="T166" s="55"/>
      <c r="U166" s="40">
        <v>1</v>
      </c>
      <c r="V166" s="55"/>
      <c r="W166" s="40"/>
      <c r="X166" s="40"/>
      <c r="Y166" s="237"/>
      <c r="Z166" s="237"/>
      <c r="AA166" s="55"/>
      <c r="AB166" s="238"/>
    </row>
    <row r="167" spans="1:27" s="14" customFormat="1" ht="12.75">
      <c r="A167" s="11" t="s">
        <v>82</v>
      </c>
      <c r="B167" s="12" t="s">
        <v>325</v>
      </c>
      <c r="C167" s="13">
        <v>8</v>
      </c>
      <c r="D167" s="14" t="s">
        <v>190</v>
      </c>
      <c r="F167" s="84"/>
      <c r="H167" s="73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2"/>
      <c r="X167" s="42"/>
      <c r="Y167" s="41"/>
      <c r="Z167" s="41"/>
      <c r="AA167" s="41"/>
    </row>
    <row r="168" spans="1:27" s="14" customFormat="1" ht="12.75">
      <c r="A168" s="11" t="s">
        <v>83</v>
      </c>
      <c r="B168" s="12" t="s">
        <v>325</v>
      </c>
      <c r="C168" s="13">
        <v>9</v>
      </c>
      <c r="D168" s="14" t="s">
        <v>190</v>
      </c>
      <c r="F168" s="84"/>
      <c r="H168" s="73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2"/>
      <c r="X168" s="42"/>
      <c r="Y168" s="41"/>
      <c r="Z168" s="41"/>
      <c r="AA168" s="41"/>
    </row>
    <row r="169" spans="1:27" s="14" customFormat="1" ht="12.75">
      <c r="A169" s="11" t="s">
        <v>84</v>
      </c>
      <c r="B169" s="12" t="s">
        <v>325</v>
      </c>
      <c r="C169" s="13">
        <v>10</v>
      </c>
      <c r="D169" s="14" t="s">
        <v>190</v>
      </c>
      <c r="F169" s="84"/>
      <c r="H169" s="73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2"/>
      <c r="X169" s="42"/>
      <c r="Y169" s="41"/>
      <c r="Z169" s="41"/>
      <c r="AA169" s="41"/>
    </row>
    <row r="170" spans="1:27" s="14" customFormat="1" ht="12.75">
      <c r="A170" s="11" t="s">
        <v>85</v>
      </c>
      <c r="B170" s="12" t="s">
        <v>325</v>
      </c>
      <c r="C170" s="13">
        <v>11</v>
      </c>
      <c r="D170" s="14" t="s">
        <v>190</v>
      </c>
      <c r="F170" s="84"/>
      <c r="H170" s="73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2"/>
      <c r="X170" s="42"/>
      <c r="Y170" s="41"/>
      <c r="Z170" s="41"/>
      <c r="AA170" s="41"/>
    </row>
    <row r="171" spans="1:27" s="14" customFormat="1" ht="12.75">
      <c r="A171" s="11" t="s">
        <v>86</v>
      </c>
      <c r="B171" s="12" t="s">
        <v>325</v>
      </c>
      <c r="C171" s="13">
        <v>12</v>
      </c>
      <c r="D171" s="14" t="s">
        <v>190</v>
      </c>
      <c r="F171" s="84"/>
      <c r="H171" s="73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2"/>
      <c r="X171" s="42"/>
      <c r="Y171" s="41"/>
      <c r="Z171" s="41"/>
      <c r="AA171" s="41"/>
    </row>
    <row r="172" spans="1:28" s="14" customFormat="1" ht="12.75">
      <c r="A172" s="60" t="s">
        <v>87</v>
      </c>
      <c r="B172" s="61" t="s">
        <v>325</v>
      </c>
      <c r="C172" s="62">
        <v>13</v>
      </c>
      <c r="D172" s="63" t="s">
        <v>455</v>
      </c>
      <c r="E172" s="63" t="s">
        <v>435</v>
      </c>
      <c r="F172" s="277" t="s">
        <v>719</v>
      </c>
      <c r="G172" s="63"/>
      <c r="H172" s="73"/>
      <c r="I172" s="64"/>
      <c r="J172" s="64"/>
      <c r="K172" s="64"/>
      <c r="L172" s="65">
        <v>500</v>
      </c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6"/>
      <c r="X172" s="66"/>
      <c r="Y172" s="65"/>
      <c r="Z172" s="65"/>
      <c r="AA172" s="65"/>
      <c r="AB172" s="67" t="s">
        <v>436</v>
      </c>
    </row>
    <row r="173" spans="1:28" s="14" customFormat="1" ht="12.75">
      <c r="A173" s="60" t="s">
        <v>88</v>
      </c>
      <c r="B173" s="61" t="s">
        <v>325</v>
      </c>
      <c r="C173" s="62">
        <v>14</v>
      </c>
      <c r="D173" s="63" t="s">
        <v>456</v>
      </c>
      <c r="E173" s="63" t="s">
        <v>435</v>
      </c>
      <c r="F173" s="277"/>
      <c r="G173" s="63"/>
      <c r="H173" s="73"/>
      <c r="I173" s="64"/>
      <c r="J173" s="64"/>
      <c r="K173" s="64"/>
      <c r="L173" s="65">
        <v>500</v>
      </c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6"/>
      <c r="X173" s="66"/>
      <c r="Y173" s="65"/>
      <c r="Z173" s="65"/>
      <c r="AA173" s="65"/>
      <c r="AB173" s="67" t="s">
        <v>436</v>
      </c>
    </row>
    <row r="174" spans="1:28" s="14" customFormat="1" ht="12.75">
      <c r="A174" s="60" t="s">
        <v>89</v>
      </c>
      <c r="B174" s="61" t="s">
        <v>325</v>
      </c>
      <c r="C174" s="62">
        <v>15</v>
      </c>
      <c r="D174" s="63" t="s">
        <v>457</v>
      </c>
      <c r="E174" s="63" t="s">
        <v>435</v>
      </c>
      <c r="F174" s="277"/>
      <c r="G174" s="63"/>
      <c r="H174" s="73"/>
      <c r="I174" s="64"/>
      <c r="J174" s="64"/>
      <c r="K174" s="64"/>
      <c r="L174" s="65">
        <v>500</v>
      </c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6"/>
      <c r="X174" s="66"/>
      <c r="Y174" s="65"/>
      <c r="Z174" s="65"/>
      <c r="AA174" s="65"/>
      <c r="AB174" s="67" t="s">
        <v>436</v>
      </c>
    </row>
    <row r="175" spans="1:28" s="14" customFormat="1" ht="12.75">
      <c r="A175" s="60" t="s">
        <v>90</v>
      </c>
      <c r="B175" s="61" t="s">
        <v>325</v>
      </c>
      <c r="C175" s="62">
        <v>16</v>
      </c>
      <c r="D175" s="63" t="s">
        <v>458</v>
      </c>
      <c r="E175" s="63" t="s">
        <v>435</v>
      </c>
      <c r="F175" s="277"/>
      <c r="G175" s="63"/>
      <c r="H175" s="73"/>
      <c r="I175" s="64"/>
      <c r="J175" s="64"/>
      <c r="K175" s="64"/>
      <c r="L175" s="65">
        <v>500</v>
      </c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6"/>
      <c r="X175" s="66"/>
      <c r="Y175" s="65"/>
      <c r="Z175" s="65"/>
      <c r="AA175" s="65"/>
      <c r="AB175" s="67" t="s">
        <v>436</v>
      </c>
    </row>
    <row r="176" spans="1:27" ht="12.75">
      <c r="A176" s="8"/>
      <c r="B176" s="9"/>
      <c r="C176" s="10"/>
      <c r="F176" s="82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6"/>
      <c r="X176" s="46"/>
      <c r="Y176" s="45"/>
      <c r="Z176" s="45"/>
      <c r="AA176" s="45"/>
    </row>
    <row r="177" spans="1:28" s="29" customFormat="1" ht="12.75">
      <c r="A177" s="26"/>
      <c r="B177" s="27"/>
      <c r="C177" s="28"/>
      <c r="F177" s="85"/>
      <c r="H177" s="73"/>
      <c r="I177" s="30" t="s">
        <v>341</v>
      </c>
      <c r="J177" s="30" t="s">
        <v>325</v>
      </c>
      <c r="K177" s="30" t="s">
        <v>342</v>
      </c>
      <c r="L177" s="47"/>
      <c r="M177" s="47"/>
      <c r="N177" s="47">
        <v>97000</v>
      </c>
      <c r="O177" s="47">
        <v>97000</v>
      </c>
      <c r="P177" s="47"/>
      <c r="Q177" s="47"/>
      <c r="R177" s="47"/>
      <c r="S177" s="47"/>
      <c r="T177" s="47"/>
      <c r="U177" s="47"/>
      <c r="V177" s="47"/>
      <c r="W177" s="48"/>
      <c r="X177" s="48"/>
      <c r="Y177" s="47"/>
      <c r="Z177" s="47"/>
      <c r="AA177" s="47"/>
      <c r="AB177" s="31" t="s">
        <v>227</v>
      </c>
    </row>
    <row r="178" spans="1:28" ht="12.75">
      <c r="A178" s="8" t="s">
        <v>91</v>
      </c>
      <c r="B178" s="9" t="s">
        <v>342</v>
      </c>
      <c r="C178" s="10">
        <v>1</v>
      </c>
      <c r="D178" s="4" t="s">
        <v>343</v>
      </c>
      <c r="E178" s="4" t="s">
        <v>165</v>
      </c>
      <c r="F178" s="83" t="s">
        <v>718</v>
      </c>
      <c r="I178" s="242" t="s">
        <v>349</v>
      </c>
      <c r="J178" s="58" t="s">
        <v>342</v>
      </c>
      <c r="K178" s="58" t="s">
        <v>164</v>
      </c>
      <c r="L178" s="53">
        <f>16883/3</f>
        <v>5627.666666666667</v>
      </c>
      <c r="M178" s="53"/>
      <c r="N178" s="53"/>
      <c r="O178" s="53"/>
      <c r="P178" s="53"/>
      <c r="Q178" s="53"/>
      <c r="R178" s="53"/>
      <c r="S178" s="229">
        <f>(4598+3900)/3</f>
        <v>2832.6666666666665</v>
      </c>
      <c r="T178" s="229">
        <f>14837/3</f>
        <v>4945.666666666667</v>
      </c>
      <c r="U178" s="53"/>
      <c r="V178" s="53"/>
      <c r="W178" s="236">
        <v>2</v>
      </c>
      <c r="X178" s="38"/>
      <c r="Y178" s="53"/>
      <c r="Z178" s="53"/>
      <c r="AA178" s="53"/>
      <c r="AB178" s="233" t="s">
        <v>173</v>
      </c>
    </row>
    <row r="179" spans="1:28" ht="12.75">
      <c r="A179" s="8" t="s">
        <v>92</v>
      </c>
      <c r="B179" s="9" t="s">
        <v>342</v>
      </c>
      <c r="C179" s="10">
        <v>2</v>
      </c>
      <c r="D179" s="4" t="s">
        <v>344</v>
      </c>
      <c r="E179" s="4" t="s">
        <v>348</v>
      </c>
      <c r="F179" s="83" t="s">
        <v>777</v>
      </c>
      <c r="I179" s="243"/>
      <c r="J179" s="227" t="s">
        <v>342</v>
      </c>
      <c r="K179" s="227" t="s">
        <v>350</v>
      </c>
      <c r="L179" s="230">
        <f>18734/3</f>
        <v>6244.666666666667</v>
      </c>
      <c r="M179" s="54"/>
      <c r="N179" s="54"/>
      <c r="O179" s="54"/>
      <c r="P179" s="54"/>
      <c r="Q179" s="54"/>
      <c r="R179" s="54"/>
      <c r="S179" s="230"/>
      <c r="T179" s="230"/>
      <c r="U179" s="54"/>
      <c r="V179" s="232">
        <v>1</v>
      </c>
      <c r="W179" s="232"/>
      <c r="X179" s="39"/>
      <c r="Y179" s="54"/>
      <c r="Z179" s="54"/>
      <c r="AA179" s="54"/>
      <c r="AB179" s="234"/>
    </row>
    <row r="180" spans="1:28" ht="12.75">
      <c r="A180" s="8" t="s">
        <v>93</v>
      </c>
      <c r="B180" s="9" t="s">
        <v>342</v>
      </c>
      <c r="C180" s="10">
        <v>3</v>
      </c>
      <c r="D180" s="4" t="s">
        <v>344</v>
      </c>
      <c r="E180" s="4" t="s">
        <v>290</v>
      </c>
      <c r="F180" s="83" t="s">
        <v>777</v>
      </c>
      <c r="I180" s="243"/>
      <c r="J180" s="227"/>
      <c r="K180" s="227"/>
      <c r="L180" s="230"/>
      <c r="M180" s="54"/>
      <c r="N180" s="54"/>
      <c r="O180" s="54"/>
      <c r="P180" s="54"/>
      <c r="Q180" s="54"/>
      <c r="R180" s="54"/>
      <c r="S180" s="230"/>
      <c r="T180" s="230"/>
      <c r="U180" s="54"/>
      <c r="V180" s="232"/>
      <c r="W180" s="232"/>
      <c r="X180" s="39"/>
      <c r="Y180" s="54"/>
      <c r="Z180" s="54"/>
      <c r="AA180" s="54"/>
      <c r="AB180" s="234"/>
    </row>
    <row r="181" spans="1:28" ht="12.75">
      <c r="A181" s="8"/>
      <c r="B181" s="22" t="s">
        <v>345</v>
      </c>
      <c r="C181" s="10"/>
      <c r="D181" s="4" t="s">
        <v>347</v>
      </c>
      <c r="E181" s="7" t="s">
        <v>183</v>
      </c>
      <c r="F181" s="83" t="s">
        <v>720</v>
      </c>
      <c r="I181" s="243"/>
      <c r="J181" s="57" t="s">
        <v>360</v>
      </c>
      <c r="K181" s="18" t="s">
        <v>183</v>
      </c>
      <c r="L181" s="54"/>
      <c r="M181" s="54">
        <f>17384/3</f>
        <v>5794.666666666667</v>
      </c>
      <c r="N181" s="54"/>
      <c r="O181" s="54"/>
      <c r="P181" s="54"/>
      <c r="Q181" s="54"/>
      <c r="R181" s="54"/>
      <c r="S181" s="230"/>
      <c r="T181" s="230"/>
      <c r="U181" s="54"/>
      <c r="V181" s="54"/>
      <c r="W181" s="232"/>
      <c r="X181" s="39"/>
      <c r="Y181" s="54"/>
      <c r="Z181" s="54"/>
      <c r="AA181" s="54"/>
      <c r="AB181" s="234"/>
    </row>
    <row r="182" spans="1:28" ht="12.75">
      <c r="A182" s="8"/>
      <c r="B182" s="22" t="s">
        <v>346</v>
      </c>
      <c r="C182" s="10"/>
      <c r="D182" s="4" t="s">
        <v>344</v>
      </c>
      <c r="E182" s="7" t="s">
        <v>184</v>
      </c>
      <c r="F182" s="83" t="s">
        <v>775</v>
      </c>
      <c r="G182" s="7" t="s">
        <v>779</v>
      </c>
      <c r="I182" s="244"/>
      <c r="J182" s="56" t="s">
        <v>360</v>
      </c>
      <c r="K182" s="19" t="s">
        <v>184</v>
      </c>
      <c r="L182" s="55">
        <f>18734/3</f>
        <v>6244.666666666667</v>
      </c>
      <c r="M182" s="55"/>
      <c r="N182" s="55"/>
      <c r="O182" s="55"/>
      <c r="P182" s="55"/>
      <c r="Q182" s="55"/>
      <c r="R182" s="55"/>
      <c r="S182" s="235"/>
      <c r="T182" s="235"/>
      <c r="U182" s="55"/>
      <c r="V182" s="55"/>
      <c r="W182" s="237"/>
      <c r="X182" s="40"/>
      <c r="Y182" s="55"/>
      <c r="Z182" s="55"/>
      <c r="AA182" s="55"/>
      <c r="AB182" s="238"/>
    </row>
    <row r="183" spans="1:28" ht="12.75">
      <c r="A183" s="8"/>
      <c r="B183" s="22" t="s">
        <v>351</v>
      </c>
      <c r="C183" s="10"/>
      <c r="D183" s="4" t="s">
        <v>358</v>
      </c>
      <c r="E183" s="7" t="s">
        <v>183</v>
      </c>
      <c r="F183" s="83" t="s">
        <v>720</v>
      </c>
      <c r="I183" s="242" t="s">
        <v>353</v>
      </c>
      <c r="J183" s="58" t="s">
        <v>360</v>
      </c>
      <c r="K183" s="59" t="s">
        <v>183</v>
      </c>
      <c r="L183" s="53"/>
      <c r="M183" s="53">
        <f>3975/3</f>
        <v>1325</v>
      </c>
      <c r="N183" s="53"/>
      <c r="O183" s="53"/>
      <c r="P183" s="53"/>
      <c r="Q183" s="53"/>
      <c r="R183" s="53"/>
      <c r="S183" s="229">
        <f>8025/3</f>
        <v>2675</v>
      </c>
      <c r="T183" s="51"/>
      <c r="U183" s="53"/>
      <c r="V183" s="53"/>
      <c r="W183" s="236">
        <v>2</v>
      </c>
      <c r="X183" s="38"/>
      <c r="Y183" s="53"/>
      <c r="Z183" s="53"/>
      <c r="AA183" s="53"/>
      <c r="AB183" s="233" t="s">
        <v>173</v>
      </c>
    </row>
    <row r="184" spans="1:28" ht="12.75">
      <c r="A184" s="8"/>
      <c r="B184" s="22" t="s">
        <v>352</v>
      </c>
      <c r="C184" s="10"/>
      <c r="D184" s="4" t="s">
        <v>359</v>
      </c>
      <c r="E184" s="7" t="s">
        <v>184</v>
      </c>
      <c r="F184" s="82" t="s">
        <v>776</v>
      </c>
      <c r="G184" s="7" t="s">
        <v>779</v>
      </c>
      <c r="I184" s="244"/>
      <c r="J184" s="56" t="s">
        <v>360</v>
      </c>
      <c r="K184" s="19" t="s">
        <v>184</v>
      </c>
      <c r="L184" s="55">
        <f>8025/3</f>
        <v>2675</v>
      </c>
      <c r="M184" s="55"/>
      <c r="N184" s="55"/>
      <c r="O184" s="55"/>
      <c r="P184" s="55"/>
      <c r="Q184" s="55"/>
      <c r="R184" s="55"/>
      <c r="S184" s="235"/>
      <c r="T184" s="52"/>
      <c r="U184" s="55"/>
      <c r="V184" s="55"/>
      <c r="W184" s="237"/>
      <c r="X184" s="40"/>
      <c r="Y184" s="55"/>
      <c r="Z184" s="55"/>
      <c r="AA184" s="55"/>
      <c r="AB184" s="238"/>
    </row>
    <row r="185" spans="1:28" ht="12.75">
      <c r="A185" s="8"/>
      <c r="B185" s="22" t="s">
        <v>354</v>
      </c>
      <c r="C185" s="10"/>
      <c r="D185" s="4" t="s">
        <v>363</v>
      </c>
      <c r="E185" s="7" t="s">
        <v>183</v>
      </c>
      <c r="F185" s="83" t="s">
        <v>720</v>
      </c>
      <c r="I185" s="242" t="s">
        <v>361</v>
      </c>
      <c r="J185" s="58" t="s">
        <v>367</v>
      </c>
      <c r="K185" s="59" t="s">
        <v>183</v>
      </c>
      <c r="L185" s="53"/>
      <c r="M185" s="53">
        <f>13913/3</f>
        <v>4637.666666666667</v>
      </c>
      <c r="N185" s="53"/>
      <c r="O185" s="53"/>
      <c r="P185" s="229">
        <f>13913/3</f>
        <v>4637.666666666667</v>
      </c>
      <c r="Q185" s="53"/>
      <c r="R185" s="53"/>
      <c r="S185" s="51"/>
      <c r="T185" s="51"/>
      <c r="U185" s="53"/>
      <c r="V185" s="53"/>
      <c r="W185" s="38"/>
      <c r="X185" s="38"/>
      <c r="Y185" s="236">
        <v>1</v>
      </c>
      <c r="Z185" s="53"/>
      <c r="AA185" s="53"/>
      <c r="AB185" s="233" t="s">
        <v>238</v>
      </c>
    </row>
    <row r="186" spans="1:28" ht="12.75">
      <c r="A186" s="8"/>
      <c r="B186" s="22" t="s">
        <v>355</v>
      </c>
      <c r="C186" s="10"/>
      <c r="D186" s="4" t="s">
        <v>364</v>
      </c>
      <c r="E186" s="7" t="s">
        <v>184</v>
      </c>
      <c r="F186" s="82" t="s">
        <v>776</v>
      </c>
      <c r="G186" s="7" t="s">
        <v>779</v>
      </c>
      <c r="I186" s="244"/>
      <c r="J186" s="56" t="s">
        <v>367</v>
      </c>
      <c r="K186" s="19" t="s">
        <v>184</v>
      </c>
      <c r="L186" s="55">
        <f>11500/3</f>
        <v>3833.3333333333335</v>
      </c>
      <c r="M186" s="55"/>
      <c r="N186" s="55"/>
      <c r="O186" s="55"/>
      <c r="P186" s="235"/>
      <c r="Q186" s="55"/>
      <c r="R186" s="55"/>
      <c r="S186" s="52"/>
      <c r="T186" s="52"/>
      <c r="U186" s="55"/>
      <c r="V186" s="55"/>
      <c r="W186" s="40"/>
      <c r="X186" s="40"/>
      <c r="Y186" s="237"/>
      <c r="Z186" s="55"/>
      <c r="AA186" s="55"/>
      <c r="AB186" s="238"/>
    </row>
    <row r="187" spans="1:28" ht="12.75">
      <c r="A187" s="8"/>
      <c r="B187" s="22" t="s">
        <v>356</v>
      </c>
      <c r="C187" s="10"/>
      <c r="D187" s="4" t="s">
        <v>365</v>
      </c>
      <c r="E187" s="7" t="s">
        <v>183</v>
      </c>
      <c r="F187" s="83" t="s">
        <v>720</v>
      </c>
      <c r="I187" s="242" t="s">
        <v>362</v>
      </c>
      <c r="J187" s="58" t="s">
        <v>367</v>
      </c>
      <c r="K187" s="59" t="s">
        <v>183</v>
      </c>
      <c r="L187" s="53"/>
      <c r="M187" s="53">
        <f>85134/3</f>
        <v>28378</v>
      </c>
      <c r="N187" s="53"/>
      <c r="O187" s="53"/>
      <c r="P187" s="229">
        <f>89007/3</f>
        <v>29669</v>
      </c>
      <c r="Q187" s="53"/>
      <c r="R187" s="53"/>
      <c r="S187" s="51"/>
      <c r="T187" s="51"/>
      <c r="U187" s="53"/>
      <c r="V187" s="53"/>
      <c r="W187" s="38"/>
      <c r="X187" s="38"/>
      <c r="Y187" s="236">
        <v>1</v>
      </c>
      <c r="Z187" s="53"/>
      <c r="AA187" s="53"/>
      <c r="AB187" s="233" t="s">
        <v>238</v>
      </c>
    </row>
    <row r="188" spans="1:28" ht="12.75">
      <c r="A188" s="8"/>
      <c r="B188" s="22" t="s">
        <v>357</v>
      </c>
      <c r="C188" s="10"/>
      <c r="D188" s="4" t="s">
        <v>366</v>
      </c>
      <c r="E188" s="7" t="s">
        <v>184</v>
      </c>
      <c r="F188" s="82" t="s">
        <v>774</v>
      </c>
      <c r="G188" s="7" t="s">
        <v>779</v>
      </c>
      <c r="I188" s="244"/>
      <c r="J188" s="56" t="s">
        <v>367</v>
      </c>
      <c r="K188" s="19" t="s">
        <v>184</v>
      </c>
      <c r="L188" s="55">
        <f>89007/3</f>
        <v>29669</v>
      </c>
      <c r="M188" s="55"/>
      <c r="N188" s="55"/>
      <c r="O188" s="55"/>
      <c r="P188" s="235"/>
      <c r="Q188" s="55"/>
      <c r="R188" s="55"/>
      <c r="S188" s="52"/>
      <c r="T188" s="52"/>
      <c r="U188" s="55"/>
      <c r="V188" s="55"/>
      <c r="W188" s="40"/>
      <c r="X188" s="40"/>
      <c r="Y188" s="237"/>
      <c r="Z188" s="55"/>
      <c r="AA188" s="55"/>
      <c r="AB188" s="238"/>
    </row>
    <row r="189" spans="1:28" ht="12.75">
      <c r="A189" s="8" t="s">
        <v>94</v>
      </c>
      <c r="B189" s="9" t="s">
        <v>342</v>
      </c>
      <c r="C189" s="10">
        <v>4</v>
      </c>
      <c r="D189" s="4" t="s">
        <v>368</v>
      </c>
      <c r="E189" s="4" t="s">
        <v>165</v>
      </c>
      <c r="F189" s="83" t="s">
        <v>718</v>
      </c>
      <c r="I189" s="242" t="s">
        <v>372</v>
      </c>
      <c r="J189" s="58" t="s">
        <v>342</v>
      </c>
      <c r="K189" s="58" t="s">
        <v>164</v>
      </c>
      <c r="L189" s="53">
        <f>((16515+37858)/3)+4000</f>
        <v>22124.333333333332</v>
      </c>
      <c r="M189" s="53"/>
      <c r="N189" s="53"/>
      <c r="O189" s="53"/>
      <c r="P189" s="53"/>
      <c r="Q189" s="229">
        <f>(16515/3)+4000</f>
        <v>9505</v>
      </c>
      <c r="R189" s="53"/>
      <c r="S189" s="229">
        <f>(4598+3900)/3</f>
        <v>2832.6666666666665</v>
      </c>
      <c r="T189" s="229">
        <f>35809/3</f>
        <v>11936.333333333334</v>
      </c>
      <c r="U189" s="53"/>
      <c r="V189" s="53"/>
      <c r="W189" s="236">
        <v>6</v>
      </c>
      <c r="X189" s="38"/>
      <c r="Y189" s="53"/>
      <c r="Z189" s="53"/>
      <c r="AA189" s="53"/>
      <c r="AB189" s="239" t="s">
        <v>173</v>
      </c>
    </row>
    <row r="190" spans="1:28" ht="12.75">
      <c r="A190" s="8" t="s">
        <v>95</v>
      </c>
      <c r="B190" s="9" t="s">
        <v>342</v>
      </c>
      <c r="C190" s="10">
        <v>5</v>
      </c>
      <c r="D190" s="4" t="s">
        <v>369</v>
      </c>
      <c r="E190" s="4" t="s">
        <v>370</v>
      </c>
      <c r="F190" s="83" t="s">
        <v>777</v>
      </c>
      <c r="I190" s="243"/>
      <c r="J190" s="227" t="s">
        <v>342</v>
      </c>
      <c r="K190" s="227" t="s">
        <v>373</v>
      </c>
      <c r="L190" s="230">
        <f>((16515+39709)/3)+4000</f>
        <v>22741.333333333332</v>
      </c>
      <c r="M190" s="54"/>
      <c r="N190" s="54"/>
      <c r="O190" s="54"/>
      <c r="P190" s="54"/>
      <c r="Q190" s="230"/>
      <c r="R190" s="54"/>
      <c r="S190" s="230"/>
      <c r="T190" s="230"/>
      <c r="U190" s="54"/>
      <c r="V190" s="232">
        <v>1</v>
      </c>
      <c r="W190" s="232"/>
      <c r="X190" s="39"/>
      <c r="Y190" s="54"/>
      <c r="Z190" s="54"/>
      <c r="AA190" s="54"/>
      <c r="AB190" s="240"/>
    </row>
    <row r="191" spans="1:28" ht="12.75">
      <c r="A191" s="8" t="s">
        <v>96</v>
      </c>
      <c r="B191" s="9" t="s">
        <v>342</v>
      </c>
      <c r="C191" s="10">
        <v>6</v>
      </c>
      <c r="D191" s="4" t="s">
        <v>369</v>
      </c>
      <c r="E191" s="4" t="s">
        <v>290</v>
      </c>
      <c r="F191" s="83" t="s">
        <v>777</v>
      </c>
      <c r="I191" s="243"/>
      <c r="J191" s="227"/>
      <c r="K191" s="227"/>
      <c r="L191" s="230"/>
      <c r="M191" s="54"/>
      <c r="N191" s="54"/>
      <c r="O191" s="54"/>
      <c r="P191" s="54"/>
      <c r="Q191" s="230"/>
      <c r="R191" s="54"/>
      <c r="S191" s="230"/>
      <c r="T191" s="230"/>
      <c r="U191" s="54"/>
      <c r="V191" s="232"/>
      <c r="W191" s="232"/>
      <c r="X191" s="39"/>
      <c r="Y191" s="54"/>
      <c r="Z191" s="54"/>
      <c r="AA191" s="54"/>
      <c r="AB191" s="240"/>
    </row>
    <row r="192" spans="1:28" ht="12.75">
      <c r="A192" s="8"/>
      <c r="B192" s="22" t="s">
        <v>375</v>
      </c>
      <c r="C192" s="10"/>
      <c r="D192" s="4" t="s">
        <v>371</v>
      </c>
      <c r="E192" s="7" t="s">
        <v>183</v>
      </c>
      <c r="F192" s="83" t="s">
        <v>720</v>
      </c>
      <c r="I192" s="243"/>
      <c r="J192" s="57" t="s">
        <v>374</v>
      </c>
      <c r="K192" s="18" t="s">
        <v>183</v>
      </c>
      <c r="L192" s="54"/>
      <c r="M192" s="54">
        <f>((16515+38359)/3)+4000</f>
        <v>22291.333333333332</v>
      </c>
      <c r="N192" s="54"/>
      <c r="O192" s="54"/>
      <c r="P192" s="54"/>
      <c r="Q192" s="230"/>
      <c r="R192" s="54"/>
      <c r="S192" s="230"/>
      <c r="T192" s="230"/>
      <c r="U192" s="54"/>
      <c r="V192" s="54"/>
      <c r="W192" s="232"/>
      <c r="X192" s="39"/>
      <c r="Y192" s="54"/>
      <c r="Z192" s="54"/>
      <c r="AA192" s="54"/>
      <c r="AB192" s="240"/>
    </row>
    <row r="193" spans="1:28" ht="12.75">
      <c r="A193" s="8"/>
      <c r="B193" s="22" t="s">
        <v>376</v>
      </c>
      <c r="C193" s="10"/>
      <c r="D193" s="4" t="s">
        <v>369</v>
      </c>
      <c r="E193" s="7" t="s">
        <v>184</v>
      </c>
      <c r="F193" s="83" t="s">
        <v>775</v>
      </c>
      <c r="G193" s="7" t="s">
        <v>779</v>
      </c>
      <c r="I193" s="244"/>
      <c r="J193" s="56" t="s">
        <v>374</v>
      </c>
      <c r="K193" s="19" t="s">
        <v>184</v>
      </c>
      <c r="L193" s="55">
        <f>((16515+39709)/3)+4000</f>
        <v>22741.333333333332</v>
      </c>
      <c r="M193" s="55"/>
      <c r="N193" s="55"/>
      <c r="O193" s="55"/>
      <c r="P193" s="55"/>
      <c r="Q193" s="235"/>
      <c r="R193" s="55"/>
      <c r="S193" s="235"/>
      <c r="T193" s="235"/>
      <c r="U193" s="55"/>
      <c r="V193" s="55"/>
      <c r="W193" s="237"/>
      <c r="X193" s="40"/>
      <c r="Y193" s="55"/>
      <c r="Z193" s="55"/>
      <c r="AA193" s="55"/>
      <c r="AB193" s="241"/>
    </row>
    <row r="194" spans="1:28" ht="12.75">
      <c r="A194" s="8" t="s">
        <v>97</v>
      </c>
      <c r="B194" s="9" t="s">
        <v>342</v>
      </c>
      <c r="C194" s="10">
        <v>7</v>
      </c>
      <c r="D194" s="4" t="s">
        <v>377</v>
      </c>
      <c r="E194" s="4" t="s">
        <v>165</v>
      </c>
      <c r="F194" s="83" t="s">
        <v>718</v>
      </c>
      <c r="I194" s="242" t="s">
        <v>383</v>
      </c>
      <c r="J194" s="58" t="s">
        <v>342</v>
      </c>
      <c r="K194" s="58" t="s">
        <v>164</v>
      </c>
      <c r="L194" s="53">
        <f>((16515+38458)/3)+8000</f>
        <v>26324.333333333332</v>
      </c>
      <c r="M194" s="53"/>
      <c r="N194" s="53"/>
      <c r="O194" s="53"/>
      <c r="P194" s="53"/>
      <c r="Q194" s="229">
        <f>(16515/3)+8000</f>
        <v>13505</v>
      </c>
      <c r="R194" s="53"/>
      <c r="S194" s="229">
        <f>(4598+3900)/3</f>
        <v>2832.6666666666665</v>
      </c>
      <c r="T194" s="229">
        <f>36409/3</f>
        <v>12136.333333333334</v>
      </c>
      <c r="U194" s="53"/>
      <c r="V194" s="53"/>
      <c r="W194" s="236">
        <v>6</v>
      </c>
      <c r="X194" s="38"/>
      <c r="Y194" s="53"/>
      <c r="Z194" s="53"/>
      <c r="AA194" s="53"/>
      <c r="AB194" s="239" t="s">
        <v>173</v>
      </c>
    </row>
    <row r="195" spans="1:28" ht="12.75">
      <c r="A195" s="8" t="s">
        <v>98</v>
      </c>
      <c r="B195" s="9" t="s">
        <v>342</v>
      </c>
      <c r="C195" s="10">
        <v>8</v>
      </c>
      <c r="D195" s="4" t="s">
        <v>379</v>
      </c>
      <c r="E195" s="4" t="s">
        <v>378</v>
      </c>
      <c r="F195" s="83" t="s">
        <v>777</v>
      </c>
      <c r="I195" s="243"/>
      <c r="J195" s="227" t="s">
        <v>342</v>
      </c>
      <c r="K195" s="227" t="s">
        <v>384</v>
      </c>
      <c r="L195" s="230">
        <f>((16515+40309)/3)+8000</f>
        <v>26941.333333333332</v>
      </c>
      <c r="M195" s="54"/>
      <c r="N195" s="54"/>
      <c r="O195" s="54"/>
      <c r="P195" s="54"/>
      <c r="Q195" s="230"/>
      <c r="R195" s="54"/>
      <c r="S195" s="230"/>
      <c r="T195" s="230"/>
      <c r="U195" s="54"/>
      <c r="V195" s="232">
        <v>1</v>
      </c>
      <c r="W195" s="232"/>
      <c r="X195" s="39"/>
      <c r="Y195" s="54"/>
      <c r="Z195" s="54"/>
      <c r="AA195" s="54"/>
      <c r="AB195" s="240"/>
    </row>
    <row r="196" spans="1:28" ht="12.75">
      <c r="A196" s="8" t="s">
        <v>99</v>
      </c>
      <c r="B196" s="9" t="s">
        <v>342</v>
      </c>
      <c r="C196" s="10">
        <v>9</v>
      </c>
      <c r="D196" s="4" t="s">
        <v>379</v>
      </c>
      <c r="E196" s="4" t="s">
        <v>290</v>
      </c>
      <c r="F196" s="83" t="s">
        <v>777</v>
      </c>
      <c r="I196" s="243"/>
      <c r="J196" s="227"/>
      <c r="K196" s="227"/>
      <c r="L196" s="230"/>
      <c r="M196" s="54"/>
      <c r="N196" s="54"/>
      <c r="O196" s="54"/>
      <c r="P196" s="54"/>
      <c r="Q196" s="230"/>
      <c r="R196" s="54"/>
      <c r="S196" s="230"/>
      <c r="T196" s="230"/>
      <c r="U196" s="54"/>
      <c r="V196" s="232"/>
      <c r="W196" s="232"/>
      <c r="X196" s="39"/>
      <c r="Y196" s="54"/>
      <c r="Z196" s="54"/>
      <c r="AA196" s="54"/>
      <c r="AB196" s="240"/>
    </row>
    <row r="197" spans="1:28" ht="12.75">
      <c r="A197" s="8"/>
      <c r="B197" s="22" t="s">
        <v>380</v>
      </c>
      <c r="C197" s="10"/>
      <c r="D197" s="4" t="s">
        <v>382</v>
      </c>
      <c r="E197" s="7" t="s">
        <v>183</v>
      </c>
      <c r="F197" s="83" t="s">
        <v>720</v>
      </c>
      <c r="I197" s="243"/>
      <c r="J197" s="57" t="s">
        <v>374</v>
      </c>
      <c r="K197" s="18" t="s">
        <v>183</v>
      </c>
      <c r="L197" s="54"/>
      <c r="M197" s="54">
        <f>((16515+38959)/3)+8000</f>
        <v>26491.333333333332</v>
      </c>
      <c r="N197" s="54"/>
      <c r="O197" s="54"/>
      <c r="P197" s="54"/>
      <c r="Q197" s="230"/>
      <c r="R197" s="54"/>
      <c r="S197" s="230"/>
      <c r="T197" s="230"/>
      <c r="U197" s="54"/>
      <c r="V197" s="54"/>
      <c r="W197" s="232"/>
      <c r="X197" s="39"/>
      <c r="Y197" s="54"/>
      <c r="Z197" s="54"/>
      <c r="AA197" s="54"/>
      <c r="AB197" s="240"/>
    </row>
    <row r="198" spans="1:28" ht="12.75">
      <c r="A198" s="8"/>
      <c r="B198" s="22" t="s">
        <v>381</v>
      </c>
      <c r="C198" s="10"/>
      <c r="D198" s="4" t="s">
        <v>379</v>
      </c>
      <c r="E198" s="7" t="s">
        <v>184</v>
      </c>
      <c r="F198" s="82" t="s">
        <v>774</v>
      </c>
      <c r="G198" s="7" t="s">
        <v>779</v>
      </c>
      <c r="I198" s="244"/>
      <c r="J198" s="56" t="s">
        <v>374</v>
      </c>
      <c r="K198" s="19" t="s">
        <v>184</v>
      </c>
      <c r="L198" s="55">
        <f>((16515+40309)/3)+8000</f>
        <v>26941.333333333332</v>
      </c>
      <c r="M198" s="55"/>
      <c r="N198" s="55"/>
      <c r="O198" s="55"/>
      <c r="P198" s="55"/>
      <c r="Q198" s="235"/>
      <c r="R198" s="55"/>
      <c r="S198" s="235"/>
      <c r="T198" s="235"/>
      <c r="U198" s="55"/>
      <c r="V198" s="55"/>
      <c r="W198" s="237"/>
      <c r="X198" s="40"/>
      <c r="Y198" s="55"/>
      <c r="Z198" s="55"/>
      <c r="AA198" s="55"/>
      <c r="AB198" s="241"/>
    </row>
    <row r="199" spans="1:28" ht="12.75">
      <c r="A199" s="8" t="s">
        <v>100</v>
      </c>
      <c r="B199" s="9" t="s">
        <v>342</v>
      </c>
      <c r="C199" s="10">
        <v>10</v>
      </c>
      <c r="D199" s="4" t="s">
        <v>385</v>
      </c>
      <c r="E199" s="4" t="s">
        <v>163</v>
      </c>
      <c r="F199" s="83" t="s">
        <v>778</v>
      </c>
      <c r="I199" s="242" t="s">
        <v>386</v>
      </c>
      <c r="J199" s="58" t="s">
        <v>342</v>
      </c>
      <c r="K199" s="58" t="s">
        <v>163</v>
      </c>
      <c r="L199" s="53">
        <f>((16515+76632)/3)+8000</f>
        <v>39049</v>
      </c>
      <c r="M199" s="53"/>
      <c r="N199" s="53"/>
      <c r="O199" s="53"/>
      <c r="P199" s="53"/>
      <c r="Q199" s="229">
        <f>(16515/3)+8000</f>
        <v>13505</v>
      </c>
      <c r="R199" s="229">
        <f>74989/3</f>
        <v>24996.333333333332</v>
      </c>
      <c r="S199" s="229">
        <f>37054/3</f>
        <v>12351.333333333334</v>
      </c>
      <c r="T199" s="53"/>
      <c r="U199" s="53"/>
      <c r="V199" s="53"/>
      <c r="W199" s="236">
        <v>4</v>
      </c>
      <c r="X199" s="38"/>
      <c r="Y199" s="53"/>
      <c r="Z199" s="53"/>
      <c r="AA199" s="53"/>
      <c r="AB199" s="239" t="s">
        <v>173</v>
      </c>
    </row>
    <row r="200" spans="1:28" ht="12.75">
      <c r="A200" s="8" t="s">
        <v>101</v>
      </c>
      <c r="B200" s="9" t="s">
        <v>342</v>
      </c>
      <c r="C200" s="10">
        <v>11</v>
      </c>
      <c r="D200" s="4" t="s">
        <v>385</v>
      </c>
      <c r="E200" s="4" t="s">
        <v>163</v>
      </c>
      <c r="F200" s="83" t="s">
        <v>778</v>
      </c>
      <c r="I200" s="244"/>
      <c r="J200" s="56" t="s">
        <v>342</v>
      </c>
      <c r="K200" s="56" t="s">
        <v>163</v>
      </c>
      <c r="L200" s="55">
        <f>((16515+75466)/3)+8000</f>
        <v>38660.33333333333</v>
      </c>
      <c r="M200" s="55"/>
      <c r="N200" s="55"/>
      <c r="O200" s="55"/>
      <c r="P200" s="55"/>
      <c r="Q200" s="235"/>
      <c r="R200" s="235"/>
      <c r="S200" s="235"/>
      <c r="T200" s="55"/>
      <c r="U200" s="55"/>
      <c r="V200" s="55"/>
      <c r="W200" s="237"/>
      <c r="X200" s="40"/>
      <c r="Y200" s="55"/>
      <c r="Z200" s="55"/>
      <c r="AA200" s="55"/>
      <c r="AB200" s="241"/>
    </row>
    <row r="201" spans="1:28" ht="12.75">
      <c r="A201" s="8" t="s">
        <v>102</v>
      </c>
      <c r="B201" s="9" t="s">
        <v>342</v>
      </c>
      <c r="C201" s="10">
        <v>12</v>
      </c>
      <c r="D201" s="4" t="s">
        <v>387</v>
      </c>
      <c r="E201" s="4" t="s">
        <v>165</v>
      </c>
      <c r="F201" s="83" t="s">
        <v>718</v>
      </c>
      <c r="I201" s="242" t="s">
        <v>390</v>
      </c>
      <c r="J201" s="58" t="s">
        <v>342</v>
      </c>
      <c r="K201" s="58" t="s">
        <v>164</v>
      </c>
      <c r="L201" s="53">
        <f>((16515+122170+7898)/3)+16000</f>
        <v>64861</v>
      </c>
      <c r="M201" s="53"/>
      <c r="N201" s="53"/>
      <c r="O201" s="53"/>
      <c r="P201" s="236">
        <f>17250/3</f>
        <v>5750</v>
      </c>
      <c r="Q201" s="229">
        <f>(16515/3)+16000</f>
        <v>21505</v>
      </c>
      <c r="R201" s="53"/>
      <c r="S201" s="53"/>
      <c r="T201" s="236">
        <f>122170/3</f>
        <v>40723.333333333336</v>
      </c>
      <c r="U201" s="53"/>
      <c r="V201" s="53"/>
      <c r="W201" s="236">
        <v>10</v>
      </c>
      <c r="X201" s="236">
        <v>2</v>
      </c>
      <c r="Y201" s="53"/>
      <c r="Z201" s="53"/>
      <c r="AA201" s="236">
        <f>17250/3</f>
        <v>5750</v>
      </c>
      <c r="AB201" s="233" t="s">
        <v>392</v>
      </c>
    </row>
    <row r="202" spans="1:28" ht="12.75">
      <c r="A202" s="8" t="s">
        <v>103</v>
      </c>
      <c r="B202" s="9" t="s">
        <v>342</v>
      </c>
      <c r="C202" s="10">
        <v>13</v>
      </c>
      <c r="D202" s="4" t="s">
        <v>388</v>
      </c>
      <c r="E202" s="4" t="s">
        <v>389</v>
      </c>
      <c r="F202" s="83" t="s">
        <v>777</v>
      </c>
      <c r="I202" s="244"/>
      <c r="J202" s="56" t="s">
        <v>342</v>
      </c>
      <c r="K202" s="56" t="s">
        <v>391</v>
      </c>
      <c r="L202" s="55">
        <f>((16515+122170+17250)/3)+16000</f>
        <v>67978.33333333334</v>
      </c>
      <c r="M202" s="55"/>
      <c r="N202" s="55"/>
      <c r="O202" s="55"/>
      <c r="P202" s="237"/>
      <c r="Q202" s="235"/>
      <c r="R202" s="55"/>
      <c r="S202" s="55"/>
      <c r="T202" s="237"/>
      <c r="U202" s="40">
        <v>1</v>
      </c>
      <c r="V202" s="55"/>
      <c r="W202" s="237"/>
      <c r="X202" s="237"/>
      <c r="Y202" s="55"/>
      <c r="Z202" s="55"/>
      <c r="AA202" s="237"/>
      <c r="AB202" s="238"/>
    </row>
    <row r="203" spans="1:28" ht="12.75">
      <c r="A203" s="8" t="s">
        <v>104</v>
      </c>
      <c r="B203" s="9" t="s">
        <v>342</v>
      </c>
      <c r="C203" s="10">
        <v>14</v>
      </c>
      <c r="D203" s="4" t="s">
        <v>393</v>
      </c>
      <c r="E203" s="4" t="s">
        <v>165</v>
      </c>
      <c r="F203" s="83" t="s">
        <v>718</v>
      </c>
      <c r="I203" s="242" t="s">
        <v>399</v>
      </c>
      <c r="J203" s="58" t="s">
        <v>342</v>
      </c>
      <c r="K203" s="58" t="s">
        <v>164</v>
      </c>
      <c r="L203" s="53">
        <f>((16515+39924)/3)+12000</f>
        <v>30813</v>
      </c>
      <c r="M203" s="53"/>
      <c r="N203" s="53"/>
      <c r="O203" s="53"/>
      <c r="P203" s="53"/>
      <c r="Q203" s="229">
        <f>(16515/3)+12000</f>
        <v>17505</v>
      </c>
      <c r="R203" s="53"/>
      <c r="S203" s="229">
        <f>(4598+3900)/3</f>
        <v>2832.6666666666665</v>
      </c>
      <c r="T203" s="229">
        <f>37875/3</f>
        <v>12625</v>
      </c>
      <c r="U203" s="53"/>
      <c r="V203" s="53"/>
      <c r="W203" s="236">
        <v>6</v>
      </c>
      <c r="X203" s="38"/>
      <c r="Y203" s="53"/>
      <c r="Z203" s="53"/>
      <c r="AA203" s="53"/>
      <c r="AB203" s="239" t="s">
        <v>173</v>
      </c>
    </row>
    <row r="204" spans="1:28" ht="12.75">
      <c r="A204" s="8" t="s">
        <v>105</v>
      </c>
      <c r="B204" s="9" t="s">
        <v>342</v>
      </c>
      <c r="C204" s="10">
        <v>15</v>
      </c>
      <c r="D204" s="4" t="s">
        <v>394</v>
      </c>
      <c r="E204" s="4" t="s">
        <v>395</v>
      </c>
      <c r="F204" s="83" t="s">
        <v>777</v>
      </c>
      <c r="I204" s="243"/>
      <c r="J204" s="227" t="s">
        <v>342</v>
      </c>
      <c r="K204" s="227" t="s">
        <v>400</v>
      </c>
      <c r="L204" s="230">
        <f>((16515+41775)/3)+12000</f>
        <v>31430</v>
      </c>
      <c r="M204" s="54"/>
      <c r="N204" s="54"/>
      <c r="O204" s="54"/>
      <c r="P204" s="54"/>
      <c r="Q204" s="230"/>
      <c r="R204" s="54"/>
      <c r="S204" s="230"/>
      <c r="T204" s="230"/>
      <c r="U204" s="54"/>
      <c r="V204" s="232">
        <v>1</v>
      </c>
      <c r="W204" s="232"/>
      <c r="X204" s="39"/>
      <c r="Y204" s="54"/>
      <c r="Z204" s="54"/>
      <c r="AA204" s="54"/>
      <c r="AB204" s="240"/>
    </row>
    <row r="205" spans="1:28" ht="12.75">
      <c r="A205" s="8" t="s">
        <v>106</v>
      </c>
      <c r="B205" s="9" t="s">
        <v>342</v>
      </c>
      <c r="C205" s="10">
        <v>16</v>
      </c>
      <c r="D205" s="4" t="s">
        <v>394</v>
      </c>
      <c r="E205" s="4" t="s">
        <v>163</v>
      </c>
      <c r="F205" s="83" t="s">
        <v>777</v>
      </c>
      <c r="I205" s="243"/>
      <c r="J205" s="227"/>
      <c r="K205" s="227"/>
      <c r="L205" s="230"/>
      <c r="M205" s="54"/>
      <c r="N205" s="54"/>
      <c r="O205" s="54"/>
      <c r="P205" s="54"/>
      <c r="Q205" s="230"/>
      <c r="R205" s="54"/>
      <c r="S205" s="230"/>
      <c r="T205" s="230"/>
      <c r="U205" s="54"/>
      <c r="V205" s="232"/>
      <c r="W205" s="232"/>
      <c r="X205" s="39"/>
      <c r="Y205" s="54"/>
      <c r="Z205" s="54"/>
      <c r="AA205" s="54"/>
      <c r="AB205" s="240"/>
    </row>
    <row r="206" spans="1:28" ht="12.75">
      <c r="A206" s="8"/>
      <c r="B206" s="22" t="s">
        <v>396</v>
      </c>
      <c r="C206" s="10"/>
      <c r="D206" s="4" t="s">
        <v>398</v>
      </c>
      <c r="E206" s="7" t="s">
        <v>183</v>
      </c>
      <c r="F206" s="83" t="s">
        <v>720</v>
      </c>
      <c r="I206" s="243"/>
      <c r="J206" s="57" t="s">
        <v>401</v>
      </c>
      <c r="K206" s="18" t="s">
        <v>183</v>
      </c>
      <c r="L206" s="54"/>
      <c r="M206" s="54">
        <f>((16515+40425)/3)+12000</f>
        <v>30980</v>
      </c>
      <c r="N206" s="54"/>
      <c r="O206" s="54"/>
      <c r="P206" s="54"/>
      <c r="Q206" s="230"/>
      <c r="R206" s="54"/>
      <c r="S206" s="230"/>
      <c r="T206" s="230"/>
      <c r="U206" s="54"/>
      <c r="V206" s="54"/>
      <c r="W206" s="232"/>
      <c r="X206" s="39"/>
      <c r="Y206" s="54"/>
      <c r="Z206" s="54"/>
      <c r="AA206" s="54"/>
      <c r="AB206" s="240"/>
    </row>
    <row r="207" spans="1:28" ht="12.75">
      <c r="A207" s="8"/>
      <c r="B207" s="22" t="s">
        <v>397</v>
      </c>
      <c r="C207" s="10"/>
      <c r="D207" s="4" t="s">
        <v>394</v>
      </c>
      <c r="E207" s="7" t="s">
        <v>184</v>
      </c>
      <c r="F207" s="83" t="s">
        <v>775</v>
      </c>
      <c r="G207" s="7" t="s">
        <v>779</v>
      </c>
      <c r="I207" s="244"/>
      <c r="J207" s="56" t="s">
        <v>401</v>
      </c>
      <c r="K207" s="19" t="s">
        <v>184</v>
      </c>
      <c r="L207" s="55">
        <f>((16515+41776)/3)+12000</f>
        <v>31430.333333333332</v>
      </c>
      <c r="M207" s="55"/>
      <c r="N207" s="55"/>
      <c r="O207" s="55"/>
      <c r="P207" s="55"/>
      <c r="Q207" s="235"/>
      <c r="R207" s="55"/>
      <c r="S207" s="235"/>
      <c r="T207" s="235"/>
      <c r="U207" s="55"/>
      <c r="V207" s="55"/>
      <c r="W207" s="237"/>
      <c r="X207" s="40"/>
      <c r="Y207" s="55"/>
      <c r="Z207" s="55"/>
      <c r="AA207" s="55"/>
      <c r="AB207" s="241"/>
    </row>
    <row r="208" spans="1:28" ht="12.75">
      <c r="A208" s="8" t="s">
        <v>107</v>
      </c>
      <c r="B208" s="9" t="s">
        <v>342</v>
      </c>
      <c r="C208" s="10">
        <v>17</v>
      </c>
      <c r="D208" s="4" t="s">
        <v>402</v>
      </c>
      <c r="E208" s="4" t="s">
        <v>403</v>
      </c>
      <c r="F208" s="83" t="s">
        <v>777</v>
      </c>
      <c r="I208" s="242" t="s">
        <v>408</v>
      </c>
      <c r="J208" s="226" t="s">
        <v>342</v>
      </c>
      <c r="K208" s="226" t="s">
        <v>409</v>
      </c>
      <c r="L208" s="229">
        <f>((16515+73000)/3)+12000</f>
        <v>41838.33333333333</v>
      </c>
      <c r="M208" s="53"/>
      <c r="N208" s="53"/>
      <c r="O208" s="53"/>
      <c r="P208" s="53"/>
      <c r="Q208" s="229">
        <f>(16515/3)+12000</f>
        <v>17505</v>
      </c>
      <c r="R208" s="229">
        <f>11911/3</f>
        <v>3970.3333333333335</v>
      </c>
      <c r="S208" s="53"/>
      <c r="T208" s="229">
        <f>84247/3</f>
        <v>28082.333333333332</v>
      </c>
      <c r="U208" s="236">
        <v>1</v>
      </c>
      <c r="V208" s="53"/>
      <c r="W208" s="236">
        <v>7</v>
      </c>
      <c r="X208" s="38"/>
      <c r="Y208" s="53"/>
      <c r="Z208" s="53"/>
      <c r="AA208" s="53"/>
      <c r="AB208" s="239" t="s">
        <v>173</v>
      </c>
    </row>
    <row r="209" spans="1:28" ht="12.75">
      <c r="A209" s="8" t="s">
        <v>108</v>
      </c>
      <c r="B209" s="9" t="s">
        <v>342</v>
      </c>
      <c r="C209" s="10">
        <v>18</v>
      </c>
      <c r="D209" s="4" t="s">
        <v>402</v>
      </c>
      <c r="E209" s="4" t="s">
        <v>163</v>
      </c>
      <c r="F209" s="83" t="s">
        <v>777</v>
      </c>
      <c r="I209" s="243"/>
      <c r="J209" s="227"/>
      <c r="K209" s="227"/>
      <c r="L209" s="230"/>
      <c r="M209" s="54"/>
      <c r="N209" s="54"/>
      <c r="O209" s="54"/>
      <c r="P209" s="54"/>
      <c r="Q209" s="230"/>
      <c r="R209" s="230"/>
      <c r="S209" s="54"/>
      <c r="T209" s="230"/>
      <c r="U209" s="232"/>
      <c r="V209" s="54"/>
      <c r="W209" s="232"/>
      <c r="X209" s="39"/>
      <c r="Y209" s="54"/>
      <c r="Z209" s="54"/>
      <c r="AA209" s="54"/>
      <c r="AB209" s="240"/>
    </row>
    <row r="210" spans="1:28" ht="12.75">
      <c r="A210" s="8" t="s">
        <v>109</v>
      </c>
      <c r="B210" s="9" t="s">
        <v>342</v>
      </c>
      <c r="C210" s="10">
        <v>19</v>
      </c>
      <c r="D210" s="4" t="s">
        <v>404</v>
      </c>
      <c r="E210" s="4" t="s">
        <v>165</v>
      </c>
      <c r="F210" s="83" t="s">
        <v>718</v>
      </c>
      <c r="I210" s="243"/>
      <c r="J210" s="57" t="s">
        <v>342</v>
      </c>
      <c r="K210" s="57" t="s">
        <v>164</v>
      </c>
      <c r="L210" s="54">
        <f>((16515+85096)/3)+12000</f>
        <v>45870.333333333336</v>
      </c>
      <c r="M210" s="54"/>
      <c r="N210" s="54"/>
      <c r="O210" s="54"/>
      <c r="P210" s="54"/>
      <c r="Q210" s="230"/>
      <c r="R210" s="230"/>
      <c r="S210" s="54"/>
      <c r="T210" s="230"/>
      <c r="U210" s="54"/>
      <c r="V210" s="54"/>
      <c r="W210" s="232"/>
      <c r="X210" s="39"/>
      <c r="Y210" s="54"/>
      <c r="Z210" s="54"/>
      <c r="AA210" s="54"/>
      <c r="AB210" s="240"/>
    </row>
    <row r="211" spans="1:28" ht="12.75">
      <c r="A211" s="8" t="s">
        <v>110</v>
      </c>
      <c r="B211" s="9" t="s">
        <v>342</v>
      </c>
      <c r="C211" s="10">
        <v>20</v>
      </c>
      <c r="D211" s="4" t="s">
        <v>405</v>
      </c>
      <c r="E211" s="4" t="s">
        <v>165</v>
      </c>
      <c r="F211" s="83" t="s">
        <v>718</v>
      </c>
      <c r="I211" s="243"/>
      <c r="J211" s="57" t="s">
        <v>342</v>
      </c>
      <c r="K211" s="57" t="s">
        <v>164</v>
      </c>
      <c r="L211" s="54">
        <f>((16515+87444)/3)+12000</f>
        <v>46653</v>
      </c>
      <c r="M211" s="54"/>
      <c r="N211" s="54"/>
      <c r="O211" s="54"/>
      <c r="P211" s="54"/>
      <c r="Q211" s="230"/>
      <c r="R211" s="230"/>
      <c r="S211" s="54"/>
      <c r="T211" s="230"/>
      <c r="U211" s="54"/>
      <c r="V211" s="54"/>
      <c r="W211" s="232"/>
      <c r="X211" s="39"/>
      <c r="Y211" s="54"/>
      <c r="Z211" s="54"/>
      <c r="AA211" s="54"/>
      <c r="AB211" s="240"/>
    </row>
    <row r="212" spans="1:28" ht="12.75">
      <c r="A212" s="8" t="s">
        <v>111</v>
      </c>
      <c r="B212" s="9" t="s">
        <v>342</v>
      </c>
      <c r="C212" s="10">
        <v>21</v>
      </c>
      <c r="D212" s="4" t="s">
        <v>406</v>
      </c>
      <c r="E212" s="4" t="s">
        <v>407</v>
      </c>
      <c r="F212" s="83" t="s">
        <v>777</v>
      </c>
      <c r="I212" s="243"/>
      <c r="J212" s="227" t="s">
        <v>342</v>
      </c>
      <c r="K212" s="227" t="s">
        <v>410</v>
      </c>
      <c r="L212" s="230">
        <f>((16515+96159)/3)+12000</f>
        <v>49558</v>
      </c>
      <c r="M212" s="54"/>
      <c r="N212" s="54"/>
      <c r="O212" s="54"/>
      <c r="P212" s="54"/>
      <c r="Q212" s="230"/>
      <c r="R212" s="230"/>
      <c r="S212" s="54"/>
      <c r="T212" s="230"/>
      <c r="U212" s="232">
        <v>1</v>
      </c>
      <c r="V212" s="54"/>
      <c r="W212" s="232"/>
      <c r="X212" s="39"/>
      <c r="Y212" s="54"/>
      <c r="Z212" s="54"/>
      <c r="AA212" s="54"/>
      <c r="AB212" s="240"/>
    </row>
    <row r="213" spans="1:28" ht="12.75">
      <c r="A213" s="8" t="s">
        <v>112</v>
      </c>
      <c r="B213" s="9" t="s">
        <v>342</v>
      </c>
      <c r="C213" s="10">
        <v>22</v>
      </c>
      <c r="D213" s="4" t="s">
        <v>406</v>
      </c>
      <c r="E213" s="4" t="s">
        <v>163</v>
      </c>
      <c r="F213" s="83" t="s">
        <v>777</v>
      </c>
      <c r="I213" s="244"/>
      <c r="J213" s="228"/>
      <c r="K213" s="228"/>
      <c r="L213" s="235"/>
      <c r="M213" s="55"/>
      <c r="N213" s="55"/>
      <c r="O213" s="55"/>
      <c r="P213" s="55"/>
      <c r="Q213" s="235"/>
      <c r="R213" s="235"/>
      <c r="S213" s="55"/>
      <c r="T213" s="235"/>
      <c r="U213" s="237"/>
      <c r="V213" s="55"/>
      <c r="W213" s="237"/>
      <c r="X213" s="40"/>
      <c r="Y213" s="55"/>
      <c r="Z213" s="55"/>
      <c r="AA213" s="55"/>
      <c r="AB213" s="241"/>
    </row>
    <row r="214" spans="1:27" s="14" customFormat="1" ht="12.75">
      <c r="A214" s="11" t="s">
        <v>113</v>
      </c>
      <c r="B214" s="12" t="s">
        <v>342</v>
      </c>
      <c r="C214" s="13">
        <v>23</v>
      </c>
      <c r="D214" s="14" t="s">
        <v>190</v>
      </c>
      <c r="F214" s="84"/>
      <c r="H214" s="73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2"/>
      <c r="X214" s="42"/>
      <c r="Y214" s="41"/>
      <c r="Z214" s="41"/>
      <c r="AA214" s="41"/>
    </row>
    <row r="215" spans="1:27" s="14" customFormat="1" ht="12.75">
      <c r="A215" s="11" t="s">
        <v>114</v>
      </c>
      <c r="B215" s="12" t="s">
        <v>342</v>
      </c>
      <c r="C215" s="13">
        <v>24</v>
      </c>
      <c r="D215" s="14" t="s">
        <v>190</v>
      </c>
      <c r="F215" s="84"/>
      <c r="H215" s="73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2"/>
      <c r="X215" s="42"/>
      <c r="Y215" s="41"/>
      <c r="Z215" s="41"/>
      <c r="AA215" s="41"/>
    </row>
    <row r="216" spans="1:27" s="14" customFormat="1" ht="12.75">
      <c r="A216" s="11" t="s">
        <v>115</v>
      </c>
      <c r="B216" s="12" t="s">
        <v>342</v>
      </c>
      <c r="C216" s="13">
        <v>25</v>
      </c>
      <c r="D216" s="14" t="s">
        <v>190</v>
      </c>
      <c r="F216" s="84"/>
      <c r="H216" s="73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2"/>
      <c r="X216" s="42"/>
      <c r="Y216" s="41"/>
      <c r="Z216" s="41"/>
      <c r="AA216" s="41"/>
    </row>
    <row r="217" spans="1:27" s="14" customFormat="1" ht="12.75">
      <c r="A217" s="11" t="s">
        <v>116</v>
      </c>
      <c r="B217" s="12" t="s">
        <v>342</v>
      </c>
      <c r="C217" s="13">
        <v>26</v>
      </c>
      <c r="D217" s="14" t="s">
        <v>190</v>
      </c>
      <c r="F217" s="84"/>
      <c r="H217" s="73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2"/>
      <c r="X217" s="42"/>
      <c r="Y217" s="41"/>
      <c r="Z217" s="41"/>
      <c r="AA217" s="41"/>
    </row>
    <row r="218" spans="1:27" s="14" customFormat="1" ht="12.75">
      <c r="A218" s="11" t="s">
        <v>117</v>
      </c>
      <c r="B218" s="12" t="s">
        <v>342</v>
      </c>
      <c r="C218" s="13">
        <v>27</v>
      </c>
      <c r="D218" s="14" t="s">
        <v>190</v>
      </c>
      <c r="F218" s="84"/>
      <c r="H218" s="73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2"/>
      <c r="X218" s="42"/>
      <c r="Y218" s="41"/>
      <c r="Z218" s="41"/>
      <c r="AA218" s="41"/>
    </row>
    <row r="219" spans="1:27" s="14" customFormat="1" ht="12.75">
      <c r="A219" s="11" t="s">
        <v>118</v>
      </c>
      <c r="B219" s="12" t="s">
        <v>342</v>
      </c>
      <c r="C219" s="13">
        <v>28</v>
      </c>
      <c r="D219" s="14" t="s">
        <v>190</v>
      </c>
      <c r="F219" s="84"/>
      <c r="H219" s="73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2"/>
      <c r="X219" s="42"/>
      <c r="Y219" s="41"/>
      <c r="Z219" s="41"/>
      <c r="AA219" s="41"/>
    </row>
    <row r="220" spans="1:28" s="14" customFormat="1" ht="12.75">
      <c r="A220" s="60" t="s">
        <v>119</v>
      </c>
      <c r="B220" s="61" t="s">
        <v>342</v>
      </c>
      <c r="C220" s="62">
        <v>29</v>
      </c>
      <c r="D220" s="63" t="s">
        <v>459</v>
      </c>
      <c r="E220" s="63" t="s">
        <v>435</v>
      </c>
      <c r="F220" s="277" t="s">
        <v>719</v>
      </c>
      <c r="G220" s="63"/>
      <c r="H220" s="73"/>
      <c r="I220" s="64"/>
      <c r="J220" s="64"/>
      <c r="K220" s="64"/>
      <c r="L220" s="65">
        <v>500</v>
      </c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6"/>
      <c r="X220" s="66"/>
      <c r="Y220" s="65"/>
      <c r="Z220" s="65"/>
      <c r="AA220" s="65"/>
      <c r="AB220" s="67" t="s">
        <v>436</v>
      </c>
    </row>
    <row r="221" spans="1:28" s="14" customFormat="1" ht="12.75">
      <c r="A221" s="60" t="s">
        <v>120</v>
      </c>
      <c r="B221" s="61" t="s">
        <v>342</v>
      </c>
      <c r="C221" s="62">
        <v>30</v>
      </c>
      <c r="D221" s="63" t="s">
        <v>460</v>
      </c>
      <c r="E221" s="63" t="s">
        <v>435</v>
      </c>
      <c r="F221" s="277"/>
      <c r="G221" s="63"/>
      <c r="H221" s="73"/>
      <c r="I221" s="64"/>
      <c r="J221" s="64"/>
      <c r="K221" s="64"/>
      <c r="L221" s="65">
        <v>500</v>
      </c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6"/>
      <c r="X221" s="66"/>
      <c r="Y221" s="65"/>
      <c r="Z221" s="65"/>
      <c r="AA221" s="65"/>
      <c r="AB221" s="67" t="s">
        <v>436</v>
      </c>
    </row>
    <row r="222" spans="1:28" s="14" customFormat="1" ht="12.75">
      <c r="A222" s="60" t="s">
        <v>121</v>
      </c>
      <c r="B222" s="61" t="s">
        <v>342</v>
      </c>
      <c r="C222" s="62">
        <v>31</v>
      </c>
      <c r="D222" s="63" t="s">
        <v>461</v>
      </c>
      <c r="E222" s="63" t="s">
        <v>435</v>
      </c>
      <c r="F222" s="277"/>
      <c r="G222" s="63"/>
      <c r="H222" s="73"/>
      <c r="I222" s="64"/>
      <c r="J222" s="64"/>
      <c r="K222" s="64"/>
      <c r="L222" s="65">
        <v>500</v>
      </c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6"/>
      <c r="X222" s="66"/>
      <c r="Y222" s="65"/>
      <c r="Z222" s="65"/>
      <c r="AA222" s="65"/>
      <c r="AB222" s="67" t="s">
        <v>436</v>
      </c>
    </row>
    <row r="223" spans="1:28" s="14" customFormat="1" ht="12.75">
      <c r="A223" s="60" t="s">
        <v>122</v>
      </c>
      <c r="B223" s="61" t="s">
        <v>342</v>
      </c>
      <c r="C223" s="62">
        <v>32</v>
      </c>
      <c r="D223" s="63" t="s">
        <v>462</v>
      </c>
      <c r="E223" s="63" t="s">
        <v>435</v>
      </c>
      <c r="F223" s="277"/>
      <c r="G223" s="63"/>
      <c r="H223" s="73"/>
      <c r="I223" s="64"/>
      <c r="J223" s="64"/>
      <c r="K223" s="64"/>
      <c r="L223" s="65">
        <v>500</v>
      </c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6"/>
      <c r="X223" s="66"/>
      <c r="Y223" s="65"/>
      <c r="Z223" s="65"/>
      <c r="AA223" s="65"/>
      <c r="AB223" s="67" t="s">
        <v>436</v>
      </c>
    </row>
    <row r="224" spans="1:27" ht="12.75">
      <c r="A224" s="8"/>
      <c r="B224" s="9"/>
      <c r="C224" s="10"/>
      <c r="F224" s="82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6"/>
      <c r="X224" s="46"/>
      <c r="Y224" s="45"/>
      <c r="Z224" s="45"/>
      <c r="AA224" s="45"/>
    </row>
    <row r="225" spans="1:28" s="29" customFormat="1" ht="12.75">
      <c r="A225" s="26"/>
      <c r="B225" s="27"/>
      <c r="C225" s="28"/>
      <c r="F225" s="85"/>
      <c r="H225" s="73"/>
      <c r="I225" s="30" t="s">
        <v>411</v>
      </c>
      <c r="J225" s="30" t="s">
        <v>342</v>
      </c>
      <c r="K225" s="30" t="s">
        <v>360</v>
      </c>
      <c r="L225" s="47"/>
      <c r="M225" s="47"/>
      <c r="N225" s="47">
        <v>1000</v>
      </c>
      <c r="O225" s="47"/>
      <c r="P225" s="47"/>
      <c r="Q225" s="47"/>
      <c r="R225" s="47"/>
      <c r="S225" s="47"/>
      <c r="T225" s="47"/>
      <c r="U225" s="47"/>
      <c r="V225" s="47"/>
      <c r="W225" s="48"/>
      <c r="X225" s="48"/>
      <c r="Y225" s="47"/>
      <c r="Z225" s="47"/>
      <c r="AA225" s="47"/>
      <c r="AB225" s="31" t="s">
        <v>226</v>
      </c>
    </row>
    <row r="226" spans="1:28" s="29" customFormat="1" ht="12.75">
      <c r="A226" s="26"/>
      <c r="B226" s="27"/>
      <c r="C226" s="28"/>
      <c r="F226" s="85"/>
      <c r="H226" s="73"/>
      <c r="I226" s="30" t="s">
        <v>413</v>
      </c>
      <c r="J226" s="30" t="s">
        <v>360</v>
      </c>
      <c r="K226" s="30" t="s">
        <v>367</v>
      </c>
      <c r="L226" s="47"/>
      <c r="M226" s="47"/>
      <c r="N226" s="47">
        <v>1000</v>
      </c>
      <c r="O226" s="47"/>
      <c r="P226" s="47"/>
      <c r="Q226" s="47"/>
      <c r="R226" s="47"/>
      <c r="S226" s="47"/>
      <c r="T226" s="47"/>
      <c r="U226" s="47"/>
      <c r="V226" s="47"/>
      <c r="W226" s="48"/>
      <c r="X226" s="48"/>
      <c r="Y226" s="47"/>
      <c r="Z226" s="47"/>
      <c r="AA226" s="47"/>
      <c r="AB226" s="31" t="s">
        <v>226</v>
      </c>
    </row>
    <row r="227" spans="1:28" s="29" customFormat="1" ht="12.75">
      <c r="A227" s="26"/>
      <c r="B227" s="27"/>
      <c r="C227" s="28"/>
      <c r="F227" s="85"/>
      <c r="H227" s="73"/>
      <c r="I227" s="30" t="s">
        <v>414</v>
      </c>
      <c r="J227" s="30" t="s">
        <v>367</v>
      </c>
      <c r="K227" s="30" t="s">
        <v>374</v>
      </c>
      <c r="L227" s="47"/>
      <c r="M227" s="47"/>
      <c r="N227" s="47">
        <v>1000</v>
      </c>
      <c r="O227" s="47"/>
      <c r="P227" s="47"/>
      <c r="Q227" s="47"/>
      <c r="R227" s="47"/>
      <c r="S227" s="47"/>
      <c r="T227" s="47"/>
      <c r="U227" s="47"/>
      <c r="V227" s="47"/>
      <c r="W227" s="48"/>
      <c r="X227" s="48"/>
      <c r="Y227" s="47"/>
      <c r="Z227" s="47"/>
      <c r="AA227" s="47"/>
      <c r="AB227" s="31" t="s">
        <v>226</v>
      </c>
    </row>
    <row r="228" spans="1:28" s="29" customFormat="1" ht="12.75">
      <c r="A228" s="26"/>
      <c r="B228" s="27"/>
      <c r="C228" s="28"/>
      <c r="F228" s="85"/>
      <c r="H228" s="73"/>
      <c r="I228" s="30" t="s">
        <v>415</v>
      </c>
      <c r="J228" s="30" t="s">
        <v>374</v>
      </c>
      <c r="K228" s="30" t="s">
        <v>401</v>
      </c>
      <c r="L228" s="47"/>
      <c r="M228" s="47"/>
      <c r="N228" s="47">
        <v>1000</v>
      </c>
      <c r="O228" s="47"/>
      <c r="P228" s="47"/>
      <c r="Q228" s="47"/>
      <c r="R228" s="47"/>
      <c r="S228" s="47"/>
      <c r="T228" s="47"/>
      <c r="U228" s="47"/>
      <c r="V228" s="47"/>
      <c r="W228" s="48"/>
      <c r="X228" s="48"/>
      <c r="Y228" s="47"/>
      <c r="Z228" s="47"/>
      <c r="AA228" s="47"/>
      <c r="AB228" s="31" t="s">
        <v>226</v>
      </c>
    </row>
    <row r="229" spans="1:28" s="29" customFormat="1" ht="12.75">
      <c r="A229" s="26"/>
      <c r="B229" s="27"/>
      <c r="C229" s="28"/>
      <c r="F229" s="85"/>
      <c r="H229" s="73"/>
      <c r="I229" s="30" t="s">
        <v>416</v>
      </c>
      <c r="J229" s="30" t="s">
        <v>401</v>
      </c>
      <c r="K229" s="30" t="s">
        <v>412</v>
      </c>
      <c r="L229" s="47"/>
      <c r="M229" s="47"/>
      <c r="N229" s="47">
        <v>74262</v>
      </c>
      <c r="O229" s="47">
        <v>74260</v>
      </c>
      <c r="P229" s="47"/>
      <c r="Q229" s="47"/>
      <c r="R229" s="47"/>
      <c r="S229" s="47"/>
      <c r="T229" s="47"/>
      <c r="U229" s="47"/>
      <c r="V229" s="47"/>
      <c r="W229" s="48"/>
      <c r="X229" s="48"/>
      <c r="Y229" s="47"/>
      <c r="Z229" s="47"/>
      <c r="AA229" s="47"/>
      <c r="AB229" s="31" t="s">
        <v>227</v>
      </c>
    </row>
    <row r="230" spans="1:28" ht="12.75" customHeight="1">
      <c r="A230" s="8" t="s">
        <v>123</v>
      </c>
      <c r="B230" s="9" t="s">
        <v>412</v>
      </c>
      <c r="C230" s="10">
        <v>1</v>
      </c>
      <c r="D230" s="4" t="s">
        <v>417</v>
      </c>
      <c r="E230" s="4" t="s">
        <v>165</v>
      </c>
      <c r="F230" s="83" t="s">
        <v>718</v>
      </c>
      <c r="I230" s="242" t="s">
        <v>420</v>
      </c>
      <c r="J230" s="58" t="s">
        <v>412</v>
      </c>
      <c r="K230" s="58" t="s">
        <v>164</v>
      </c>
      <c r="L230" s="53">
        <f>11783/3</f>
        <v>3927.6666666666665</v>
      </c>
      <c r="M230" s="53"/>
      <c r="N230" s="53"/>
      <c r="O230" s="236">
        <f>12345/3</f>
        <v>4115</v>
      </c>
      <c r="P230" s="53"/>
      <c r="Q230" s="53"/>
      <c r="R230" s="53"/>
      <c r="S230" s="53"/>
      <c r="T230" s="53"/>
      <c r="U230" s="53"/>
      <c r="V230" s="53"/>
      <c r="W230" s="38"/>
      <c r="X230" s="38"/>
      <c r="Y230" s="236">
        <v>1</v>
      </c>
      <c r="Z230" s="53"/>
      <c r="AA230" s="53"/>
      <c r="AB230" s="233" t="s">
        <v>262</v>
      </c>
    </row>
    <row r="231" spans="1:28" ht="12.75">
      <c r="A231" s="8" t="s">
        <v>124</v>
      </c>
      <c r="B231" s="9" t="s">
        <v>412</v>
      </c>
      <c r="C231" s="10">
        <v>2</v>
      </c>
      <c r="D231" s="4" t="s">
        <v>418</v>
      </c>
      <c r="E231" s="4" t="s">
        <v>419</v>
      </c>
      <c r="F231" s="83" t="s">
        <v>777</v>
      </c>
      <c r="I231" s="243"/>
      <c r="J231" s="227" t="s">
        <v>412</v>
      </c>
      <c r="K231" s="227" t="s">
        <v>421</v>
      </c>
      <c r="L231" s="230">
        <f>12345/6</f>
        <v>2057.5</v>
      </c>
      <c r="M231" s="54"/>
      <c r="N231" s="54"/>
      <c r="O231" s="232"/>
      <c r="P231" s="54"/>
      <c r="Q231" s="54"/>
      <c r="R231" s="54"/>
      <c r="S231" s="54"/>
      <c r="T231" s="54"/>
      <c r="U231" s="232">
        <v>1</v>
      </c>
      <c r="V231" s="54"/>
      <c r="W231" s="39"/>
      <c r="X231" s="39"/>
      <c r="Y231" s="232"/>
      <c r="Z231" s="54"/>
      <c r="AA231" s="54"/>
      <c r="AB231" s="234"/>
    </row>
    <row r="232" spans="1:28" ht="12.75">
      <c r="A232" s="8" t="s">
        <v>125</v>
      </c>
      <c r="B232" s="9" t="s">
        <v>412</v>
      </c>
      <c r="C232" s="10">
        <v>3</v>
      </c>
      <c r="D232" s="4" t="s">
        <v>418</v>
      </c>
      <c r="E232" s="4" t="s">
        <v>290</v>
      </c>
      <c r="F232" s="83" t="s">
        <v>777</v>
      </c>
      <c r="I232" s="244"/>
      <c r="J232" s="228"/>
      <c r="K232" s="228"/>
      <c r="L232" s="235"/>
      <c r="M232" s="55"/>
      <c r="N232" s="55"/>
      <c r="O232" s="237"/>
      <c r="P232" s="55"/>
      <c r="Q232" s="55"/>
      <c r="R232" s="55"/>
      <c r="S232" s="55"/>
      <c r="T232" s="55"/>
      <c r="U232" s="237"/>
      <c r="V232" s="55"/>
      <c r="W232" s="40"/>
      <c r="X232" s="40"/>
      <c r="Y232" s="237"/>
      <c r="Z232" s="55"/>
      <c r="AA232" s="55"/>
      <c r="AB232" s="238"/>
    </row>
    <row r="233" spans="1:28" ht="12.75">
      <c r="A233" s="8" t="s">
        <v>126</v>
      </c>
      <c r="B233" s="9" t="s">
        <v>412</v>
      </c>
      <c r="C233" s="10">
        <v>4</v>
      </c>
      <c r="D233" s="4" t="s">
        <v>422</v>
      </c>
      <c r="E233" s="4" t="s">
        <v>423</v>
      </c>
      <c r="F233" s="83" t="s">
        <v>777</v>
      </c>
      <c r="I233" s="242" t="s">
        <v>426</v>
      </c>
      <c r="J233" s="226" t="s">
        <v>412</v>
      </c>
      <c r="K233" s="226" t="s">
        <v>427</v>
      </c>
      <c r="L233" s="229">
        <f>38970/3</f>
        <v>12990</v>
      </c>
      <c r="M233" s="53"/>
      <c r="N233" s="53"/>
      <c r="O233" s="53"/>
      <c r="P233" s="53"/>
      <c r="Q233" s="229">
        <f>36870/3</f>
        <v>12290</v>
      </c>
      <c r="R233" s="229">
        <f>2936/3</f>
        <v>978.6666666666666</v>
      </c>
      <c r="S233" s="229">
        <f>7950/3</f>
        <v>2650</v>
      </c>
      <c r="T233" s="53"/>
      <c r="U233" s="53"/>
      <c r="V233" s="236">
        <v>1</v>
      </c>
      <c r="W233" s="236">
        <v>2</v>
      </c>
      <c r="X233" s="38"/>
      <c r="Y233" s="53"/>
      <c r="Z233" s="236">
        <v>2</v>
      </c>
      <c r="AA233" s="53"/>
      <c r="AB233" s="233" t="s">
        <v>250</v>
      </c>
    </row>
    <row r="234" spans="1:28" ht="12.75">
      <c r="A234" s="8" t="s">
        <v>127</v>
      </c>
      <c r="B234" s="9" t="s">
        <v>412</v>
      </c>
      <c r="C234" s="10">
        <v>5</v>
      </c>
      <c r="D234" s="4" t="s">
        <v>422</v>
      </c>
      <c r="E234" s="4" t="s">
        <v>290</v>
      </c>
      <c r="F234" s="83" t="s">
        <v>777</v>
      </c>
      <c r="I234" s="243"/>
      <c r="J234" s="227"/>
      <c r="K234" s="227"/>
      <c r="L234" s="230"/>
      <c r="M234" s="54"/>
      <c r="N234" s="54"/>
      <c r="O234" s="54"/>
      <c r="P234" s="54"/>
      <c r="Q234" s="230"/>
      <c r="R234" s="230"/>
      <c r="S234" s="230"/>
      <c r="T234" s="54"/>
      <c r="U234" s="54"/>
      <c r="V234" s="232"/>
      <c r="W234" s="232"/>
      <c r="X234" s="39"/>
      <c r="Y234" s="54"/>
      <c r="Z234" s="232"/>
      <c r="AA234" s="54"/>
      <c r="AB234" s="234"/>
    </row>
    <row r="235" spans="1:28" ht="12.75">
      <c r="A235" s="8"/>
      <c r="B235" s="22" t="s">
        <v>682</v>
      </c>
      <c r="C235" s="10"/>
      <c r="D235" s="4" t="s">
        <v>424</v>
      </c>
      <c r="E235" s="7" t="s">
        <v>183</v>
      </c>
      <c r="F235" s="83" t="s">
        <v>720</v>
      </c>
      <c r="I235" s="243"/>
      <c r="J235" s="57" t="s">
        <v>688</v>
      </c>
      <c r="K235" s="18" t="s">
        <v>183</v>
      </c>
      <c r="L235" s="54"/>
      <c r="M235" s="54">
        <f>44820/3</f>
        <v>14940</v>
      </c>
      <c r="N235" s="54"/>
      <c r="O235" s="54"/>
      <c r="P235" s="54"/>
      <c r="Q235" s="230"/>
      <c r="R235" s="230"/>
      <c r="S235" s="230"/>
      <c r="T235" s="54"/>
      <c r="U235" s="54"/>
      <c r="V235" s="54"/>
      <c r="W235" s="232"/>
      <c r="X235" s="39"/>
      <c r="Y235" s="54"/>
      <c r="Z235" s="232"/>
      <c r="AA235" s="54"/>
      <c r="AB235" s="234"/>
    </row>
    <row r="236" spans="1:28" ht="12.75">
      <c r="A236" s="8"/>
      <c r="B236" s="22" t="s">
        <v>683</v>
      </c>
      <c r="C236" s="10"/>
      <c r="D236" s="4" t="s">
        <v>422</v>
      </c>
      <c r="E236" s="7" t="s">
        <v>184</v>
      </c>
      <c r="F236" s="83" t="s">
        <v>775</v>
      </c>
      <c r="G236" s="7" t="s">
        <v>779</v>
      </c>
      <c r="I236" s="243"/>
      <c r="J236" s="57" t="s">
        <v>688</v>
      </c>
      <c r="K236" s="18" t="s">
        <v>184</v>
      </c>
      <c r="L236" s="54">
        <f>38970/3</f>
        <v>12990</v>
      </c>
      <c r="M236" s="54"/>
      <c r="N236" s="54"/>
      <c r="O236" s="54"/>
      <c r="P236" s="54"/>
      <c r="Q236" s="230"/>
      <c r="R236" s="230"/>
      <c r="S236" s="230"/>
      <c r="T236" s="54"/>
      <c r="U236" s="54"/>
      <c r="V236" s="54"/>
      <c r="W236" s="232"/>
      <c r="X236" s="39"/>
      <c r="Y236" s="54"/>
      <c r="Z236" s="232"/>
      <c r="AA236" s="54"/>
      <c r="AB236" s="234"/>
    </row>
    <row r="237" spans="1:28" ht="12.75">
      <c r="A237" s="8" t="s">
        <v>128</v>
      </c>
      <c r="B237" s="9" t="s">
        <v>412</v>
      </c>
      <c r="C237" s="10">
        <v>6</v>
      </c>
      <c r="D237" s="4" t="s">
        <v>425</v>
      </c>
      <c r="E237" s="4" t="s">
        <v>165</v>
      </c>
      <c r="F237" s="83" t="s">
        <v>718</v>
      </c>
      <c r="I237" s="244"/>
      <c r="J237" s="56" t="s">
        <v>412</v>
      </c>
      <c r="K237" s="56" t="s">
        <v>164</v>
      </c>
      <c r="L237" s="55">
        <f>39806/3</f>
        <v>13268.666666666666</v>
      </c>
      <c r="M237" s="55"/>
      <c r="N237" s="55"/>
      <c r="O237" s="55"/>
      <c r="P237" s="55"/>
      <c r="Q237" s="235"/>
      <c r="R237" s="235"/>
      <c r="S237" s="235"/>
      <c r="T237" s="55"/>
      <c r="U237" s="55"/>
      <c r="V237" s="55"/>
      <c r="W237" s="237"/>
      <c r="X237" s="40"/>
      <c r="Y237" s="55"/>
      <c r="Z237" s="237"/>
      <c r="AA237" s="55"/>
      <c r="AB237" s="238"/>
    </row>
    <row r="238" spans="1:28" ht="12.75">
      <c r="A238" s="8"/>
      <c r="B238" s="22" t="s">
        <v>791</v>
      </c>
      <c r="C238" s="10"/>
      <c r="D238" s="4" t="s">
        <v>365</v>
      </c>
      <c r="E238" s="7" t="s">
        <v>183</v>
      </c>
      <c r="F238" s="83" t="s">
        <v>720</v>
      </c>
      <c r="I238" s="242" t="s">
        <v>428</v>
      </c>
      <c r="J238" s="58" t="s">
        <v>688</v>
      </c>
      <c r="K238" s="59" t="s">
        <v>183</v>
      </c>
      <c r="L238" s="53"/>
      <c r="M238" s="53">
        <f>65880/3</f>
        <v>21960</v>
      </c>
      <c r="N238" s="53"/>
      <c r="O238" s="53"/>
      <c r="P238" s="229">
        <f>(37170+21900)/3</f>
        <v>19690</v>
      </c>
      <c r="Q238" s="51"/>
      <c r="R238" s="51"/>
      <c r="S238" s="229">
        <f>9660/3</f>
        <v>3220</v>
      </c>
      <c r="T238" s="53"/>
      <c r="U238" s="53"/>
      <c r="V238" s="53"/>
      <c r="W238" s="236">
        <v>3</v>
      </c>
      <c r="X238" s="38"/>
      <c r="Y238" s="236">
        <v>1</v>
      </c>
      <c r="Z238" s="38"/>
      <c r="AA238" s="53"/>
      <c r="AB238" s="233" t="s">
        <v>250</v>
      </c>
    </row>
    <row r="239" spans="1:28" ht="12.75">
      <c r="A239" s="8"/>
      <c r="B239" s="22" t="s">
        <v>792</v>
      </c>
      <c r="C239" s="10"/>
      <c r="D239" s="4" t="s">
        <v>366</v>
      </c>
      <c r="E239" s="7" t="s">
        <v>184</v>
      </c>
      <c r="F239" s="82" t="s">
        <v>776</v>
      </c>
      <c r="G239" s="7" t="s">
        <v>779</v>
      </c>
      <c r="I239" s="244"/>
      <c r="J239" s="56" t="s">
        <v>688</v>
      </c>
      <c r="K239" s="19" t="s">
        <v>184</v>
      </c>
      <c r="L239" s="55">
        <f>68730/3</f>
        <v>22910</v>
      </c>
      <c r="M239" s="55"/>
      <c r="N239" s="55"/>
      <c r="O239" s="55"/>
      <c r="P239" s="235"/>
      <c r="Q239" s="52"/>
      <c r="R239" s="52"/>
      <c r="S239" s="235"/>
      <c r="T239" s="55"/>
      <c r="U239" s="55"/>
      <c r="V239" s="55"/>
      <c r="W239" s="237"/>
      <c r="X239" s="40"/>
      <c r="Y239" s="237"/>
      <c r="Z239" s="40"/>
      <c r="AA239" s="55"/>
      <c r="AB239" s="238"/>
    </row>
    <row r="240" spans="1:28" ht="12.75">
      <c r="A240" s="8" t="s">
        <v>129</v>
      </c>
      <c r="B240" s="9" t="s">
        <v>412</v>
      </c>
      <c r="C240" s="10">
        <v>7</v>
      </c>
      <c r="D240" s="4" t="s">
        <v>429</v>
      </c>
      <c r="E240" s="4" t="s">
        <v>165</v>
      </c>
      <c r="F240" s="83" t="s">
        <v>718</v>
      </c>
      <c r="I240" s="242" t="s">
        <v>433</v>
      </c>
      <c r="J240" s="58" t="s">
        <v>412</v>
      </c>
      <c r="K240" s="58" t="s">
        <v>164</v>
      </c>
      <c r="L240" s="53">
        <f>(11338/3)+4000</f>
        <v>7779.333333333334</v>
      </c>
      <c r="M240" s="53"/>
      <c r="N240" s="53"/>
      <c r="O240" s="53"/>
      <c r="P240" s="53"/>
      <c r="Q240" s="236">
        <f>(38110/3)+4000</f>
        <v>16703.333333333336</v>
      </c>
      <c r="R240" s="53"/>
      <c r="S240" s="53"/>
      <c r="T240" s="53"/>
      <c r="U240" s="53"/>
      <c r="V240" s="53"/>
      <c r="W240" s="38"/>
      <c r="X240" s="38"/>
      <c r="Y240" s="236">
        <v>1</v>
      </c>
      <c r="Z240" s="236">
        <v>2</v>
      </c>
      <c r="AA240" s="53"/>
      <c r="AB240" s="233" t="s">
        <v>262</v>
      </c>
    </row>
    <row r="241" spans="1:28" ht="12.75">
      <c r="A241" s="8" t="s">
        <v>130</v>
      </c>
      <c r="B241" s="9" t="s">
        <v>412</v>
      </c>
      <c r="C241" s="10">
        <v>8</v>
      </c>
      <c r="D241" s="4" t="s">
        <v>430</v>
      </c>
      <c r="E241" s="4" t="s">
        <v>432</v>
      </c>
      <c r="F241" s="83" t="s">
        <v>777</v>
      </c>
      <c r="I241" s="243"/>
      <c r="J241" s="57" t="s">
        <v>412</v>
      </c>
      <c r="K241" s="57" t="s">
        <v>434</v>
      </c>
      <c r="L241" s="54">
        <f>(34960/3)+4000</f>
        <v>15653.333333333334</v>
      </c>
      <c r="M241" s="54"/>
      <c r="N241" s="54"/>
      <c r="O241" s="54"/>
      <c r="P241" s="54"/>
      <c r="Q241" s="232"/>
      <c r="R241" s="54"/>
      <c r="S241" s="54"/>
      <c r="T241" s="54"/>
      <c r="U241" s="54"/>
      <c r="V241" s="54"/>
      <c r="W241" s="39"/>
      <c r="X241" s="39"/>
      <c r="Y241" s="232"/>
      <c r="Z241" s="232"/>
      <c r="AA241" s="54"/>
      <c r="AB241" s="234"/>
    </row>
    <row r="242" spans="1:28" ht="12.75">
      <c r="A242" s="8"/>
      <c r="B242" s="22" t="s">
        <v>793</v>
      </c>
      <c r="C242" s="10"/>
      <c r="D242" s="4" t="s">
        <v>431</v>
      </c>
      <c r="E242" s="7" t="s">
        <v>183</v>
      </c>
      <c r="F242" s="83" t="s">
        <v>720</v>
      </c>
      <c r="I242" s="243"/>
      <c r="J242" s="57" t="s">
        <v>789</v>
      </c>
      <c r="K242" s="18" t="s">
        <v>183</v>
      </c>
      <c r="L242" s="54"/>
      <c r="M242" s="54">
        <f>(38110/3)+4000</f>
        <v>16703.333333333336</v>
      </c>
      <c r="N242" s="54"/>
      <c r="O242" s="54"/>
      <c r="P242" s="54"/>
      <c r="Q242" s="232"/>
      <c r="R242" s="54"/>
      <c r="S242" s="54"/>
      <c r="T242" s="54"/>
      <c r="U242" s="54"/>
      <c r="V242" s="54"/>
      <c r="W242" s="39"/>
      <c r="X242" s="39"/>
      <c r="Y242" s="232"/>
      <c r="Z242" s="232"/>
      <c r="AA242" s="54"/>
      <c r="AB242" s="234"/>
    </row>
    <row r="243" spans="1:28" ht="12.75">
      <c r="A243" s="8"/>
      <c r="B243" s="22" t="s">
        <v>794</v>
      </c>
      <c r="C243" s="10"/>
      <c r="D243" s="4" t="s">
        <v>430</v>
      </c>
      <c r="E243" s="7" t="s">
        <v>184</v>
      </c>
      <c r="F243" s="82" t="s">
        <v>774</v>
      </c>
      <c r="I243" s="244"/>
      <c r="J243" s="56" t="s">
        <v>789</v>
      </c>
      <c r="K243" s="19" t="s">
        <v>184</v>
      </c>
      <c r="L243" s="55">
        <f>(34960/3)+4000</f>
        <v>15653.333333333334</v>
      </c>
      <c r="M243" s="55"/>
      <c r="N243" s="55"/>
      <c r="O243" s="55"/>
      <c r="P243" s="55"/>
      <c r="Q243" s="237"/>
      <c r="R243" s="55"/>
      <c r="S243" s="55"/>
      <c r="T243" s="55"/>
      <c r="U243" s="55"/>
      <c r="V243" s="55"/>
      <c r="W243" s="40"/>
      <c r="X243" s="40"/>
      <c r="Y243" s="237"/>
      <c r="Z243" s="237"/>
      <c r="AA243" s="55"/>
      <c r="AB243" s="238"/>
    </row>
    <row r="244" spans="1:27" s="14" customFormat="1" ht="12.75">
      <c r="A244" s="11" t="s">
        <v>131</v>
      </c>
      <c r="B244" s="12" t="s">
        <v>412</v>
      </c>
      <c r="C244" s="13">
        <v>9</v>
      </c>
      <c r="D244" s="14" t="s">
        <v>190</v>
      </c>
      <c r="F244" s="84"/>
      <c r="H244" s="73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2"/>
      <c r="X244" s="42"/>
      <c r="Y244" s="41"/>
      <c r="Z244" s="41"/>
      <c r="AA244" s="41"/>
    </row>
    <row r="245" spans="1:27" s="14" customFormat="1" ht="12.75">
      <c r="A245" s="11" t="s">
        <v>132</v>
      </c>
      <c r="B245" s="12" t="s">
        <v>412</v>
      </c>
      <c r="C245" s="13">
        <v>10</v>
      </c>
      <c r="D245" s="14" t="s">
        <v>190</v>
      </c>
      <c r="F245" s="84"/>
      <c r="H245" s="73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2"/>
      <c r="X245" s="42"/>
      <c r="Y245" s="41"/>
      <c r="Z245" s="41"/>
      <c r="AA245" s="41"/>
    </row>
    <row r="246" spans="1:27" s="14" customFormat="1" ht="12.75">
      <c r="A246" s="11" t="s">
        <v>133</v>
      </c>
      <c r="B246" s="12" t="s">
        <v>412</v>
      </c>
      <c r="C246" s="13">
        <v>11</v>
      </c>
      <c r="D246" s="14" t="s">
        <v>190</v>
      </c>
      <c r="F246" s="84"/>
      <c r="H246" s="73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2"/>
      <c r="X246" s="42"/>
      <c r="Y246" s="41"/>
      <c r="Z246" s="41"/>
      <c r="AA246" s="41"/>
    </row>
    <row r="247" spans="1:27" s="14" customFormat="1" ht="12.75">
      <c r="A247" s="11" t="s">
        <v>134</v>
      </c>
      <c r="B247" s="12" t="s">
        <v>412</v>
      </c>
      <c r="C247" s="13">
        <v>12</v>
      </c>
      <c r="D247" s="14" t="s">
        <v>190</v>
      </c>
      <c r="F247" s="84"/>
      <c r="H247" s="73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2"/>
      <c r="X247" s="42"/>
      <c r="Y247" s="41"/>
      <c r="Z247" s="41"/>
      <c r="AA247" s="41"/>
    </row>
    <row r="248" spans="1:28" s="63" customFormat="1" ht="12.75">
      <c r="A248" s="60" t="s">
        <v>135</v>
      </c>
      <c r="B248" s="61" t="s">
        <v>412</v>
      </c>
      <c r="C248" s="62">
        <v>13</v>
      </c>
      <c r="D248" s="63" t="s">
        <v>463</v>
      </c>
      <c r="E248" s="63" t="s">
        <v>435</v>
      </c>
      <c r="F248" s="277" t="s">
        <v>719</v>
      </c>
      <c r="H248" s="73"/>
      <c r="I248" s="64"/>
      <c r="J248" s="64"/>
      <c r="K248" s="64"/>
      <c r="L248" s="65">
        <v>500</v>
      </c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6"/>
      <c r="X248" s="66"/>
      <c r="Y248" s="65"/>
      <c r="Z248" s="65"/>
      <c r="AA248" s="65"/>
      <c r="AB248" s="67" t="s">
        <v>436</v>
      </c>
    </row>
    <row r="249" spans="1:28" s="63" customFormat="1" ht="12.75">
      <c r="A249" s="60" t="s">
        <v>136</v>
      </c>
      <c r="B249" s="61" t="s">
        <v>412</v>
      </c>
      <c r="C249" s="62">
        <v>14</v>
      </c>
      <c r="D249" s="63" t="s">
        <v>464</v>
      </c>
      <c r="E249" s="63" t="s">
        <v>435</v>
      </c>
      <c r="F249" s="277"/>
      <c r="H249" s="73"/>
      <c r="I249" s="64"/>
      <c r="J249" s="64"/>
      <c r="K249" s="64"/>
      <c r="L249" s="65">
        <v>500</v>
      </c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6"/>
      <c r="X249" s="66"/>
      <c r="Y249" s="65"/>
      <c r="Z249" s="65"/>
      <c r="AA249" s="65"/>
      <c r="AB249" s="67" t="s">
        <v>436</v>
      </c>
    </row>
    <row r="250" spans="1:28" s="63" customFormat="1" ht="12.75">
      <c r="A250" s="60" t="s">
        <v>137</v>
      </c>
      <c r="B250" s="61" t="s">
        <v>412</v>
      </c>
      <c r="C250" s="62">
        <v>15</v>
      </c>
      <c r="D250" s="63" t="s">
        <v>465</v>
      </c>
      <c r="E250" s="63" t="s">
        <v>435</v>
      </c>
      <c r="F250" s="277"/>
      <c r="H250" s="73"/>
      <c r="I250" s="64"/>
      <c r="J250" s="64"/>
      <c r="K250" s="64"/>
      <c r="L250" s="65">
        <v>500</v>
      </c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6"/>
      <c r="X250" s="66"/>
      <c r="Y250" s="65"/>
      <c r="Z250" s="65"/>
      <c r="AA250" s="65"/>
      <c r="AB250" s="67" t="s">
        <v>436</v>
      </c>
    </row>
    <row r="251" spans="1:28" s="63" customFormat="1" ht="12.75">
      <c r="A251" s="60" t="s">
        <v>138</v>
      </c>
      <c r="B251" s="61" t="s">
        <v>412</v>
      </c>
      <c r="C251" s="62">
        <v>16</v>
      </c>
      <c r="D251" s="63" t="s">
        <v>466</v>
      </c>
      <c r="E251" s="63" t="s">
        <v>435</v>
      </c>
      <c r="F251" s="277"/>
      <c r="H251" s="73"/>
      <c r="I251" s="64"/>
      <c r="J251" s="64"/>
      <c r="K251" s="64"/>
      <c r="L251" s="65">
        <v>500</v>
      </c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6"/>
      <c r="X251" s="66"/>
      <c r="Y251" s="65"/>
      <c r="Z251" s="65"/>
      <c r="AA251" s="65"/>
      <c r="AB251" s="67" t="s">
        <v>436</v>
      </c>
    </row>
    <row r="252" spans="1:27" ht="12.75">
      <c r="A252" s="8"/>
      <c r="B252" s="9"/>
      <c r="C252" s="10"/>
      <c r="F252" s="82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6"/>
      <c r="X252" s="46"/>
      <c r="Y252" s="45"/>
      <c r="Z252" s="45"/>
      <c r="AA252" s="45"/>
    </row>
    <row r="253" spans="1:27" ht="12.75">
      <c r="A253" s="8"/>
      <c r="B253" s="9"/>
      <c r="C253" s="10"/>
      <c r="F253" s="82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6"/>
      <c r="X253" s="46"/>
      <c r="Y253" s="45"/>
      <c r="Z253" s="45"/>
      <c r="AA253" s="45"/>
    </row>
    <row r="254" spans="1:27" ht="12.75">
      <c r="A254" s="279" t="s">
        <v>437</v>
      </c>
      <c r="B254" s="279"/>
      <c r="C254" s="279"/>
      <c r="F254" s="82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6"/>
      <c r="X254" s="46"/>
      <c r="Y254" s="45"/>
      <c r="Z254" s="45"/>
      <c r="AA254" s="45"/>
    </row>
    <row r="255" spans="1:27" ht="12.75">
      <c r="A255" s="8"/>
      <c r="B255" s="9"/>
      <c r="C255" s="10"/>
      <c r="F255" s="82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6"/>
      <c r="X255" s="46"/>
      <c r="Y255" s="45"/>
      <c r="Z255" s="45"/>
      <c r="AA255" s="45"/>
    </row>
    <row r="256" spans="1:28" ht="12.75">
      <c r="A256" s="8" t="s">
        <v>0</v>
      </c>
      <c r="B256" s="9" t="s">
        <v>438</v>
      </c>
      <c r="C256" s="10">
        <v>1</v>
      </c>
      <c r="D256" s="4" t="s">
        <v>467</v>
      </c>
      <c r="E256" s="4" t="s">
        <v>165</v>
      </c>
      <c r="F256" s="83" t="s">
        <v>718</v>
      </c>
      <c r="I256" s="242" t="s">
        <v>470</v>
      </c>
      <c r="J256" s="58" t="s">
        <v>162</v>
      </c>
      <c r="K256" s="58" t="s">
        <v>164</v>
      </c>
      <c r="L256" s="53">
        <f>8948/3</f>
        <v>2982.6666666666665</v>
      </c>
      <c r="M256" s="53"/>
      <c r="N256" s="53"/>
      <c r="O256" s="53"/>
      <c r="P256" s="236">
        <f>12150/3</f>
        <v>4050</v>
      </c>
      <c r="Q256" s="53"/>
      <c r="R256" s="53"/>
      <c r="S256" s="53"/>
      <c r="T256" s="53"/>
      <c r="U256" s="53"/>
      <c r="V256" s="53"/>
      <c r="W256" s="38"/>
      <c r="X256" s="38"/>
      <c r="Y256" s="236">
        <v>1</v>
      </c>
      <c r="Z256" s="53"/>
      <c r="AA256" s="53"/>
      <c r="AB256" s="233" t="s">
        <v>262</v>
      </c>
    </row>
    <row r="257" spans="1:28" ht="12.75">
      <c r="A257" s="8" t="s">
        <v>1</v>
      </c>
      <c r="B257" s="9" t="s">
        <v>438</v>
      </c>
      <c r="C257" s="10">
        <v>2</v>
      </c>
      <c r="D257" s="4" t="s">
        <v>468</v>
      </c>
      <c r="E257" s="4" t="s">
        <v>469</v>
      </c>
      <c r="F257" s="83" t="s">
        <v>777</v>
      </c>
      <c r="I257" s="243"/>
      <c r="J257" s="227" t="s">
        <v>162</v>
      </c>
      <c r="K257" s="227" t="s">
        <v>471</v>
      </c>
      <c r="L257" s="230">
        <f>12150/3</f>
        <v>4050</v>
      </c>
      <c r="M257" s="54"/>
      <c r="N257" s="54"/>
      <c r="O257" s="54"/>
      <c r="P257" s="232"/>
      <c r="Q257" s="54"/>
      <c r="R257" s="54"/>
      <c r="S257" s="54"/>
      <c r="T257" s="54"/>
      <c r="U257" s="232">
        <v>1</v>
      </c>
      <c r="V257" s="54"/>
      <c r="W257" s="39"/>
      <c r="X257" s="39"/>
      <c r="Y257" s="232"/>
      <c r="Z257" s="54"/>
      <c r="AA257" s="54"/>
      <c r="AB257" s="234"/>
    </row>
    <row r="258" spans="1:28" ht="12.75">
      <c r="A258" s="8" t="s">
        <v>2</v>
      </c>
      <c r="B258" s="9" t="s">
        <v>438</v>
      </c>
      <c r="C258" s="10">
        <v>3</v>
      </c>
      <c r="D258" s="4" t="s">
        <v>468</v>
      </c>
      <c r="E258" s="4" t="s">
        <v>290</v>
      </c>
      <c r="F258" s="83" t="s">
        <v>777</v>
      </c>
      <c r="I258" s="244"/>
      <c r="J258" s="228"/>
      <c r="K258" s="228"/>
      <c r="L258" s="235"/>
      <c r="M258" s="55"/>
      <c r="N258" s="55"/>
      <c r="O258" s="55"/>
      <c r="P258" s="237"/>
      <c r="Q258" s="55"/>
      <c r="R258" s="55"/>
      <c r="S258" s="55"/>
      <c r="T258" s="55"/>
      <c r="U258" s="237"/>
      <c r="V258" s="55"/>
      <c r="W258" s="40"/>
      <c r="X258" s="40"/>
      <c r="Y258" s="237"/>
      <c r="Z258" s="55"/>
      <c r="AA258" s="55"/>
      <c r="AB258" s="238"/>
    </row>
    <row r="259" spans="1:28" ht="12.75">
      <c r="A259" s="8" t="s">
        <v>3</v>
      </c>
      <c r="B259" s="9" t="s">
        <v>438</v>
      </c>
      <c r="C259" s="10">
        <v>4</v>
      </c>
      <c r="D259" s="4" t="s">
        <v>472</v>
      </c>
      <c r="E259" s="4" t="s">
        <v>165</v>
      </c>
      <c r="F259" s="83" t="s">
        <v>718</v>
      </c>
      <c r="I259" s="242" t="s">
        <v>475</v>
      </c>
      <c r="J259" s="58" t="s">
        <v>162</v>
      </c>
      <c r="K259" s="58" t="s">
        <v>164</v>
      </c>
      <c r="L259" s="53">
        <f>117398/3</f>
        <v>39132.666666666664</v>
      </c>
      <c r="M259" s="53"/>
      <c r="N259" s="53"/>
      <c r="O259" s="53"/>
      <c r="P259" s="229">
        <f>126586/3</f>
        <v>42195.333333333336</v>
      </c>
      <c r="Q259" s="53"/>
      <c r="R259" s="53"/>
      <c r="S259" s="53"/>
      <c r="T259" s="53"/>
      <c r="U259" s="53"/>
      <c r="V259" s="53"/>
      <c r="W259" s="38"/>
      <c r="X259" s="38"/>
      <c r="Y259" s="236">
        <v>1</v>
      </c>
      <c r="Z259" s="236">
        <v>2</v>
      </c>
      <c r="AA259" s="53"/>
      <c r="AB259" s="239" t="s">
        <v>286</v>
      </c>
    </row>
    <row r="260" spans="1:28" ht="12.75">
      <c r="A260" s="8" t="s">
        <v>4</v>
      </c>
      <c r="B260" s="9" t="s">
        <v>438</v>
      </c>
      <c r="C260" s="10">
        <v>5</v>
      </c>
      <c r="D260" s="4" t="s">
        <v>474</v>
      </c>
      <c r="E260" s="4" t="s">
        <v>473</v>
      </c>
      <c r="F260" s="83" t="s">
        <v>777</v>
      </c>
      <c r="I260" s="243"/>
      <c r="J260" s="227" t="s">
        <v>162</v>
      </c>
      <c r="K260" s="227" t="s">
        <v>476</v>
      </c>
      <c r="L260" s="230">
        <f>126586/3</f>
        <v>42195.333333333336</v>
      </c>
      <c r="M260" s="54"/>
      <c r="N260" s="54"/>
      <c r="O260" s="54"/>
      <c r="P260" s="230"/>
      <c r="Q260" s="54"/>
      <c r="R260" s="54"/>
      <c r="S260" s="54"/>
      <c r="T260" s="54"/>
      <c r="U260" s="232">
        <v>1</v>
      </c>
      <c r="V260" s="54"/>
      <c r="W260" s="39"/>
      <c r="X260" s="39"/>
      <c r="Y260" s="232"/>
      <c r="Z260" s="232"/>
      <c r="AA260" s="54"/>
      <c r="AB260" s="240"/>
    </row>
    <row r="261" spans="1:28" ht="12.75">
      <c r="A261" s="8" t="s">
        <v>5</v>
      </c>
      <c r="B261" s="9" t="s">
        <v>438</v>
      </c>
      <c r="C261" s="10">
        <v>6</v>
      </c>
      <c r="D261" s="4" t="s">
        <v>474</v>
      </c>
      <c r="E261" s="4" t="s">
        <v>290</v>
      </c>
      <c r="F261" s="83" t="s">
        <v>777</v>
      </c>
      <c r="I261" s="244"/>
      <c r="J261" s="228"/>
      <c r="K261" s="228"/>
      <c r="L261" s="235"/>
      <c r="M261" s="55"/>
      <c r="N261" s="55"/>
      <c r="O261" s="55"/>
      <c r="P261" s="235"/>
      <c r="Q261" s="55"/>
      <c r="R261" s="55"/>
      <c r="S261" s="55"/>
      <c r="T261" s="55"/>
      <c r="U261" s="237"/>
      <c r="V261" s="55"/>
      <c r="W261" s="40"/>
      <c r="X261" s="40"/>
      <c r="Y261" s="237"/>
      <c r="Z261" s="237"/>
      <c r="AA261" s="55"/>
      <c r="AB261" s="241"/>
    </row>
    <row r="262" spans="1:28" ht="12.75">
      <c r="A262" s="8" t="s">
        <v>6</v>
      </c>
      <c r="B262" s="9" t="s">
        <v>438</v>
      </c>
      <c r="C262" s="10">
        <v>7</v>
      </c>
      <c r="D262" s="4" t="s">
        <v>477</v>
      </c>
      <c r="E262" s="4" t="s">
        <v>165</v>
      </c>
      <c r="F262" s="83" t="s">
        <v>718</v>
      </c>
      <c r="I262" s="242" t="s">
        <v>481</v>
      </c>
      <c r="J262" s="58" t="s">
        <v>162</v>
      </c>
      <c r="K262" s="58" t="s">
        <v>164</v>
      </c>
      <c r="L262" s="53">
        <v>72022</v>
      </c>
      <c r="M262" s="53"/>
      <c r="N262" s="53"/>
      <c r="O262" s="53"/>
      <c r="P262" s="229">
        <v>81753</v>
      </c>
      <c r="Q262" s="53"/>
      <c r="R262" s="53"/>
      <c r="S262" s="53"/>
      <c r="T262" s="53"/>
      <c r="U262" s="53"/>
      <c r="V262" s="53"/>
      <c r="W262" s="38"/>
      <c r="X262" s="38"/>
      <c r="Y262" s="236">
        <v>1</v>
      </c>
      <c r="Z262" s="236">
        <v>2</v>
      </c>
      <c r="AA262" s="53"/>
      <c r="AB262" s="233" t="s">
        <v>238</v>
      </c>
    </row>
    <row r="263" spans="1:28" ht="12.75">
      <c r="A263" s="8" t="s">
        <v>7</v>
      </c>
      <c r="B263" s="9" t="s">
        <v>438</v>
      </c>
      <c r="C263" s="10">
        <v>8</v>
      </c>
      <c r="D263" s="4" t="s">
        <v>478</v>
      </c>
      <c r="E263" s="4" t="s">
        <v>480</v>
      </c>
      <c r="F263" s="83" t="s">
        <v>777</v>
      </c>
      <c r="I263" s="243"/>
      <c r="J263" s="227" t="s">
        <v>162</v>
      </c>
      <c r="K263" s="227" t="s">
        <v>489</v>
      </c>
      <c r="L263" s="230">
        <v>74747</v>
      </c>
      <c r="M263" s="54"/>
      <c r="N263" s="54"/>
      <c r="O263" s="54"/>
      <c r="P263" s="230"/>
      <c r="Q263" s="54"/>
      <c r="R263" s="54"/>
      <c r="S263" s="54"/>
      <c r="T263" s="54"/>
      <c r="U263" s="232">
        <v>1</v>
      </c>
      <c r="V263" s="54"/>
      <c r="W263" s="39"/>
      <c r="X263" s="39"/>
      <c r="Y263" s="232"/>
      <c r="Z263" s="232"/>
      <c r="AA263" s="54"/>
      <c r="AB263" s="234"/>
    </row>
    <row r="264" spans="1:28" ht="12.75">
      <c r="A264" s="8" t="s">
        <v>8</v>
      </c>
      <c r="B264" s="9" t="s">
        <v>438</v>
      </c>
      <c r="C264" s="10">
        <v>9</v>
      </c>
      <c r="D264" s="4" t="s">
        <v>478</v>
      </c>
      <c r="E264" s="4" t="s">
        <v>290</v>
      </c>
      <c r="F264" s="83" t="s">
        <v>777</v>
      </c>
      <c r="I264" s="243"/>
      <c r="J264" s="227"/>
      <c r="K264" s="227"/>
      <c r="L264" s="230"/>
      <c r="M264" s="54"/>
      <c r="N264" s="54"/>
      <c r="O264" s="54"/>
      <c r="P264" s="230"/>
      <c r="Q264" s="54"/>
      <c r="R264" s="54"/>
      <c r="S264" s="54"/>
      <c r="T264" s="54"/>
      <c r="U264" s="232"/>
      <c r="V264" s="54"/>
      <c r="W264" s="39"/>
      <c r="X264" s="39"/>
      <c r="Y264" s="232"/>
      <c r="Z264" s="232"/>
      <c r="AA264" s="54"/>
      <c r="AB264" s="234"/>
    </row>
    <row r="265" spans="1:28" ht="12.75">
      <c r="A265" s="8" t="s">
        <v>9</v>
      </c>
      <c r="B265" s="9" t="s">
        <v>438</v>
      </c>
      <c r="C265" s="10">
        <v>10</v>
      </c>
      <c r="D265" s="4" t="s">
        <v>479</v>
      </c>
      <c r="E265" s="4" t="s">
        <v>163</v>
      </c>
      <c r="F265" s="82"/>
      <c r="I265" s="244"/>
      <c r="J265" s="56" t="s">
        <v>162</v>
      </c>
      <c r="K265" s="56" t="s">
        <v>163</v>
      </c>
      <c r="L265" s="55">
        <v>81753</v>
      </c>
      <c r="M265" s="55"/>
      <c r="N265" s="55"/>
      <c r="O265" s="55"/>
      <c r="P265" s="235"/>
      <c r="Q265" s="55"/>
      <c r="R265" s="55"/>
      <c r="S265" s="55"/>
      <c r="T265" s="55"/>
      <c r="U265" s="55"/>
      <c r="V265" s="55"/>
      <c r="W265" s="40"/>
      <c r="X265" s="40"/>
      <c r="Y265" s="237"/>
      <c r="Z265" s="237"/>
      <c r="AA265" s="55"/>
      <c r="AB265" s="238"/>
    </row>
    <row r="266" spans="1:28" ht="12.75">
      <c r="A266" s="8" t="s">
        <v>10</v>
      </c>
      <c r="B266" s="9" t="s">
        <v>438</v>
      </c>
      <c r="C266" s="10">
        <v>11</v>
      </c>
      <c r="D266" s="4" t="s">
        <v>483</v>
      </c>
      <c r="E266" s="4" t="s">
        <v>486</v>
      </c>
      <c r="F266" s="83" t="s">
        <v>777</v>
      </c>
      <c r="I266" s="242" t="s">
        <v>482</v>
      </c>
      <c r="J266" s="226" t="s">
        <v>162</v>
      </c>
      <c r="K266" s="226" t="s">
        <v>490</v>
      </c>
      <c r="L266" s="229">
        <v>48643</v>
      </c>
      <c r="M266" s="53"/>
      <c r="N266" s="53"/>
      <c r="O266" s="53"/>
      <c r="P266" s="53"/>
      <c r="Q266" s="229">
        <v>62422</v>
      </c>
      <c r="R266" s="53"/>
      <c r="S266" s="53"/>
      <c r="T266" s="53"/>
      <c r="U266" s="236">
        <v>1</v>
      </c>
      <c r="V266" s="53"/>
      <c r="W266" s="38"/>
      <c r="X266" s="38"/>
      <c r="Y266" s="53"/>
      <c r="Z266" s="53"/>
      <c r="AA266" s="53"/>
      <c r="AB266" s="233" t="s">
        <v>238</v>
      </c>
    </row>
    <row r="267" spans="1:28" ht="12.75">
      <c r="A267" s="8" t="s">
        <v>11</v>
      </c>
      <c r="B267" s="9" t="s">
        <v>438</v>
      </c>
      <c r="C267" s="10">
        <v>12</v>
      </c>
      <c r="D267" s="4" t="s">
        <v>483</v>
      </c>
      <c r="E267" s="4" t="s">
        <v>290</v>
      </c>
      <c r="F267" s="83" t="s">
        <v>777</v>
      </c>
      <c r="I267" s="243"/>
      <c r="J267" s="227"/>
      <c r="K267" s="227"/>
      <c r="L267" s="230"/>
      <c r="M267" s="54"/>
      <c r="N267" s="54"/>
      <c r="O267" s="54"/>
      <c r="P267" s="54"/>
      <c r="Q267" s="230"/>
      <c r="R267" s="54"/>
      <c r="S267" s="54"/>
      <c r="T267" s="54"/>
      <c r="U267" s="232"/>
      <c r="V267" s="54"/>
      <c r="W267" s="39"/>
      <c r="X267" s="39"/>
      <c r="Y267" s="54"/>
      <c r="Z267" s="54"/>
      <c r="AA267" s="54"/>
      <c r="AB267" s="234"/>
    </row>
    <row r="268" spans="1:28" ht="12.75">
      <c r="A268" s="8" t="s">
        <v>12</v>
      </c>
      <c r="B268" s="9" t="s">
        <v>438</v>
      </c>
      <c r="C268" s="10">
        <v>13</v>
      </c>
      <c r="D268" s="4" t="s">
        <v>484</v>
      </c>
      <c r="E268" s="4" t="s">
        <v>487</v>
      </c>
      <c r="F268" s="83" t="s">
        <v>777</v>
      </c>
      <c r="I268" s="243"/>
      <c r="J268" s="57" t="s">
        <v>162</v>
      </c>
      <c r="K268" s="57" t="s">
        <v>491</v>
      </c>
      <c r="L268" s="54">
        <v>56164</v>
      </c>
      <c r="M268" s="54"/>
      <c r="N268" s="54"/>
      <c r="O268" s="54"/>
      <c r="P268" s="54"/>
      <c r="Q268" s="230"/>
      <c r="R268" s="54"/>
      <c r="S268" s="54"/>
      <c r="T268" s="54"/>
      <c r="U268" s="39">
        <v>1</v>
      </c>
      <c r="V268" s="54"/>
      <c r="W268" s="39"/>
      <c r="X268" s="39"/>
      <c r="Y268" s="54"/>
      <c r="Z268" s="54"/>
      <c r="AA268" s="54"/>
      <c r="AB268" s="234"/>
    </row>
    <row r="269" spans="1:28" ht="12.75">
      <c r="A269" s="8" t="s">
        <v>13</v>
      </c>
      <c r="B269" s="9" t="s">
        <v>438</v>
      </c>
      <c r="C269" s="10">
        <v>14</v>
      </c>
      <c r="D269" s="4" t="s">
        <v>483</v>
      </c>
      <c r="E269" s="4" t="s">
        <v>488</v>
      </c>
      <c r="F269" s="83" t="s">
        <v>777</v>
      </c>
      <c r="I269" s="243"/>
      <c r="J269" s="227" t="s">
        <v>162</v>
      </c>
      <c r="K269" s="227" t="s">
        <v>490</v>
      </c>
      <c r="L269" s="230">
        <v>60443</v>
      </c>
      <c r="M269" s="54"/>
      <c r="N269" s="54"/>
      <c r="O269" s="54"/>
      <c r="P269" s="54"/>
      <c r="Q269" s="230"/>
      <c r="R269" s="54"/>
      <c r="S269" s="54"/>
      <c r="T269" s="54"/>
      <c r="U269" s="232">
        <v>1</v>
      </c>
      <c r="V269" s="54"/>
      <c r="W269" s="39"/>
      <c r="X269" s="39"/>
      <c r="Y269" s="54"/>
      <c r="Z269" s="54"/>
      <c r="AA269" s="54"/>
      <c r="AB269" s="234"/>
    </row>
    <row r="270" spans="1:28" ht="12.75">
      <c r="A270" s="8" t="s">
        <v>14</v>
      </c>
      <c r="B270" s="9" t="s">
        <v>438</v>
      </c>
      <c r="C270" s="10">
        <v>15</v>
      </c>
      <c r="D270" s="4" t="s">
        <v>483</v>
      </c>
      <c r="E270" s="4" t="s">
        <v>290</v>
      </c>
      <c r="F270" s="83" t="s">
        <v>777</v>
      </c>
      <c r="I270" s="243"/>
      <c r="J270" s="227"/>
      <c r="K270" s="227"/>
      <c r="L270" s="230"/>
      <c r="M270" s="54"/>
      <c r="N270" s="54"/>
      <c r="O270" s="54"/>
      <c r="P270" s="54"/>
      <c r="Q270" s="230"/>
      <c r="R270" s="54"/>
      <c r="S270" s="54"/>
      <c r="T270" s="54"/>
      <c r="U270" s="232"/>
      <c r="V270" s="54"/>
      <c r="W270" s="39"/>
      <c r="X270" s="39"/>
      <c r="Y270" s="54"/>
      <c r="Z270" s="54"/>
      <c r="AA270" s="54"/>
      <c r="AB270" s="234"/>
    </row>
    <row r="271" spans="1:28" ht="12.75">
      <c r="A271" s="8" t="s">
        <v>15</v>
      </c>
      <c r="B271" s="9" t="s">
        <v>438</v>
      </c>
      <c r="C271" s="10">
        <v>16</v>
      </c>
      <c r="D271" s="4" t="s">
        <v>485</v>
      </c>
      <c r="E271" s="4" t="s">
        <v>165</v>
      </c>
      <c r="F271" s="83" t="s">
        <v>718</v>
      </c>
      <c r="I271" s="244"/>
      <c r="J271" s="56" t="s">
        <v>162</v>
      </c>
      <c r="K271" s="56" t="s">
        <v>164</v>
      </c>
      <c r="L271" s="55">
        <v>62422</v>
      </c>
      <c r="M271" s="55"/>
      <c r="N271" s="55"/>
      <c r="O271" s="55"/>
      <c r="P271" s="55"/>
      <c r="Q271" s="235"/>
      <c r="R271" s="55"/>
      <c r="S271" s="55"/>
      <c r="T271" s="55"/>
      <c r="U271" s="55"/>
      <c r="V271" s="55"/>
      <c r="W271" s="40"/>
      <c r="X271" s="40"/>
      <c r="Y271" s="55"/>
      <c r="Z271" s="55"/>
      <c r="AA271" s="55"/>
      <c r="AB271" s="70"/>
    </row>
    <row r="272" spans="1:28" s="63" customFormat="1" ht="12.75">
      <c r="A272" s="60" t="s">
        <v>16</v>
      </c>
      <c r="B272" s="61" t="s">
        <v>438</v>
      </c>
      <c r="C272" s="62">
        <v>17</v>
      </c>
      <c r="D272" s="63" t="s">
        <v>606</v>
      </c>
      <c r="E272" s="63" t="s">
        <v>435</v>
      </c>
      <c r="F272" s="277" t="s">
        <v>719</v>
      </c>
      <c r="H272" s="73"/>
      <c r="I272" s="64"/>
      <c r="J272" s="64"/>
      <c r="K272" s="64"/>
      <c r="L272" s="65">
        <v>500</v>
      </c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6"/>
      <c r="X272" s="66"/>
      <c r="Y272" s="65"/>
      <c r="Z272" s="65"/>
      <c r="AA272" s="65"/>
      <c r="AB272" s="67" t="s">
        <v>436</v>
      </c>
    </row>
    <row r="273" spans="1:28" s="63" customFormat="1" ht="12.75">
      <c r="A273" s="60" t="s">
        <v>17</v>
      </c>
      <c r="B273" s="61" t="s">
        <v>438</v>
      </c>
      <c r="C273" s="62">
        <v>18</v>
      </c>
      <c r="D273" s="63" t="s">
        <v>607</v>
      </c>
      <c r="E273" s="63" t="s">
        <v>435</v>
      </c>
      <c r="F273" s="277"/>
      <c r="H273" s="73"/>
      <c r="I273" s="64"/>
      <c r="J273" s="64"/>
      <c r="K273" s="64"/>
      <c r="L273" s="65">
        <v>500</v>
      </c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6"/>
      <c r="X273" s="66"/>
      <c r="Y273" s="65"/>
      <c r="Z273" s="65"/>
      <c r="AA273" s="65"/>
      <c r="AB273" s="67" t="s">
        <v>436</v>
      </c>
    </row>
    <row r="274" spans="1:28" s="63" customFormat="1" ht="12.75">
      <c r="A274" s="60" t="s">
        <v>18</v>
      </c>
      <c r="B274" s="61" t="s">
        <v>438</v>
      </c>
      <c r="C274" s="62">
        <v>19</v>
      </c>
      <c r="D274" s="63" t="s">
        <v>608</v>
      </c>
      <c r="E274" s="63" t="s">
        <v>435</v>
      </c>
      <c r="F274" s="277"/>
      <c r="H274" s="73"/>
      <c r="I274" s="64"/>
      <c r="J274" s="64"/>
      <c r="K274" s="64"/>
      <c r="L274" s="65">
        <v>500</v>
      </c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6"/>
      <c r="X274" s="66"/>
      <c r="Y274" s="65"/>
      <c r="Z274" s="65"/>
      <c r="AA274" s="65"/>
      <c r="AB274" s="67" t="s">
        <v>436</v>
      </c>
    </row>
    <row r="275" spans="1:28" s="63" customFormat="1" ht="12.75">
      <c r="A275" s="60" t="s">
        <v>19</v>
      </c>
      <c r="B275" s="61" t="s">
        <v>438</v>
      </c>
      <c r="C275" s="62">
        <v>20</v>
      </c>
      <c r="D275" s="63" t="s">
        <v>609</v>
      </c>
      <c r="E275" s="63" t="s">
        <v>435</v>
      </c>
      <c r="F275" s="277"/>
      <c r="H275" s="73"/>
      <c r="I275" s="64"/>
      <c r="J275" s="64"/>
      <c r="K275" s="64"/>
      <c r="L275" s="65">
        <v>500</v>
      </c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6"/>
      <c r="X275" s="66"/>
      <c r="Y275" s="65"/>
      <c r="Z275" s="65"/>
      <c r="AA275" s="65"/>
      <c r="AB275" s="67" t="s">
        <v>436</v>
      </c>
    </row>
    <row r="276" spans="1:27" ht="12.75">
      <c r="A276" s="8"/>
      <c r="B276" s="9"/>
      <c r="C276" s="10"/>
      <c r="F276" s="82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6"/>
      <c r="X276" s="46"/>
      <c r="Y276" s="45"/>
      <c r="Z276" s="45"/>
      <c r="AA276" s="45"/>
    </row>
    <row r="277" spans="1:28" s="29" customFormat="1" ht="12.75">
      <c r="A277" s="26"/>
      <c r="B277" s="27"/>
      <c r="C277" s="28"/>
      <c r="F277" s="85"/>
      <c r="H277" s="73"/>
      <c r="I277" s="30" t="s">
        <v>492</v>
      </c>
      <c r="J277" s="30" t="s">
        <v>162</v>
      </c>
      <c r="K277" s="30" t="s">
        <v>439</v>
      </c>
      <c r="L277" s="47"/>
      <c r="M277" s="47"/>
      <c r="N277" s="47">
        <v>1000</v>
      </c>
      <c r="O277" s="47"/>
      <c r="P277" s="47"/>
      <c r="Q277" s="47"/>
      <c r="R277" s="47"/>
      <c r="S277" s="47"/>
      <c r="T277" s="47"/>
      <c r="U277" s="47"/>
      <c r="V277" s="47"/>
      <c r="W277" s="48"/>
      <c r="X277" s="48"/>
      <c r="Y277" s="47"/>
      <c r="Z277" s="47"/>
      <c r="AA277" s="47"/>
      <c r="AB277" s="31" t="s">
        <v>225</v>
      </c>
    </row>
    <row r="278" spans="1:28" ht="12.75" customHeight="1">
      <c r="A278" s="8"/>
      <c r="B278" s="22" t="s">
        <v>493</v>
      </c>
      <c r="C278" s="10"/>
      <c r="D278" s="4" t="s">
        <v>497</v>
      </c>
      <c r="E278" s="7" t="s">
        <v>183</v>
      </c>
      <c r="F278" s="83" t="s">
        <v>720</v>
      </c>
      <c r="I278" s="242" t="s">
        <v>500</v>
      </c>
      <c r="J278" s="58" t="s">
        <v>502</v>
      </c>
      <c r="K278" s="59" t="s">
        <v>183</v>
      </c>
      <c r="L278" s="53"/>
      <c r="M278" s="53">
        <f>26895/3</f>
        <v>8965</v>
      </c>
      <c r="N278" s="53"/>
      <c r="O278" s="53"/>
      <c r="P278" s="53"/>
      <c r="Q278" s="229">
        <f>39088/3</f>
        <v>13029.333333333334</v>
      </c>
      <c r="R278" s="53"/>
      <c r="S278" s="53"/>
      <c r="T278" s="53"/>
      <c r="U278" s="53"/>
      <c r="V278" s="53"/>
      <c r="W278" s="38"/>
      <c r="X278" s="38"/>
      <c r="Y278" s="236">
        <v>2</v>
      </c>
      <c r="Z278" s="53"/>
      <c r="AA278" s="53"/>
      <c r="AB278" s="233" t="s">
        <v>262</v>
      </c>
    </row>
    <row r="279" spans="1:28" ht="12.75">
      <c r="A279" s="8"/>
      <c r="B279" s="22" t="s">
        <v>494</v>
      </c>
      <c r="C279" s="10"/>
      <c r="D279" s="4" t="s">
        <v>498</v>
      </c>
      <c r="E279" s="7" t="s">
        <v>184</v>
      </c>
      <c r="F279" s="82" t="s">
        <v>776</v>
      </c>
      <c r="G279" s="7" t="s">
        <v>779</v>
      </c>
      <c r="I279" s="243"/>
      <c r="J279" s="57" t="s">
        <v>502</v>
      </c>
      <c r="K279" s="18" t="s">
        <v>184</v>
      </c>
      <c r="L279" s="54">
        <f>31358/3</f>
        <v>10452.666666666666</v>
      </c>
      <c r="M279" s="54"/>
      <c r="N279" s="54"/>
      <c r="O279" s="54"/>
      <c r="P279" s="54"/>
      <c r="Q279" s="230"/>
      <c r="R279" s="54"/>
      <c r="S279" s="54"/>
      <c r="T279" s="54"/>
      <c r="U279" s="54"/>
      <c r="V279" s="54"/>
      <c r="W279" s="39"/>
      <c r="X279" s="39"/>
      <c r="Y279" s="232"/>
      <c r="Z279" s="54"/>
      <c r="AA279" s="54"/>
      <c r="AB279" s="234"/>
    </row>
    <row r="280" spans="1:28" ht="12.75">
      <c r="A280" s="8"/>
      <c r="B280" s="22" t="s">
        <v>495</v>
      </c>
      <c r="C280" s="10"/>
      <c r="D280" s="4" t="s">
        <v>511</v>
      </c>
      <c r="E280" s="7" t="s">
        <v>183</v>
      </c>
      <c r="F280" s="83" t="s">
        <v>720</v>
      </c>
      <c r="I280" s="243"/>
      <c r="J280" s="57" t="s">
        <v>502</v>
      </c>
      <c r="K280" s="18" t="s">
        <v>183</v>
      </c>
      <c r="L280" s="54"/>
      <c r="M280" s="54">
        <f>37015/3</f>
        <v>12338.333333333334</v>
      </c>
      <c r="N280" s="54"/>
      <c r="O280" s="54"/>
      <c r="P280" s="54"/>
      <c r="Q280" s="230"/>
      <c r="R280" s="54"/>
      <c r="S280" s="54"/>
      <c r="T280" s="54"/>
      <c r="U280" s="54"/>
      <c r="V280" s="54"/>
      <c r="W280" s="39"/>
      <c r="X280" s="39"/>
      <c r="Y280" s="232"/>
      <c r="Z280" s="54"/>
      <c r="AA280" s="54"/>
      <c r="AB280" s="234"/>
    </row>
    <row r="281" spans="1:28" ht="12.75">
      <c r="A281" s="8"/>
      <c r="B281" s="22" t="s">
        <v>496</v>
      </c>
      <c r="C281" s="10"/>
      <c r="D281" s="4" t="s">
        <v>499</v>
      </c>
      <c r="E281" s="7" t="s">
        <v>184</v>
      </c>
      <c r="F281" s="82" t="s">
        <v>774</v>
      </c>
      <c r="G281" s="7" t="s">
        <v>779</v>
      </c>
      <c r="I281" s="244"/>
      <c r="J281" s="56" t="s">
        <v>502</v>
      </c>
      <c r="K281" s="19" t="s">
        <v>184</v>
      </c>
      <c r="L281" s="55">
        <f>39088/3</f>
        <v>13029.333333333334</v>
      </c>
      <c r="M281" s="55"/>
      <c r="N281" s="55"/>
      <c r="O281" s="55"/>
      <c r="P281" s="55"/>
      <c r="Q281" s="235"/>
      <c r="R281" s="55"/>
      <c r="S281" s="55"/>
      <c r="T281" s="55"/>
      <c r="U281" s="55"/>
      <c r="V281" s="55"/>
      <c r="W281" s="40"/>
      <c r="X281" s="40"/>
      <c r="Y281" s="237"/>
      <c r="Z281" s="55"/>
      <c r="AA281" s="55"/>
      <c r="AB281" s="238"/>
    </row>
    <row r="282" spans="1:28" ht="12.75">
      <c r="A282" s="8" t="s">
        <v>139</v>
      </c>
      <c r="B282" s="9" t="s">
        <v>439</v>
      </c>
      <c r="C282" s="10">
        <v>1</v>
      </c>
      <c r="D282" s="4" t="s">
        <v>503</v>
      </c>
      <c r="E282" s="4" t="s">
        <v>507</v>
      </c>
      <c r="F282" s="83" t="s">
        <v>777</v>
      </c>
      <c r="I282" s="242" t="s">
        <v>501</v>
      </c>
      <c r="J282" s="58" t="s">
        <v>439</v>
      </c>
      <c r="K282" s="58" t="s">
        <v>508</v>
      </c>
      <c r="L282" s="53">
        <f>36832/3</f>
        <v>12277.333333333334</v>
      </c>
      <c r="M282" s="53"/>
      <c r="N282" s="53"/>
      <c r="O282" s="53"/>
      <c r="P282" s="53"/>
      <c r="Q282" s="229">
        <f>43095/3</f>
        <v>14365</v>
      </c>
      <c r="R282" s="53"/>
      <c r="S282" s="53"/>
      <c r="T282" s="53"/>
      <c r="U282" s="38">
        <v>1</v>
      </c>
      <c r="V282" s="53"/>
      <c r="W282" s="38"/>
      <c r="X282" s="38"/>
      <c r="Y282" s="236">
        <v>1</v>
      </c>
      <c r="Z282" s="236">
        <v>2</v>
      </c>
      <c r="AA282" s="53"/>
      <c r="AB282" s="233" t="s">
        <v>262</v>
      </c>
    </row>
    <row r="283" spans="1:28" ht="12.75">
      <c r="A283" s="8" t="s">
        <v>20</v>
      </c>
      <c r="B283" s="9" t="s">
        <v>439</v>
      </c>
      <c r="C283" s="10">
        <v>2</v>
      </c>
      <c r="D283" s="4" t="s">
        <v>504</v>
      </c>
      <c r="E283" s="4" t="s">
        <v>165</v>
      </c>
      <c r="F283" s="83" t="s">
        <v>718</v>
      </c>
      <c r="I283" s="243"/>
      <c r="J283" s="57" t="s">
        <v>439</v>
      </c>
      <c r="K283" s="57" t="s">
        <v>164</v>
      </c>
      <c r="L283" s="54">
        <f>42068/3</f>
        <v>14022.666666666666</v>
      </c>
      <c r="M283" s="54"/>
      <c r="N283" s="54"/>
      <c r="O283" s="54"/>
      <c r="P283" s="54"/>
      <c r="Q283" s="230"/>
      <c r="R283" s="54"/>
      <c r="S283" s="54"/>
      <c r="T283" s="54"/>
      <c r="U283" s="54"/>
      <c r="V283" s="54"/>
      <c r="W283" s="39"/>
      <c r="X283" s="39"/>
      <c r="Y283" s="232"/>
      <c r="Z283" s="232"/>
      <c r="AA283" s="54"/>
      <c r="AB283" s="234"/>
    </row>
    <row r="284" spans="1:28" ht="12.75">
      <c r="A284" s="8"/>
      <c r="B284" s="22" t="s">
        <v>505</v>
      </c>
      <c r="C284" s="10"/>
      <c r="D284" s="4" t="s">
        <v>510</v>
      </c>
      <c r="E284" s="7" t="s">
        <v>183</v>
      </c>
      <c r="F284" s="83" t="s">
        <v>720</v>
      </c>
      <c r="I284" s="243"/>
      <c r="J284" s="57" t="s">
        <v>509</v>
      </c>
      <c r="K284" s="18" t="s">
        <v>183</v>
      </c>
      <c r="L284" s="54"/>
      <c r="M284" s="54">
        <f>43095/3</f>
        <v>14365</v>
      </c>
      <c r="N284" s="54"/>
      <c r="O284" s="54"/>
      <c r="P284" s="54"/>
      <c r="Q284" s="230"/>
      <c r="R284" s="54"/>
      <c r="S284" s="54"/>
      <c r="T284" s="54"/>
      <c r="U284" s="54"/>
      <c r="V284" s="54"/>
      <c r="W284" s="39"/>
      <c r="X284" s="39"/>
      <c r="Y284" s="232"/>
      <c r="Z284" s="232"/>
      <c r="AA284" s="54"/>
      <c r="AB284" s="234"/>
    </row>
    <row r="285" spans="1:28" ht="12.75">
      <c r="A285" s="8"/>
      <c r="B285" s="22" t="s">
        <v>506</v>
      </c>
      <c r="C285" s="10"/>
      <c r="D285" s="4" t="s">
        <v>515</v>
      </c>
      <c r="E285" s="7" t="s">
        <v>184</v>
      </c>
      <c r="F285" s="83" t="s">
        <v>775</v>
      </c>
      <c r="I285" s="244"/>
      <c r="J285" s="56" t="s">
        <v>509</v>
      </c>
      <c r="K285" s="19" t="s">
        <v>184</v>
      </c>
      <c r="L285" s="55">
        <f>36832/3</f>
        <v>12277.333333333334</v>
      </c>
      <c r="M285" s="55"/>
      <c r="N285" s="55"/>
      <c r="O285" s="55"/>
      <c r="P285" s="55"/>
      <c r="Q285" s="235"/>
      <c r="R285" s="55"/>
      <c r="S285" s="55"/>
      <c r="T285" s="55"/>
      <c r="U285" s="55"/>
      <c r="V285" s="55"/>
      <c r="W285" s="40"/>
      <c r="X285" s="40"/>
      <c r="Y285" s="237"/>
      <c r="Z285" s="237"/>
      <c r="AA285" s="55"/>
      <c r="AB285" s="238"/>
    </row>
    <row r="286" spans="1:28" ht="12.75" customHeight="1">
      <c r="A286" s="8" t="s">
        <v>21</v>
      </c>
      <c r="B286" s="9" t="s">
        <v>439</v>
      </c>
      <c r="C286" s="10">
        <v>3</v>
      </c>
      <c r="D286" s="4" t="s">
        <v>512</v>
      </c>
      <c r="E286" s="4" t="s">
        <v>165</v>
      </c>
      <c r="F286" s="83" t="s">
        <v>718</v>
      </c>
      <c r="I286" s="242" t="s">
        <v>519</v>
      </c>
      <c r="J286" s="58" t="s">
        <v>440</v>
      </c>
      <c r="K286" s="58" t="s">
        <v>164</v>
      </c>
      <c r="L286" s="53">
        <f>63887/3</f>
        <v>21295.666666666668</v>
      </c>
      <c r="M286" s="53"/>
      <c r="N286" s="53"/>
      <c r="O286" s="53"/>
      <c r="P286" s="53"/>
      <c r="Q286" s="229">
        <f>64051/3</f>
        <v>21350.333333333332</v>
      </c>
      <c r="R286" s="53"/>
      <c r="S286" s="53"/>
      <c r="T286" s="53"/>
      <c r="U286" s="53"/>
      <c r="V286" s="53"/>
      <c r="W286" s="38"/>
      <c r="X286" s="38"/>
      <c r="Y286" s="236">
        <v>2</v>
      </c>
      <c r="Z286" s="236">
        <v>2</v>
      </c>
      <c r="AA286" s="53"/>
      <c r="AB286" s="233" t="s">
        <v>262</v>
      </c>
    </row>
    <row r="287" spans="1:28" ht="12.75">
      <c r="A287" s="8" t="s">
        <v>22</v>
      </c>
      <c r="B287" s="9" t="s">
        <v>439</v>
      </c>
      <c r="C287" s="10">
        <v>4</v>
      </c>
      <c r="D287" s="4" t="s">
        <v>516</v>
      </c>
      <c r="E287" s="4" t="s">
        <v>518</v>
      </c>
      <c r="F287" s="83" t="s">
        <v>777</v>
      </c>
      <c r="I287" s="243"/>
      <c r="J287" s="271" t="s">
        <v>440</v>
      </c>
      <c r="K287" s="227" t="s">
        <v>520</v>
      </c>
      <c r="L287" s="230">
        <f>64089/3</f>
        <v>21363</v>
      </c>
      <c r="M287" s="54"/>
      <c r="N287" s="54"/>
      <c r="O287" s="54"/>
      <c r="P287" s="54"/>
      <c r="Q287" s="230"/>
      <c r="R287" s="54"/>
      <c r="S287" s="54"/>
      <c r="T287" s="54"/>
      <c r="U287" s="54"/>
      <c r="V287" s="232">
        <v>1</v>
      </c>
      <c r="W287" s="39"/>
      <c r="X287" s="39"/>
      <c r="Y287" s="232"/>
      <c r="Z287" s="232"/>
      <c r="AA287" s="54"/>
      <c r="AB287" s="234"/>
    </row>
    <row r="288" spans="1:28" ht="12.75">
      <c r="A288" s="8" t="s">
        <v>23</v>
      </c>
      <c r="B288" s="9" t="s">
        <v>439</v>
      </c>
      <c r="C288" s="10">
        <v>5</v>
      </c>
      <c r="D288" s="4" t="s">
        <v>516</v>
      </c>
      <c r="E288" s="4" t="s">
        <v>163</v>
      </c>
      <c r="F288" s="83" t="s">
        <v>777</v>
      </c>
      <c r="I288" s="243"/>
      <c r="J288" s="271"/>
      <c r="K288" s="227"/>
      <c r="L288" s="230"/>
      <c r="M288" s="54"/>
      <c r="N288" s="54"/>
      <c r="O288" s="54"/>
      <c r="P288" s="54"/>
      <c r="Q288" s="230"/>
      <c r="R288" s="54"/>
      <c r="S288" s="54"/>
      <c r="T288" s="54"/>
      <c r="U288" s="54"/>
      <c r="V288" s="232"/>
      <c r="W288" s="39"/>
      <c r="X288" s="39"/>
      <c r="Y288" s="232"/>
      <c r="Z288" s="232"/>
      <c r="AA288" s="54"/>
      <c r="AB288" s="234"/>
    </row>
    <row r="289" spans="1:28" ht="12.75">
      <c r="A289" s="8"/>
      <c r="B289" s="22" t="s">
        <v>513</v>
      </c>
      <c r="C289" s="10"/>
      <c r="D289" s="4" t="s">
        <v>517</v>
      </c>
      <c r="E289" s="7" t="s">
        <v>183</v>
      </c>
      <c r="F289" s="83" t="s">
        <v>720</v>
      </c>
      <c r="I289" s="243"/>
      <c r="J289" s="57" t="s">
        <v>509</v>
      </c>
      <c r="K289" s="18" t="s">
        <v>183</v>
      </c>
      <c r="L289" s="54"/>
      <c r="M289" s="54">
        <f>64051/3</f>
        <v>21350.333333333332</v>
      </c>
      <c r="N289" s="54"/>
      <c r="O289" s="54"/>
      <c r="P289" s="54"/>
      <c r="Q289" s="230"/>
      <c r="R289" s="54"/>
      <c r="S289" s="54"/>
      <c r="T289" s="54"/>
      <c r="U289" s="54"/>
      <c r="V289" s="54"/>
      <c r="W289" s="39"/>
      <c r="X289" s="39"/>
      <c r="Y289" s="232"/>
      <c r="Z289" s="232"/>
      <c r="AA289" s="54"/>
      <c r="AB289" s="234"/>
    </row>
    <row r="290" spans="1:28" ht="12.75">
      <c r="A290" s="8"/>
      <c r="B290" s="22" t="s">
        <v>514</v>
      </c>
      <c r="C290" s="10"/>
      <c r="D290" s="4" t="s">
        <v>516</v>
      </c>
      <c r="E290" s="7" t="s">
        <v>184</v>
      </c>
      <c r="F290" s="82" t="s">
        <v>774</v>
      </c>
      <c r="G290" s="7" t="s">
        <v>779</v>
      </c>
      <c r="I290" s="244"/>
      <c r="J290" s="56" t="s">
        <v>509</v>
      </c>
      <c r="K290" s="19" t="s">
        <v>184</v>
      </c>
      <c r="L290" s="55">
        <f>64089/3</f>
        <v>21363</v>
      </c>
      <c r="M290" s="55"/>
      <c r="N290" s="55"/>
      <c r="O290" s="55"/>
      <c r="P290" s="55"/>
      <c r="Q290" s="235"/>
      <c r="R290" s="55"/>
      <c r="S290" s="55"/>
      <c r="T290" s="55"/>
      <c r="U290" s="55"/>
      <c r="V290" s="55"/>
      <c r="W290" s="40"/>
      <c r="X290" s="40"/>
      <c r="Y290" s="237"/>
      <c r="Z290" s="237"/>
      <c r="AA290" s="55"/>
      <c r="AB290" s="238"/>
    </row>
    <row r="291" spans="1:28" ht="12.75">
      <c r="A291" s="8" t="s">
        <v>24</v>
      </c>
      <c r="B291" s="9" t="s">
        <v>439</v>
      </c>
      <c r="C291" s="10">
        <v>6</v>
      </c>
      <c r="D291" s="4" t="s">
        <v>521</v>
      </c>
      <c r="E291" s="4" t="s">
        <v>525</v>
      </c>
      <c r="F291" s="83" t="s">
        <v>777</v>
      </c>
      <c r="I291" s="242" t="s">
        <v>529</v>
      </c>
      <c r="J291" s="226" t="s">
        <v>439</v>
      </c>
      <c r="K291" s="226" t="s">
        <v>530</v>
      </c>
      <c r="L291" s="229">
        <f>69789/3</f>
        <v>23263</v>
      </c>
      <c r="M291" s="53"/>
      <c r="N291" s="53"/>
      <c r="O291" s="53"/>
      <c r="P291" s="53"/>
      <c r="Q291" s="229">
        <f>133749/3</f>
        <v>44583</v>
      </c>
      <c r="R291" s="53"/>
      <c r="S291" s="53"/>
      <c r="T291" s="53"/>
      <c r="U291" s="236">
        <v>1</v>
      </c>
      <c r="V291" s="53"/>
      <c r="W291" s="38"/>
      <c r="X291" s="38"/>
      <c r="Y291" s="53"/>
      <c r="Z291" s="236">
        <v>5</v>
      </c>
      <c r="AA291" s="53"/>
      <c r="AB291" s="239" t="s">
        <v>286</v>
      </c>
    </row>
    <row r="292" spans="1:28" ht="12.75">
      <c r="A292" s="8" t="s">
        <v>25</v>
      </c>
      <c r="B292" s="9" t="s">
        <v>439</v>
      </c>
      <c r="C292" s="10">
        <v>7</v>
      </c>
      <c r="D292" s="4" t="s">
        <v>521</v>
      </c>
      <c r="E292" s="4" t="s">
        <v>163</v>
      </c>
      <c r="F292" s="83" t="s">
        <v>777</v>
      </c>
      <c r="I292" s="243"/>
      <c r="J292" s="227"/>
      <c r="K292" s="227"/>
      <c r="L292" s="230"/>
      <c r="M292" s="54"/>
      <c r="N292" s="54"/>
      <c r="O292" s="54"/>
      <c r="P292" s="54"/>
      <c r="Q292" s="230"/>
      <c r="R292" s="54"/>
      <c r="S292" s="54"/>
      <c r="T292" s="54"/>
      <c r="U292" s="232"/>
      <c r="V292" s="54"/>
      <c r="W292" s="39"/>
      <c r="X292" s="39"/>
      <c r="Y292" s="54"/>
      <c r="Z292" s="232"/>
      <c r="AA292" s="54"/>
      <c r="AB292" s="240"/>
    </row>
    <row r="293" spans="1:28" ht="12.75">
      <c r="A293" s="8" t="s">
        <v>26</v>
      </c>
      <c r="B293" s="9" t="s">
        <v>439</v>
      </c>
      <c r="C293" s="10">
        <v>8</v>
      </c>
      <c r="D293" s="4" t="s">
        <v>522</v>
      </c>
      <c r="E293" s="4" t="s">
        <v>526</v>
      </c>
      <c r="F293" s="83" t="s">
        <v>777</v>
      </c>
      <c r="I293" s="243"/>
      <c r="J293" s="227" t="s">
        <v>439</v>
      </c>
      <c r="K293" s="227" t="s">
        <v>531</v>
      </c>
      <c r="L293" s="230">
        <f>112089/3</f>
        <v>37363</v>
      </c>
      <c r="M293" s="54"/>
      <c r="N293" s="54"/>
      <c r="O293" s="54"/>
      <c r="P293" s="54"/>
      <c r="Q293" s="230"/>
      <c r="R293" s="54"/>
      <c r="S293" s="54"/>
      <c r="T293" s="54"/>
      <c r="U293" s="232">
        <v>1</v>
      </c>
      <c r="V293" s="54"/>
      <c r="W293" s="39"/>
      <c r="X293" s="39"/>
      <c r="Y293" s="54"/>
      <c r="Z293" s="232"/>
      <c r="AA293" s="54"/>
      <c r="AB293" s="240"/>
    </row>
    <row r="294" spans="1:28" ht="12.75">
      <c r="A294" s="8" t="s">
        <v>27</v>
      </c>
      <c r="B294" s="9" t="s">
        <v>439</v>
      </c>
      <c r="C294" s="10">
        <v>9</v>
      </c>
      <c r="D294" s="4" t="s">
        <v>522</v>
      </c>
      <c r="E294" s="4" t="s">
        <v>163</v>
      </c>
      <c r="F294" s="83" t="s">
        <v>777</v>
      </c>
      <c r="I294" s="243"/>
      <c r="J294" s="227"/>
      <c r="K294" s="227"/>
      <c r="L294" s="230"/>
      <c r="M294" s="54"/>
      <c r="N294" s="54"/>
      <c r="O294" s="54"/>
      <c r="P294" s="54"/>
      <c r="Q294" s="230"/>
      <c r="R294" s="54"/>
      <c r="S294" s="54"/>
      <c r="T294" s="54"/>
      <c r="U294" s="232"/>
      <c r="V294" s="54"/>
      <c r="W294" s="39"/>
      <c r="X294" s="39"/>
      <c r="Y294" s="54"/>
      <c r="Z294" s="232"/>
      <c r="AA294" s="54"/>
      <c r="AB294" s="240"/>
    </row>
    <row r="295" spans="1:28" ht="12.75">
      <c r="A295" s="8" t="s">
        <v>28</v>
      </c>
      <c r="B295" s="9" t="s">
        <v>439</v>
      </c>
      <c r="C295" s="10">
        <v>10</v>
      </c>
      <c r="D295" s="4" t="s">
        <v>523</v>
      </c>
      <c r="E295" s="4" t="s">
        <v>527</v>
      </c>
      <c r="F295" s="83" t="s">
        <v>777</v>
      </c>
      <c r="I295" s="243"/>
      <c r="J295" s="227" t="s">
        <v>439</v>
      </c>
      <c r="K295" s="227" t="s">
        <v>532</v>
      </c>
      <c r="L295" s="230">
        <f>124749/3</f>
        <v>41583</v>
      </c>
      <c r="M295" s="54"/>
      <c r="N295" s="54"/>
      <c r="O295" s="54"/>
      <c r="P295" s="54"/>
      <c r="Q295" s="230"/>
      <c r="R295" s="54"/>
      <c r="S295" s="54"/>
      <c r="T295" s="54"/>
      <c r="U295" s="232">
        <v>1</v>
      </c>
      <c r="V295" s="54"/>
      <c r="W295" s="39"/>
      <c r="X295" s="39"/>
      <c r="Y295" s="54"/>
      <c r="Z295" s="232"/>
      <c r="AA295" s="54"/>
      <c r="AB295" s="240"/>
    </row>
    <row r="296" spans="1:28" ht="12.75">
      <c r="A296" s="8" t="s">
        <v>29</v>
      </c>
      <c r="B296" s="9" t="s">
        <v>439</v>
      </c>
      <c r="C296" s="10">
        <v>11</v>
      </c>
      <c r="D296" s="4" t="s">
        <v>523</v>
      </c>
      <c r="E296" s="4" t="s">
        <v>163</v>
      </c>
      <c r="F296" s="83" t="s">
        <v>777</v>
      </c>
      <c r="I296" s="243"/>
      <c r="J296" s="227"/>
      <c r="K296" s="227"/>
      <c r="L296" s="230"/>
      <c r="M296" s="54"/>
      <c r="N296" s="54"/>
      <c r="O296" s="54"/>
      <c r="P296" s="54"/>
      <c r="Q296" s="230"/>
      <c r="R296" s="54"/>
      <c r="S296" s="54"/>
      <c r="T296" s="54"/>
      <c r="U296" s="232"/>
      <c r="V296" s="54"/>
      <c r="W296" s="39"/>
      <c r="X296" s="39"/>
      <c r="Y296" s="54"/>
      <c r="Z296" s="232"/>
      <c r="AA296" s="54"/>
      <c r="AB296" s="240"/>
    </row>
    <row r="297" spans="1:28" ht="12.75">
      <c r="A297" s="8" t="s">
        <v>30</v>
      </c>
      <c r="B297" s="9" t="s">
        <v>439</v>
      </c>
      <c r="C297" s="10">
        <v>12</v>
      </c>
      <c r="D297" s="4" t="s">
        <v>524</v>
      </c>
      <c r="E297" s="4" t="s">
        <v>528</v>
      </c>
      <c r="F297" s="83" t="s">
        <v>777</v>
      </c>
      <c r="I297" s="243"/>
      <c r="J297" s="227" t="s">
        <v>439</v>
      </c>
      <c r="K297" s="227" t="s">
        <v>533</v>
      </c>
      <c r="L297" s="230">
        <f>133749/3</f>
        <v>44583</v>
      </c>
      <c r="M297" s="54"/>
      <c r="N297" s="54"/>
      <c r="O297" s="54"/>
      <c r="P297" s="54"/>
      <c r="Q297" s="230"/>
      <c r="R297" s="54"/>
      <c r="S297" s="54"/>
      <c r="T297" s="54"/>
      <c r="U297" s="232">
        <v>1</v>
      </c>
      <c r="V297" s="54"/>
      <c r="W297" s="39"/>
      <c r="X297" s="39"/>
      <c r="Y297" s="54"/>
      <c r="Z297" s="232"/>
      <c r="AA297" s="54"/>
      <c r="AB297" s="240"/>
    </row>
    <row r="298" spans="1:28" ht="12.75">
      <c r="A298" s="8" t="s">
        <v>31</v>
      </c>
      <c r="B298" s="9" t="s">
        <v>439</v>
      </c>
      <c r="C298" s="10">
        <v>13</v>
      </c>
      <c r="D298" s="4" t="s">
        <v>524</v>
      </c>
      <c r="E298" s="4" t="s">
        <v>163</v>
      </c>
      <c r="F298" s="83" t="s">
        <v>777</v>
      </c>
      <c r="I298" s="244"/>
      <c r="J298" s="228"/>
      <c r="K298" s="228"/>
      <c r="L298" s="235"/>
      <c r="M298" s="55"/>
      <c r="N298" s="55"/>
      <c r="O298" s="55"/>
      <c r="P298" s="55"/>
      <c r="Q298" s="235"/>
      <c r="R298" s="55"/>
      <c r="S298" s="55"/>
      <c r="T298" s="55"/>
      <c r="U298" s="237"/>
      <c r="V298" s="55"/>
      <c r="W298" s="40"/>
      <c r="X298" s="40"/>
      <c r="Y298" s="55"/>
      <c r="Z298" s="237"/>
      <c r="AA298" s="55"/>
      <c r="AB298" s="241"/>
    </row>
    <row r="299" spans="1:28" ht="12.75">
      <c r="A299" s="8" t="s">
        <v>32</v>
      </c>
      <c r="B299" s="9" t="s">
        <v>439</v>
      </c>
      <c r="C299" s="10">
        <v>14</v>
      </c>
      <c r="D299" s="4" t="s">
        <v>534</v>
      </c>
      <c r="E299" s="4" t="s">
        <v>535</v>
      </c>
      <c r="F299" s="83" t="s">
        <v>777</v>
      </c>
      <c r="I299" s="242" t="s">
        <v>542</v>
      </c>
      <c r="J299" s="226" t="s">
        <v>439</v>
      </c>
      <c r="K299" s="226" t="s">
        <v>543</v>
      </c>
      <c r="L299" s="229">
        <f>142598/3</f>
        <v>47532.666666666664</v>
      </c>
      <c r="M299" s="53"/>
      <c r="N299" s="53"/>
      <c r="O299" s="53"/>
      <c r="P299" s="53"/>
      <c r="Q299" s="229">
        <f>171009/3</f>
        <v>57003</v>
      </c>
      <c r="R299" s="53"/>
      <c r="S299" s="53"/>
      <c r="T299" s="53"/>
      <c r="U299" s="236">
        <v>1</v>
      </c>
      <c r="V299" s="53"/>
      <c r="W299" s="38"/>
      <c r="X299" s="38"/>
      <c r="Y299" s="53"/>
      <c r="Z299" s="236">
        <v>9</v>
      </c>
      <c r="AA299" s="53"/>
      <c r="AB299" s="239" t="s">
        <v>286</v>
      </c>
    </row>
    <row r="300" spans="1:28" ht="12.75">
      <c r="A300" s="8" t="s">
        <v>33</v>
      </c>
      <c r="B300" s="9" t="s">
        <v>439</v>
      </c>
      <c r="C300" s="10">
        <v>15</v>
      </c>
      <c r="D300" s="4" t="s">
        <v>534</v>
      </c>
      <c r="E300" s="4" t="s">
        <v>163</v>
      </c>
      <c r="F300" s="83" t="s">
        <v>777</v>
      </c>
      <c r="I300" s="243"/>
      <c r="J300" s="227"/>
      <c r="K300" s="227"/>
      <c r="L300" s="230"/>
      <c r="M300" s="54"/>
      <c r="N300" s="54"/>
      <c r="O300" s="54"/>
      <c r="P300" s="54"/>
      <c r="Q300" s="230"/>
      <c r="R300" s="54"/>
      <c r="S300" s="54"/>
      <c r="T300" s="54"/>
      <c r="U300" s="232"/>
      <c r="V300" s="54"/>
      <c r="W300" s="39"/>
      <c r="X300" s="39"/>
      <c r="Y300" s="54"/>
      <c r="Z300" s="232"/>
      <c r="AA300" s="54"/>
      <c r="AB300" s="240"/>
    </row>
    <row r="301" spans="1:28" ht="12.75">
      <c r="A301" s="8" t="s">
        <v>34</v>
      </c>
      <c r="B301" s="9" t="s">
        <v>439</v>
      </c>
      <c r="C301" s="10">
        <v>16</v>
      </c>
      <c r="D301" s="4" t="s">
        <v>539</v>
      </c>
      <c r="E301" s="4" t="s">
        <v>536</v>
      </c>
      <c r="F301" s="83" t="s">
        <v>777</v>
      </c>
      <c r="I301" s="243"/>
      <c r="J301" s="227" t="s">
        <v>439</v>
      </c>
      <c r="K301" s="227" t="s">
        <v>544</v>
      </c>
      <c r="L301" s="230">
        <f>151598/3</f>
        <v>50532.666666666664</v>
      </c>
      <c r="M301" s="54"/>
      <c r="N301" s="54"/>
      <c r="O301" s="54"/>
      <c r="P301" s="54"/>
      <c r="Q301" s="230"/>
      <c r="R301" s="54"/>
      <c r="S301" s="54"/>
      <c r="T301" s="54"/>
      <c r="U301" s="232">
        <v>1</v>
      </c>
      <c r="V301" s="54"/>
      <c r="W301" s="39"/>
      <c r="X301" s="39"/>
      <c r="Y301" s="54"/>
      <c r="Z301" s="232"/>
      <c r="AA301" s="54"/>
      <c r="AB301" s="240"/>
    </row>
    <row r="302" spans="1:28" ht="12.75">
      <c r="A302" s="8" t="s">
        <v>35</v>
      </c>
      <c r="B302" s="9" t="s">
        <v>439</v>
      </c>
      <c r="C302" s="10">
        <v>17</v>
      </c>
      <c r="D302" s="4" t="s">
        <v>539</v>
      </c>
      <c r="E302" s="4" t="s">
        <v>163</v>
      </c>
      <c r="F302" s="83" t="s">
        <v>777</v>
      </c>
      <c r="I302" s="243"/>
      <c r="J302" s="227"/>
      <c r="K302" s="227"/>
      <c r="L302" s="230"/>
      <c r="M302" s="54"/>
      <c r="N302" s="54"/>
      <c r="O302" s="54"/>
      <c r="P302" s="54"/>
      <c r="Q302" s="230"/>
      <c r="R302" s="54"/>
      <c r="S302" s="54"/>
      <c r="T302" s="54"/>
      <c r="U302" s="232"/>
      <c r="V302" s="54"/>
      <c r="W302" s="39"/>
      <c r="X302" s="39"/>
      <c r="Y302" s="54"/>
      <c r="Z302" s="232"/>
      <c r="AA302" s="54"/>
      <c r="AB302" s="240"/>
    </row>
    <row r="303" spans="1:28" ht="12.75">
      <c r="A303" s="8" t="s">
        <v>36</v>
      </c>
      <c r="B303" s="9" t="s">
        <v>439</v>
      </c>
      <c r="C303" s="10">
        <v>18</v>
      </c>
      <c r="D303" s="4" t="s">
        <v>540</v>
      </c>
      <c r="E303" s="4" t="s">
        <v>537</v>
      </c>
      <c r="F303" s="83" t="s">
        <v>777</v>
      </c>
      <c r="I303" s="243"/>
      <c r="J303" s="227" t="s">
        <v>439</v>
      </c>
      <c r="K303" s="227" t="s">
        <v>545</v>
      </c>
      <c r="L303" s="230">
        <f>161168/3</f>
        <v>53722.666666666664</v>
      </c>
      <c r="M303" s="54"/>
      <c r="N303" s="54"/>
      <c r="O303" s="54"/>
      <c r="P303" s="54"/>
      <c r="Q303" s="230"/>
      <c r="R303" s="54"/>
      <c r="S303" s="54"/>
      <c r="T303" s="54"/>
      <c r="U303" s="232">
        <v>1</v>
      </c>
      <c r="V303" s="54"/>
      <c r="W303" s="39"/>
      <c r="X303" s="39"/>
      <c r="Y303" s="54"/>
      <c r="Z303" s="232"/>
      <c r="AA303" s="54"/>
      <c r="AB303" s="240"/>
    </row>
    <row r="304" spans="1:28" ht="12.75">
      <c r="A304" s="8" t="s">
        <v>37</v>
      </c>
      <c r="B304" s="9" t="s">
        <v>439</v>
      </c>
      <c r="C304" s="10">
        <v>19</v>
      </c>
      <c r="D304" s="4" t="s">
        <v>540</v>
      </c>
      <c r="E304" s="4" t="s">
        <v>163</v>
      </c>
      <c r="F304" s="83" t="s">
        <v>777</v>
      </c>
      <c r="I304" s="243"/>
      <c r="J304" s="227"/>
      <c r="K304" s="227"/>
      <c r="L304" s="230"/>
      <c r="M304" s="54"/>
      <c r="N304" s="54"/>
      <c r="O304" s="54"/>
      <c r="P304" s="54"/>
      <c r="Q304" s="230"/>
      <c r="R304" s="54"/>
      <c r="S304" s="54"/>
      <c r="T304" s="54"/>
      <c r="U304" s="232"/>
      <c r="V304" s="54"/>
      <c r="W304" s="39"/>
      <c r="X304" s="39"/>
      <c r="Y304" s="54"/>
      <c r="Z304" s="232"/>
      <c r="AA304" s="54"/>
      <c r="AB304" s="240"/>
    </row>
    <row r="305" spans="1:28" ht="12.75">
      <c r="A305" s="8" t="s">
        <v>38</v>
      </c>
      <c r="B305" s="9" t="s">
        <v>439</v>
      </c>
      <c r="C305" s="10">
        <v>20</v>
      </c>
      <c r="D305" s="4" t="s">
        <v>541</v>
      </c>
      <c r="E305" s="4" t="s">
        <v>538</v>
      </c>
      <c r="F305" s="83" t="s">
        <v>777</v>
      </c>
      <c r="I305" s="243"/>
      <c r="J305" s="227" t="s">
        <v>439</v>
      </c>
      <c r="K305" s="227" t="s">
        <v>546</v>
      </c>
      <c r="L305" s="230">
        <f>171009/3</f>
        <v>57003</v>
      </c>
      <c r="M305" s="54"/>
      <c r="N305" s="54"/>
      <c r="O305" s="54"/>
      <c r="P305" s="54"/>
      <c r="Q305" s="230"/>
      <c r="R305" s="54"/>
      <c r="S305" s="54"/>
      <c r="T305" s="54"/>
      <c r="U305" s="232">
        <v>1</v>
      </c>
      <c r="V305" s="54"/>
      <c r="W305" s="39"/>
      <c r="X305" s="39"/>
      <c r="Y305" s="54"/>
      <c r="Z305" s="232"/>
      <c r="AA305" s="54"/>
      <c r="AB305" s="240"/>
    </row>
    <row r="306" spans="1:28" ht="12.75">
      <c r="A306" s="8" t="s">
        <v>39</v>
      </c>
      <c r="B306" s="9" t="s">
        <v>439</v>
      </c>
      <c r="C306" s="10">
        <v>21</v>
      </c>
      <c r="D306" s="4" t="s">
        <v>541</v>
      </c>
      <c r="E306" s="4" t="s">
        <v>163</v>
      </c>
      <c r="F306" s="83" t="s">
        <v>777</v>
      </c>
      <c r="I306" s="244"/>
      <c r="J306" s="228"/>
      <c r="K306" s="228"/>
      <c r="L306" s="235"/>
      <c r="M306" s="55"/>
      <c r="N306" s="55"/>
      <c r="O306" s="55"/>
      <c r="P306" s="55"/>
      <c r="Q306" s="235"/>
      <c r="R306" s="55"/>
      <c r="S306" s="55"/>
      <c r="T306" s="55"/>
      <c r="U306" s="237"/>
      <c r="V306" s="55"/>
      <c r="W306" s="40"/>
      <c r="X306" s="40"/>
      <c r="Y306" s="55"/>
      <c r="Z306" s="237"/>
      <c r="AA306" s="55"/>
      <c r="AB306" s="241"/>
    </row>
    <row r="307" spans="1:28" ht="12.75">
      <c r="A307" s="8" t="s">
        <v>40</v>
      </c>
      <c r="B307" s="9" t="s">
        <v>439</v>
      </c>
      <c r="C307" s="10">
        <v>22</v>
      </c>
      <c r="D307" s="4" t="s">
        <v>548</v>
      </c>
      <c r="E307" s="4" t="s">
        <v>547</v>
      </c>
      <c r="F307" s="83" t="s">
        <v>777</v>
      </c>
      <c r="I307" s="242" t="s">
        <v>553</v>
      </c>
      <c r="J307" s="226" t="s">
        <v>439</v>
      </c>
      <c r="K307" s="226" t="s">
        <v>554</v>
      </c>
      <c r="L307" s="229">
        <f>182559/3</f>
        <v>60853</v>
      </c>
      <c r="M307" s="53"/>
      <c r="N307" s="53"/>
      <c r="O307" s="53"/>
      <c r="P307" s="229">
        <f>37591/3</f>
        <v>12530.333333333334</v>
      </c>
      <c r="Q307" s="229">
        <f>186339/3</f>
        <v>62113</v>
      </c>
      <c r="R307" s="53"/>
      <c r="S307" s="53"/>
      <c r="T307" s="53"/>
      <c r="U307" s="236">
        <v>1</v>
      </c>
      <c r="V307" s="53"/>
      <c r="W307" s="38"/>
      <c r="X307" s="38"/>
      <c r="Y307" s="236">
        <v>1</v>
      </c>
      <c r="Z307" s="236">
        <v>11</v>
      </c>
      <c r="AA307" s="53"/>
      <c r="AB307" s="239" t="s">
        <v>286</v>
      </c>
    </row>
    <row r="308" spans="1:28" ht="12.75">
      <c r="A308" s="8" t="s">
        <v>41</v>
      </c>
      <c r="B308" s="9" t="s">
        <v>439</v>
      </c>
      <c r="C308" s="10">
        <v>23</v>
      </c>
      <c r="D308" s="4" t="s">
        <v>548</v>
      </c>
      <c r="E308" s="4" t="s">
        <v>163</v>
      </c>
      <c r="F308" s="83" t="s">
        <v>777</v>
      </c>
      <c r="I308" s="243"/>
      <c r="J308" s="227"/>
      <c r="K308" s="227"/>
      <c r="L308" s="230"/>
      <c r="M308" s="54"/>
      <c r="N308" s="54"/>
      <c r="O308" s="54"/>
      <c r="P308" s="230"/>
      <c r="Q308" s="230"/>
      <c r="R308" s="54"/>
      <c r="S308" s="54"/>
      <c r="T308" s="54"/>
      <c r="U308" s="232"/>
      <c r="V308" s="54"/>
      <c r="W308" s="39"/>
      <c r="X308" s="39"/>
      <c r="Y308" s="232"/>
      <c r="Z308" s="232"/>
      <c r="AA308" s="54"/>
      <c r="AB308" s="240"/>
    </row>
    <row r="309" spans="1:28" ht="12.75">
      <c r="A309" s="8" t="s">
        <v>42</v>
      </c>
      <c r="B309" s="9" t="s">
        <v>439</v>
      </c>
      <c r="C309" s="10">
        <v>24</v>
      </c>
      <c r="D309" s="4" t="s">
        <v>549</v>
      </c>
      <c r="E309" s="4" t="s">
        <v>163</v>
      </c>
      <c r="F309" s="83" t="s">
        <v>778</v>
      </c>
      <c r="I309" s="243"/>
      <c r="J309" s="57" t="s">
        <v>439</v>
      </c>
      <c r="K309" s="57" t="s">
        <v>163</v>
      </c>
      <c r="L309" s="54">
        <f>190681/3</f>
        <v>63560.333333333336</v>
      </c>
      <c r="M309" s="54"/>
      <c r="N309" s="54"/>
      <c r="O309" s="54"/>
      <c r="P309" s="230"/>
      <c r="Q309" s="230"/>
      <c r="R309" s="54"/>
      <c r="S309" s="54"/>
      <c r="T309" s="54"/>
      <c r="U309" s="54"/>
      <c r="V309" s="54"/>
      <c r="W309" s="39"/>
      <c r="X309" s="39"/>
      <c r="Y309" s="232"/>
      <c r="Z309" s="232"/>
      <c r="AA309" s="54"/>
      <c r="AB309" s="240"/>
    </row>
    <row r="310" spans="1:28" ht="12.75">
      <c r="A310" s="8" t="s">
        <v>43</v>
      </c>
      <c r="B310" s="9" t="s">
        <v>439</v>
      </c>
      <c r="C310" s="10">
        <v>25</v>
      </c>
      <c r="D310" s="4" t="s">
        <v>551</v>
      </c>
      <c r="E310" s="4" t="s">
        <v>550</v>
      </c>
      <c r="F310" s="83" t="s">
        <v>777</v>
      </c>
      <c r="I310" s="243"/>
      <c r="J310" s="227" t="s">
        <v>439</v>
      </c>
      <c r="K310" s="227" t="s">
        <v>555</v>
      </c>
      <c r="L310" s="230">
        <f>210339/3</f>
        <v>70113</v>
      </c>
      <c r="M310" s="54"/>
      <c r="N310" s="54"/>
      <c r="O310" s="54"/>
      <c r="P310" s="230"/>
      <c r="Q310" s="230"/>
      <c r="R310" s="54"/>
      <c r="S310" s="54"/>
      <c r="T310" s="54"/>
      <c r="U310" s="232">
        <v>1</v>
      </c>
      <c r="V310" s="54"/>
      <c r="W310" s="39"/>
      <c r="X310" s="39"/>
      <c r="Y310" s="232"/>
      <c r="Z310" s="232"/>
      <c r="AA310" s="54"/>
      <c r="AB310" s="240"/>
    </row>
    <row r="311" spans="1:28" ht="12.75">
      <c r="A311" s="8" t="s">
        <v>44</v>
      </c>
      <c r="B311" s="9" t="s">
        <v>439</v>
      </c>
      <c r="C311" s="10">
        <v>26</v>
      </c>
      <c r="D311" s="4" t="s">
        <v>551</v>
      </c>
      <c r="E311" s="4" t="s">
        <v>163</v>
      </c>
      <c r="F311" s="83" t="s">
        <v>777</v>
      </c>
      <c r="I311" s="243"/>
      <c r="J311" s="227"/>
      <c r="K311" s="227"/>
      <c r="L311" s="230"/>
      <c r="M311" s="54"/>
      <c r="N311" s="54"/>
      <c r="O311" s="54"/>
      <c r="P311" s="230"/>
      <c r="Q311" s="230"/>
      <c r="R311" s="54"/>
      <c r="S311" s="54"/>
      <c r="T311" s="54"/>
      <c r="U311" s="232"/>
      <c r="V311" s="54"/>
      <c r="W311" s="39"/>
      <c r="X311" s="39"/>
      <c r="Y311" s="232"/>
      <c r="Z311" s="232"/>
      <c r="AA311" s="54"/>
      <c r="AB311" s="240"/>
    </row>
    <row r="312" spans="1:28" ht="12.75">
      <c r="A312" s="8" t="s">
        <v>45</v>
      </c>
      <c r="B312" s="9" t="s">
        <v>439</v>
      </c>
      <c r="C312" s="10">
        <v>27</v>
      </c>
      <c r="D312" s="4" t="s">
        <v>552</v>
      </c>
      <c r="E312" s="4" t="s">
        <v>165</v>
      </c>
      <c r="F312" s="83" t="s">
        <v>718</v>
      </c>
      <c r="I312" s="244"/>
      <c r="J312" s="56" t="s">
        <v>439</v>
      </c>
      <c r="K312" s="56" t="s">
        <v>164</v>
      </c>
      <c r="L312" s="55">
        <f>219587/3</f>
        <v>73195.66666666667</v>
      </c>
      <c r="M312" s="55"/>
      <c r="N312" s="55"/>
      <c r="O312" s="55"/>
      <c r="P312" s="235"/>
      <c r="Q312" s="235"/>
      <c r="R312" s="55"/>
      <c r="S312" s="55"/>
      <c r="T312" s="55"/>
      <c r="U312" s="55"/>
      <c r="V312" s="55"/>
      <c r="W312" s="40"/>
      <c r="X312" s="40"/>
      <c r="Y312" s="237"/>
      <c r="Z312" s="237"/>
      <c r="AA312" s="55"/>
      <c r="AB312" s="241"/>
    </row>
    <row r="313" spans="1:28" ht="12.75">
      <c r="A313" s="8" t="s">
        <v>46</v>
      </c>
      <c r="B313" s="9" t="s">
        <v>439</v>
      </c>
      <c r="C313" s="10">
        <v>28</v>
      </c>
      <c r="D313" s="4" t="s">
        <v>556</v>
      </c>
      <c r="E313" s="4" t="s">
        <v>163</v>
      </c>
      <c r="F313" s="83" t="s">
        <v>778</v>
      </c>
      <c r="I313" s="242" t="s">
        <v>560</v>
      </c>
      <c r="J313" s="58" t="s">
        <v>439</v>
      </c>
      <c r="K313" s="58" t="s">
        <v>163</v>
      </c>
      <c r="L313" s="53">
        <f>84423/3</f>
        <v>28141</v>
      </c>
      <c r="M313" s="53"/>
      <c r="N313" s="53"/>
      <c r="O313" s="229">
        <f>(10223+13251)/3</f>
        <v>7824.666666666667</v>
      </c>
      <c r="P313" s="53"/>
      <c r="Q313" s="229">
        <f>76914/3</f>
        <v>25638</v>
      </c>
      <c r="R313" s="53"/>
      <c r="S313" s="53"/>
      <c r="T313" s="53"/>
      <c r="U313" s="53"/>
      <c r="V313" s="53"/>
      <c r="W313" s="38"/>
      <c r="X313" s="38"/>
      <c r="Y313" s="236">
        <v>1</v>
      </c>
      <c r="Z313" s="236">
        <v>3</v>
      </c>
      <c r="AA313" s="53"/>
      <c r="AB313" s="239" t="s">
        <v>286</v>
      </c>
    </row>
    <row r="314" spans="1:28" ht="12.75">
      <c r="A314" s="8" t="s">
        <v>47</v>
      </c>
      <c r="B314" s="9" t="s">
        <v>439</v>
      </c>
      <c r="C314" s="10">
        <v>29</v>
      </c>
      <c r="D314" s="4" t="s">
        <v>556</v>
      </c>
      <c r="E314" s="4" t="s">
        <v>163</v>
      </c>
      <c r="F314" s="83" t="s">
        <v>778</v>
      </c>
      <c r="I314" s="243"/>
      <c r="J314" s="57" t="s">
        <v>439</v>
      </c>
      <c r="K314" s="57" t="s">
        <v>163</v>
      </c>
      <c r="L314" s="54">
        <f>82656/3</f>
        <v>27552</v>
      </c>
      <c r="M314" s="54"/>
      <c r="N314" s="54"/>
      <c r="O314" s="230"/>
      <c r="P314" s="54"/>
      <c r="Q314" s="230"/>
      <c r="R314" s="54"/>
      <c r="S314" s="54"/>
      <c r="T314" s="54"/>
      <c r="U314" s="54"/>
      <c r="V314" s="54"/>
      <c r="W314" s="39"/>
      <c r="X314" s="39"/>
      <c r="Y314" s="232"/>
      <c r="Z314" s="232"/>
      <c r="AA314" s="54"/>
      <c r="AB314" s="240"/>
    </row>
    <row r="315" spans="1:28" ht="12.75">
      <c r="A315" s="8" t="s">
        <v>48</v>
      </c>
      <c r="B315" s="9" t="s">
        <v>439</v>
      </c>
      <c r="C315" s="10">
        <v>30</v>
      </c>
      <c r="D315" s="4" t="s">
        <v>557</v>
      </c>
      <c r="E315" s="4" t="s">
        <v>165</v>
      </c>
      <c r="F315" s="83" t="s">
        <v>718</v>
      </c>
      <c r="I315" s="243"/>
      <c r="J315" s="57" t="s">
        <v>439</v>
      </c>
      <c r="K315" s="57" t="s">
        <v>164</v>
      </c>
      <c r="L315" s="54">
        <f>77762/3</f>
        <v>25920.666666666668</v>
      </c>
      <c r="M315" s="54"/>
      <c r="N315" s="54"/>
      <c r="O315" s="230"/>
      <c r="P315" s="54"/>
      <c r="Q315" s="230"/>
      <c r="R315" s="54"/>
      <c r="S315" s="54"/>
      <c r="T315" s="54"/>
      <c r="U315" s="54"/>
      <c r="V315" s="54"/>
      <c r="W315" s="39"/>
      <c r="X315" s="39"/>
      <c r="Y315" s="232"/>
      <c r="Z315" s="232"/>
      <c r="AA315" s="54"/>
      <c r="AB315" s="240"/>
    </row>
    <row r="316" spans="1:28" ht="12.75">
      <c r="A316" s="8" t="s">
        <v>49</v>
      </c>
      <c r="B316" s="9" t="s">
        <v>439</v>
      </c>
      <c r="C316" s="10">
        <v>31</v>
      </c>
      <c r="D316" s="4" t="s">
        <v>558</v>
      </c>
      <c r="E316" s="4" t="s">
        <v>559</v>
      </c>
      <c r="F316" s="83" t="s">
        <v>777</v>
      </c>
      <c r="I316" s="243"/>
      <c r="J316" s="227" t="s">
        <v>439</v>
      </c>
      <c r="K316" s="227" t="s">
        <v>561</v>
      </c>
      <c r="L316" s="230">
        <f>86289/3</f>
        <v>28763</v>
      </c>
      <c r="M316" s="54"/>
      <c r="N316" s="54"/>
      <c r="O316" s="230"/>
      <c r="P316" s="54"/>
      <c r="Q316" s="230"/>
      <c r="R316" s="54"/>
      <c r="S316" s="54"/>
      <c r="T316" s="54"/>
      <c r="U316" s="232">
        <v>1</v>
      </c>
      <c r="V316" s="54"/>
      <c r="W316" s="39"/>
      <c r="X316" s="39"/>
      <c r="Y316" s="232"/>
      <c r="Z316" s="232"/>
      <c r="AA316" s="54"/>
      <c r="AB316" s="240"/>
    </row>
    <row r="317" spans="1:28" ht="12.75">
      <c r="A317" s="8" t="s">
        <v>50</v>
      </c>
      <c r="B317" s="9" t="s">
        <v>439</v>
      </c>
      <c r="C317" s="10">
        <v>32</v>
      </c>
      <c r="D317" s="4" t="s">
        <v>558</v>
      </c>
      <c r="E317" s="4" t="s">
        <v>163</v>
      </c>
      <c r="F317" s="83" t="s">
        <v>777</v>
      </c>
      <c r="I317" s="244"/>
      <c r="J317" s="228"/>
      <c r="K317" s="228"/>
      <c r="L317" s="235"/>
      <c r="M317" s="55"/>
      <c r="N317" s="55"/>
      <c r="O317" s="235"/>
      <c r="P317" s="55"/>
      <c r="Q317" s="235"/>
      <c r="R317" s="55"/>
      <c r="S317" s="55"/>
      <c r="T317" s="55"/>
      <c r="U317" s="237"/>
      <c r="V317" s="55"/>
      <c r="W317" s="40"/>
      <c r="X317" s="40"/>
      <c r="Y317" s="237"/>
      <c r="Z317" s="237"/>
      <c r="AA317" s="55"/>
      <c r="AB317" s="241"/>
    </row>
    <row r="318" spans="1:28" ht="12.75">
      <c r="A318" s="8"/>
      <c r="B318" s="9"/>
      <c r="C318" s="10"/>
      <c r="F318" s="82"/>
      <c r="I318" s="71"/>
      <c r="J318" s="68"/>
      <c r="K318" s="68"/>
      <c r="L318" s="69"/>
      <c r="M318" s="54"/>
      <c r="N318" s="54"/>
      <c r="O318" s="69"/>
      <c r="P318" s="54"/>
      <c r="Q318" s="69"/>
      <c r="R318" s="54"/>
      <c r="S318" s="54"/>
      <c r="T318" s="54"/>
      <c r="U318" s="39"/>
      <c r="V318" s="54"/>
      <c r="W318" s="39"/>
      <c r="X318" s="39"/>
      <c r="Y318" s="39"/>
      <c r="Z318" s="39"/>
      <c r="AA318" s="54"/>
      <c r="AB318" s="68"/>
    </row>
    <row r="319" spans="1:28" s="29" customFormat="1" ht="12.75">
      <c r="A319" s="26"/>
      <c r="B319" s="27"/>
      <c r="C319" s="28"/>
      <c r="F319" s="85"/>
      <c r="H319" s="73"/>
      <c r="I319" s="30" t="s">
        <v>562</v>
      </c>
      <c r="J319" s="30" t="s">
        <v>439</v>
      </c>
      <c r="K319" s="30" t="s">
        <v>440</v>
      </c>
      <c r="L319" s="47"/>
      <c r="M319" s="47"/>
      <c r="N319" s="47">
        <v>1000</v>
      </c>
      <c r="O319" s="47"/>
      <c r="P319" s="47"/>
      <c r="Q319" s="47"/>
      <c r="R319" s="47"/>
      <c r="S319" s="47"/>
      <c r="T319" s="47"/>
      <c r="U319" s="47"/>
      <c r="V319" s="47"/>
      <c r="W319" s="48"/>
      <c r="X319" s="48"/>
      <c r="Y319" s="47"/>
      <c r="Z319" s="47"/>
      <c r="AA319" s="47"/>
      <c r="AB319" s="31" t="s">
        <v>226</v>
      </c>
    </row>
    <row r="320" spans="1:28" ht="12.75">
      <c r="A320" s="8" t="s">
        <v>51</v>
      </c>
      <c r="B320" s="9" t="s">
        <v>440</v>
      </c>
      <c r="C320" s="10">
        <v>1</v>
      </c>
      <c r="D320" s="4" t="s">
        <v>565</v>
      </c>
      <c r="E320" s="4" t="s">
        <v>569</v>
      </c>
      <c r="F320" s="83" t="s">
        <v>777</v>
      </c>
      <c r="I320" s="242" t="s">
        <v>571</v>
      </c>
      <c r="J320" s="226" t="s">
        <v>440</v>
      </c>
      <c r="K320" s="226" t="s">
        <v>572</v>
      </c>
      <c r="L320" s="229">
        <f>105139/3</f>
        <v>35046.333333333336</v>
      </c>
      <c r="M320" s="53"/>
      <c r="N320" s="53"/>
      <c r="O320" s="53"/>
      <c r="P320" s="53"/>
      <c r="Q320" s="229">
        <f>114789/3</f>
        <v>38263</v>
      </c>
      <c r="R320" s="53"/>
      <c r="S320" s="53"/>
      <c r="T320" s="53"/>
      <c r="U320" s="236">
        <v>1</v>
      </c>
      <c r="V320" s="53"/>
      <c r="W320" s="38"/>
      <c r="X320" s="38"/>
      <c r="Y320" s="236">
        <v>1</v>
      </c>
      <c r="Z320" s="236">
        <v>3</v>
      </c>
      <c r="AA320" s="53"/>
      <c r="AB320" s="239" t="s">
        <v>286</v>
      </c>
    </row>
    <row r="321" spans="1:28" ht="12.75">
      <c r="A321" s="8" t="s">
        <v>52</v>
      </c>
      <c r="B321" s="9" t="s">
        <v>440</v>
      </c>
      <c r="C321" s="10">
        <v>2</v>
      </c>
      <c r="D321" s="4" t="s">
        <v>565</v>
      </c>
      <c r="E321" s="4" t="s">
        <v>163</v>
      </c>
      <c r="F321" s="83" t="s">
        <v>777</v>
      </c>
      <c r="I321" s="243"/>
      <c r="J321" s="227"/>
      <c r="K321" s="227"/>
      <c r="L321" s="230"/>
      <c r="M321" s="54"/>
      <c r="N321" s="54"/>
      <c r="O321" s="54"/>
      <c r="P321" s="54"/>
      <c r="Q321" s="230"/>
      <c r="R321" s="54"/>
      <c r="S321" s="54"/>
      <c r="T321" s="54"/>
      <c r="U321" s="232"/>
      <c r="V321" s="54"/>
      <c r="W321" s="39"/>
      <c r="X321" s="39"/>
      <c r="Y321" s="232"/>
      <c r="Z321" s="232"/>
      <c r="AA321" s="54"/>
      <c r="AB321" s="240"/>
    </row>
    <row r="322" spans="1:28" ht="12.75">
      <c r="A322" s="8" t="s">
        <v>53</v>
      </c>
      <c r="B322" s="9" t="s">
        <v>440</v>
      </c>
      <c r="C322" s="10">
        <v>3</v>
      </c>
      <c r="D322" s="4" t="s">
        <v>566</v>
      </c>
      <c r="E322" s="4" t="s">
        <v>165</v>
      </c>
      <c r="F322" s="83" t="s">
        <v>718</v>
      </c>
      <c r="I322" s="243"/>
      <c r="J322" s="57" t="s">
        <v>440</v>
      </c>
      <c r="K322" s="57" t="s">
        <v>164</v>
      </c>
      <c r="L322" s="54">
        <f>109782/3</f>
        <v>36594</v>
      </c>
      <c r="M322" s="54"/>
      <c r="N322" s="54"/>
      <c r="O322" s="54"/>
      <c r="P322" s="54"/>
      <c r="Q322" s="230"/>
      <c r="R322" s="54"/>
      <c r="S322" s="54"/>
      <c r="T322" s="54"/>
      <c r="U322" s="54"/>
      <c r="V322" s="54"/>
      <c r="W322" s="39"/>
      <c r="X322" s="39"/>
      <c r="Y322" s="232"/>
      <c r="Z322" s="232"/>
      <c r="AA322" s="54"/>
      <c r="AB322" s="240"/>
    </row>
    <row r="323" spans="1:28" ht="12.75">
      <c r="A323" s="8" t="s">
        <v>54</v>
      </c>
      <c r="B323" s="9" t="s">
        <v>440</v>
      </c>
      <c r="C323" s="10">
        <v>4</v>
      </c>
      <c r="D323" s="4" t="s">
        <v>567</v>
      </c>
      <c r="E323" s="4" t="s">
        <v>165</v>
      </c>
      <c r="F323" s="83" t="s">
        <v>718</v>
      </c>
      <c r="I323" s="243"/>
      <c r="J323" s="57" t="s">
        <v>440</v>
      </c>
      <c r="K323" s="57" t="s">
        <v>164</v>
      </c>
      <c r="L323" s="54">
        <f>111836/3</f>
        <v>37278.666666666664</v>
      </c>
      <c r="M323" s="54"/>
      <c r="N323" s="54"/>
      <c r="O323" s="54"/>
      <c r="P323" s="54"/>
      <c r="Q323" s="230"/>
      <c r="R323" s="54"/>
      <c r="S323" s="54"/>
      <c r="T323" s="54"/>
      <c r="U323" s="54"/>
      <c r="V323" s="54"/>
      <c r="W323" s="39"/>
      <c r="X323" s="39"/>
      <c r="Y323" s="232"/>
      <c r="Z323" s="232"/>
      <c r="AA323" s="54"/>
      <c r="AB323" s="240"/>
    </row>
    <row r="324" spans="1:28" ht="12.75">
      <c r="A324" s="8" t="s">
        <v>55</v>
      </c>
      <c r="B324" s="9" t="s">
        <v>440</v>
      </c>
      <c r="C324" s="10">
        <v>5</v>
      </c>
      <c r="D324" s="4" t="s">
        <v>568</v>
      </c>
      <c r="E324" s="4" t="s">
        <v>570</v>
      </c>
      <c r="F324" s="83" t="s">
        <v>777</v>
      </c>
      <c r="I324" s="243"/>
      <c r="J324" s="227" t="s">
        <v>440</v>
      </c>
      <c r="K324" s="227" t="s">
        <v>573</v>
      </c>
      <c r="L324" s="230">
        <f>114789/3</f>
        <v>38263</v>
      </c>
      <c r="M324" s="54"/>
      <c r="N324" s="54"/>
      <c r="O324" s="54"/>
      <c r="P324" s="54"/>
      <c r="Q324" s="230"/>
      <c r="R324" s="54"/>
      <c r="S324" s="54"/>
      <c r="T324" s="54"/>
      <c r="U324" s="232">
        <v>1</v>
      </c>
      <c r="V324" s="54"/>
      <c r="W324" s="39"/>
      <c r="X324" s="39"/>
      <c r="Y324" s="232"/>
      <c r="Z324" s="232"/>
      <c r="AA324" s="54"/>
      <c r="AB324" s="240"/>
    </row>
    <row r="325" spans="1:28" ht="12.75">
      <c r="A325" s="8" t="s">
        <v>56</v>
      </c>
      <c r="B325" s="9" t="s">
        <v>440</v>
      </c>
      <c r="C325" s="10">
        <v>6</v>
      </c>
      <c r="D325" s="4" t="s">
        <v>568</v>
      </c>
      <c r="E325" s="4" t="s">
        <v>163</v>
      </c>
      <c r="F325" s="83" t="s">
        <v>777</v>
      </c>
      <c r="I325" s="244"/>
      <c r="J325" s="228"/>
      <c r="K325" s="228"/>
      <c r="L325" s="235"/>
      <c r="M325" s="55"/>
      <c r="N325" s="55"/>
      <c r="O325" s="55"/>
      <c r="P325" s="55"/>
      <c r="Q325" s="235"/>
      <c r="R325" s="55"/>
      <c r="S325" s="55"/>
      <c r="T325" s="55"/>
      <c r="U325" s="237"/>
      <c r="V325" s="55"/>
      <c r="W325" s="40"/>
      <c r="X325" s="40"/>
      <c r="Y325" s="237"/>
      <c r="Z325" s="237"/>
      <c r="AA325" s="55"/>
      <c r="AB325" s="241"/>
    </row>
    <row r="326" spans="1:28" ht="12.75">
      <c r="A326" s="8" t="s">
        <v>57</v>
      </c>
      <c r="B326" s="9" t="s">
        <v>440</v>
      </c>
      <c r="C326" s="10">
        <v>7</v>
      </c>
      <c r="D326" s="4" t="s">
        <v>574</v>
      </c>
      <c r="E326" s="4" t="s">
        <v>575</v>
      </c>
      <c r="F326" s="83" t="s">
        <v>777</v>
      </c>
      <c r="I326" s="242" t="s">
        <v>580</v>
      </c>
      <c r="J326" s="226" t="s">
        <v>440</v>
      </c>
      <c r="K326" s="226" t="s">
        <v>581</v>
      </c>
      <c r="L326" s="229">
        <f>134822/3</f>
        <v>44940.666666666664</v>
      </c>
      <c r="M326" s="53"/>
      <c r="N326" s="53"/>
      <c r="O326" s="53"/>
      <c r="P326" s="53"/>
      <c r="Q326" s="229">
        <f>151482/3</f>
        <v>50494</v>
      </c>
      <c r="R326" s="53"/>
      <c r="S326" s="53"/>
      <c r="T326" s="53"/>
      <c r="U326" s="236">
        <v>1</v>
      </c>
      <c r="V326" s="53"/>
      <c r="W326" s="38"/>
      <c r="X326" s="38"/>
      <c r="Y326" s="236">
        <v>1</v>
      </c>
      <c r="Z326" s="53"/>
      <c r="AA326" s="53"/>
      <c r="AB326" s="239" t="s">
        <v>286</v>
      </c>
    </row>
    <row r="327" spans="1:28" ht="12.75">
      <c r="A327" s="8" t="s">
        <v>58</v>
      </c>
      <c r="B327" s="9" t="s">
        <v>440</v>
      </c>
      <c r="C327" s="10">
        <v>8</v>
      </c>
      <c r="D327" s="4" t="s">
        <v>574</v>
      </c>
      <c r="E327" s="4" t="s">
        <v>163</v>
      </c>
      <c r="F327" s="83" t="s">
        <v>777</v>
      </c>
      <c r="I327" s="243"/>
      <c r="J327" s="227"/>
      <c r="K327" s="227"/>
      <c r="L327" s="230"/>
      <c r="M327" s="54"/>
      <c r="N327" s="54"/>
      <c r="O327" s="54"/>
      <c r="P327" s="54"/>
      <c r="Q327" s="230"/>
      <c r="R327" s="54"/>
      <c r="S327" s="54"/>
      <c r="T327" s="54"/>
      <c r="U327" s="232"/>
      <c r="V327" s="54"/>
      <c r="W327" s="39"/>
      <c r="X327" s="39"/>
      <c r="Y327" s="232"/>
      <c r="Z327" s="54"/>
      <c r="AA327" s="54"/>
      <c r="AB327" s="240"/>
    </row>
    <row r="328" spans="1:28" ht="12.75">
      <c r="A328" s="8" t="s">
        <v>59</v>
      </c>
      <c r="B328" s="9" t="s">
        <v>440</v>
      </c>
      <c r="C328" s="10">
        <v>9</v>
      </c>
      <c r="D328" s="4" t="s">
        <v>576</v>
      </c>
      <c r="E328" s="4" t="s">
        <v>165</v>
      </c>
      <c r="F328" s="83" t="s">
        <v>718</v>
      </c>
      <c r="I328" s="243"/>
      <c r="J328" s="57" t="s">
        <v>440</v>
      </c>
      <c r="K328" s="57" t="s">
        <v>164</v>
      </c>
      <c r="L328" s="54">
        <f>143269/3</f>
        <v>47756.333333333336</v>
      </c>
      <c r="M328" s="54"/>
      <c r="N328" s="54"/>
      <c r="O328" s="54"/>
      <c r="P328" s="54"/>
      <c r="Q328" s="230"/>
      <c r="R328" s="54"/>
      <c r="S328" s="54"/>
      <c r="T328" s="54"/>
      <c r="U328" s="54"/>
      <c r="V328" s="54"/>
      <c r="W328" s="39"/>
      <c r="X328" s="39"/>
      <c r="Y328" s="232"/>
      <c r="Z328" s="54"/>
      <c r="AA328" s="54"/>
      <c r="AB328" s="240"/>
    </row>
    <row r="329" spans="1:28" ht="12.75">
      <c r="A329" s="8" t="s">
        <v>60</v>
      </c>
      <c r="B329" s="9" t="s">
        <v>440</v>
      </c>
      <c r="C329" s="10">
        <v>10</v>
      </c>
      <c r="D329" s="4" t="s">
        <v>577</v>
      </c>
      <c r="E329" s="4" t="s">
        <v>165</v>
      </c>
      <c r="F329" s="83" t="s">
        <v>718</v>
      </c>
      <c r="I329" s="243"/>
      <c r="J329" s="57" t="s">
        <v>440</v>
      </c>
      <c r="K329" s="57" t="s">
        <v>164</v>
      </c>
      <c r="L329" s="54">
        <f>141221/3</f>
        <v>47073.666666666664</v>
      </c>
      <c r="M329" s="54"/>
      <c r="N329" s="54"/>
      <c r="O329" s="54"/>
      <c r="P329" s="54"/>
      <c r="Q329" s="230"/>
      <c r="R329" s="54"/>
      <c r="S329" s="54"/>
      <c r="T329" s="54"/>
      <c r="U329" s="54"/>
      <c r="V329" s="54"/>
      <c r="W329" s="39"/>
      <c r="X329" s="39"/>
      <c r="Y329" s="232"/>
      <c r="Z329" s="54"/>
      <c r="AA329" s="54"/>
      <c r="AB329" s="240"/>
    </row>
    <row r="330" spans="1:28" ht="12.75">
      <c r="A330" s="8" t="s">
        <v>61</v>
      </c>
      <c r="B330" s="9" t="s">
        <v>440</v>
      </c>
      <c r="C330" s="10">
        <v>11</v>
      </c>
      <c r="D330" s="4" t="s">
        <v>578</v>
      </c>
      <c r="E330" s="4" t="s">
        <v>579</v>
      </c>
      <c r="F330" s="83" t="s">
        <v>777</v>
      </c>
      <c r="I330" s="243"/>
      <c r="J330" s="57" t="s">
        <v>440</v>
      </c>
      <c r="K330" s="57" t="s">
        <v>582</v>
      </c>
      <c r="L330" s="54">
        <f>144879/3</f>
        <v>48293</v>
      </c>
      <c r="M330" s="54"/>
      <c r="N330" s="54"/>
      <c r="O330" s="54"/>
      <c r="P330" s="54"/>
      <c r="Q330" s="230"/>
      <c r="R330" s="54"/>
      <c r="S330" s="54"/>
      <c r="T330" s="54"/>
      <c r="U330" s="39">
        <v>1</v>
      </c>
      <c r="V330" s="54"/>
      <c r="W330" s="39"/>
      <c r="X330" s="39"/>
      <c r="Y330" s="232"/>
      <c r="Z330" s="54"/>
      <c r="AA330" s="54"/>
      <c r="AB330" s="240"/>
    </row>
    <row r="331" spans="1:28" ht="12.75">
      <c r="A331" s="8" t="s">
        <v>62</v>
      </c>
      <c r="B331" s="9" t="s">
        <v>440</v>
      </c>
      <c r="C331" s="10">
        <v>12</v>
      </c>
      <c r="D331" s="4" t="s">
        <v>556</v>
      </c>
      <c r="E331" s="4" t="s">
        <v>163</v>
      </c>
      <c r="F331" s="83" t="s">
        <v>778</v>
      </c>
      <c r="I331" s="244"/>
      <c r="J331" s="56" t="s">
        <v>440</v>
      </c>
      <c r="K331" s="56" t="s">
        <v>163</v>
      </c>
      <c r="L331" s="55">
        <f>151482/3</f>
        <v>50494</v>
      </c>
      <c r="M331" s="55"/>
      <c r="N331" s="55"/>
      <c r="O331" s="55"/>
      <c r="P331" s="55"/>
      <c r="Q331" s="235"/>
      <c r="R331" s="55"/>
      <c r="S331" s="55"/>
      <c r="T331" s="55"/>
      <c r="U331" s="55"/>
      <c r="V331" s="55"/>
      <c r="W331" s="40"/>
      <c r="X331" s="40"/>
      <c r="Y331" s="237"/>
      <c r="Z331" s="55"/>
      <c r="AA331" s="55"/>
      <c r="AB331" s="241"/>
    </row>
    <row r="332" spans="1:28" ht="12.75" customHeight="1">
      <c r="A332" s="8" t="s">
        <v>63</v>
      </c>
      <c r="B332" s="9" t="s">
        <v>440</v>
      </c>
      <c r="C332" s="10">
        <v>13</v>
      </c>
      <c r="D332" s="4" t="s">
        <v>585</v>
      </c>
      <c r="E332" s="4" t="s">
        <v>165</v>
      </c>
      <c r="F332" s="83" t="s">
        <v>718</v>
      </c>
      <c r="I332" s="242" t="s">
        <v>591</v>
      </c>
      <c r="J332" s="58" t="s">
        <v>440</v>
      </c>
      <c r="K332" s="58" t="s">
        <v>164</v>
      </c>
      <c r="L332" s="53">
        <f>(34718/3)+4000</f>
        <v>15572.666666666666</v>
      </c>
      <c r="M332" s="53"/>
      <c r="N332" s="53"/>
      <c r="O332" s="53"/>
      <c r="P332" s="53"/>
      <c r="Q332" s="229">
        <f>(18698/3)+4000</f>
        <v>10232.666666666668</v>
      </c>
      <c r="R332" s="53"/>
      <c r="S332" s="53"/>
      <c r="T332" s="229">
        <f>36420/3</f>
        <v>12140</v>
      </c>
      <c r="U332" s="53"/>
      <c r="V332" s="53"/>
      <c r="W332" s="236">
        <v>5</v>
      </c>
      <c r="X332" s="38"/>
      <c r="Y332" s="53"/>
      <c r="Z332" s="53"/>
      <c r="AA332" s="53"/>
      <c r="AB332" s="233" t="s">
        <v>593</v>
      </c>
    </row>
    <row r="333" spans="1:28" ht="12.75">
      <c r="A333" s="8" t="s">
        <v>64</v>
      </c>
      <c r="B333" s="9" t="s">
        <v>440</v>
      </c>
      <c r="C333" s="10">
        <v>14</v>
      </c>
      <c r="D333" s="4" t="s">
        <v>586</v>
      </c>
      <c r="E333" s="4" t="s">
        <v>587</v>
      </c>
      <c r="F333" s="83" t="s">
        <v>777</v>
      </c>
      <c r="I333" s="243"/>
      <c r="J333" s="227" t="s">
        <v>440</v>
      </c>
      <c r="K333" s="227" t="s">
        <v>592</v>
      </c>
      <c r="L333" s="230">
        <f>(48998/3)+4000</f>
        <v>20332.666666666664</v>
      </c>
      <c r="M333" s="54"/>
      <c r="N333" s="54"/>
      <c r="O333" s="54"/>
      <c r="P333" s="54"/>
      <c r="Q333" s="230"/>
      <c r="R333" s="54"/>
      <c r="S333" s="54"/>
      <c r="T333" s="230"/>
      <c r="U333" s="54"/>
      <c r="V333" s="232">
        <v>1</v>
      </c>
      <c r="W333" s="232"/>
      <c r="X333" s="39"/>
      <c r="Y333" s="54"/>
      <c r="Z333" s="54"/>
      <c r="AA333" s="54"/>
      <c r="AB333" s="234"/>
    </row>
    <row r="334" spans="1:28" ht="12.75">
      <c r="A334" s="8" t="s">
        <v>65</v>
      </c>
      <c r="B334" s="9" t="s">
        <v>440</v>
      </c>
      <c r="C334" s="10">
        <v>15</v>
      </c>
      <c r="D334" s="4" t="s">
        <v>586</v>
      </c>
      <c r="E334" s="4" t="s">
        <v>163</v>
      </c>
      <c r="F334" s="83" t="s">
        <v>777</v>
      </c>
      <c r="I334" s="243"/>
      <c r="J334" s="227"/>
      <c r="K334" s="227"/>
      <c r="L334" s="230"/>
      <c r="M334" s="54"/>
      <c r="N334" s="54"/>
      <c r="O334" s="54"/>
      <c r="P334" s="54"/>
      <c r="Q334" s="230"/>
      <c r="R334" s="54"/>
      <c r="S334" s="54"/>
      <c r="T334" s="230"/>
      <c r="U334" s="54"/>
      <c r="V334" s="232"/>
      <c r="W334" s="232"/>
      <c r="X334" s="39"/>
      <c r="Y334" s="54"/>
      <c r="Z334" s="54"/>
      <c r="AA334" s="54"/>
      <c r="AB334" s="234"/>
    </row>
    <row r="335" spans="1:28" ht="12.75">
      <c r="A335" s="8"/>
      <c r="B335" s="22" t="s">
        <v>588</v>
      </c>
      <c r="C335" s="10"/>
      <c r="D335" s="4" t="s">
        <v>590</v>
      </c>
      <c r="E335" s="7" t="s">
        <v>183</v>
      </c>
      <c r="F335" s="83" t="s">
        <v>720</v>
      </c>
      <c r="I335" s="243"/>
      <c r="J335" s="57" t="s">
        <v>584</v>
      </c>
      <c r="K335" s="18" t="s">
        <v>183</v>
      </c>
      <c r="L335" s="54"/>
      <c r="M335" s="54">
        <f>(55118/3)+4000</f>
        <v>22372.666666666668</v>
      </c>
      <c r="N335" s="54"/>
      <c r="O335" s="54"/>
      <c r="P335" s="54"/>
      <c r="Q335" s="230"/>
      <c r="R335" s="54"/>
      <c r="S335" s="54"/>
      <c r="T335" s="230"/>
      <c r="U335" s="54"/>
      <c r="V335" s="54"/>
      <c r="W335" s="232"/>
      <c r="X335" s="39"/>
      <c r="Y335" s="54"/>
      <c r="Z335" s="54"/>
      <c r="AA335" s="54"/>
      <c r="AB335" s="234"/>
    </row>
    <row r="336" spans="1:28" ht="12.75">
      <c r="A336" s="8"/>
      <c r="B336" s="22" t="s">
        <v>589</v>
      </c>
      <c r="C336" s="10"/>
      <c r="D336" s="4" t="s">
        <v>586</v>
      </c>
      <c r="E336" s="7" t="s">
        <v>184</v>
      </c>
      <c r="F336" s="83" t="s">
        <v>775</v>
      </c>
      <c r="G336" s="7" t="s">
        <v>779</v>
      </c>
      <c r="I336" s="244"/>
      <c r="J336" s="56" t="s">
        <v>584</v>
      </c>
      <c r="K336" s="19" t="s">
        <v>184</v>
      </c>
      <c r="L336" s="55">
        <f>(48998/3)+4000</f>
        <v>20332.666666666664</v>
      </c>
      <c r="M336" s="55"/>
      <c r="N336" s="55"/>
      <c r="O336" s="55"/>
      <c r="P336" s="55"/>
      <c r="Q336" s="235"/>
      <c r="R336" s="55"/>
      <c r="S336" s="55"/>
      <c r="T336" s="235"/>
      <c r="U336" s="55"/>
      <c r="V336" s="55"/>
      <c r="W336" s="237"/>
      <c r="X336" s="40"/>
      <c r="Y336" s="55"/>
      <c r="Z336" s="55"/>
      <c r="AA336" s="55"/>
      <c r="AB336" s="238"/>
    </row>
    <row r="337" spans="1:28" ht="12.75" customHeight="1">
      <c r="A337" s="8" t="s">
        <v>66</v>
      </c>
      <c r="B337" s="9" t="s">
        <v>440</v>
      </c>
      <c r="C337" s="10">
        <v>16</v>
      </c>
      <c r="D337" s="4" t="s">
        <v>594</v>
      </c>
      <c r="E337" s="4" t="s">
        <v>165</v>
      </c>
      <c r="F337" s="83" t="s">
        <v>718</v>
      </c>
      <c r="I337" s="242" t="s">
        <v>597</v>
      </c>
      <c r="J337" s="58" t="s">
        <v>440</v>
      </c>
      <c r="K337" s="58" t="s">
        <v>164</v>
      </c>
      <c r="L337" s="53">
        <f>(64493/3)+4000</f>
        <v>25497.666666666668</v>
      </c>
      <c r="M337" s="53"/>
      <c r="N337" s="53"/>
      <c r="O337" s="53"/>
      <c r="P337" s="53"/>
      <c r="Q337" s="229">
        <f>(16650/3)+4000</f>
        <v>9550</v>
      </c>
      <c r="R337" s="53"/>
      <c r="S337" s="53"/>
      <c r="T337" s="229">
        <f>58096/3</f>
        <v>19365.333333333332</v>
      </c>
      <c r="U337" s="53"/>
      <c r="V337" s="53"/>
      <c r="W337" s="236">
        <v>5</v>
      </c>
      <c r="X337" s="38"/>
      <c r="Y337" s="53"/>
      <c r="Z337" s="53"/>
      <c r="AA337" s="236">
        <f>10801/3</f>
        <v>3600.3333333333335</v>
      </c>
      <c r="AB337" s="233" t="s">
        <v>593</v>
      </c>
    </row>
    <row r="338" spans="1:28" ht="12.75">
      <c r="A338" s="8" t="s">
        <v>67</v>
      </c>
      <c r="B338" s="9" t="s">
        <v>440</v>
      </c>
      <c r="C338" s="10">
        <v>17</v>
      </c>
      <c r="D338" s="4" t="s">
        <v>595</v>
      </c>
      <c r="E338" s="4" t="s">
        <v>596</v>
      </c>
      <c r="F338" s="83" t="s">
        <v>777</v>
      </c>
      <c r="I338" s="243"/>
      <c r="J338" s="227" t="s">
        <v>440</v>
      </c>
      <c r="K338" s="227" t="s">
        <v>598</v>
      </c>
      <c r="L338" s="230">
        <f>(74746/3)+4000</f>
        <v>28915.333333333332</v>
      </c>
      <c r="M338" s="54"/>
      <c r="N338" s="54"/>
      <c r="O338" s="54"/>
      <c r="P338" s="54"/>
      <c r="Q338" s="230"/>
      <c r="R338" s="54"/>
      <c r="S338" s="54"/>
      <c r="T338" s="230"/>
      <c r="U338" s="232">
        <v>1</v>
      </c>
      <c r="V338" s="54"/>
      <c r="W338" s="232"/>
      <c r="X338" s="39"/>
      <c r="Y338" s="54"/>
      <c r="Z338" s="54"/>
      <c r="AA338" s="232"/>
      <c r="AB338" s="234"/>
    </row>
    <row r="339" spans="1:28" ht="12.75">
      <c r="A339" s="8" t="s">
        <v>68</v>
      </c>
      <c r="B339" s="9" t="s">
        <v>440</v>
      </c>
      <c r="C339" s="10">
        <v>18</v>
      </c>
      <c r="D339" s="4" t="s">
        <v>595</v>
      </c>
      <c r="E339" s="4" t="s">
        <v>163</v>
      </c>
      <c r="F339" s="83" t="s">
        <v>777</v>
      </c>
      <c r="I339" s="244"/>
      <c r="J339" s="228"/>
      <c r="K339" s="228"/>
      <c r="L339" s="235"/>
      <c r="M339" s="55"/>
      <c r="N339" s="55"/>
      <c r="O339" s="55"/>
      <c r="P339" s="55"/>
      <c r="Q339" s="235"/>
      <c r="R339" s="55"/>
      <c r="S339" s="55"/>
      <c r="T339" s="235"/>
      <c r="U339" s="237"/>
      <c r="V339" s="55"/>
      <c r="W339" s="237"/>
      <c r="X339" s="40"/>
      <c r="Y339" s="55"/>
      <c r="Z339" s="55"/>
      <c r="AA339" s="237"/>
      <c r="AB339" s="238"/>
    </row>
    <row r="340" spans="1:28" ht="12.75">
      <c r="A340" s="8" t="s">
        <v>69</v>
      </c>
      <c r="B340" s="9" t="s">
        <v>440</v>
      </c>
      <c r="C340" s="10">
        <v>19</v>
      </c>
      <c r="D340" s="4" t="s">
        <v>599</v>
      </c>
      <c r="E340" s="4" t="s">
        <v>165</v>
      </c>
      <c r="F340" s="83" t="s">
        <v>718</v>
      </c>
      <c r="I340" s="242" t="s">
        <v>602</v>
      </c>
      <c r="J340" s="58" t="s">
        <v>440</v>
      </c>
      <c r="K340" s="58" t="s">
        <v>164</v>
      </c>
      <c r="L340" s="53">
        <f>(108171/3)+4000</f>
        <v>40057</v>
      </c>
      <c r="M340" s="53"/>
      <c r="N340" s="53"/>
      <c r="O340" s="53"/>
      <c r="P340" s="229">
        <f>(111822/3)+4000</f>
        <v>41274</v>
      </c>
      <c r="Q340" s="53"/>
      <c r="R340" s="53"/>
      <c r="S340" s="53"/>
      <c r="T340" s="53"/>
      <c r="U340" s="53"/>
      <c r="V340" s="53"/>
      <c r="W340" s="38"/>
      <c r="X340" s="38"/>
      <c r="Y340" s="236">
        <v>1</v>
      </c>
      <c r="Z340" s="236">
        <v>1</v>
      </c>
      <c r="AA340" s="53"/>
      <c r="AB340" s="233" t="s">
        <v>604</v>
      </c>
    </row>
    <row r="341" spans="1:28" ht="12.75">
      <c r="A341" s="8" t="s">
        <v>70</v>
      </c>
      <c r="B341" s="9" t="s">
        <v>440</v>
      </c>
      <c r="C341" s="10">
        <v>20</v>
      </c>
      <c r="D341" s="4" t="s">
        <v>600</v>
      </c>
      <c r="E341" s="4" t="s">
        <v>601</v>
      </c>
      <c r="F341" s="83" t="s">
        <v>777</v>
      </c>
      <c r="I341" s="244"/>
      <c r="J341" s="56" t="s">
        <v>440</v>
      </c>
      <c r="K341" s="56" t="s">
        <v>603</v>
      </c>
      <c r="L341" s="55">
        <f>(111822/3)+4000</f>
        <v>41274</v>
      </c>
      <c r="M341" s="55"/>
      <c r="N341" s="55"/>
      <c r="O341" s="55"/>
      <c r="P341" s="235"/>
      <c r="Q341" s="55"/>
      <c r="R341" s="55"/>
      <c r="S341" s="55"/>
      <c r="T341" s="55"/>
      <c r="U341" s="40">
        <v>1</v>
      </c>
      <c r="V341" s="55"/>
      <c r="W341" s="40"/>
      <c r="X341" s="40"/>
      <c r="Y341" s="237"/>
      <c r="Z341" s="237"/>
      <c r="AA341" s="55"/>
      <c r="AB341" s="238"/>
    </row>
    <row r="342" spans="1:28" ht="12.75">
      <c r="A342" s="8" t="s">
        <v>71</v>
      </c>
      <c r="B342" s="9" t="s">
        <v>440</v>
      </c>
      <c r="C342" s="10">
        <v>21</v>
      </c>
      <c r="D342" s="4" t="s">
        <v>467</v>
      </c>
      <c r="E342" s="4" t="s">
        <v>191</v>
      </c>
      <c r="F342" s="114">
        <v>1450</v>
      </c>
      <c r="I342" s="89" t="s">
        <v>787</v>
      </c>
      <c r="J342" s="75" t="s">
        <v>440</v>
      </c>
      <c r="K342" s="75" t="s">
        <v>191</v>
      </c>
      <c r="L342" s="76">
        <v>1500</v>
      </c>
      <c r="M342" s="76"/>
      <c r="N342" s="76"/>
      <c r="O342" s="76"/>
      <c r="P342" s="43"/>
      <c r="Q342" s="76"/>
      <c r="R342" s="76"/>
      <c r="S342" s="76"/>
      <c r="T342" s="76"/>
      <c r="U342" s="77"/>
      <c r="V342" s="76"/>
      <c r="W342" s="77"/>
      <c r="X342" s="77"/>
      <c r="Y342" s="112"/>
      <c r="Z342" s="112"/>
      <c r="AA342" s="76"/>
      <c r="AB342" s="113"/>
    </row>
    <row r="343" spans="1:27" s="14" customFormat="1" ht="12.75">
      <c r="A343" s="11" t="s">
        <v>72</v>
      </c>
      <c r="B343" s="12" t="s">
        <v>440</v>
      </c>
      <c r="C343" s="13">
        <v>22</v>
      </c>
      <c r="D343" s="14" t="s">
        <v>190</v>
      </c>
      <c r="F343" s="84"/>
      <c r="H343" s="73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2"/>
      <c r="X343" s="42"/>
      <c r="Y343" s="41"/>
      <c r="Z343" s="41"/>
      <c r="AA343" s="41"/>
    </row>
    <row r="344" spans="1:27" s="14" customFormat="1" ht="12.75">
      <c r="A344" s="11" t="s">
        <v>73</v>
      </c>
      <c r="B344" s="12" t="s">
        <v>440</v>
      </c>
      <c r="C344" s="13">
        <v>23</v>
      </c>
      <c r="D344" s="14" t="s">
        <v>190</v>
      </c>
      <c r="F344" s="84"/>
      <c r="H344" s="73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2"/>
      <c r="X344" s="42"/>
      <c r="Y344" s="41"/>
      <c r="Z344" s="41"/>
      <c r="AA344" s="41"/>
    </row>
    <row r="345" spans="1:27" s="14" customFormat="1" ht="12.75">
      <c r="A345" s="11" t="s">
        <v>74</v>
      </c>
      <c r="B345" s="12" t="s">
        <v>440</v>
      </c>
      <c r="C345" s="13">
        <v>24</v>
      </c>
      <c r="D345" s="14" t="s">
        <v>190</v>
      </c>
      <c r="F345" s="84"/>
      <c r="H345" s="73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2"/>
      <c r="X345" s="42"/>
      <c r="Y345" s="41"/>
      <c r="Z345" s="41"/>
      <c r="AA345" s="41"/>
    </row>
    <row r="346" spans="1:27" ht="12.75">
      <c r="A346" s="8"/>
      <c r="B346" s="9"/>
      <c r="C346" s="10"/>
      <c r="F346" s="82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6"/>
      <c r="X346" s="46"/>
      <c r="Y346" s="45"/>
      <c r="Z346" s="45"/>
      <c r="AA346" s="45"/>
    </row>
    <row r="347" spans="1:28" s="29" customFormat="1" ht="12.75">
      <c r="A347" s="26"/>
      <c r="B347" s="27"/>
      <c r="C347" s="28"/>
      <c r="F347" s="85"/>
      <c r="H347" s="73"/>
      <c r="I347" s="30" t="s">
        <v>563</v>
      </c>
      <c r="J347" s="30" t="s">
        <v>440</v>
      </c>
      <c r="K347" s="30" t="s">
        <v>502</v>
      </c>
      <c r="L347" s="47"/>
      <c r="M347" s="47"/>
      <c r="N347" s="47">
        <v>1000</v>
      </c>
      <c r="O347" s="47"/>
      <c r="P347" s="47"/>
      <c r="Q347" s="47"/>
      <c r="R347" s="47"/>
      <c r="S347" s="47"/>
      <c r="T347" s="47"/>
      <c r="U347" s="47"/>
      <c r="V347" s="47"/>
      <c r="W347" s="48"/>
      <c r="X347" s="48"/>
      <c r="Y347" s="47"/>
      <c r="Z347" s="47"/>
      <c r="AA347" s="47"/>
      <c r="AB347" s="31" t="s">
        <v>226</v>
      </c>
    </row>
    <row r="348" spans="1:28" s="29" customFormat="1" ht="12.75">
      <c r="A348" s="26"/>
      <c r="B348" s="27"/>
      <c r="C348" s="28"/>
      <c r="F348" s="85"/>
      <c r="H348" s="73"/>
      <c r="I348" s="30" t="s">
        <v>564</v>
      </c>
      <c r="J348" s="30" t="s">
        <v>502</v>
      </c>
      <c r="K348" s="30" t="s">
        <v>509</v>
      </c>
      <c r="L348" s="47"/>
      <c r="M348" s="47"/>
      <c r="N348" s="47">
        <v>1000</v>
      </c>
      <c r="O348" s="47"/>
      <c r="P348" s="47"/>
      <c r="Q348" s="47"/>
      <c r="R348" s="47"/>
      <c r="S348" s="47"/>
      <c r="T348" s="47"/>
      <c r="U348" s="47"/>
      <c r="V348" s="47"/>
      <c r="W348" s="48"/>
      <c r="X348" s="48"/>
      <c r="Y348" s="47"/>
      <c r="Z348" s="47"/>
      <c r="AA348" s="47"/>
      <c r="AB348" s="31" t="s">
        <v>226</v>
      </c>
    </row>
    <row r="349" spans="1:28" s="29" customFormat="1" ht="12.75">
      <c r="A349" s="26"/>
      <c r="B349" s="27"/>
      <c r="C349" s="28"/>
      <c r="F349" s="85"/>
      <c r="H349" s="73"/>
      <c r="I349" s="30" t="s">
        <v>583</v>
      </c>
      <c r="J349" s="30" t="s">
        <v>509</v>
      </c>
      <c r="K349" s="30" t="s">
        <v>584</v>
      </c>
      <c r="L349" s="47"/>
      <c r="M349" s="47"/>
      <c r="N349" s="47">
        <v>1000</v>
      </c>
      <c r="O349" s="47"/>
      <c r="P349" s="47"/>
      <c r="Q349" s="47"/>
      <c r="R349" s="47"/>
      <c r="S349" s="47"/>
      <c r="T349" s="47"/>
      <c r="U349" s="47"/>
      <c r="V349" s="47"/>
      <c r="W349" s="48"/>
      <c r="X349" s="48"/>
      <c r="Y349" s="47"/>
      <c r="Z349" s="47"/>
      <c r="AA349" s="47"/>
      <c r="AB349" s="31" t="s">
        <v>226</v>
      </c>
    </row>
    <row r="350" spans="1:28" s="29" customFormat="1" ht="12.75">
      <c r="A350" s="26"/>
      <c r="B350" s="27"/>
      <c r="C350" s="28"/>
      <c r="F350" s="85"/>
      <c r="H350" s="73"/>
      <c r="I350" s="30" t="s">
        <v>797</v>
      </c>
      <c r="J350" s="30" t="s">
        <v>584</v>
      </c>
      <c r="K350" s="30" t="s">
        <v>688</v>
      </c>
      <c r="L350" s="47"/>
      <c r="M350" s="47"/>
      <c r="N350" s="47">
        <v>15000</v>
      </c>
      <c r="O350" s="47">
        <v>15000</v>
      </c>
      <c r="P350" s="47"/>
      <c r="Q350" s="47"/>
      <c r="R350" s="47"/>
      <c r="S350" s="47"/>
      <c r="T350" s="47"/>
      <c r="U350" s="47"/>
      <c r="V350" s="47"/>
      <c r="W350" s="48"/>
      <c r="X350" s="48"/>
      <c r="Y350" s="47"/>
      <c r="Z350" s="47"/>
      <c r="AA350" s="47"/>
      <c r="AB350" s="31" t="s">
        <v>796</v>
      </c>
    </row>
    <row r="351" spans="1:28" s="29" customFormat="1" ht="12.75">
      <c r="A351" s="26"/>
      <c r="B351" s="27"/>
      <c r="C351" s="28"/>
      <c r="F351" s="85"/>
      <c r="H351" s="73"/>
      <c r="I351" s="30" t="s">
        <v>798</v>
      </c>
      <c r="J351" s="30" t="s">
        <v>688</v>
      </c>
      <c r="K351" s="30" t="s">
        <v>795</v>
      </c>
      <c r="L351" s="47"/>
      <c r="M351" s="47"/>
      <c r="N351" s="47">
        <v>15000</v>
      </c>
      <c r="O351" s="47">
        <v>15000</v>
      </c>
      <c r="P351" s="47"/>
      <c r="Q351" s="47"/>
      <c r="R351" s="47"/>
      <c r="S351" s="47"/>
      <c r="T351" s="47"/>
      <c r="U351" s="47"/>
      <c r="V351" s="47"/>
      <c r="W351" s="48"/>
      <c r="X351" s="48"/>
      <c r="Y351" s="47"/>
      <c r="Z351" s="47"/>
      <c r="AA351" s="47"/>
      <c r="AB351" s="31" t="s">
        <v>796</v>
      </c>
    </row>
    <row r="352" spans="1:28" s="29" customFormat="1" ht="12.75">
      <c r="A352" s="26"/>
      <c r="B352" s="27"/>
      <c r="C352" s="28"/>
      <c r="F352" s="85"/>
      <c r="H352" s="73"/>
      <c r="I352" s="30" t="s">
        <v>610</v>
      </c>
      <c r="J352" s="30" t="s">
        <v>584</v>
      </c>
      <c r="K352" s="30" t="s">
        <v>441</v>
      </c>
      <c r="L352" s="47"/>
      <c r="M352" s="47"/>
      <c r="N352" s="47">
        <v>67330</v>
      </c>
      <c r="O352" s="47">
        <v>67330</v>
      </c>
      <c r="P352" s="47"/>
      <c r="Q352" s="47"/>
      <c r="R352" s="47"/>
      <c r="S352" s="47"/>
      <c r="T352" s="47"/>
      <c r="U352" s="47"/>
      <c r="V352" s="47"/>
      <c r="W352" s="48"/>
      <c r="X352" s="48"/>
      <c r="Y352" s="47"/>
      <c r="Z352" s="47"/>
      <c r="AA352" s="47"/>
      <c r="AB352" s="31" t="s">
        <v>227</v>
      </c>
    </row>
    <row r="353" spans="1:28" ht="12.75">
      <c r="A353" s="8" t="s">
        <v>75</v>
      </c>
      <c r="B353" s="9" t="s">
        <v>441</v>
      </c>
      <c r="C353" s="10">
        <v>1</v>
      </c>
      <c r="D353" s="4" t="s">
        <v>615</v>
      </c>
      <c r="E353" s="4" t="s">
        <v>616</v>
      </c>
      <c r="F353" s="83" t="s">
        <v>777</v>
      </c>
      <c r="I353" s="242" t="s">
        <v>618</v>
      </c>
      <c r="J353" s="58" t="s">
        <v>441</v>
      </c>
      <c r="K353" s="58" t="s">
        <v>619</v>
      </c>
      <c r="L353" s="53">
        <f>8370/3</f>
        <v>2790</v>
      </c>
      <c r="M353" s="53"/>
      <c r="N353" s="53"/>
      <c r="O353" s="229">
        <f>8370/3</f>
        <v>2790</v>
      </c>
      <c r="P353" s="53"/>
      <c r="Q353" s="53"/>
      <c r="R353" s="53"/>
      <c r="S353" s="53"/>
      <c r="T353" s="53"/>
      <c r="U353" s="38">
        <v>1</v>
      </c>
      <c r="V353" s="53"/>
      <c r="W353" s="38"/>
      <c r="X353" s="38"/>
      <c r="Y353" s="236">
        <v>1</v>
      </c>
      <c r="Z353" s="53"/>
      <c r="AA353" s="53"/>
      <c r="AB353" s="233" t="s">
        <v>604</v>
      </c>
    </row>
    <row r="354" spans="1:28" ht="12.75">
      <c r="A354" s="8" t="s">
        <v>76</v>
      </c>
      <c r="B354" s="9" t="s">
        <v>441</v>
      </c>
      <c r="C354" s="10">
        <v>2</v>
      </c>
      <c r="D354" s="4" t="s">
        <v>617</v>
      </c>
      <c r="E354" s="4" t="s">
        <v>165</v>
      </c>
      <c r="F354" s="83" t="s">
        <v>718</v>
      </c>
      <c r="I354" s="244"/>
      <c r="J354" s="56" t="s">
        <v>441</v>
      </c>
      <c r="K354" s="56" t="s">
        <v>164</v>
      </c>
      <c r="L354" s="55">
        <f>4598/3</f>
        <v>1532.6666666666667</v>
      </c>
      <c r="M354" s="55"/>
      <c r="N354" s="55"/>
      <c r="O354" s="235"/>
      <c r="P354" s="55"/>
      <c r="Q354" s="55"/>
      <c r="R354" s="55"/>
      <c r="S354" s="55"/>
      <c r="T354" s="55"/>
      <c r="U354" s="55"/>
      <c r="V354" s="55"/>
      <c r="W354" s="40"/>
      <c r="X354" s="40"/>
      <c r="Y354" s="237"/>
      <c r="Z354" s="55"/>
      <c r="AA354" s="55"/>
      <c r="AB354" s="238"/>
    </row>
    <row r="355" spans="1:28" ht="12.75">
      <c r="A355" s="8" t="s">
        <v>77</v>
      </c>
      <c r="B355" s="9" t="s">
        <v>441</v>
      </c>
      <c r="C355" s="10">
        <v>3</v>
      </c>
      <c r="D355" s="4" t="s">
        <v>621</v>
      </c>
      <c r="E355" s="4" t="s">
        <v>620</v>
      </c>
      <c r="F355" s="83" t="s">
        <v>777</v>
      </c>
      <c r="I355" s="264" t="s">
        <v>626</v>
      </c>
      <c r="J355" s="226" t="s">
        <v>441</v>
      </c>
      <c r="K355" s="226" t="s">
        <v>627</v>
      </c>
      <c r="L355" s="229">
        <v>82200</v>
      </c>
      <c r="M355" s="53"/>
      <c r="N355" s="53"/>
      <c r="O355" s="53"/>
      <c r="P355" s="229">
        <f>13055+14409</f>
        <v>27464</v>
      </c>
      <c r="Q355" s="229">
        <v>84800</v>
      </c>
      <c r="R355" s="53"/>
      <c r="S355" s="53"/>
      <c r="T355" s="53"/>
      <c r="U355" s="236">
        <v>1</v>
      </c>
      <c r="V355" s="53"/>
      <c r="W355" s="236">
        <v>3</v>
      </c>
      <c r="X355" s="38"/>
      <c r="Y355" s="53"/>
      <c r="Z355" s="53"/>
      <c r="AA355" s="53"/>
      <c r="AB355" s="233" t="s">
        <v>628</v>
      </c>
    </row>
    <row r="356" spans="1:28" ht="12.75">
      <c r="A356" s="8" t="s">
        <v>78</v>
      </c>
      <c r="B356" s="9" t="s">
        <v>441</v>
      </c>
      <c r="C356" s="10">
        <v>4</v>
      </c>
      <c r="D356" s="4" t="s">
        <v>621</v>
      </c>
      <c r="E356" s="4" t="s">
        <v>163</v>
      </c>
      <c r="F356" s="83" t="s">
        <v>777</v>
      </c>
      <c r="I356" s="265"/>
      <c r="J356" s="227"/>
      <c r="K356" s="227"/>
      <c r="L356" s="230"/>
      <c r="M356" s="54"/>
      <c r="N356" s="54"/>
      <c r="O356" s="54"/>
      <c r="P356" s="230"/>
      <c r="Q356" s="230"/>
      <c r="R356" s="54"/>
      <c r="S356" s="54"/>
      <c r="T356" s="54"/>
      <c r="U356" s="232"/>
      <c r="V356" s="54"/>
      <c r="W356" s="232"/>
      <c r="X356" s="39"/>
      <c r="Y356" s="54"/>
      <c r="Z356" s="54"/>
      <c r="AA356" s="54"/>
      <c r="AB356" s="234"/>
    </row>
    <row r="357" spans="1:28" ht="12.75">
      <c r="A357" s="8" t="s">
        <v>79</v>
      </c>
      <c r="B357" s="9" t="s">
        <v>441</v>
      </c>
      <c r="C357" s="10">
        <v>5</v>
      </c>
      <c r="D357" s="4" t="s">
        <v>622</v>
      </c>
      <c r="E357" s="4" t="s">
        <v>165</v>
      </c>
      <c r="F357" s="83" t="s">
        <v>718</v>
      </c>
      <c r="I357" s="266"/>
      <c r="J357" s="56" t="s">
        <v>441</v>
      </c>
      <c r="K357" s="56" t="s">
        <v>164</v>
      </c>
      <c r="L357" s="55">
        <v>85225</v>
      </c>
      <c r="M357" s="55"/>
      <c r="N357" s="55"/>
      <c r="O357" s="55"/>
      <c r="P357" s="235"/>
      <c r="Q357" s="235"/>
      <c r="R357" s="55"/>
      <c r="S357" s="55"/>
      <c r="T357" s="55"/>
      <c r="U357" s="55"/>
      <c r="V357" s="55"/>
      <c r="W357" s="237"/>
      <c r="X357" s="40"/>
      <c r="Y357" s="55"/>
      <c r="Z357" s="55"/>
      <c r="AA357" s="55"/>
      <c r="AB357" s="238"/>
    </row>
    <row r="358" spans="1:28" ht="12.75">
      <c r="A358" s="8" t="s">
        <v>80</v>
      </c>
      <c r="B358" s="9" t="s">
        <v>441</v>
      </c>
      <c r="C358" s="10">
        <v>6</v>
      </c>
      <c r="D358" s="4" t="s">
        <v>630</v>
      </c>
      <c r="E358" s="4" t="s">
        <v>631</v>
      </c>
      <c r="F358" s="83" t="s">
        <v>777</v>
      </c>
      <c r="I358" s="264" t="s">
        <v>637</v>
      </c>
      <c r="J358" s="226" t="s">
        <v>441</v>
      </c>
      <c r="K358" s="226" t="s">
        <v>639</v>
      </c>
      <c r="L358" s="229">
        <v>88255</v>
      </c>
      <c r="M358" s="53"/>
      <c r="N358" s="53"/>
      <c r="O358" s="229">
        <v>6700</v>
      </c>
      <c r="P358" s="53"/>
      <c r="Q358" s="236">
        <f>8000+99907</f>
        <v>107907</v>
      </c>
      <c r="R358" s="53"/>
      <c r="S358" s="53"/>
      <c r="T358" s="53"/>
      <c r="U358" s="236">
        <v>1</v>
      </c>
      <c r="V358" s="53"/>
      <c r="W358" s="236">
        <v>5</v>
      </c>
      <c r="X358" s="38"/>
      <c r="Y358" s="53"/>
      <c r="Z358" s="53"/>
      <c r="AA358" s="236">
        <v>6700</v>
      </c>
      <c r="AB358" s="233" t="s">
        <v>628</v>
      </c>
    </row>
    <row r="359" spans="1:28" ht="12.75">
      <c r="A359" s="8" t="s">
        <v>81</v>
      </c>
      <c r="B359" s="9" t="s">
        <v>441</v>
      </c>
      <c r="C359" s="10">
        <v>7</v>
      </c>
      <c r="D359" s="4" t="s">
        <v>630</v>
      </c>
      <c r="E359" s="4" t="s">
        <v>163</v>
      </c>
      <c r="F359" s="83" t="s">
        <v>777</v>
      </c>
      <c r="I359" s="265"/>
      <c r="J359" s="227"/>
      <c r="K359" s="227"/>
      <c r="L359" s="230"/>
      <c r="M359" s="54"/>
      <c r="N359" s="54"/>
      <c r="O359" s="230"/>
      <c r="P359" s="54"/>
      <c r="Q359" s="232"/>
      <c r="R359" s="54"/>
      <c r="S359" s="54"/>
      <c r="T359" s="54"/>
      <c r="U359" s="232"/>
      <c r="V359" s="54"/>
      <c r="W359" s="232"/>
      <c r="X359" s="39"/>
      <c r="Y359" s="54"/>
      <c r="Z359" s="54"/>
      <c r="AA359" s="232"/>
      <c r="AB359" s="234"/>
    </row>
    <row r="360" spans="1:28" ht="12.75">
      <c r="A360" s="8" t="s">
        <v>82</v>
      </c>
      <c r="B360" s="9" t="s">
        <v>441</v>
      </c>
      <c r="C360" s="10">
        <v>8</v>
      </c>
      <c r="D360" s="4" t="s">
        <v>632</v>
      </c>
      <c r="E360" s="4" t="s">
        <v>633</v>
      </c>
      <c r="F360" s="83" t="s">
        <v>777</v>
      </c>
      <c r="I360" s="265"/>
      <c r="J360" s="227" t="s">
        <v>441</v>
      </c>
      <c r="K360" s="227" t="s">
        <v>640</v>
      </c>
      <c r="L360" s="230">
        <v>95997</v>
      </c>
      <c r="M360" s="54"/>
      <c r="N360" s="54"/>
      <c r="O360" s="230"/>
      <c r="P360" s="54"/>
      <c r="Q360" s="232"/>
      <c r="R360" s="54"/>
      <c r="S360" s="54"/>
      <c r="T360" s="54"/>
      <c r="U360" s="232">
        <v>1</v>
      </c>
      <c r="V360" s="54"/>
      <c r="W360" s="232"/>
      <c r="X360" s="39"/>
      <c r="Y360" s="54"/>
      <c r="Z360" s="54"/>
      <c r="AA360" s="232"/>
      <c r="AB360" s="234"/>
    </row>
    <row r="361" spans="1:28" ht="12.75">
      <c r="A361" s="8" t="s">
        <v>83</v>
      </c>
      <c r="B361" s="9" t="s">
        <v>441</v>
      </c>
      <c r="C361" s="10">
        <v>9</v>
      </c>
      <c r="D361" s="4" t="s">
        <v>632</v>
      </c>
      <c r="E361" s="4" t="s">
        <v>163</v>
      </c>
      <c r="F361" s="83" t="s">
        <v>777</v>
      </c>
      <c r="I361" s="266"/>
      <c r="J361" s="228"/>
      <c r="K361" s="228"/>
      <c r="L361" s="235"/>
      <c r="M361" s="55"/>
      <c r="N361" s="55"/>
      <c r="O361" s="235"/>
      <c r="P361" s="55"/>
      <c r="Q361" s="237"/>
      <c r="R361" s="55"/>
      <c r="S361" s="55"/>
      <c r="T361" s="55"/>
      <c r="U361" s="237"/>
      <c r="V361" s="55"/>
      <c r="W361" s="237"/>
      <c r="X361" s="40"/>
      <c r="Y361" s="55"/>
      <c r="Z361" s="55"/>
      <c r="AA361" s="237"/>
      <c r="AB361" s="238"/>
    </row>
    <row r="362" spans="1:28" ht="12.75">
      <c r="A362" s="8" t="s">
        <v>84</v>
      </c>
      <c r="B362" s="9" t="s">
        <v>441</v>
      </c>
      <c r="C362" s="10">
        <v>10</v>
      </c>
      <c r="D362" s="4" t="s">
        <v>623</v>
      </c>
      <c r="E362" s="4" t="s">
        <v>163</v>
      </c>
      <c r="F362" s="83" t="s">
        <v>778</v>
      </c>
      <c r="I362" s="264" t="s">
        <v>625</v>
      </c>
      <c r="J362" s="58" t="s">
        <v>441</v>
      </c>
      <c r="K362" s="58" t="s">
        <v>163</v>
      </c>
      <c r="L362" s="53">
        <v>97856</v>
      </c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38"/>
      <c r="X362" s="38"/>
      <c r="Y362" s="53"/>
      <c r="Z362" s="53"/>
      <c r="AA362" s="53"/>
      <c r="AB362" s="272" t="s">
        <v>629</v>
      </c>
    </row>
    <row r="363" spans="1:28" ht="12.75">
      <c r="A363" s="8" t="s">
        <v>85</v>
      </c>
      <c r="B363" s="9" t="s">
        <v>441</v>
      </c>
      <c r="C363" s="10">
        <v>11</v>
      </c>
      <c r="D363" s="4" t="s">
        <v>624</v>
      </c>
      <c r="E363" s="4" t="s">
        <v>163</v>
      </c>
      <c r="F363" s="83" t="s">
        <v>778</v>
      </c>
      <c r="I363" s="266"/>
      <c r="J363" s="56" t="s">
        <v>441</v>
      </c>
      <c r="K363" s="56" t="s">
        <v>163</v>
      </c>
      <c r="L363" s="55">
        <v>90660</v>
      </c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40"/>
      <c r="X363" s="40"/>
      <c r="Y363" s="55"/>
      <c r="Z363" s="55"/>
      <c r="AA363" s="55"/>
      <c r="AB363" s="274"/>
    </row>
    <row r="364" spans="1:28" ht="12.75">
      <c r="A364" s="8" t="s">
        <v>86</v>
      </c>
      <c r="B364" s="9" t="s">
        <v>441</v>
      </c>
      <c r="C364" s="10">
        <v>12</v>
      </c>
      <c r="D364" s="4" t="s">
        <v>634</v>
      </c>
      <c r="E364" s="4" t="s">
        <v>165</v>
      </c>
      <c r="F364" s="83" t="s">
        <v>718</v>
      </c>
      <c r="I364" s="264" t="s">
        <v>638</v>
      </c>
      <c r="J364" s="58" t="s">
        <v>441</v>
      </c>
      <c r="K364" s="58" t="s">
        <v>164</v>
      </c>
      <c r="L364" s="53">
        <f>1924+8000+99907</f>
        <v>109831</v>
      </c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38"/>
      <c r="X364" s="38"/>
      <c r="Y364" s="53"/>
      <c r="Z364" s="53"/>
      <c r="AA364" s="53"/>
      <c r="AB364" s="272" t="s">
        <v>642</v>
      </c>
    </row>
    <row r="365" spans="1:28" ht="12.75">
      <c r="A365" s="8" t="s">
        <v>87</v>
      </c>
      <c r="B365" s="9" t="s">
        <v>441</v>
      </c>
      <c r="C365" s="10">
        <v>13</v>
      </c>
      <c r="D365" s="4" t="s">
        <v>635</v>
      </c>
      <c r="E365" s="4" t="s">
        <v>636</v>
      </c>
      <c r="F365" s="83" t="s">
        <v>777</v>
      </c>
      <c r="I365" s="265"/>
      <c r="J365" s="227" t="s">
        <v>441</v>
      </c>
      <c r="K365" s="227" t="s">
        <v>641</v>
      </c>
      <c r="L365" s="230">
        <f>6700+8000+99907</f>
        <v>114607</v>
      </c>
      <c r="M365" s="54"/>
      <c r="N365" s="54"/>
      <c r="O365" s="54"/>
      <c r="P365" s="54"/>
      <c r="Q365" s="54"/>
      <c r="R365" s="54"/>
      <c r="S365" s="54"/>
      <c r="T365" s="54"/>
      <c r="U365" s="232">
        <v>1</v>
      </c>
      <c r="V365" s="54"/>
      <c r="W365" s="39"/>
      <c r="X365" s="39"/>
      <c r="Y365" s="54"/>
      <c r="Z365" s="54"/>
      <c r="AA365" s="54"/>
      <c r="AB365" s="273"/>
    </row>
    <row r="366" spans="1:28" ht="12.75">
      <c r="A366" s="8" t="s">
        <v>88</v>
      </c>
      <c r="B366" s="9" t="s">
        <v>441</v>
      </c>
      <c r="C366" s="10">
        <v>14</v>
      </c>
      <c r="D366" s="4" t="s">
        <v>635</v>
      </c>
      <c r="E366" s="4" t="s">
        <v>163</v>
      </c>
      <c r="F366" s="83" t="s">
        <v>777</v>
      </c>
      <c r="I366" s="266"/>
      <c r="J366" s="228"/>
      <c r="K366" s="228"/>
      <c r="L366" s="235"/>
      <c r="M366" s="55"/>
      <c r="N366" s="55"/>
      <c r="O366" s="55"/>
      <c r="P366" s="55"/>
      <c r="Q366" s="55"/>
      <c r="R366" s="55"/>
      <c r="S366" s="55"/>
      <c r="T366" s="55"/>
      <c r="U366" s="237"/>
      <c r="V366" s="55"/>
      <c r="W366" s="40"/>
      <c r="X366" s="40"/>
      <c r="Y366" s="55"/>
      <c r="Z366" s="55"/>
      <c r="AA366" s="55"/>
      <c r="AB366" s="274"/>
    </row>
    <row r="367" spans="1:27" s="14" customFormat="1" ht="12.75">
      <c r="A367" s="11" t="s">
        <v>89</v>
      </c>
      <c r="B367" s="12" t="s">
        <v>441</v>
      </c>
      <c r="C367" s="13">
        <v>15</v>
      </c>
      <c r="D367" s="14" t="s">
        <v>190</v>
      </c>
      <c r="F367" s="84"/>
      <c r="H367" s="73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2"/>
      <c r="X367" s="42"/>
      <c r="Y367" s="41"/>
      <c r="Z367" s="41"/>
      <c r="AA367" s="41"/>
    </row>
    <row r="368" spans="1:27" s="14" customFormat="1" ht="12.75">
      <c r="A368" s="11" t="s">
        <v>90</v>
      </c>
      <c r="B368" s="12" t="s">
        <v>441</v>
      </c>
      <c r="C368" s="13">
        <v>16</v>
      </c>
      <c r="D368" s="14" t="s">
        <v>190</v>
      </c>
      <c r="F368" s="84"/>
      <c r="H368" s="73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2"/>
      <c r="X368" s="42"/>
      <c r="Y368" s="41"/>
      <c r="Z368" s="41"/>
      <c r="AA368" s="41"/>
    </row>
    <row r="369" spans="1:27" s="14" customFormat="1" ht="12.75">
      <c r="A369" s="11" t="s">
        <v>91</v>
      </c>
      <c r="B369" s="12" t="s">
        <v>441</v>
      </c>
      <c r="C369" s="13">
        <v>17</v>
      </c>
      <c r="D369" s="14" t="s">
        <v>190</v>
      </c>
      <c r="F369" s="84"/>
      <c r="H369" s="73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2"/>
      <c r="X369" s="42"/>
      <c r="Y369" s="41"/>
      <c r="Z369" s="41"/>
      <c r="AA369" s="41"/>
    </row>
    <row r="370" spans="1:27" s="14" customFormat="1" ht="12.75">
      <c r="A370" s="11" t="s">
        <v>92</v>
      </c>
      <c r="B370" s="12" t="s">
        <v>441</v>
      </c>
      <c r="C370" s="13">
        <v>18</v>
      </c>
      <c r="D370" s="14" t="s">
        <v>190</v>
      </c>
      <c r="F370" s="84"/>
      <c r="H370" s="73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2"/>
      <c r="X370" s="42"/>
      <c r="Y370" s="41"/>
      <c r="Z370" s="41"/>
      <c r="AA370" s="41"/>
    </row>
    <row r="371" spans="1:27" s="14" customFormat="1" ht="12.75">
      <c r="A371" s="11" t="s">
        <v>93</v>
      </c>
      <c r="B371" s="12" t="s">
        <v>441</v>
      </c>
      <c r="C371" s="13">
        <v>19</v>
      </c>
      <c r="D371" s="14" t="s">
        <v>190</v>
      </c>
      <c r="F371" s="84"/>
      <c r="H371" s="73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2"/>
      <c r="X371" s="42"/>
      <c r="Y371" s="41"/>
      <c r="Z371" s="41"/>
      <c r="AA371" s="41"/>
    </row>
    <row r="372" spans="1:27" s="14" customFormat="1" ht="12.75">
      <c r="A372" s="11" t="s">
        <v>94</v>
      </c>
      <c r="B372" s="12" t="s">
        <v>441</v>
      </c>
      <c r="C372" s="13">
        <v>20</v>
      </c>
      <c r="D372" s="14" t="s">
        <v>190</v>
      </c>
      <c r="F372" s="84"/>
      <c r="H372" s="73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2"/>
      <c r="X372" s="42"/>
      <c r="Y372" s="41"/>
      <c r="Z372" s="41"/>
      <c r="AA372" s="41"/>
    </row>
    <row r="373" spans="1:28" s="63" customFormat="1" ht="12.75">
      <c r="A373" s="60" t="s">
        <v>95</v>
      </c>
      <c r="B373" s="61" t="s">
        <v>441</v>
      </c>
      <c r="C373" s="62">
        <v>21</v>
      </c>
      <c r="D373" s="63" t="s">
        <v>611</v>
      </c>
      <c r="E373" s="63" t="s">
        <v>435</v>
      </c>
      <c r="F373" s="277" t="s">
        <v>719</v>
      </c>
      <c r="H373" s="73"/>
      <c r="I373" s="64"/>
      <c r="J373" s="64"/>
      <c r="K373" s="64"/>
      <c r="L373" s="65">
        <v>500</v>
      </c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6"/>
      <c r="X373" s="66"/>
      <c r="Y373" s="65"/>
      <c r="Z373" s="65"/>
      <c r="AA373" s="65"/>
      <c r="AB373" s="67" t="s">
        <v>436</v>
      </c>
    </row>
    <row r="374" spans="1:28" s="63" customFormat="1" ht="12.75">
      <c r="A374" s="60" t="s">
        <v>96</v>
      </c>
      <c r="B374" s="61" t="s">
        <v>441</v>
      </c>
      <c r="C374" s="62">
        <v>22</v>
      </c>
      <c r="D374" s="63" t="s">
        <v>612</v>
      </c>
      <c r="E374" s="63" t="s">
        <v>435</v>
      </c>
      <c r="F374" s="277"/>
      <c r="H374" s="73"/>
      <c r="I374" s="64"/>
      <c r="J374" s="64"/>
      <c r="K374" s="64"/>
      <c r="L374" s="65">
        <v>500</v>
      </c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6"/>
      <c r="X374" s="66"/>
      <c r="Y374" s="65"/>
      <c r="Z374" s="65"/>
      <c r="AA374" s="65"/>
      <c r="AB374" s="67" t="s">
        <v>436</v>
      </c>
    </row>
    <row r="375" spans="1:28" s="63" customFormat="1" ht="12.75">
      <c r="A375" s="60" t="s">
        <v>97</v>
      </c>
      <c r="B375" s="61" t="s">
        <v>441</v>
      </c>
      <c r="C375" s="62">
        <v>23</v>
      </c>
      <c r="D375" s="63" t="s">
        <v>613</v>
      </c>
      <c r="E375" s="63" t="s">
        <v>435</v>
      </c>
      <c r="F375" s="277"/>
      <c r="H375" s="73"/>
      <c r="I375" s="64"/>
      <c r="J375" s="64"/>
      <c r="K375" s="64"/>
      <c r="L375" s="65">
        <v>500</v>
      </c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6"/>
      <c r="X375" s="66"/>
      <c r="Y375" s="65"/>
      <c r="Z375" s="65"/>
      <c r="AA375" s="65"/>
      <c r="AB375" s="67" t="s">
        <v>436</v>
      </c>
    </row>
    <row r="376" spans="1:28" s="63" customFormat="1" ht="12.75">
      <c r="A376" s="60" t="s">
        <v>98</v>
      </c>
      <c r="B376" s="61" t="s">
        <v>441</v>
      </c>
      <c r="C376" s="62">
        <v>24</v>
      </c>
      <c r="D376" s="63" t="s">
        <v>614</v>
      </c>
      <c r="E376" s="63" t="s">
        <v>435</v>
      </c>
      <c r="F376" s="277"/>
      <c r="H376" s="73"/>
      <c r="I376" s="64"/>
      <c r="J376" s="64"/>
      <c r="K376" s="64"/>
      <c r="L376" s="65">
        <v>500</v>
      </c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6"/>
      <c r="X376" s="66"/>
      <c r="Y376" s="65"/>
      <c r="Z376" s="65"/>
      <c r="AA376" s="65"/>
      <c r="AB376" s="67" t="s">
        <v>436</v>
      </c>
    </row>
    <row r="377" spans="1:27" ht="12.75">
      <c r="A377" s="8"/>
      <c r="B377" s="9"/>
      <c r="C377" s="10"/>
      <c r="F377" s="82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6"/>
      <c r="X377" s="46"/>
      <c r="Y377" s="45"/>
      <c r="Z377" s="45"/>
      <c r="AA377" s="45"/>
    </row>
    <row r="378" spans="1:28" s="29" customFormat="1" ht="12.75">
      <c r="A378" s="26"/>
      <c r="B378" s="27"/>
      <c r="C378" s="28"/>
      <c r="F378" s="85"/>
      <c r="H378" s="73"/>
      <c r="I378" s="30" t="s">
        <v>643</v>
      </c>
      <c r="J378" s="30" t="s">
        <v>441</v>
      </c>
      <c r="K378" s="30" t="s">
        <v>442</v>
      </c>
      <c r="L378" s="47"/>
      <c r="M378" s="47"/>
      <c r="N378" s="47">
        <v>74775</v>
      </c>
      <c r="O378" s="47">
        <v>74775</v>
      </c>
      <c r="P378" s="47"/>
      <c r="Q378" s="47"/>
      <c r="R378" s="47"/>
      <c r="S378" s="47"/>
      <c r="T378" s="47"/>
      <c r="U378" s="47"/>
      <c r="V378" s="47"/>
      <c r="W378" s="48"/>
      <c r="X378" s="48"/>
      <c r="Y378" s="47"/>
      <c r="Z378" s="47"/>
      <c r="AA378" s="47"/>
      <c r="AB378" s="31" t="s">
        <v>227</v>
      </c>
    </row>
    <row r="379" spans="1:28" s="29" customFormat="1" ht="12.75">
      <c r="A379" s="26"/>
      <c r="B379" s="27"/>
      <c r="C379" s="28"/>
      <c r="F379" s="85"/>
      <c r="H379" s="73"/>
      <c r="I379" s="30" t="s">
        <v>699</v>
      </c>
      <c r="J379" s="30" t="s">
        <v>442</v>
      </c>
      <c r="K379" s="30" t="s">
        <v>790</v>
      </c>
      <c r="L379" s="47"/>
      <c r="M379" s="47"/>
      <c r="N379" s="47">
        <v>1000</v>
      </c>
      <c r="O379" s="47"/>
      <c r="P379" s="47"/>
      <c r="Q379" s="47"/>
      <c r="R379" s="47"/>
      <c r="S379" s="47"/>
      <c r="T379" s="47"/>
      <c r="U379" s="47"/>
      <c r="V379" s="47"/>
      <c r="W379" s="48"/>
      <c r="X379" s="48"/>
      <c r="Y379" s="47"/>
      <c r="Z379" s="47"/>
      <c r="AA379" s="47"/>
      <c r="AB379" s="31" t="s">
        <v>226</v>
      </c>
    </row>
    <row r="380" spans="1:28" ht="12.75">
      <c r="A380" s="8" t="s">
        <v>99</v>
      </c>
      <c r="B380" s="9" t="s">
        <v>442</v>
      </c>
      <c r="C380" s="10">
        <v>1</v>
      </c>
      <c r="D380" s="4" t="s">
        <v>644</v>
      </c>
      <c r="E380" s="4" t="s">
        <v>646</v>
      </c>
      <c r="F380" s="83" t="s">
        <v>777</v>
      </c>
      <c r="I380" s="242" t="s">
        <v>647</v>
      </c>
      <c r="J380" s="58" t="s">
        <v>442</v>
      </c>
      <c r="K380" s="58" t="s">
        <v>648</v>
      </c>
      <c r="L380" s="53">
        <f>9952/3</f>
        <v>3317.3333333333335</v>
      </c>
      <c r="M380" s="53"/>
      <c r="N380" s="53"/>
      <c r="O380" s="229">
        <f>7373/3</f>
        <v>2457.6666666666665</v>
      </c>
      <c r="P380" s="53"/>
      <c r="Q380" s="53"/>
      <c r="R380" s="53"/>
      <c r="S380" s="53"/>
      <c r="T380" s="53"/>
      <c r="U380" s="38">
        <v>1</v>
      </c>
      <c r="V380" s="53"/>
      <c r="W380" s="38"/>
      <c r="X380" s="38"/>
      <c r="Y380" s="236">
        <v>1</v>
      </c>
      <c r="Z380" s="53"/>
      <c r="AA380" s="53"/>
      <c r="AB380" s="233" t="s">
        <v>604</v>
      </c>
    </row>
    <row r="381" spans="1:28" ht="12.75">
      <c r="A381" s="8" t="s">
        <v>100</v>
      </c>
      <c r="B381" s="9" t="s">
        <v>442</v>
      </c>
      <c r="C381" s="10">
        <v>2</v>
      </c>
      <c r="D381" s="4" t="s">
        <v>645</v>
      </c>
      <c r="E381" s="4" t="s">
        <v>165</v>
      </c>
      <c r="F381" s="83" t="s">
        <v>718</v>
      </c>
      <c r="I381" s="244"/>
      <c r="J381" s="56" t="s">
        <v>442</v>
      </c>
      <c r="K381" s="56" t="s">
        <v>164</v>
      </c>
      <c r="L381" s="55">
        <f>7373/3</f>
        <v>2457.6666666666665</v>
      </c>
      <c r="M381" s="55"/>
      <c r="N381" s="55"/>
      <c r="O381" s="235"/>
      <c r="P381" s="55"/>
      <c r="Q381" s="55"/>
      <c r="R381" s="55"/>
      <c r="S381" s="55"/>
      <c r="T381" s="55"/>
      <c r="U381" s="55"/>
      <c r="V381" s="55"/>
      <c r="W381" s="40"/>
      <c r="X381" s="40"/>
      <c r="Y381" s="237"/>
      <c r="Z381" s="55"/>
      <c r="AA381" s="55"/>
      <c r="AB381" s="238"/>
    </row>
    <row r="382" spans="1:28" ht="12.75">
      <c r="A382" s="8" t="s">
        <v>101</v>
      </c>
      <c r="B382" s="9" t="s">
        <v>442</v>
      </c>
      <c r="C382" s="10">
        <v>3</v>
      </c>
      <c r="D382" s="4" t="s">
        <v>649</v>
      </c>
      <c r="E382" s="4" t="s">
        <v>650</v>
      </c>
      <c r="F382" s="83" t="s">
        <v>777</v>
      </c>
      <c r="I382" s="242" t="s">
        <v>652</v>
      </c>
      <c r="J382" s="226" t="s">
        <v>442</v>
      </c>
      <c r="K382" s="226" t="s">
        <v>653</v>
      </c>
      <c r="L382" s="229">
        <f>73500/3</f>
        <v>24500</v>
      </c>
      <c r="M382" s="53"/>
      <c r="N382" s="53"/>
      <c r="O382" s="53"/>
      <c r="P382" s="229">
        <f>73500/3</f>
        <v>24500</v>
      </c>
      <c r="Q382" s="53"/>
      <c r="R382" s="53"/>
      <c r="S382" s="53"/>
      <c r="T382" s="53"/>
      <c r="U382" s="236">
        <v>1</v>
      </c>
      <c r="V382" s="53"/>
      <c r="W382" s="38"/>
      <c r="X382" s="38"/>
      <c r="Y382" s="236">
        <v>1</v>
      </c>
      <c r="Z382" s="53"/>
      <c r="AA382" s="53"/>
      <c r="AB382" s="233" t="s">
        <v>672</v>
      </c>
    </row>
    <row r="383" spans="1:28" ht="12.75">
      <c r="A383" s="8" t="s">
        <v>102</v>
      </c>
      <c r="B383" s="9" t="s">
        <v>442</v>
      </c>
      <c r="C383" s="10">
        <v>4</v>
      </c>
      <c r="D383" s="4" t="s">
        <v>649</v>
      </c>
      <c r="E383" s="4" t="s">
        <v>163</v>
      </c>
      <c r="F383" s="83" t="s">
        <v>777</v>
      </c>
      <c r="I383" s="243"/>
      <c r="J383" s="227"/>
      <c r="K383" s="227"/>
      <c r="L383" s="230"/>
      <c r="M383" s="54"/>
      <c r="N383" s="54"/>
      <c r="O383" s="54"/>
      <c r="P383" s="230"/>
      <c r="Q383" s="54"/>
      <c r="R383" s="54"/>
      <c r="S383" s="54"/>
      <c r="T383" s="54"/>
      <c r="U383" s="232"/>
      <c r="V383" s="54"/>
      <c r="W383" s="39"/>
      <c r="X383" s="39"/>
      <c r="Y383" s="232"/>
      <c r="Z383" s="54"/>
      <c r="AA383" s="54"/>
      <c r="AB383" s="234"/>
    </row>
    <row r="384" spans="1:28" ht="12.75">
      <c r="A384" s="8" t="s">
        <v>103</v>
      </c>
      <c r="B384" s="9" t="s">
        <v>442</v>
      </c>
      <c r="C384" s="10">
        <v>5</v>
      </c>
      <c r="D384" s="4" t="s">
        <v>651</v>
      </c>
      <c r="E384" s="4" t="s">
        <v>165</v>
      </c>
      <c r="F384" s="83" t="s">
        <v>718</v>
      </c>
      <c r="I384" s="244"/>
      <c r="J384" s="56" t="s">
        <v>442</v>
      </c>
      <c r="K384" s="56" t="s">
        <v>164</v>
      </c>
      <c r="L384" s="55">
        <f>70298/3</f>
        <v>23432.666666666668</v>
      </c>
      <c r="M384" s="55"/>
      <c r="N384" s="55"/>
      <c r="O384" s="55"/>
      <c r="P384" s="235"/>
      <c r="Q384" s="55"/>
      <c r="R384" s="55"/>
      <c r="S384" s="55"/>
      <c r="T384" s="55"/>
      <c r="U384" s="55"/>
      <c r="V384" s="55"/>
      <c r="W384" s="40"/>
      <c r="X384" s="40"/>
      <c r="Y384" s="237"/>
      <c r="Z384" s="55"/>
      <c r="AA384" s="55"/>
      <c r="AB384" s="238"/>
    </row>
    <row r="385" spans="1:28" ht="12.75">
      <c r="A385" s="8" t="s">
        <v>104</v>
      </c>
      <c r="B385" s="9" t="s">
        <v>442</v>
      </c>
      <c r="C385" s="10">
        <v>6</v>
      </c>
      <c r="D385" s="4" t="s">
        <v>654</v>
      </c>
      <c r="E385" s="4" t="s">
        <v>655</v>
      </c>
      <c r="F385" s="83" t="s">
        <v>777</v>
      </c>
      <c r="I385" s="264" t="s">
        <v>660</v>
      </c>
      <c r="J385" s="226" t="s">
        <v>442</v>
      </c>
      <c r="K385" s="226" t="s">
        <v>661</v>
      </c>
      <c r="L385" s="229">
        <f>96975/3</f>
        <v>32325</v>
      </c>
      <c r="M385" s="53"/>
      <c r="N385" s="53"/>
      <c r="O385" s="53"/>
      <c r="P385" s="53"/>
      <c r="Q385" s="229">
        <f>132675/3</f>
        <v>44225</v>
      </c>
      <c r="R385" s="53"/>
      <c r="S385" s="53"/>
      <c r="T385" s="53"/>
      <c r="U385" s="236">
        <v>1</v>
      </c>
      <c r="V385" s="53"/>
      <c r="W385" s="38"/>
      <c r="X385" s="38"/>
      <c r="Y385" s="53"/>
      <c r="Z385" s="53"/>
      <c r="AA385" s="53"/>
      <c r="AB385" s="233" t="s">
        <v>671</v>
      </c>
    </row>
    <row r="386" spans="1:28" ht="12.75">
      <c r="A386" s="8" t="s">
        <v>105</v>
      </c>
      <c r="B386" s="9" t="s">
        <v>442</v>
      </c>
      <c r="C386" s="10">
        <v>7</v>
      </c>
      <c r="D386" s="4" t="s">
        <v>654</v>
      </c>
      <c r="E386" s="4" t="s">
        <v>163</v>
      </c>
      <c r="F386" s="83" t="s">
        <v>777</v>
      </c>
      <c r="I386" s="266"/>
      <c r="J386" s="228"/>
      <c r="K386" s="228"/>
      <c r="L386" s="235"/>
      <c r="M386" s="55"/>
      <c r="N386" s="55"/>
      <c r="O386" s="55"/>
      <c r="P386" s="55"/>
      <c r="Q386" s="235"/>
      <c r="R386" s="55"/>
      <c r="S386" s="55"/>
      <c r="T386" s="55"/>
      <c r="U386" s="237"/>
      <c r="V386" s="55"/>
      <c r="W386" s="40"/>
      <c r="X386" s="40"/>
      <c r="Y386" s="55"/>
      <c r="Z386" s="55"/>
      <c r="AA386" s="55"/>
      <c r="AB386" s="238"/>
    </row>
    <row r="387" spans="1:28" ht="12.75">
      <c r="A387" s="8" t="s">
        <v>106</v>
      </c>
      <c r="B387" s="9" t="s">
        <v>442</v>
      </c>
      <c r="C387" s="10">
        <v>8</v>
      </c>
      <c r="D387" s="4" t="s">
        <v>665</v>
      </c>
      <c r="E387" s="4" t="s">
        <v>165</v>
      </c>
      <c r="F387" s="83" t="s">
        <v>718</v>
      </c>
      <c r="I387" s="81" t="s">
        <v>668</v>
      </c>
      <c r="J387" s="75" t="s">
        <v>442</v>
      </c>
      <c r="K387" s="75" t="s">
        <v>164</v>
      </c>
      <c r="L387" s="76">
        <f>90473/3</f>
        <v>30157.666666666668</v>
      </c>
      <c r="M387" s="76"/>
      <c r="N387" s="76"/>
      <c r="O387" s="76">
        <f>31725/3</f>
        <v>10575</v>
      </c>
      <c r="P387" s="76"/>
      <c r="Q387" s="76">
        <f>90473/3</f>
        <v>30157.666666666668</v>
      </c>
      <c r="R387" s="76"/>
      <c r="S387" s="76"/>
      <c r="T387" s="76"/>
      <c r="U387" s="76"/>
      <c r="V387" s="76"/>
      <c r="W387" s="77"/>
      <c r="X387" s="77"/>
      <c r="Y387" s="77">
        <v>1</v>
      </c>
      <c r="Z387" s="76"/>
      <c r="AA387" s="76"/>
      <c r="AB387" s="78" t="s">
        <v>673</v>
      </c>
    </row>
    <row r="388" spans="1:28" ht="12.75">
      <c r="A388" s="8" t="s">
        <v>107</v>
      </c>
      <c r="B388" s="9" t="s">
        <v>442</v>
      </c>
      <c r="C388" s="10">
        <v>9</v>
      </c>
      <c r="D388" s="4" t="s">
        <v>656</v>
      </c>
      <c r="E388" s="4" t="s">
        <v>657</v>
      </c>
      <c r="F388" s="83" t="s">
        <v>777</v>
      </c>
      <c r="I388" s="81" t="s">
        <v>667</v>
      </c>
      <c r="J388" s="75" t="s">
        <v>442</v>
      </c>
      <c r="K388" s="75" t="s">
        <v>662</v>
      </c>
      <c r="L388" s="76">
        <f>101475/3</f>
        <v>33825</v>
      </c>
      <c r="M388" s="76"/>
      <c r="N388" s="76"/>
      <c r="O388" s="76"/>
      <c r="P388" s="76"/>
      <c r="Q388" s="76"/>
      <c r="R388" s="76"/>
      <c r="S388" s="76"/>
      <c r="T388" s="76"/>
      <c r="U388" s="77">
        <v>1</v>
      </c>
      <c r="V388" s="76"/>
      <c r="W388" s="77"/>
      <c r="X388" s="77"/>
      <c r="Y388" s="76"/>
      <c r="Z388" s="76"/>
      <c r="AA388" s="76"/>
      <c r="AB388" s="78" t="s">
        <v>673</v>
      </c>
    </row>
    <row r="389" spans="1:28" ht="12.75">
      <c r="A389" s="8" t="s">
        <v>108</v>
      </c>
      <c r="B389" s="9" t="s">
        <v>442</v>
      </c>
      <c r="C389" s="10">
        <v>10</v>
      </c>
      <c r="D389" s="4" t="s">
        <v>666</v>
      </c>
      <c r="E389" s="4" t="s">
        <v>163</v>
      </c>
      <c r="F389" s="83" t="s">
        <v>778</v>
      </c>
      <c r="I389" s="81" t="s">
        <v>669</v>
      </c>
      <c r="J389" s="75" t="s">
        <v>442</v>
      </c>
      <c r="K389" s="75" t="s">
        <v>662</v>
      </c>
      <c r="L389" s="76">
        <f>101475/3</f>
        <v>33825</v>
      </c>
      <c r="M389" s="76"/>
      <c r="N389" s="76"/>
      <c r="O389" s="76"/>
      <c r="P389" s="76"/>
      <c r="Q389" s="76"/>
      <c r="R389" s="76"/>
      <c r="S389" s="76"/>
      <c r="T389" s="76"/>
      <c r="U389" s="77">
        <v>1</v>
      </c>
      <c r="V389" s="76"/>
      <c r="W389" s="77"/>
      <c r="X389" s="77"/>
      <c r="Y389" s="76"/>
      <c r="Z389" s="76"/>
      <c r="AA389" s="76"/>
      <c r="AB389" s="78" t="s">
        <v>673</v>
      </c>
    </row>
    <row r="390" spans="1:28" ht="12.75">
      <c r="A390" s="8" t="s">
        <v>109</v>
      </c>
      <c r="B390" s="9" t="s">
        <v>442</v>
      </c>
      <c r="C390" s="10">
        <v>11</v>
      </c>
      <c r="D390" s="4" t="s">
        <v>656</v>
      </c>
      <c r="E390" s="4" t="s">
        <v>658</v>
      </c>
      <c r="F390" s="83" t="s">
        <v>777</v>
      </c>
      <c r="I390" s="264" t="s">
        <v>670</v>
      </c>
      <c r="J390" s="58" t="s">
        <v>442</v>
      </c>
      <c r="K390" s="58" t="s">
        <v>663</v>
      </c>
      <c r="L390" s="53">
        <f>117375/3</f>
        <v>39125</v>
      </c>
      <c r="M390" s="53"/>
      <c r="N390" s="53"/>
      <c r="O390" s="53"/>
      <c r="P390" s="53"/>
      <c r="Q390" s="53"/>
      <c r="R390" s="53"/>
      <c r="S390" s="53"/>
      <c r="T390" s="53"/>
      <c r="U390" s="38">
        <v>1</v>
      </c>
      <c r="V390" s="53"/>
      <c r="W390" s="38"/>
      <c r="X390" s="38"/>
      <c r="Y390" s="53"/>
      <c r="Z390" s="53"/>
      <c r="AA390" s="53"/>
      <c r="AB390" s="272" t="s">
        <v>673</v>
      </c>
    </row>
    <row r="391" spans="1:28" ht="12.75">
      <c r="A391" s="8" t="s">
        <v>110</v>
      </c>
      <c r="B391" s="9" t="s">
        <v>442</v>
      </c>
      <c r="C391" s="10">
        <v>12</v>
      </c>
      <c r="D391" s="4" t="s">
        <v>654</v>
      </c>
      <c r="E391" s="4" t="s">
        <v>659</v>
      </c>
      <c r="F391" s="83" t="s">
        <v>777</v>
      </c>
      <c r="I391" s="265"/>
      <c r="J391" s="227" t="s">
        <v>442</v>
      </c>
      <c r="K391" s="227" t="s">
        <v>664</v>
      </c>
      <c r="L391" s="230">
        <f>132675/3</f>
        <v>44225</v>
      </c>
      <c r="M391" s="54"/>
      <c r="N391" s="54"/>
      <c r="O391" s="54"/>
      <c r="P391" s="54"/>
      <c r="Q391" s="54"/>
      <c r="R391" s="54"/>
      <c r="S391" s="54"/>
      <c r="T391" s="54"/>
      <c r="U391" s="232">
        <v>1</v>
      </c>
      <c r="V391" s="54"/>
      <c r="W391" s="39"/>
      <c r="X391" s="39"/>
      <c r="Y391" s="54"/>
      <c r="Z391" s="54"/>
      <c r="AA391" s="54"/>
      <c r="AB391" s="273"/>
    </row>
    <row r="392" spans="1:28" ht="12.75">
      <c r="A392" s="8" t="s">
        <v>111</v>
      </c>
      <c r="B392" s="9" t="s">
        <v>442</v>
      </c>
      <c r="C392" s="10">
        <v>13</v>
      </c>
      <c r="D392" s="4" t="s">
        <v>654</v>
      </c>
      <c r="E392" s="4" t="s">
        <v>163</v>
      </c>
      <c r="F392" s="83" t="s">
        <v>777</v>
      </c>
      <c r="I392" s="266"/>
      <c r="J392" s="228"/>
      <c r="K392" s="228"/>
      <c r="L392" s="235"/>
      <c r="M392" s="55"/>
      <c r="N392" s="55"/>
      <c r="O392" s="55"/>
      <c r="P392" s="55"/>
      <c r="Q392" s="55"/>
      <c r="R392" s="55"/>
      <c r="S392" s="55"/>
      <c r="T392" s="55"/>
      <c r="U392" s="237"/>
      <c r="V392" s="55"/>
      <c r="W392" s="40"/>
      <c r="X392" s="40"/>
      <c r="Y392" s="55"/>
      <c r="Z392" s="55"/>
      <c r="AA392" s="55"/>
      <c r="AB392" s="274"/>
    </row>
    <row r="393" spans="1:28" ht="12.75">
      <c r="A393" s="8" t="s">
        <v>112</v>
      </c>
      <c r="B393" s="9" t="s">
        <v>442</v>
      </c>
      <c r="C393" s="10">
        <v>14</v>
      </c>
      <c r="D393" s="4" t="s">
        <v>485</v>
      </c>
      <c r="E393" s="4" t="s">
        <v>165</v>
      </c>
      <c r="F393" s="83" t="s">
        <v>718</v>
      </c>
      <c r="I393" s="242" t="s">
        <v>677</v>
      </c>
      <c r="J393" s="58" t="s">
        <v>442</v>
      </c>
      <c r="K393" s="58" t="s">
        <v>164</v>
      </c>
      <c r="L393" s="53">
        <f>187445/3</f>
        <v>62481.666666666664</v>
      </c>
      <c r="M393" s="53"/>
      <c r="N393" s="53"/>
      <c r="O393" s="229">
        <v>35542</v>
      </c>
      <c r="P393" s="53"/>
      <c r="Q393" s="229">
        <f>208258/3</f>
        <v>69419.33333333333</v>
      </c>
      <c r="R393" s="53"/>
      <c r="S393" s="53"/>
      <c r="T393" s="53"/>
      <c r="U393" s="53"/>
      <c r="V393" s="53"/>
      <c r="W393" s="38"/>
      <c r="X393" s="38"/>
      <c r="Y393" s="236">
        <v>1</v>
      </c>
      <c r="Z393" s="53"/>
      <c r="AA393" s="53"/>
      <c r="AB393" s="233" t="s">
        <v>238</v>
      </c>
    </row>
    <row r="394" spans="1:28" ht="12.75">
      <c r="A394" s="8" t="s">
        <v>113</v>
      </c>
      <c r="B394" s="9" t="s">
        <v>442</v>
      </c>
      <c r="C394" s="10">
        <v>15</v>
      </c>
      <c r="D394" s="4" t="s">
        <v>654</v>
      </c>
      <c r="E394" s="4" t="s">
        <v>674</v>
      </c>
      <c r="F394" s="83" t="s">
        <v>777</v>
      </c>
      <c r="I394" s="243"/>
      <c r="J394" s="227" t="s">
        <v>442</v>
      </c>
      <c r="K394" s="227" t="s">
        <v>678</v>
      </c>
      <c r="L394" s="230">
        <f>192958/3</f>
        <v>64319.333333333336</v>
      </c>
      <c r="M394" s="54"/>
      <c r="N394" s="54"/>
      <c r="O394" s="230"/>
      <c r="P394" s="54"/>
      <c r="Q394" s="230"/>
      <c r="R394" s="54"/>
      <c r="S394" s="54"/>
      <c r="T394" s="54"/>
      <c r="U394" s="232">
        <v>1</v>
      </c>
      <c r="V394" s="54"/>
      <c r="W394" s="39"/>
      <c r="X394" s="39"/>
      <c r="Y394" s="232"/>
      <c r="Z394" s="54"/>
      <c r="AA394" s="54"/>
      <c r="AB394" s="234"/>
    </row>
    <row r="395" spans="1:28" ht="12.75">
      <c r="A395" s="8" t="s">
        <v>114</v>
      </c>
      <c r="B395" s="9" t="s">
        <v>442</v>
      </c>
      <c r="C395" s="10">
        <v>16</v>
      </c>
      <c r="D395" s="4" t="s">
        <v>654</v>
      </c>
      <c r="E395" s="4" t="s">
        <v>163</v>
      </c>
      <c r="F395" s="83" t="s">
        <v>777</v>
      </c>
      <c r="I395" s="243"/>
      <c r="J395" s="227"/>
      <c r="K395" s="227"/>
      <c r="L395" s="230"/>
      <c r="M395" s="54"/>
      <c r="N395" s="54"/>
      <c r="O395" s="230"/>
      <c r="P395" s="54"/>
      <c r="Q395" s="230"/>
      <c r="R395" s="54"/>
      <c r="S395" s="54"/>
      <c r="T395" s="54"/>
      <c r="U395" s="232"/>
      <c r="V395" s="54"/>
      <c r="W395" s="39"/>
      <c r="X395" s="39"/>
      <c r="Y395" s="232"/>
      <c r="Z395" s="54"/>
      <c r="AA395" s="54"/>
      <c r="AB395" s="234"/>
    </row>
    <row r="396" spans="1:28" ht="12.75">
      <c r="A396" s="8" t="s">
        <v>115</v>
      </c>
      <c r="B396" s="9" t="s">
        <v>442</v>
      </c>
      <c r="C396" s="10">
        <v>17</v>
      </c>
      <c r="D396" s="4" t="s">
        <v>656</v>
      </c>
      <c r="E396" s="4" t="s">
        <v>675</v>
      </c>
      <c r="F396" s="83" t="s">
        <v>777</v>
      </c>
      <c r="I396" s="243"/>
      <c r="J396" s="57" t="s">
        <v>442</v>
      </c>
      <c r="K396" s="57" t="s">
        <v>679</v>
      </c>
      <c r="L396" s="54">
        <f>208258/3</f>
        <v>69419.33333333333</v>
      </c>
      <c r="M396" s="54"/>
      <c r="N396" s="54"/>
      <c r="O396" s="230"/>
      <c r="P396" s="54"/>
      <c r="Q396" s="230"/>
      <c r="R396" s="54"/>
      <c r="S396" s="54"/>
      <c r="T396" s="54"/>
      <c r="U396" s="39">
        <v>1</v>
      </c>
      <c r="V396" s="54"/>
      <c r="W396" s="39"/>
      <c r="X396" s="39"/>
      <c r="Y396" s="232"/>
      <c r="Z396" s="54"/>
      <c r="AA396" s="54"/>
      <c r="AB396" s="234"/>
    </row>
    <row r="397" spans="1:28" ht="12.75">
      <c r="A397" s="8" t="s">
        <v>116</v>
      </c>
      <c r="B397" s="9" t="s">
        <v>442</v>
      </c>
      <c r="C397" s="10">
        <v>18</v>
      </c>
      <c r="D397" s="4" t="s">
        <v>676</v>
      </c>
      <c r="E397" s="4" t="s">
        <v>163</v>
      </c>
      <c r="F397" s="83" t="s">
        <v>777</v>
      </c>
      <c r="I397" s="244"/>
      <c r="J397" s="56" t="s">
        <v>442</v>
      </c>
      <c r="K397" s="56" t="s">
        <v>163</v>
      </c>
      <c r="L397" s="55">
        <v>97266</v>
      </c>
      <c r="M397" s="55"/>
      <c r="N397" s="55"/>
      <c r="O397" s="235"/>
      <c r="P397" s="55"/>
      <c r="Q397" s="235"/>
      <c r="R397" s="55"/>
      <c r="S397" s="55"/>
      <c r="T397" s="55"/>
      <c r="U397" s="55"/>
      <c r="V397" s="55"/>
      <c r="W397" s="40"/>
      <c r="X397" s="40"/>
      <c r="Y397" s="237"/>
      <c r="Z397" s="55"/>
      <c r="AA397" s="55"/>
      <c r="AB397" s="238"/>
    </row>
    <row r="398" spans="1:28" ht="12.75">
      <c r="A398" s="8" t="s">
        <v>117</v>
      </c>
      <c r="B398" s="9" t="s">
        <v>442</v>
      </c>
      <c r="C398" s="10">
        <v>19</v>
      </c>
      <c r="D398" s="4" t="s">
        <v>680</v>
      </c>
      <c r="E398" s="4" t="s">
        <v>165</v>
      </c>
      <c r="F398" s="83" t="s">
        <v>718</v>
      </c>
      <c r="I398" s="242" t="s">
        <v>686</v>
      </c>
      <c r="J398" s="58" t="s">
        <v>442</v>
      </c>
      <c r="K398" s="58" t="s">
        <v>164</v>
      </c>
      <c r="L398" s="53">
        <f>(41589/3)+8000</f>
        <v>21863</v>
      </c>
      <c r="M398" s="53"/>
      <c r="N398" s="53"/>
      <c r="O398" s="229">
        <f>14948/3</f>
        <v>4982.666666666667</v>
      </c>
      <c r="P398" s="53"/>
      <c r="Q398" s="229">
        <f>(29190/3)+8000</f>
        <v>17730</v>
      </c>
      <c r="R398" s="53"/>
      <c r="S398" s="53"/>
      <c r="T398" s="53"/>
      <c r="U398" s="53"/>
      <c r="V398" s="53"/>
      <c r="W398" s="38"/>
      <c r="X398" s="236">
        <v>2</v>
      </c>
      <c r="Y398" s="53"/>
      <c r="Z398" s="236">
        <v>1</v>
      </c>
      <c r="AA398" s="236">
        <f>41589/3</f>
        <v>13863</v>
      </c>
      <c r="AB398" s="239" t="s">
        <v>689</v>
      </c>
    </row>
    <row r="399" spans="1:28" ht="12.75">
      <c r="A399" s="8" t="s">
        <v>118</v>
      </c>
      <c r="B399" s="9" t="s">
        <v>442</v>
      </c>
      <c r="C399" s="10">
        <v>20</v>
      </c>
      <c r="D399" s="4" t="s">
        <v>681</v>
      </c>
      <c r="E399" s="4" t="s">
        <v>685</v>
      </c>
      <c r="F399" s="83" t="s">
        <v>777</v>
      </c>
      <c r="I399" s="243"/>
      <c r="J399" s="227" t="s">
        <v>442</v>
      </c>
      <c r="K399" s="227" t="s">
        <v>687</v>
      </c>
      <c r="L399" s="230">
        <f>(26040/3)+8000</f>
        <v>16680</v>
      </c>
      <c r="M399" s="54"/>
      <c r="N399" s="54"/>
      <c r="O399" s="230"/>
      <c r="P399" s="54"/>
      <c r="Q399" s="230"/>
      <c r="R399" s="54"/>
      <c r="S399" s="54"/>
      <c r="T399" s="54"/>
      <c r="U399" s="54"/>
      <c r="V399" s="232">
        <v>1</v>
      </c>
      <c r="W399" s="39"/>
      <c r="X399" s="232"/>
      <c r="Y399" s="54"/>
      <c r="Z399" s="232"/>
      <c r="AA399" s="232"/>
      <c r="AB399" s="240"/>
    </row>
    <row r="400" spans="1:28" ht="12.75">
      <c r="A400" s="8" t="s">
        <v>119</v>
      </c>
      <c r="B400" s="9" t="s">
        <v>442</v>
      </c>
      <c r="C400" s="10">
        <v>21</v>
      </c>
      <c r="D400" s="4" t="s">
        <v>681</v>
      </c>
      <c r="E400" s="4" t="s">
        <v>163</v>
      </c>
      <c r="F400" s="83" t="s">
        <v>777</v>
      </c>
      <c r="I400" s="243"/>
      <c r="J400" s="227"/>
      <c r="K400" s="227"/>
      <c r="L400" s="230"/>
      <c r="M400" s="54"/>
      <c r="N400" s="54"/>
      <c r="O400" s="230"/>
      <c r="P400" s="54"/>
      <c r="Q400" s="230"/>
      <c r="R400" s="54"/>
      <c r="S400" s="54"/>
      <c r="T400" s="54"/>
      <c r="U400" s="54"/>
      <c r="V400" s="232"/>
      <c r="W400" s="39"/>
      <c r="X400" s="232"/>
      <c r="Y400" s="54"/>
      <c r="Z400" s="232"/>
      <c r="AA400" s="232"/>
      <c r="AB400" s="240"/>
    </row>
    <row r="401" spans="1:28" ht="12.75">
      <c r="A401" s="8"/>
      <c r="B401" s="22" t="s">
        <v>799</v>
      </c>
      <c r="C401" s="10"/>
      <c r="D401" s="4" t="s">
        <v>684</v>
      </c>
      <c r="E401" s="7" t="s">
        <v>183</v>
      </c>
      <c r="F401" s="83" t="s">
        <v>720</v>
      </c>
      <c r="I401" s="243"/>
      <c r="J401" s="57" t="s">
        <v>688</v>
      </c>
      <c r="K401" s="18" t="s">
        <v>183</v>
      </c>
      <c r="L401" s="54"/>
      <c r="M401" s="54">
        <f>(31740/3)+8000</f>
        <v>18580</v>
      </c>
      <c r="N401" s="54"/>
      <c r="O401" s="230"/>
      <c r="P401" s="54"/>
      <c r="Q401" s="230"/>
      <c r="R401" s="54"/>
      <c r="S401" s="54"/>
      <c r="T401" s="54"/>
      <c r="U401" s="54"/>
      <c r="V401" s="54"/>
      <c r="W401" s="39"/>
      <c r="X401" s="232"/>
      <c r="Y401" s="54"/>
      <c r="Z401" s="232"/>
      <c r="AA401" s="232"/>
      <c r="AB401" s="240"/>
    </row>
    <row r="402" spans="1:28" ht="12.75">
      <c r="A402" s="8"/>
      <c r="B402" s="22" t="s">
        <v>800</v>
      </c>
      <c r="C402" s="10"/>
      <c r="D402" s="4" t="s">
        <v>681</v>
      </c>
      <c r="E402" s="7" t="s">
        <v>184</v>
      </c>
      <c r="F402" s="83" t="s">
        <v>775</v>
      </c>
      <c r="G402" s="7" t="s">
        <v>779</v>
      </c>
      <c r="I402" s="244"/>
      <c r="J402" s="56" t="s">
        <v>688</v>
      </c>
      <c r="K402" s="19" t="s">
        <v>184</v>
      </c>
      <c r="L402" s="55">
        <f>(26040/3)+8000</f>
        <v>16680</v>
      </c>
      <c r="M402" s="55"/>
      <c r="N402" s="55"/>
      <c r="O402" s="235"/>
      <c r="P402" s="55"/>
      <c r="Q402" s="235"/>
      <c r="R402" s="55"/>
      <c r="S402" s="55"/>
      <c r="T402" s="55"/>
      <c r="U402" s="55"/>
      <c r="V402" s="55"/>
      <c r="W402" s="40"/>
      <c r="X402" s="237"/>
      <c r="Y402" s="55"/>
      <c r="Z402" s="237"/>
      <c r="AA402" s="237"/>
      <c r="AB402" s="241"/>
    </row>
    <row r="403" spans="1:28" ht="12.75">
      <c r="A403" s="8" t="s">
        <v>120</v>
      </c>
      <c r="B403" s="9" t="s">
        <v>442</v>
      </c>
      <c r="C403" s="10">
        <v>22</v>
      </c>
      <c r="D403" s="4" t="s">
        <v>690</v>
      </c>
      <c r="E403" s="4" t="s">
        <v>165</v>
      </c>
      <c r="F403" s="83" t="s">
        <v>718</v>
      </c>
      <c r="I403" s="242" t="s">
        <v>693</v>
      </c>
      <c r="J403" s="58" t="s">
        <v>442</v>
      </c>
      <c r="K403" s="58" t="s">
        <v>164</v>
      </c>
      <c r="L403" s="53">
        <f>(109614/3)+8000</f>
        <v>44538</v>
      </c>
      <c r="M403" s="53"/>
      <c r="N403" s="53"/>
      <c r="O403" s="53"/>
      <c r="P403" s="275">
        <f>(112065/3)+8000</f>
        <v>45355</v>
      </c>
      <c r="Q403" s="53"/>
      <c r="R403" s="53"/>
      <c r="S403" s="53"/>
      <c r="T403" s="53"/>
      <c r="U403" s="53"/>
      <c r="V403" s="53"/>
      <c r="W403" s="38"/>
      <c r="X403" s="79"/>
      <c r="Y403" s="236">
        <v>2</v>
      </c>
      <c r="Z403" s="53"/>
      <c r="AA403" s="53"/>
      <c r="AB403" s="233" t="s">
        <v>671</v>
      </c>
    </row>
    <row r="404" spans="1:28" ht="12.75">
      <c r="A404" s="8" t="s">
        <v>121</v>
      </c>
      <c r="B404" s="9" t="s">
        <v>442</v>
      </c>
      <c r="C404" s="10">
        <v>23</v>
      </c>
      <c r="D404" s="4" t="s">
        <v>691</v>
      </c>
      <c r="E404" s="4" t="s">
        <v>692</v>
      </c>
      <c r="F404" s="83" t="s">
        <v>777</v>
      </c>
      <c r="I404" s="244"/>
      <c r="J404" s="56" t="s">
        <v>442</v>
      </c>
      <c r="K404" s="56" t="s">
        <v>694</v>
      </c>
      <c r="L404" s="55">
        <f>(112065/3)+8000</f>
        <v>45355</v>
      </c>
      <c r="M404" s="55"/>
      <c r="N404" s="55"/>
      <c r="O404" s="55"/>
      <c r="P404" s="276"/>
      <c r="Q404" s="55"/>
      <c r="R404" s="55"/>
      <c r="S404" s="55"/>
      <c r="T404" s="55"/>
      <c r="U404" s="40">
        <v>1</v>
      </c>
      <c r="V404" s="55"/>
      <c r="W404" s="40"/>
      <c r="X404" s="80"/>
      <c r="Y404" s="237"/>
      <c r="Z404" s="55"/>
      <c r="AA404" s="55"/>
      <c r="AB404" s="238"/>
    </row>
    <row r="405" spans="1:27" s="14" customFormat="1" ht="12.75">
      <c r="A405" s="11" t="s">
        <v>122</v>
      </c>
      <c r="B405" s="12" t="s">
        <v>442</v>
      </c>
      <c r="C405" s="13">
        <v>24</v>
      </c>
      <c r="D405" s="14" t="s">
        <v>190</v>
      </c>
      <c r="F405" s="84"/>
      <c r="H405" s="73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2"/>
      <c r="X405" s="42"/>
      <c r="Y405" s="41"/>
      <c r="Z405" s="41"/>
      <c r="AA405" s="41"/>
    </row>
    <row r="406" spans="1:27" s="14" customFormat="1" ht="12.75">
      <c r="A406" s="11" t="s">
        <v>123</v>
      </c>
      <c r="B406" s="12" t="s">
        <v>442</v>
      </c>
      <c r="C406" s="13">
        <v>25</v>
      </c>
      <c r="D406" s="14" t="s">
        <v>190</v>
      </c>
      <c r="F406" s="84"/>
      <c r="H406" s="73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2"/>
      <c r="X406" s="42"/>
      <c r="Y406" s="41"/>
      <c r="Z406" s="41"/>
      <c r="AA406" s="41"/>
    </row>
    <row r="407" spans="1:27" s="14" customFormat="1" ht="12.75">
      <c r="A407" s="11" t="s">
        <v>124</v>
      </c>
      <c r="B407" s="12" t="s">
        <v>442</v>
      </c>
      <c r="C407" s="13">
        <v>26</v>
      </c>
      <c r="D407" s="14" t="s">
        <v>190</v>
      </c>
      <c r="F407" s="84"/>
      <c r="H407" s="73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2"/>
      <c r="X407" s="42"/>
      <c r="Y407" s="41"/>
      <c r="Z407" s="41"/>
      <c r="AA407" s="41"/>
    </row>
    <row r="408" spans="1:27" s="14" customFormat="1" ht="12.75">
      <c r="A408" s="11" t="s">
        <v>125</v>
      </c>
      <c r="B408" s="12" t="s">
        <v>442</v>
      </c>
      <c r="C408" s="13">
        <v>27</v>
      </c>
      <c r="D408" s="14" t="s">
        <v>190</v>
      </c>
      <c r="F408" s="84"/>
      <c r="H408" s="73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2"/>
      <c r="X408" s="42"/>
      <c r="Y408" s="41"/>
      <c r="Z408" s="41"/>
      <c r="AA408" s="41"/>
    </row>
    <row r="409" spans="1:27" s="14" customFormat="1" ht="12.75">
      <c r="A409" s="11" t="s">
        <v>126</v>
      </c>
      <c r="B409" s="12" t="s">
        <v>442</v>
      </c>
      <c r="C409" s="13">
        <v>28</v>
      </c>
      <c r="D409" s="14" t="s">
        <v>190</v>
      </c>
      <c r="F409" s="84"/>
      <c r="H409" s="73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2"/>
      <c r="X409" s="42"/>
      <c r="Y409" s="41"/>
      <c r="Z409" s="41"/>
      <c r="AA409" s="41"/>
    </row>
    <row r="410" spans="1:28" s="63" customFormat="1" ht="12.75">
      <c r="A410" s="60" t="s">
        <v>127</v>
      </c>
      <c r="B410" s="61" t="s">
        <v>442</v>
      </c>
      <c r="C410" s="62">
        <v>29</v>
      </c>
      <c r="D410" s="63" t="s">
        <v>695</v>
      </c>
      <c r="E410" s="63" t="s">
        <v>435</v>
      </c>
      <c r="F410" s="277" t="s">
        <v>719</v>
      </c>
      <c r="H410" s="73"/>
      <c r="I410" s="64"/>
      <c r="J410" s="64"/>
      <c r="K410" s="64"/>
      <c r="L410" s="65">
        <v>500</v>
      </c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6"/>
      <c r="X410" s="66"/>
      <c r="Y410" s="65"/>
      <c r="Z410" s="65"/>
      <c r="AA410" s="65"/>
      <c r="AB410" s="67" t="s">
        <v>436</v>
      </c>
    </row>
    <row r="411" spans="1:28" s="63" customFormat="1" ht="12.75">
      <c r="A411" s="60" t="s">
        <v>128</v>
      </c>
      <c r="B411" s="61" t="s">
        <v>442</v>
      </c>
      <c r="C411" s="62">
        <v>30</v>
      </c>
      <c r="D411" s="63" t="s">
        <v>696</v>
      </c>
      <c r="E411" s="63" t="s">
        <v>435</v>
      </c>
      <c r="F411" s="277"/>
      <c r="H411" s="73"/>
      <c r="I411" s="64"/>
      <c r="J411" s="64"/>
      <c r="K411" s="64"/>
      <c r="L411" s="65">
        <v>500</v>
      </c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6"/>
      <c r="X411" s="66"/>
      <c r="Y411" s="65"/>
      <c r="Z411" s="65"/>
      <c r="AA411" s="65"/>
      <c r="AB411" s="67" t="s">
        <v>436</v>
      </c>
    </row>
    <row r="412" spans="1:28" s="63" customFormat="1" ht="12.75">
      <c r="A412" s="60" t="s">
        <v>129</v>
      </c>
      <c r="B412" s="61" t="s">
        <v>442</v>
      </c>
      <c r="C412" s="62">
        <v>31</v>
      </c>
      <c r="D412" s="63" t="s">
        <v>697</v>
      </c>
      <c r="E412" s="63" t="s">
        <v>435</v>
      </c>
      <c r="F412" s="277"/>
      <c r="H412" s="73"/>
      <c r="I412" s="64"/>
      <c r="J412" s="64"/>
      <c r="K412" s="64"/>
      <c r="L412" s="65">
        <v>500</v>
      </c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6"/>
      <c r="X412" s="66"/>
      <c r="Y412" s="65"/>
      <c r="Z412" s="65"/>
      <c r="AA412" s="65"/>
      <c r="AB412" s="67" t="s">
        <v>436</v>
      </c>
    </row>
    <row r="413" spans="1:28" s="63" customFormat="1" ht="12.75">
      <c r="A413" s="60" t="s">
        <v>130</v>
      </c>
      <c r="B413" s="61" t="s">
        <v>442</v>
      </c>
      <c r="C413" s="62">
        <v>32</v>
      </c>
      <c r="D413" s="63" t="s">
        <v>698</v>
      </c>
      <c r="E413" s="63" t="s">
        <v>435</v>
      </c>
      <c r="F413" s="277"/>
      <c r="H413" s="73"/>
      <c r="I413" s="64"/>
      <c r="J413" s="64"/>
      <c r="K413" s="64"/>
      <c r="L413" s="65">
        <v>500</v>
      </c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6"/>
      <c r="X413" s="66"/>
      <c r="Y413" s="65"/>
      <c r="Z413" s="65"/>
      <c r="AA413" s="65"/>
      <c r="AB413" s="67" t="s">
        <v>436</v>
      </c>
    </row>
    <row r="414" spans="1:27" ht="12.75">
      <c r="A414" s="8"/>
      <c r="B414" s="9"/>
      <c r="C414" s="10"/>
      <c r="F414" s="82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6"/>
      <c r="X414" s="46"/>
      <c r="Y414" s="45"/>
      <c r="Z414" s="45"/>
      <c r="AA414" s="45"/>
    </row>
    <row r="415" spans="1:28" s="29" customFormat="1" ht="12.75">
      <c r="A415" s="26"/>
      <c r="B415" s="27"/>
      <c r="C415" s="28"/>
      <c r="F415" s="85"/>
      <c r="H415" s="73"/>
      <c r="I415" s="30" t="s">
        <v>700</v>
      </c>
      <c r="J415" s="30" t="s">
        <v>790</v>
      </c>
      <c r="K415" s="30" t="s">
        <v>443</v>
      </c>
      <c r="L415" s="47"/>
      <c r="M415" s="47"/>
      <c r="N415" s="47">
        <f>95470+6259</f>
        <v>101729</v>
      </c>
      <c r="O415" s="47">
        <f>95470+6259</f>
        <v>101729</v>
      </c>
      <c r="P415" s="47"/>
      <c r="Q415" s="47"/>
      <c r="R415" s="47"/>
      <c r="S415" s="47"/>
      <c r="T415" s="47"/>
      <c r="U415" s="47"/>
      <c r="V415" s="47"/>
      <c r="W415" s="48"/>
      <c r="X415" s="48"/>
      <c r="Y415" s="47"/>
      <c r="Z415" s="47"/>
      <c r="AA415" s="47"/>
      <c r="AB415" s="31" t="s">
        <v>227</v>
      </c>
    </row>
    <row r="416" spans="1:28" ht="12.75">
      <c r="A416" s="8" t="s">
        <v>131</v>
      </c>
      <c r="B416" s="9" t="s">
        <v>443</v>
      </c>
      <c r="C416" s="10">
        <v>1</v>
      </c>
      <c r="D416" s="4" t="s">
        <v>705</v>
      </c>
      <c r="E416" s="4" t="s">
        <v>707</v>
      </c>
      <c r="F416" s="83" t="s">
        <v>777</v>
      </c>
      <c r="I416" s="267" t="s">
        <v>712</v>
      </c>
      <c r="J416" s="226" t="s">
        <v>443</v>
      </c>
      <c r="K416" s="226" t="s">
        <v>713</v>
      </c>
      <c r="L416" s="229">
        <f>72107/3</f>
        <v>24035.666666666668</v>
      </c>
      <c r="M416" s="53"/>
      <c r="N416" s="53"/>
      <c r="O416" s="229">
        <f>72107/3</f>
        <v>24035.666666666668</v>
      </c>
      <c r="P416" s="53"/>
      <c r="Q416" s="53"/>
      <c r="R416" s="53"/>
      <c r="S416" s="53"/>
      <c r="T416" s="53"/>
      <c r="U416" s="236">
        <v>1</v>
      </c>
      <c r="V416" s="53"/>
      <c r="W416" s="38"/>
      <c r="X416" s="38"/>
      <c r="Y416" s="53"/>
      <c r="Z416" s="236">
        <v>2</v>
      </c>
      <c r="AA416" s="53"/>
      <c r="AB416" s="233" t="s">
        <v>604</v>
      </c>
    </row>
    <row r="417" spans="1:28" ht="12.75">
      <c r="A417" s="8" t="s">
        <v>132</v>
      </c>
      <c r="B417" s="9" t="s">
        <v>443</v>
      </c>
      <c r="C417" s="10">
        <v>2</v>
      </c>
      <c r="D417" s="4" t="s">
        <v>705</v>
      </c>
      <c r="E417" s="4" t="s">
        <v>163</v>
      </c>
      <c r="F417" s="83" t="s">
        <v>777</v>
      </c>
      <c r="I417" s="268"/>
      <c r="J417" s="228"/>
      <c r="K417" s="228"/>
      <c r="L417" s="235"/>
      <c r="M417" s="55"/>
      <c r="N417" s="55"/>
      <c r="O417" s="235"/>
      <c r="P417" s="55"/>
      <c r="Q417" s="55"/>
      <c r="R417" s="55"/>
      <c r="S417" s="55"/>
      <c r="T417" s="55"/>
      <c r="U417" s="237"/>
      <c r="V417" s="55"/>
      <c r="W417" s="40"/>
      <c r="X417" s="40"/>
      <c r="Y417" s="55"/>
      <c r="Z417" s="237"/>
      <c r="AA417" s="55"/>
      <c r="AB417" s="238"/>
    </row>
    <row r="418" spans="1:28" ht="12.75">
      <c r="A418" s="8" t="s">
        <v>133</v>
      </c>
      <c r="B418" s="9" t="s">
        <v>443</v>
      </c>
      <c r="C418" s="10">
        <v>3</v>
      </c>
      <c r="D418" s="4" t="s">
        <v>706</v>
      </c>
      <c r="E418" s="4" t="s">
        <v>165</v>
      </c>
      <c r="F418" s="83" t="s">
        <v>718</v>
      </c>
      <c r="I418" s="267" t="s">
        <v>714</v>
      </c>
      <c r="J418" s="58" t="s">
        <v>443</v>
      </c>
      <c r="K418" s="58" t="s">
        <v>164</v>
      </c>
      <c r="L418" s="53">
        <f>58820/3</f>
        <v>19606.666666666668</v>
      </c>
      <c r="M418" s="53"/>
      <c r="N418" s="53"/>
      <c r="O418" s="53"/>
      <c r="P418" s="229">
        <f>66071/3</f>
        <v>22023.666666666668</v>
      </c>
      <c r="Q418" s="53"/>
      <c r="R418" s="53"/>
      <c r="S418" s="53"/>
      <c r="T418" s="53"/>
      <c r="U418" s="53"/>
      <c r="V418" s="53"/>
      <c r="W418" s="38"/>
      <c r="X418" s="236">
        <v>1</v>
      </c>
      <c r="Y418" s="53"/>
      <c r="Z418" s="236">
        <v>2</v>
      </c>
      <c r="AA418" s="53"/>
      <c r="AB418" s="239" t="s">
        <v>604</v>
      </c>
    </row>
    <row r="419" spans="1:28" ht="12.75">
      <c r="A419" s="8" t="s">
        <v>134</v>
      </c>
      <c r="B419" s="9" t="s">
        <v>443</v>
      </c>
      <c r="C419" s="10">
        <v>4</v>
      </c>
      <c r="D419" s="4" t="s">
        <v>705</v>
      </c>
      <c r="E419" s="4" t="s">
        <v>709</v>
      </c>
      <c r="F419" s="83" t="s">
        <v>777</v>
      </c>
      <c r="I419" s="278"/>
      <c r="J419" s="227" t="s">
        <v>443</v>
      </c>
      <c r="K419" s="227" t="s">
        <v>717</v>
      </c>
      <c r="L419" s="230">
        <f>66071/3</f>
        <v>22023.666666666668</v>
      </c>
      <c r="M419" s="54"/>
      <c r="N419" s="54"/>
      <c r="O419" s="54"/>
      <c r="P419" s="230"/>
      <c r="Q419" s="54"/>
      <c r="R419" s="54"/>
      <c r="S419" s="54"/>
      <c r="T419" s="54"/>
      <c r="U419" s="232">
        <v>1</v>
      </c>
      <c r="V419" s="54"/>
      <c r="W419" s="39"/>
      <c r="X419" s="232"/>
      <c r="Y419" s="54"/>
      <c r="Z419" s="232"/>
      <c r="AA419" s="54"/>
      <c r="AB419" s="240"/>
    </row>
    <row r="420" spans="1:28" ht="12.75">
      <c r="A420" s="8" t="s">
        <v>135</v>
      </c>
      <c r="B420" s="9" t="s">
        <v>443</v>
      </c>
      <c r="C420" s="10">
        <v>5</v>
      </c>
      <c r="D420" s="4" t="s">
        <v>705</v>
      </c>
      <c r="E420" s="4" t="s">
        <v>163</v>
      </c>
      <c r="F420" s="83" t="s">
        <v>777</v>
      </c>
      <c r="I420" s="268"/>
      <c r="J420" s="228"/>
      <c r="K420" s="228"/>
      <c r="L420" s="235"/>
      <c r="M420" s="55"/>
      <c r="N420" s="55"/>
      <c r="O420" s="55"/>
      <c r="P420" s="235"/>
      <c r="Q420" s="55"/>
      <c r="R420" s="55"/>
      <c r="S420" s="55"/>
      <c r="T420" s="55"/>
      <c r="U420" s="237"/>
      <c r="V420" s="55"/>
      <c r="W420" s="40"/>
      <c r="X420" s="237"/>
      <c r="Y420" s="55"/>
      <c r="Z420" s="237"/>
      <c r="AA420" s="55"/>
      <c r="AB420" s="241"/>
    </row>
    <row r="421" spans="1:28" ht="12.75">
      <c r="A421" s="8" t="s">
        <v>136</v>
      </c>
      <c r="B421" s="9" t="s">
        <v>443</v>
      </c>
      <c r="C421" s="10">
        <v>6</v>
      </c>
      <c r="D421" s="4" t="s">
        <v>708</v>
      </c>
      <c r="E421" s="4" t="s">
        <v>165</v>
      </c>
      <c r="F421" s="83" t="s">
        <v>718</v>
      </c>
      <c r="I421" s="267" t="s">
        <v>715</v>
      </c>
      <c r="J421" s="58" t="s">
        <v>443</v>
      </c>
      <c r="K421" s="58" t="s">
        <v>164</v>
      </c>
      <c r="L421" s="53">
        <f>7526/3</f>
        <v>2508.6666666666665</v>
      </c>
      <c r="M421" s="53"/>
      <c r="N421" s="53"/>
      <c r="O421" s="229">
        <f>11374/3</f>
        <v>3791.3333333333335</v>
      </c>
      <c r="P421" s="53"/>
      <c r="Q421" s="53"/>
      <c r="R421" s="53"/>
      <c r="S421" s="53"/>
      <c r="T421" s="53"/>
      <c r="U421" s="53"/>
      <c r="V421" s="53"/>
      <c r="W421" s="38"/>
      <c r="X421" s="38"/>
      <c r="Y421" s="53"/>
      <c r="Z421" s="53"/>
      <c r="AA421" s="53"/>
      <c r="AB421" s="233" t="s">
        <v>604</v>
      </c>
    </row>
    <row r="422" spans="1:28" ht="12.75">
      <c r="A422" s="8" t="s">
        <v>137</v>
      </c>
      <c r="B422" s="9" t="s">
        <v>443</v>
      </c>
      <c r="C422" s="10">
        <v>7</v>
      </c>
      <c r="D422" s="4" t="s">
        <v>711</v>
      </c>
      <c r="E422" s="4" t="s">
        <v>710</v>
      </c>
      <c r="F422" s="83" t="s">
        <v>777</v>
      </c>
      <c r="I422" s="268"/>
      <c r="J422" s="56" t="s">
        <v>443</v>
      </c>
      <c r="K422" s="56" t="s">
        <v>716</v>
      </c>
      <c r="L422" s="55">
        <f>11374/3</f>
        <v>3791.3333333333335</v>
      </c>
      <c r="M422" s="55"/>
      <c r="N422" s="55"/>
      <c r="O422" s="235"/>
      <c r="P422" s="55"/>
      <c r="Q422" s="55"/>
      <c r="R422" s="55"/>
      <c r="S422" s="55"/>
      <c r="T422" s="55"/>
      <c r="U422" s="55"/>
      <c r="V422" s="55"/>
      <c r="W422" s="40"/>
      <c r="X422" s="40"/>
      <c r="Y422" s="55"/>
      <c r="Z422" s="55"/>
      <c r="AA422" s="55"/>
      <c r="AB422" s="238"/>
    </row>
    <row r="423" spans="1:27" s="14" customFormat="1" ht="12.75">
      <c r="A423" s="11" t="s">
        <v>138</v>
      </c>
      <c r="B423" s="12" t="s">
        <v>443</v>
      </c>
      <c r="C423" s="13">
        <v>8</v>
      </c>
      <c r="D423" s="14" t="s">
        <v>190</v>
      </c>
      <c r="F423" s="84"/>
      <c r="H423" s="73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2"/>
      <c r="X423" s="42"/>
      <c r="Y423" s="41"/>
      <c r="Z423" s="41"/>
      <c r="AA423" s="41"/>
    </row>
    <row r="424" spans="1:27" s="14" customFormat="1" ht="12.75">
      <c r="A424" s="11" t="s">
        <v>140</v>
      </c>
      <c r="B424" s="12" t="s">
        <v>443</v>
      </c>
      <c r="C424" s="13">
        <v>9</v>
      </c>
      <c r="D424" s="14" t="s">
        <v>190</v>
      </c>
      <c r="F424" s="84"/>
      <c r="H424" s="73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2"/>
      <c r="X424" s="42"/>
      <c r="Y424" s="41"/>
      <c r="Z424" s="41"/>
      <c r="AA424" s="41"/>
    </row>
    <row r="425" spans="1:27" s="14" customFormat="1" ht="12.75">
      <c r="A425" s="11" t="s">
        <v>141</v>
      </c>
      <c r="B425" s="12" t="s">
        <v>443</v>
      </c>
      <c r="C425" s="13">
        <v>10</v>
      </c>
      <c r="D425" s="14" t="s">
        <v>190</v>
      </c>
      <c r="F425" s="84"/>
      <c r="H425" s="73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2"/>
      <c r="X425" s="42"/>
      <c r="Y425" s="41"/>
      <c r="Z425" s="41"/>
      <c r="AA425" s="41"/>
    </row>
    <row r="426" spans="1:27" s="14" customFormat="1" ht="12.75">
      <c r="A426" s="11" t="s">
        <v>142</v>
      </c>
      <c r="B426" s="12" t="s">
        <v>443</v>
      </c>
      <c r="C426" s="13">
        <v>11</v>
      </c>
      <c r="D426" s="14" t="s">
        <v>190</v>
      </c>
      <c r="F426" s="84"/>
      <c r="H426" s="73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2"/>
      <c r="X426" s="42"/>
      <c r="Y426" s="41"/>
      <c r="Z426" s="41"/>
      <c r="AA426" s="41"/>
    </row>
    <row r="427" spans="1:27" s="14" customFormat="1" ht="12.75">
      <c r="A427" s="11" t="s">
        <v>143</v>
      </c>
      <c r="B427" s="12" t="s">
        <v>443</v>
      </c>
      <c r="C427" s="13">
        <v>12</v>
      </c>
      <c r="D427" s="14" t="s">
        <v>190</v>
      </c>
      <c r="F427" s="84"/>
      <c r="H427" s="73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2"/>
      <c r="X427" s="42"/>
      <c r="Y427" s="41"/>
      <c r="Z427" s="41"/>
      <c r="AA427" s="41"/>
    </row>
    <row r="428" spans="1:28" s="63" customFormat="1" ht="12.75">
      <c r="A428" s="60" t="s">
        <v>144</v>
      </c>
      <c r="B428" s="61" t="s">
        <v>443</v>
      </c>
      <c r="C428" s="62">
        <v>13</v>
      </c>
      <c r="D428" s="63" t="s">
        <v>701</v>
      </c>
      <c r="E428" s="63" t="s">
        <v>435</v>
      </c>
      <c r="F428" s="277" t="s">
        <v>719</v>
      </c>
      <c r="H428" s="73"/>
      <c r="I428" s="64"/>
      <c r="J428" s="64"/>
      <c r="K428" s="64"/>
      <c r="L428" s="65">
        <v>500</v>
      </c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6"/>
      <c r="X428" s="66"/>
      <c r="Y428" s="65"/>
      <c r="Z428" s="65"/>
      <c r="AA428" s="65"/>
      <c r="AB428" s="67" t="s">
        <v>436</v>
      </c>
    </row>
    <row r="429" spans="1:28" s="63" customFormat="1" ht="12.75">
      <c r="A429" s="60" t="s">
        <v>145</v>
      </c>
      <c r="B429" s="61" t="s">
        <v>443</v>
      </c>
      <c r="C429" s="62">
        <v>14</v>
      </c>
      <c r="D429" s="63" t="s">
        <v>702</v>
      </c>
      <c r="E429" s="63" t="s">
        <v>435</v>
      </c>
      <c r="F429" s="277"/>
      <c r="H429" s="73"/>
      <c r="I429" s="64"/>
      <c r="J429" s="64"/>
      <c r="K429" s="64"/>
      <c r="L429" s="65">
        <v>500</v>
      </c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6"/>
      <c r="X429" s="66"/>
      <c r="Y429" s="65"/>
      <c r="Z429" s="65"/>
      <c r="AA429" s="65"/>
      <c r="AB429" s="67" t="s">
        <v>436</v>
      </c>
    </row>
    <row r="430" spans="1:28" s="63" customFormat="1" ht="12.75">
      <c r="A430" s="60" t="s">
        <v>146</v>
      </c>
      <c r="B430" s="61" t="s">
        <v>443</v>
      </c>
      <c r="C430" s="62">
        <v>15</v>
      </c>
      <c r="D430" s="63" t="s">
        <v>703</v>
      </c>
      <c r="E430" s="63" t="s">
        <v>435</v>
      </c>
      <c r="F430" s="277"/>
      <c r="H430" s="73"/>
      <c r="I430" s="64"/>
      <c r="J430" s="64"/>
      <c r="K430" s="64"/>
      <c r="L430" s="65">
        <v>500</v>
      </c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6"/>
      <c r="X430" s="66"/>
      <c r="Y430" s="65"/>
      <c r="Z430" s="65"/>
      <c r="AA430" s="65"/>
      <c r="AB430" s="67" t="s">
        <v>436</v>
      </c>
    </row>
    <row r="431" spans="1:28" s="63" customFormat="1" ht="12.75">
      <c r="A431" s="60" t="s">
        <v>147</v>
      </c>
      <c r="B431" s="61" t="s">
        <v>443</v>
      </c>
      <c r="C431" s="62">
        <v>16</v>
      </c>
      <c r="D431" s="63" t="s">
        <v>704</v>
      </c>
      <c r="E431" s="63" t="s">
        <v>435</v>
      </c>
      <c r="F431" s="277"/>
      <c r="H431" s="73"/>
      <c r="I431" s="64"/>
      <c r="J431" s="64"/>
      <c r="K431" s="64"/>
      <c r="L431" s="65">
        <v>500</v>
      </c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6"/>
      <c r="X431" s="66"/>
      <c r="Y431" s="65"/>
      <c r="Z431" s="65"/>
      <c r="AA431" s="65"/>
      <c r="AB431" s="67" t="s">
        <v>436</v>
      </c>
    </row>
    <row r="432" spans="6:27" ht="12.75">
      <c r="F432" s="82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6"/>
      <c r="X432" s="46"/>
      <c r="Y432" s="45"/>
      <c r="Z432" s="45"/>
      <c r="AA432" s="45"/>
    </row>
    <row r="433" spans="6:27" ht="12.75">
      <c r="F433" s="82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6"/>
      <c r="X433" s="46"/>
      <c r="Y433" s="45"/>
      <c r="Z433" s="45"/>
      <c r="AA433" s="45"/>
    </row>
    <row r="434" spans="1:27" ht="12.75">
      <c r="A434" s="269" t="s">
        <v>228</v>
      </c>
      <c r="B434" s="269"/>
      <c r="C434" s="269"/>
      <c r="F434" s="82"/>
      <c r="L434" s="45">
        <f aca="true" t="shared" si="0" ref="L434:T434">SUM(L55:L431)/1000</f>
        <v>5754.175166666666</v>
      </c>
      <c r="M434" s="45">
        <f t="shared" si="0"/>
        <v>393.1726666666666</v>
      </c>
      <c r="N434" s="45">
        <f t="shared" si="0"/>
        <v>772.784</v>
      </c>
      <c r="O434" s="45">
        <f t="shared" si="0"/>
        <v>1022.4369999999999</v>
      </c>
      <c r="P434" s="45">
        <f t="shared" si="0"/>
        <v>792.195</v>
      </c>
      <c r="Q434" s="45">
        <f t="shared" si="0"/>
        <v>995.2956666666666</v>
      </c>
      <c r="R434" s="45">
        <f t="shared" si="0"/>
        <v>60.084</v>
      </c>
      <c r="S434" s="45">
        <f t="shared" si="0"/>
        <v>60.99833333333333</v>
      </c>
      <c r="T434" s="45">
        <f t="shared" si="0"/>
        <v>226.319</v>
      </c>
      <c r="U434" s="45">
        <f aca="true" t="shared" si="1" ref="U434:Z434">SUM(U55:U431)</f>
        <v>61</v>
      </c>
      <c r="V434" s="45">
        <f t="shared" si="1"/>
        <v>16</v>
      </c>
      <c r="W434" s="45">
        <f t="shared" si="1"/>
        <v>103</v>
      </c>
      <c r="X434" s="45">
        <f t="shared" si="1"/>
        <v>5</v>
      </c>
      <c r="Y434" s="45">
        <f t="shared" si="1"/>
        <v>36</v>
      </c>
      <c r="Z434" s="45">
        <f t="shared" si="1"/>
        <v>75</v>
      </c>
      <c r="AA434" s="45">
        <f>SUM(AA55:AA431)/1000</f>
        <v>29.913333333333334</v>
      </c>
    </row>
    <row r="435" spans="1:27" ht="12.75">
      <c r="A435" s="270" t="s">
        <v>229</v>
      </c>
      <c r="B435" s="270"/>
      <c r="C435" s="270"/>
      <c r="F435" s="82"/>
      <c r="K435" s="23">
        <v>0.35</v>
      </c>
      <c r="L435" s="49">
        <f>L434*K435</f>
        <v>2013.961308333333</v>
      </c>
      <c r="M435" s="49">
        <f>M434*K435</f>
        <v>137.6104333333333</v>
      </c>
      <c r="N435" s="45">
        <f>N434*K435</f>
        <v>270.4744</v>
      </c>
      <c r="O435" s="45">
        <f>O434*K435</f>
        <v>357.85294999999996</v>
      </c>
      <c r="P435" s="45">
        <f>P434*K435</f>
        <v>277.26825</v>
      </c>
      <c r="Q435" s="45">
        <f>Q434*K435</f>
        <v>348.3534833333333</v>
      </c>
      <c r="R435" s="45">
        <f>R434*K435</f>
        <v>21.0294</v>
      </c>
      <c r="S435" s="45">
        <f>S434*K435</f>
        <v>21.349416666666663</v>
      </c>
      <c r="T435" s="45">
        <f>T434*K435</f>
        <v>79.21164999999999</v>
      </c>
      <c r="U435" s="45">
        <f>U434*K435</f>
        <v>21.349999999999998</v>
      </c>
      <c r="V435" s="45">
        <f>V434*K435</f>
        <v>5.6</v>
      </c>
      <c r="W435" s="45">
        <f>W434*K435</f>
        <v>36.05</v>
      </c>
      <c r="X435" s="45">
        <f>X434*K435</f>
        <v>1.75</v>
      </c>
      <c r="Y435" s="45">
        <f>Y434*K435</f>
        <v>12.6</v>
      </c>
      <c r="Z435" s="45">
        <f>Z434*K435</f>
        <v>26.25</v>
      </c>
      <c r="AA435" s="45">
        <f>AA434*K435</f>
        <v>10.469666666666667</v>
      </c>
    </row>
    <row r="436" spans="1:27" s="24" customFormat="1" ht="12.75">
      <c r="A436" s="263" t="s">
        <v>220</v>
      </c>
      <c r="B436" s="263"/>
      <c r="C436" s="263"/>
      <c r="F436" s="86"/>
      <c r="H436" s="74"/>
      <c r="I436" s="25"/>
      <c r="L436" s="50">
        <f>ROUND(SUM(L434:L435),0)</f>
        <v>7768</v>
      </c>
      <c r="M436" s="50">
        <f aca="true" t="shared" si="2" ref="M436:AA436">ROUND(SUM(M434:M435),0)</f>
        <v>531</v>
      </c>
      <c r="N436" s="50">
        <f t="shared" si="2"/>
        <v>1043</v>
      </c>
      <c r="O436" s="50">
        <f t="shared" si="2"/>
        <v>1380</v>
      </c>
      <c r="P436" s="50">
        <f t="shared" si="2"/>
        <v>1069</v>
      </c>
      <c r="Q436" s="50">
        <f t="shared" si="2"/>
        <v>1344</v>
      </c>
      <c r="R436" s="50">
        <f t="shared" si="2"/>
        <v>81</v>
      </c>
      <c r="S436" s="50">
        <f t="shared" si="2"/>
        <v>82</v>
      </c>
      <c r="T436" s="50">
        <f t="shared" si="2"/>
        <v>306</v>
      </c>
      <c r="U436" s="50">
        <f t="shared" si="2"/>
        <v>82</v>
      </c>
      <c r="V436" s="50">
        <f t="shared" si="2"/>
        <v>22</v>
      </c>
      <c r="W436" s="50">
        <f t="shared" si="2"/>
        <v>139</v>
      </c>
      <c r="X436" s="50">
        <f t="shared" si="2"/>
        <v>7</v>
      </c>
      <c r="Y436" s="50">
        <f t="shared" si="2"/>
        <v>49</v>
      </c>
      <c r="Z436" s="50">
        <f t="shared" si="2"/>
        <v>101</v>
      </c>
      <c r="AA436" s="50">
        <f t="shared" si="2"/>
        <v>40</v>
      </c>
    </row>
    <row r="437" spans="1:27" ht="12.75">
      <c r="A437" s="4"/>
      <c r="B437" s="4"/>
      <c r="C437" s="4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6"/>
      <c r="X437" s="46"/>
      <c r="Y437" s="45"/>
      <c r="Z437" s="45"/>
      <c r="AA437" s="45"/>
    </row>
    <row r="438" spans="1:27" ht="25.5">
      <c r="A438" s="4"/>
      <c r="B438" s="4"/>
      <c r="C438" s="4"/>
      <c r="D438" s="110" t="s">
        <v>724</v>
      </c>
      <c r="E438" s="4" t="s">
        <v>723</v>
      </c>
      <c r="F438" s="87">
        <v>2</v>
      </c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6"/>
      <c r="X438" s="46"/>
      <c r="Y438" s="45"/>
      <c r="Z438" s="45"/>
      <c r="AA438" s="45"/>
    </row>
    <row r="439" spans="1:27" ht="25.5">
      <c r="A439" s="4"/>
      <c r="B439" s="4"/>
      <c r="C439" s="4"/>
      <c r="D439" s="110" t="s">
        <v>727</v>
      </c>
      <c r="E439" s="4" t="s">
        <v>730</v>
      </c>
      <c r="F439" s="87">
        <v>2</v>
      </c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6"/>
      <c r="X439" s="46"/>
      <c r="Y439" s="45"/>
      <c r="Z439" s="45"/>
      <c r="AA439" s="45"/>
    </row>
    <row r="440" spans="1:27" ht="25.5">
      <c r="A440" s="4"/>
      <c r="B440" s="4"/>
      <c r="C440" s="4"/>
      <c r="D440" s="110" t="s">
        <v>728</v>
      </c>
      <c r="E440" s="4" t="s">
        <v>729</v>
      </c>
      <c r="F440" s="87">
        <v>12</v>
      </c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6"/>
      <c r="X440" s="46"/>
      <c r="Y440" s="45"/>
      <c r="Z440" s="45"/>
      <c r="AA440" s="45"/>
    </row>
    <row r="441" spans="1:27" ht="12.75">
      <c r="A441" s="4"/>
      <c r="B441" s="4"/>
      <c r="C441" s="4"/>
      <c r="D441" s="110" t="s">
        <v>731</v>
      </c>
      <c r="E441" s="4" t="s">
        <v>732</v>
      </c>
      <c r="F441" s="87">
        <v>2</v>
      </c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6"/>
      <c r="X441" s="46"/>
      <c r="Y441" s="45"/>
      <c r="Z441" s="45"/>
      <c r="AA441" s="45"/>
    </row>
    <row r="442" spans="1:27" ht="25.5">
      <c r="A442" s="4"/>
      <c r="B442" s="4"/>
      <c r="C442" s="4"/>
      <c r="D442" s="110" t="s">
        <v>734</v>
      </c>
      <c r="E442" s="4" t="s">
        <v>735</v>
      </c>
      <c r="F442" s="87">
        <v>1</v>
      </c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6"/>
      <c r="X442" s="46"/>
      <c r="Y442" s="45"/>
      <c r="Z442" s="45"/>
      <c r="AA442" s="45"/>
    </row>
    <row r="443" spans="1:27" ht="25.5">
      <c r="A443" s="4"/>
      <c r="B443" s="4"/>
      <c r="C443" s="4"/>
      <c r="D443" s="110" t="s">
        <v>738</v>
      </c>
      <c r="E443" s="4" t="s">
        <v>739</v>
      </c>
      <c r="F443" s="87">
        <v>10</v>
      </c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6"/>
      <c r="X443" s="46"/>
      <c r="Y443" s="45"/>
      <c r="Z443" s="45"/>
      <c r="AA443" s="45"/>
    </row>
    <row r="444" spans="1:27" ht="12.75">
      <c r="A444" s="4"/>
      <c r="B444" s="4"/>
      <c r="C444" s="4"/>
      <c r="D444" s="110" t="s">
        <v>780</v>
      </c>
      <c r="E444" s="109" t="s">
        <v>719</v>
      </c>
      <c r="F444" s="87">
        <v>10</v>
      </c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6"/>
      <c r="X444" s="46"/>
      <c r="Y444" s="45"/>
      <c r="Z444" s="45"/>
      <c r="AA444" s="45"/>
    </row>
    <row r="445" spans="1:27" ht="12.75">
      <c r="A445" s="4"/>
      <c r="B445" s="4"/>
      <c r="C445" s="4"/>
      <c r="D445" s="110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6"/>
      <c r="X445" s="46"/>
      <c r="Y445" s="45"/>
      <c r="Z445" s="45"/>
      <c r="AA445" s="45"/>
    </row>
    <row r="446" spans="4:27" ht="12.75">
      <c r="D446" s="110" t="s">
        <v>786</v>
      </c>
      <c r="E446" s="4" t="s">
        <v>718</v>
      </c>
      <c r="F446" s="87">
        <v>53</v>
      </c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6"/>
      <c r="X446" s="46"/>
      <c r="Y446" s="45"/>
      <c r="Z446" s="45"/>
      <c r="AA446" s="45"/>
    </row>
    <row r="447" spans="4:27" ht="12.75">
      <c r="D447" s="110" t="s">
        <v>772</v>
      </c>
      <c r="E447" s="4" t="s">
        <v>777</v>
      </c>
      <c r="F447" s="87">
        <v>134</v>
      </c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6"/>
      <c r="X447" s="46"/>
      <c r="Y447" s="45"/>
      <c r="Z447" s="45"/>
      <c r="AA447" s="45"/>
    </row>
    <row r="448" spans="4:27" ht="12.75">
      <c r="D448" s="110" t="s">
        <v>772</v>
      </c>
      <c r="E448" s="4" t="s">
        <v>778</v>
      </c>
      <c r="F448" s="87">
        <v>17</v>
      </c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6"/>
      <c r="X448" s="46"/>
      <c r="Y448" s="45"/>
      <c r="Z448" s="45"/>
      <c r="AA448" s="45"/>
    </row>
    <row r="449" spans="4:27" ht="12.75">
      <c r="D449" s="110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6"/>
      <c r="X449" s="46"/>
      <c r="Y449" s="45"/>
      <c r="Z449" s="45"/>
      <c r="AA449" s="45"/>
    </row>
    <row r="450" spans="4:27" ht="25.5">
      <c r="D450" s="110" t="s">
        <v>736</v>
      </c>
      <c r="E450" s="4" t="s">
        <v>737</v>
      </c>
      <c r="F450" s="87">
        <v>15</v>
      </c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6"/>
      <c r="X450" s="46"/>
      <c r="Y450" s="45"/>
      <c r="Z450" s="45"/>
      <c r="AA450" s="45"/>
    </row>
    <row r="451" spans="4:27" ht="25.5">
      <c r="D451" s="110" t="s">
        <v>781</v>
      </c>
      <c r="E451" s="4" t="s">
        <v>720</v>
      </c>
      <c r="F451" s="87">
        <v>24</v>
      </c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6"/>
      <c r="X451" s="46"/>
      <c r="Y451" s="45"/>
      <c r="Z451" s="45"/>
      <c r="AA451" s="45"/>
    </row>
    <row r="452" spans="4:27" ht="25.5">
      <c r="D452" s="110" t="s">
        <v>783</v>
      </c>
      <c r="E452" s="4" t="s">
        <v>774</v>
      </c>
      <c r="F452" s="87">
        <v>8</v>
      </c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6"/>
      <c r="X452" s="46"/>
      <c r="Y452" s="45"/>
      <c r="Z452" s="45"/>
      <c r="AA452" s="45"/>
    </row>
    <row r="453" spans="4:27" ht="25.5">
      <c r="D453" s="110" t="s">
        <v>784</v>
      </c>
      <c r="E453" s="4" t="s">
        <v>775</v>
      </c>
      <c r="F453" s="87">
        <v>12</v>
      </c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6"/>
      <c r="X453" s="46"/>
      <c r="Y453" s="45"/>
      <c r="Z453" s="45"/>
      <c r="AA453" s="45"/>
    </row>
    <row r="454" spans="4:27" ht="25.5">
      <c r="D454" s="110" t="s">
        <v>782</v>
      </c>
      <c r="E454" s="4" t="s">
        <v>776</v>
      </c>
      <c r="F454" s="87">
        <v>4</v>
      </c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6"/>
      <c r="X454" s="46"/>
      <c r="Y454" s="45"/>
      <c r="Z454" s="45"/>
      <c r="AA454" s="45"/>
    </row>
    <row r="455" spans="4:27" ht="12.75">
      <c r="D455" s="110" t="s">
        <v>785</v>
      </c>
      <c r="E455" s="4" t="s">
        <v>779</v>
      </c>
      <c r="F455" s="87">
        <v>20</v>
      </c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6"/>
      <c r="X455" s="46"/>
      <c r="Y455" s="45"/>
      <c r="Z455" s="45"/>
      <c r="AA455" s="45"/>
    </row>
    <row r="456" spans="12:27" ht="12.75"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6"/>
      <c r="X456" s="46"/>
      <c r="Y456" s="45"/>
      <c r="Z456" s="45"/>
      <c r="AA456" s="45"/>
    </row>
    <row r="457" spans="12:27" ht="12.75"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6"/>
      <c r="X457" s="46"/>
      <c r="Y457" s="45"/>
      <c r="Z457" s="45"/>
      <c r="AA457" s="45"/>
    </row>
    <row r="458" spans="12:27" ht="12.75"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6"/>
      <c r="X458" s="46"/>
      <c r="Y458" s="45"/>
      <c r="Z458" s="45"/>
      <c r="AA458" s="45"/>
    </row>
    <row r="459" spans="12:27" ht="12.75"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6"/>
      <c r="X459" s="46"/>
      <c r="Y459" s="45"/>
      <c r="Z459" s="45"/>
      <c r="AA459" s="45"/>
    </row>
    <row r="460" spans="12:27" ht="12.75"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6"/>
      <c r="X460" s="46"/>
      <c r="Y460" s="45"/>
      <c r="Z460" s="45"/>
      <c r="AA460" s="45"/>
    </row>
    <row r="461" spans="12:27" ht="12.75"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6"/>
      <c r="X461" s="46"/>
      <c r="Y461" s="45"/>
      <c r="Z461" s="45"/>
      <c r="AA461" s="45"/>
    </row>
    <row r="462" spans="12:27" ht="12.75"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6"/>
      <c r="X462" s="46"/>
      <c r="Y462" s="45"/>
      <c r="Z462" s="45"/>
      <c r="AA462" s="45"/>
    </row>
    <row r="463" spans="12:27" ht="12.75"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6"/>
      <c r="X463" s="46"/>
      <c r="Y463" s="45"/>
      <c r="Z463" s="45"/>
      <c r="AA463" s="45"/>
    </row>
    <row r="464" spans="12:27" ht="12.75"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6"/>
      <c r="X464" s="46"/>
      <c r="Y464" s="45"/>
      <c r="Z464" s="45"/>
      <c r="AA464" s="45"/>
    </row>
    <row r="465" spans="12:27" ht="12.75"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6"/>
      <c r="X465" s="46"/>
      <c r="Y465" s="45"/>
      <c r="Z465" s="45"/>
      <c r="AA465" s="45"/>
    </row>
    <row r="466" spans="12:27" ht="12.75"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6"/>
      <c r="X466" s="46"/>
      <c r="Y466" s="45"/>
      <c r="Z466" s="45"/>
      <c r="AA466" s="45"/>
    </row>
    <row r="467" spans="12:27" ht="12.75"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6"/>
      <c r="X467" s="46"/>
      <c r="Y467" s="45"/>
      <c r="Z467" s="45"/>
      <c r="AA467" s="45"/>
    </row>
    <row r="468" spans="12:27" ht="12.75"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6"/>
      <c r="X468" s="46"/>
      <c r="Y468" s="45"/>
      <c r="Z468" s="45"/>
      <c r="AA468" s="45"/>
    </row>
    <row r="469" spans="12:27" ht="12.75"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6"/>
      <c r="X469" s="46"/>
      <c r="Y469" s="45"/>
      <c r="Z469" s="45"/>
      <c r="AA469" s="45"/>
    </row>
    <row r="470" spans="12:27" ht="12.75"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6"/>
      <c r="X470" s="46"/>
      <c r="Y470" s="45"/>
      <c r="Z470" s="45"/>
      <c r="AA470" s="45"/>
    </row>
    <row r="471" spans="12:27" ht="12.75"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6"/>
      <c r="X471" s="46"/>
      <c r="Y471" s="45"/>
      <c r="Z471" s="45"/>
      <c r="AA471" s="45"/>
    </row>
    <row r="472" spans="12:27" ht="12.75"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6"/>
      <c r="X472" s="46"/>
      <c r="Y472" s="45"/>
      <c r="Z472" s="45"/>
      <c r="AA472" s="45"/>
    </row>
    <row r="473" spans="12:27" ht="12.75"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6"/>
      <c r="X473" s="46"/>
      <c r="Y473" s="45"/>
      <c r="Z473" s="45"/>
      <c r="AA473" s="45"/>
    </row>
    <row r="474" spans="12:27" ht="12.75"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6"/>
      <c r="X474" s="46"/>
      <c r="Y474" s="45"/>
      <c r="Z474" s="45"/>
      <c r="AA474" s="45"/>
    </row>
    <row r="475" spans="12:27" ht="12.75"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6"/>
      <c r="X475" s="46"/>
      <c r="Y475" s="45"/>
      <c r="Z475" s="45"/>
      <c r="AA475" s="45"/>
    </row>
    <row r="476" spans="12:27" ht="12.75"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6"/>
      <c r="X476" s="46"/>
      <c r="Y476" s="45"/>
      <c r="Z476" s="45"/>
      <c r="AA476" s="45"/>
    </row>
    <row r="477" spans="12:27" ht="12.75"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6"/>
      <c r="X477" s="46"/>
      <c r="Y477" s="45"/>
      <c r="Z477" s="45"/>
      <c r="AA477" s="45"/>
    </row>
    <row r="478" spans="12:27" ht="12.75"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6"/>
      <c r="X478" s="46"/>
      <c r="Y478" s="45"/>
      <c r="Z478" s="45"/>
      <c r="AA478" s="45"/>
    </row>
    <row r="479" spans="12:27" ht="12.75"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6"/>
      <c r="X479" s="46"/>
      <c r="Y479" s="45"/>
      <c r="Z479" s="45"/>
      <c r="AA479" s="45"/>
    </row>
    <row r="480" spans="12:27" ht="12.75"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6"/>
      <c r="X480" s="46"/>
      <c r="Y480" s="45"/>
      <c r="Z480" s="45"/>
      <c r="AA480" s="45"/>
    </row>
    <row r="481" spans="12:27" ht="12.75"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6"/>
      <c r="X481" s="46"/>
      <c r="Y481" s="45"/>
      <c r="Z481" s="45"/>
      <c r="AA481" s="45"/>
    </row>
    <row r="482" spans="12:27" ht="12.75"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46"/>
      <c r="Y482" s="45"/>
      <c r="Z482" s="45"/>
      <c r="AA482" s="45"/>
    </row>
    <row r="483" spans="12:27" ht="12.75"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6"/>
      <c r="X483" s="46"/>
      <c r="Y483" s="45"/>
      <c r="Z483" s="45"/>
      <c r="AA483" s="45"/>
    </row>
    <row r="484" spans="12:27" ht="12.75"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6"/>
      <c r="X484" s="46"/>
      <c r="Y484" s="45"/>
      <c r="Z484" s="45"/>
      <c r="AA484" s="45"/>
    </row>
    <row r="485" spans="12:27" ht="12.75"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6"/>
      <c r="X485" s="46"/>
      <c r="Y485" s="45"/>
      <c r="Z485" s="45"/>
      <c r="AA485" s="45"/>
    </row>
    <row r="486" spans="12:27" ht="12.75"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6"/>
      <c r="X486" s="46"/>
      <c r="Y486" s="45"/>
      <c r="Z486" s="45"/>
      <c r="AA486" s="45"/>
    </row>
    <row r="487" spans="12:27" ht="12.75"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6"/>
      <c r="X487" s="46"/>
      <c r="Y487" s="45"/>
      <c r="Z487" s="45"/>
      <c r="AA487" s="45"/>
    </row>
    <row r="488" spans="12:27" ht="12.75"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6"/>
      <c r="X488" s="46"/>
      <c r="Y488" s="45"/>
      <c r="Z488" s="45"/>
      <c r="AA488" s="45"/>
    </row>
    <row r="489" spans="12:27" ht="12.75"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6"/>
      <c r="X489" s="46"/>
      <c r="Y489" s="45"/>
      <c r="Z489" s="45"/>
      <c r="AA489" s="45"/>
    </row>
    <row r="490" spans="12:27" ht="12.75"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6"/>
      <c r="X490" s="46"/>
      <c r="Y490" s="45"/>
      <c r="Z490" s="45"/>
      <c r="AA490" s="45"/>
    </row>
    <row r="491" spans="12:27" ht="12.75"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6"/>
      <c r="X491" s="46"/>
      <c r="Y491" s="45"/>
      <c r="Z491" s="45"/>
      <c r="AA491" s="45"/>
    </row>
    <row r="492" spans="12:27" ht="12.75"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6"/>
      <c r="X492" s="46"/>
      <c r="Y492" s="45"/>
      <c r="Z492" s="45"/>
      <c r="AA492" s="45"/>
    </row>
    <row r="493" spans="12:27" ht="12.75"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6"/>
      <c r="X493" s="46"/>
      <c r="Y493" s="45"/>
      <c r="Z493" s="45"/>
      <c r="AA493" s="45"/>
    </row>
    <row r="494" spans="12:27" ht="12.75"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6"/>
      <c r="X494" s="46"/>
      <c r="Y494" s="45"/>
      <c r="Z494" s="45"/>
      <c r="AA494" s="45"/>
    </row>
    <row r="495" spans="12:27" ht="12.75"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6"/>
      <c r="X495" s="46"/>
      <c r="Y495" s="45"/>
      <c r="Z495" s="45"/>
      <c r="AA495" s="45"/>
    </row>
    <row r="496" spans="12:27" ht="12.75"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6"/>
      <c r="X496" s="46"/>
      <c r="Y496" s="45"/>
      <c r="Z496" s="45"/>
      <c r="AA496" s="45"/>
    </row>
    <row r="497" spans="12:27" ht="12.75"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6"/>
      <c r="X497" s="46"/>
      <c r="Y497" s="45"/>
      <c r="Z497" s="45"/>
      <c r="AA497" s="45"/>
    </row>
    <row r="498" spans="12:27" ht="12.75"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6"/>
      <c r="X498" s="46"/>
      <c r="Y498" s="45"/>
      <c r="Z498" s="45"/>
      <c r="AA498" s="45"/>
    </row>
    <row r="499" spans="12:27" ht="12.75"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6"/>
      <c r="X499" s="46"/>
      <c r="Y499" s="45"/>
      <c r="Z499" s="45"/>
      <c r="AA499" s="45"/>
    </row>
    <row r="500" spans="12:27" ht="12.75"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6"/>
      <c r="X500" s="46"/>
      <c r="Y500" s="45"/>
      <c r="Z500" s="45"/>
      <c r="AA500" s="45"/>
    </row>
    <row r="501" spans="12:27" ht="12.75"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6"/>
      <c r="X501" s="46"/>
      <c r="Y501" s="45"/>
      <c r="Z501" s="45"/>
      <c r="AA501" s="45"/>
    </row>
    <row r="502" spans="12:27" ht="12.75"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6"/>
      <c r="X502" s="46"/>
      <c r="Y502" s="45"/>
      <c r="Z502" s="45"/>
      <c r="AA502" s="45"/>
    </row>
    <row r="503" spans="12:27" ht="12.75"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6"/>
      <c r="X503" s="46"/>
      <c r="Y503" s="45"/>
      <c r="Z503" s="45"/>
      <c r="AA503" s="45"/>
    </row>
    <row r="504" spans="12:27" ht="12.75"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6"/>
      <c r="X504" s="46"/>
      <c r="Y504" s="45"/>
      <c r="Z504" s="45"/>
      <c r="AA504" s="45"/>
    </row>
    <row r="505" spans="12:27" ht="12.75"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6"/>
      <c r="X505" s="46"/>
      <c r="Y505" s="45"/>
      <c r="Z505" s="45"/>
      <c r="AA505" s="45"/>
    </row>
    <row r="506" spans="12:27" ht="12.75"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6"/>
      <c r="X506" s="46"/>
      <c r="Y506" s="45"/>
      <c r="Z506" s="45"/>
      <c r="AA506" s="45"/>
    </row>
    <row r="507" spans="12:27" ht="12.75"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6"/>
      <c r="X507" s="46"/>
      <c r="Y507" s="45"/>
      <c r="Z507" s="45"/>
      <c r="AA507" s="45"/>
    </row>
    <row r="508" spans="12:27" ht="12.75"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6"/>
      <c r="X508" s="46"/>
      <c r="Y508" s="45"/>
      <c r="Z508" s="45"/>
      <c r="AA508" s="45"/>
    </row>
    <row r="509" spans="12:27" ht="12.75"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6"/>
      <c r="X509" s="46"/>
      <c r="Y509" s="45"/>
      <c r="Z509" s="45"/>
      <c r="AA509" s="45"/>
    </row>
    <row r="510" spans="12:27" ht="12.75"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6"/>
      <c r="X510" s="46"/>
      <c r="Y510" s="45"/>
      <c r="Z510" s="45"/>
      <c r="AA510" s="45"/>
    </row>
    <row r="511" spans="12:27" ht="12.75"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6"/>
      <c r="X511" s="46"/>
      <c r="Y511" s="45"/>
      <c r="Z511" s="45"/>
      <c r="AA511" s="45"/>
    </row>
    <row r="512" spans="12:27" ht="12.75"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6"/>
      <c r="X512" s="46"/>
      <c r="Y512" s="45"/>
      <c r="Z512" s="45"/>
      <c r="AA512" s="45"/>
    </row>
    <row r="513" spans="12:27" ht="12.75"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6"/>
      <c r="X513" s="46"/>
      <c r="Y513" s="45"/>
      <c r="Z513" s="45"/>
      <c r="AA513" s="45"/>
    </row>
    <row r="514" spans="12:27" ht="12.75"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6"/>
      <c r="X514" s="46"/>
      <c r="Y514" s="45"/>
      <c r="Z514" s="45"/>
      <c r="AA514" s="45"/>
    </row>
    <row r="515" spans="12:27" ht="12.75"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6"/>
      <c r="X515" s="46"/>
      <c r="Y515" s="45"/>
      <c r="Z515" s="45"/>
      <c r="AA515" s="45"/>
    </row>
    <row r="516" spans="12:27" ht="12.75"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6"/>
      <c r="X516" s="46"/>
      <c r="Y516" s="45"/>
      <c r="Z516" s="45"/>
      <c r="AA516" s="45"/>
    </row>
    <row r="517" spans="12:27" ht="12.75"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6"/>
      <c r="X517" s="46"/>
      <c r="Y517" s="45"/>
      <c r="Z517" s="45"/>
      <c r="AA517" s="45"/>
    </row>
    <row r="518" spans="12:27" ht="12.75"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6"/>
      <c r="X518" s="46"/>
      <c r="Y518" s="45"/>
      <c r="Z518" s="45"/>
      <c r="AA518" s="45"/>
    </row>
    <row r="519" spans="12:27" ht="12.75"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6"/>
      <c r="X519" s="46"/>
      <c r="Y519" s="45"/>
      <c r="Z519" s="45"/>
      <c r="AA519" s="45"/>
    </row>
    <row r="520" spans="12:27" ht="12.75"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6"/>
      <c r="X520" s="46"/>
      <c r="Y520" s="45"/>
      <c r="Z520" s="45"/>
      <c r="AA520" s="45"/>
    </row>
    <row r="521" spans="12:27" ht="12.75"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6"/>
      <c r="X521" s="46"/>
      <c r="Y521" s="45"/>
      <c r="Z521" s="45"/>
      <c r="AA521" s="45"/>
    </row>
    <row r="522" spans="12:27" ht="12.75"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6"/>
      <c r="X522" s="46"/>
      <c r="Y522" s="45"/>
      <c r="Z522" s="45"/>
      <c r="AA522" s="45"/>
    </row>
    <row r="523" spans="12:27" ht="12.75"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6"/>
      <c r="X523" s="46"/>
      <c r="Y523" s="45"/>
      <c r="Z523" s="45"/>
      <c r="AA523" s="45"/>
    </row>
    <row r="524" spans="12:27" ht="12.75"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6"/>
      <c r="X524" s="46"/>
      <c r="Y524" s="45"/>
      <c r="Z524" s="45"/>
      <c r="AA524" s="45"/>
    </row>
    <row r="525" spans="12:27" ht="12.75"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6"/>
      <c r="X525" s="46"/>
      <c r="Y525" s="45"/>
      <c r="Z525" s="45"/>
      <c r="AA525" s="45"/>
    </row>
    <row r="526" spans="12:27" ht="12.75"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6"/>
      <c r="X526" s="46"/>
      <c r="Y526" s="45"/>
      <c r="Z526" s="45"/>
      <c r="AA526" s="45"/>
    </row>
    <row r="527" spans="12:27" ht="12.75"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6"/>
      <c r="X527" s="46"/>
      <c r="Y527" s="45"/>
      <c r="Z527" s="45"/>
      <c r="AA527" s="45"/>
    </row>
    <row r="528" spans="12:20" ht="12.75">
      <c r="L528" s="6"/>
      <c r="M528" s="6"/>
      <c r="N528" s="6"/>
      <c r="O528" s="6"/>
      <c r="P528" s="6"/>
      <c r="Q528" s="6"/>
      <c r="R528" s="6"/>
      <c r="S528" s="6"/>
      <c r="T528" s="6"/>
    </row>
    <row r="529" spans="12:20" ht="12.75">
      <c r="L529" s="6"/>
      <c r="M529" s="6"/>
      <c r="N529" s="6"/>
      <c r="O529" s="6"/>
      <c r="P529" s="6"/>
      <c r="Q529" s="6"/>
      <c r="R529" s="6"/>
      <c r="S529" s="6"/>
      <c r="T529" s="6"/>
    </row>
    <row r="530" spans="12:20" ht="12.75">
      <c r="L530" s="6"/>
      <c r="M530" s="6"/>
      <c r="N530" s="6"/>
      <c r="O530" s="6"/>
      <c r="P530" s="6"/>
      <c r="Q530" s="6"/>
      <c r="R530" s="6"/>
      <c r="S530" s="6"/>
      <c r="T530" s="6"/>
    </row>
    <row r="531" spans="12:20" ht="12.75">
      <c r="L531" s="6"/>
      <c r="M531" s="6"/>
      <c r="N531" s="6"/>
      <c r="O531" s="6"/>
      <c r="P531" s="6"/>
      <c r="Q531" s="6"/>
      <c r="R531" s="6"/>
      <c r="S531" s="6"/>
      <c r="T531" s="6"/>
    </row>
    <row r="532" spans="12:20" ht="12.75">
      <c r="L532" s="6"/>
      <c r="M532" s="6"/>
      <c r="N532" s="6"/>
      <c r="O532" s="6"/>
      <c r="P532" s="6"/>
      <c r="Q532" s="6"/>
      <c r="R532" s="6"/>
      <c r="S532" s="6"/>
      <c r="T532" s="6"/>
    </row>
    <row r="533" spans="12:20" ht="12.75">
      <c r="L533" s="6"/>
      <c r="M533" s="6"/>
      <c r="N533" s="6"/>
      <c r="O533" s="6"/>
      <c r="P533" s="6"/>
      <c r="Q533" s="6"/>
      <c r="R533" s="6"/>
      <c r="S533" s="6"/>
      <c r="T533" s="6"/>
    </row>
    <row r="534" spans="12:20" ht="12.75">
      <c r="L534" s="6"/>
      <c r="M534" s="6"/>
      <c r="N534" s="6"/>
      <c r="O534" s="6"/>
      <c r="P534" s="6"/>
      <c r="Q534" s="6"/>
      <c r="R534" s="6"/>
      <c r="S534" s="6"/>
      <c r="T534" s="6"/>
    </row>
    <row r="535" spans="12:20" ht="12.75">
      <c r="L535" s="6"/>
      <c r="M535" s="6"/>
      <c r="N535" s="6"/>
      <c r="O535" s="6"/>
      <c r="P535" s="6"/>
      <c r="Q535" s="6"/>
      <c r="R535" s="6"/>
      <c r="S535" s="6"/>
      <c r="T535" s="6"/>
    </row>
    <row r="536" spans="12:20" ht="12.75">
      <c r="L536" s="6"/>
      <c r="M536" s="6"/>
      <c r="N536" s="6"/>
      <c r="O536" s="6"/>
      <c r="P536" s="6"/>
      <c r="Q536" s="6"/>
      <c r="R536" s="6"/>
      <c r="S536" s="6"/>
      <c r="T536" s="6"/>
    </row>
    <row r="537" spans="12:20" ht="12.75">
      <c r="L537" s="6"/>
      <c r="M537" s="6"/>
      <c r="N537" s="6"/>
      <c r="O537" s="6"/>
      <c r="P537" s="6"/>
      <c r="Q537" s="6"/>
      <c r="R537" s="6"/>
      <c r="S537" s="6"/>
      <c r="T537" s="6"/>
    </row>
    <row r="538" spans="12:20" ht="12.75">
      <c r="L538" s="6"/>
      <c r="M538" s="6"/>
      <c r="N538" s="6"/>
      <c r="O538" s="6"/>
      <c r="P538" s="6"/>
      <c r="Q538" s="6"/>
      <c r="R538" s="6"/>
      <c r="S538" s="6"/>
      <c r="T538" s="6"/>
    </row>
    <row r="539" spans="12:20" ht="12.75">
      <c r="L539" s="6"/>
      <c r="M539" s="6"/>
      <c r="N539" s="6"/>
      <c r="O539" s="6"/>
      <c r="P539" s="6"/>
      <c r="Q539" s="6"/>
      <c r="R539" s="6"/>
      <c r="S539" s="6"/>
      <c r="T539" s="6"/>
    </row>
    <row r="540" spans="12:20" ht="12.75">
      <c r="L540" s="6"/>
      <c r="M540" s="6"/>
      <c r="N540" s="6"/>
      <c r="O540" s="6"/>
      <c r="P540" s="6"/>
      <c r="Q540" s="6"/>
      <c r="R540" s="6"/>
      <c r="S540" s="6"/>
      <c r="T540" s="6"/>
    </row>
    <row r="541" spans="12:20" ht="12.75">
      <c r="L541" s="6"/>
      <c r="M541" s="6"/>
      <c r="N541" s="6"/>
      <c r="O541" s="6"/>
      <c r="P541" s="6"/>
      <c r="Q541" s="6"/>
      <c r="R541" s="6"/>
      <c r="S541" s="6"/>
      <c r="T541" s="6"/>
    </row>
    <row r="542" spans="12:20" ht="12.75">
      <c r="L542" s="6"/>
      <c r="M542" s="6"/>
      <c r="N542" s="6"/>
      <c r="O542" s="6"/>
      <c r="P542" s="6"/>
      <c r="Q542" s="6"/>
      <c r="R542" s="6"/>
      <c r="S542" s="6"/>
      <c r="T542" s="6"/>
    </row>
    <row r="543" spans="12:20" ht="12.75">
      <c r="L543" s="6"/>
      <c r="M543" s="6"/>
      <c r="N543" s="6"/>
      <c r="O543" s="6"/>
      <c r="P543" s="6"/>
      <c r="Q543" s="6"/>
      <c r="R543" s="6"/>
      <c r="S543" s="6"/>
      <c r="T543" s="6"/>
    </row>
    <row r="544" spans="12:20" ht="12.75">
      <c r="L544" s="6"/>
      <c r="M544" s="6"/>
      <c r="N544" s="6"/>
      <c r="O544" s="6"/>
      <c r="P544" s="6"/>
      <c r="Q544" s="6"/>
      <c r="R544" s="6"/>
      <c r="S544" s="6"/>
      <c r="T544" s="6"/>
    </row>
    <row r="545" spans="12:20" ht="12.75">
      <c r="L545" s="6"/>
      <c r="M545" s="6"/>
      <c r="N545" s="6"/>
      <c r="O545" s="6"/>
      <c r="P545" s="6"/>
      <c r="Q545" s="6"/>
      <c r="R545" s="6"/>
      <c r="S545" s="6"/>
      <c r="T545" s="6"/>
    </row>
    <row r="546" spans="12:20" ht="12.75">
      <c r="L546" s="6"/>
      <c r="M546" s="6"/>
      <c r="N546" s="6"/>
      <c r="O546" s="6"/>
      <c r="P546" s="6"/>
      <c r="Q546" s="6"/>
      <c r="R546" s="6"/>
      <c r="S546" s="6"/>
      <c r="T546" s="6"/>
    </row>
    <row r="547" spans="12:20" ht="12.75">
      <c r="L547" s="6"/>
      <c r="M547" s="6"/>
      <c r="N547" s="6"/>
      <c r="O547" s="6"/>
      <c r="P547" s="6"/>
      <c r="Q547" s="6"/>
      <c r="R547" s="6"/>
      <c r="S547" s="6"/>
      <c r="T547" s="6"/>
    </row>
    <row r="548" spans="12:20" ht="12.75">
      <c r="L548" s="6"/>
      <c r="M548" s="6"/>
      <c r="N548" s="6"/>
      <c r="O548" s="6"/>
      <c r="P548" s="6"/>
      <c r="Q548" s="6"/>
      <c r="R548" s="6"/>
      <c r="S548" s="6"/>
      <c r="T548" s="6"/>
    </row>
    <row r="549" spans="12:20" ht="12.75">
      <c r="L549" s="6"/>
      <c r="M549" s="6"/>
      <c r="N549" s="6"/>
      <c r="O549" s="6"/>
      <c r="P549" s="6"/>
      <c r="Q549" s="6"/>
      <c r="R549" s="6"/>
      <c r="S549" s="6"/>
      <c r="T549" s="6"/>
    </row>
    <row r="550" spans="12:20" ht="12.75">
      <c r="L550" s="6"/>
      <c r="M550" s="6"/>
      <c r="N550" s="6"/>
      <c r="O550" s="6"/>
      <c r="P550" s="6"/>
      <c r="Q550" s="6"/>
      <c r="R550" s="6"/>
      <c r="S550" s="6"/>
      <c r="T550" s="6"/>
    </row>
    <row r="551" spans="12:20" ht="12.75">
      <c r="L551" s="6"/>
      <c r="M551" s="6"/>
      <c r="N551" s="6"/>
      <c r="O551" s="6"/>
      <c r="P551" s="6"/>
      <c r="Q551" s="6"/>
      <c r="R551" s="6"/>
      <c r="S551" s="6"/>
      <c r="T551" s="6"/>
    </row>
    <row r="552" spans="12:20" ht="12.75">
      <c r="L552" s="6"/>
      <c r="M552" s="6"/>
      <c r="N552" s="6"/>
      <c r="O552" s="6"/>
      <c r="P552" s="6"/>
      <c r="Q552" s="6"/>
      <c r="R552" s="6"/>
      <c r="S552" s="6"/>
      <c r="T552" s="6"/>
    </row>
    <row r="553" spans="12:20" ht="12.75">
      <c r="L553" s="6"/>
      <c r="M553" s="6"/>
      <c r="N553" s="6"/>
      <c r="O553" s="6"/>
      <c r="P553" s="6"/>
      <c r="Q553" s="6"/>
      <c r="R553" s="6"/>
      <c r="S553" s="6"/>
      <c r="T553" s="6"/>
    </row>
    <row r="554" spans="12:20" ht="12.75">
      <c r="L554" s="6"/>
      <c r="M554" s="6"/>
      <c r="N554" s="6"/>
      <c r="O554" s="6"/>
      <c r="P554" s="6"/>
      <c r="Q554" s="6"/>
      <c r="R554" s="6"/>
      <c r="S554" s="6"/>
      <c r="T554" s="6"/>
    </row>
    <row r="555" spans="12:20" ht="12.75">
      <c r="L555" s="6"/>
      <c r="M555" s="6"/>
      <c r="N555" s="6"/>
      <c r="O555" s="6"/>
      <c r="P555" s="6"/>
      <c r="Q555" s="6"/>
      <c r="R555" s="6"/>
      <c r="S555" s="6"/>
      <c r="T555" s="6"/>
    </row>
    <row r="556" spans="12:20" ht="12.75">
      <c r="L556" s="6"/>
      <c r="M556" s="6"/>
      <c r="N556" s="6"/>
      <c r="O556" s="6"/>
      <c r="P556" s="6"/>
      <c r="Q556" s="6"/>
      <c r="R556" s="6"/>
      <c r="S556" s="6"/>
      <c r="T556" s="6"/>
    </row>
    <row r="557" spans="12:20" ht="12.75">
      <c r="L557" s="6"/>
      <c r="M557" s="6"/>
      <c r="N557" s="6"/>
      <c r="O557" s="6"/>
      <c r="P557" s="6"/>
      <c r="Q557" s="6"/>
      <c r="R557" s="6"/>
      <c r="S557" s="6"/>
      <c r="T557" s="6"/>
    </row>
    <row r="558" spans="12:20" ht="12.75">
      <c r="L558" s="6"/>
      <c r="M558" s="6"/>
      <c r="N558" s="6"/>
      <c r="O558" s="6"/>
      <c r="P558" s="6"/>
      <c r="Q558" s="6"/>
      <c r="R558" s="6"/>
      <c r="S558" s="6"/>
      <c r="T558" s="6"/>
    </row>
    <row r="559" spans="12:20" ht="12.75">
      <c r="L559" s="6"/>
      <c r="M559" s="6"/>
      <c r="N559" s="6"/>
      <c r="O559" s="6"/>
      <c r="P559" s="6"/>
      <c r="Q559" s="6"/>
      <c r="R559" s="6"/>
      <c r="S559" s="6"/>
      <c r="T559" s="6"/>
    </row>
    <row r="560" spans="12:20" ht="12.75">
      <c r="L560" s="6"/>
      <c r="M560" s="6"/>
      <c r="N560" s="6"/>
      <c r="O560" s="6"/>
      <c r="P560" s="6"/>
      <c r="Q560" s="6"/>
      <c r="R560" s="6"/>
      <c r="S560" s="6"/>
      <c r="T560" s="6"/>
    </row>
    <row r="561" spans="12:20" ht="12.75">
      <c r="L561" s="6"/>
      <c r="M561" s="6"/>
      <c r="N561" s="6"/>
      <c r="O561" s="6"/>
      <c r="P561" s="6"/>
      <c r="Q561" s="6"/>
      <c r="R561" s="6"/>
      <c r="S561" s="6"/>
      <c r="T561" s="6"/>
    </row>
    <row r="562" spans="12:20" ht="12.75">
      <c r="L562" s="6"/>
      <c r="M562" s="6"/>
      <c r="N562" s="6"/>
      <c r="O562" s="6"/>
      <c r="P562" s="6"/>
      <c r="Q562" s="6"/>
      <c r="R562" s="6"/>
      <c r="S562" s="6"/>
      <c r="T562" s="6"/>
    </row>
    <row r="563" spans="12:20" ht="12.75">
      <c r="L563" s="6"/>
      <c r="M563" s="6"/>
      <c r="N563" s="6"/>
      <c r="O563" s="6"/>
      <c r="P563" s="6"/>
      <c r="Q563" s="6"/>
      <c r="R563" s="6"/>
      <c r="S563" s="6"/>
      <c r="T563" s="6"/>
    </row>
    <row r="564" spans="12:20" ht="12.75">
      <c r="L564" s="6"/>
      <c r="M564" s="6"/>
      <c r="N564" s="6"/>
      <c r="O564" s="6"/>
      <c r="P564" s="6"/>
      <c r="Q564" s="6"/>
      <c r="R564" s="6"/>
      <c r="S564" s="6"/>
      <c r="T564" s="6"/>
    </row>
    <row r="565" spans="12:20" ht="12.75">
      <c r="L565" s="6"/>
      <c r="M565" s="6"/>
      <c r="N565" s="6"/>
      <c r="O565" s="6"/>
      <c r="P565" s="6"/>
      <c r="Q565" s="6"/>
      <c r="R565" s="6"/>
      <c r="S565" s="6"/>
      <c r="T565" s="6"/>
    </row>
    <row r="566" spans="12:20" ht="12.75">
      <c r="L566" s="6"/>
      <c r="M566" s="6"/>
      <c r="N566" s="6"/>
      <c r="O566" s="6"/>
      <c r="P566" s="6"/>
      <c r="Q566" s="6"/>
      <c r="R566" s="6"/>
      <c r="S566" s="6"/>
      <c r="T566" s="6"/>
    </row>
    <row r="567" spans="12:20" ht="12.75">
      <c r="L567" s="6"/>
      <c r="M567" s="6"/>
      <c r="N567" s="6"/>
      <c r="O567" s="6"/>
      <c r="P567" s="6"/>
      <c r="Q567" s="6"/>
      <c r="R567" s="6"/>
      <c r="S567" s="6"/>
      <c r="T567" s="6"/>
    </row>
    <row r="568" spans="12:20" ht="12.75">
      <c r="L568" s="6"/>
      <c r="M568" s="6"/>
      <c r="N568" s="6"/>
      <c r="O568" s="6"/>
      <c r="P568" s="6"/>
      <c r="Q568" s="6"/>
      <c r="R568" s="6"/>
      <c r="S568" s="6"/>
      <c r="T568" s="6"/>
    </row>
    <row r="569" spans="12:20" ht="12.75">
      <c r="L569" s="6"/>
      <c r="M569" s="6"/>
      <c r="N569" s="6"/>
      <c r="O569" s="6"/>
      <c r="P569" s="6"/>
      <c r="Q569" s="6"/>
      <c r="R569" s="6"/>
      <c r="S569" s="6"/>
      <c r="T569" s="6"/>
    </row>
    <row r="570" spans="12:20" ht="12.75">
      <c r="L570" s="6"/>
      <c r="M570" s="6"/>
      <c r="N570" s="6"/>
      <c r="O570" s="6"/>
      <c r="P570" s="6"/>
      <c r="Q570" s="6"/>
      <c r="R570" s="6"/>
      <c r="S570" s="6"/>
      <c r="T570" s="6"/>
    </row>
    <row r="571" spans="12:20" ht="12.75">
      <c r="L571" s="6"/>
      <c r="M571" s="6"/>
      <c r="N571" s="6"/>
      <c r="O571" s="6"/>
      <c r="P571" s="6"/>
      <c r="Q571" s="6"/>
      <c r="R571" s="6"/>
      <c r="S571" s="6"/>
      <c r="T571" s="6"/>
    </row>
    <row r="572" spans="12:20" ht="12.75">
      <c r="L572" s="6"/>
      <c r="M572" s="6"/>
      <c r="N572" s="6"/>
      <c r="O572" s="6"/>
      <c r="P572" s="6"/>
      <c r="Q572" s="6"/>
      <c r="R572" s="6"/>
      <c r="S572" s="6"/>
      <c r="T572" s="6"/>
    </row>
    <row r="573" spans="12:20" ht="12.75">
      <c r="L573" s="6"/>
      <c r="M573" s="6"/>
      <c r="N573" s="6"/>
      <c r="O573" s="6"/>
      <c r="P573" s="6"/>
      <c r="Q573" s="6"/>
      <c r="R573" s="6"/>
      <c r="S573" s="6"/>
      <c r="T573" s="6"/>
    </row>
    <row r="574" spans="12:20" ht="12.75">
      <c r="L574" s="6"/>
      <c r="M574" s="6"/>
      <c r="N574" s="6"/>
      <c r="O574" s="6"/>
      <c r="P574" s="6"/>
      <c r="Q574" s="6"/>
      <c r="R574" s="6"/>
      <c r="S574" s="6"/>
      <c r="T574" s="6"/>
    </row>
    <row r="575" spans="12:20" ht="12.75">
      <c r="L575" s="6"/>
      <c r="M575" s="6"/>
      <c r="N575" s="6"/>
      <c r="O575" s="6"/>
      <c r="P575" s="6"/>
      <c r="Q575" s="6"/>
      <c r="R575" s="6"/>
      <c r="S575" s="6"/>
      <c r="T575" s="6"/>
    </row>
    <row r="576" spans="12:20" ht="12.75">
      <c r="L576" s="6"/>
      <c r="M576" s="6"/>
      <c r="N576" s="6"/>
      <c r="O576" s="6"/>
      <c r="P576" s="6"/>
      <c r="Q576" s="6"/>
      <c r="R576" s="6"/>
      <c r="S576" s="6"/>
      <c r="T576" s="6"/>
    </row>
    <row r="577" spans="12:20" ht="12.75">
      <c r="L577" s="6"/>
      <c r="M577" s="6"/>
      <c r="N577" s="6"/>
      <c r="O577" s="6"/>
      <c r="P577" s="6"/>
      <c r="Q577" s="6"/>
      <c r="R577" s="6"/>
      <c r="S577" s="6"/>
      <c r="T577" s="6"/>
    </row>
    <row r="578" spans="12:20" ht="12.75">
      <c r="L578" s="6"/>
      <c r="M578" s="6"/>
      <c r="N578" s="6"/>
      <c r="O578" s="6"/>
      <c r="P578" s="6"/>
      <c r="Q578" s="6"/>
      <c r="R578" s="6"/>
      <c r="S578" s="6"/>
      <c r="T578" s="6"/>
    </row>
    <row r="579" spans="12:20" ht="12.75">
      <c r="L579" s="6"/>
      <c r="M579" s="6"/>
      <c r="N579" s="6"/>
      <c r="O579" s="6"/>
      <c r="P579" s="6"/>
      <c r="Q579" s="6"/>
      <c r="R579" s="6"/>
      <c r="S579" s="6"/>
      <c r="T579" s="6"/>
    </row>
    <row r="580" spans="12:20" ht="12.75">
      <c r="L580" s="6"/>
      <c r="M580" s="6"/>
      <c r="N580" s="6"/>
      <c r="O580" s="6"/>
      <c r="P580" s="6"/>
      <c r="Q580" s="6"/>
      <c r="R580" s="6"/>
      <c r="S580" s="6"/>
      <c r="T580" s="6"/>
    </row>
    <row r="581" spans="12:20" ht="12.75">
      <c r="L581" s="6"/>
      <c r="M581" s="6"/>
      <c r="N581" s="6"/>
      <c r="O581" s="6"/>
      <c r="P581" s="6"/>
      <c r="Q581" s="6"/>
      <c r="R581" s="6"/>
      <c r="S581" s="6"/>
      <c r="T581" s="6"/>
    </row>
    <row r="582" spans="12:20" ht="12.75">
      <c r="L582" s="6"/>
      <c r="M582" s="6"/>
      <c r="N582" s="6"/>
      <c r="O582" s="6"/>
      <c r="P582" s="6"/>
      <c r="Q582" s="6"/>
      <c r="R582" s="6"/>
      <c r="S582" s="6"/>
      <c r="T582" s="6"/>
    </row>
    <row r="583" spans="12:20" ht="12.75">
      <c r="L583" s="6"/>
      <c r="M583" s="6"/>
      <c r="N583" s="6"/>
      <c r="O583" s="6"/>
      <c r="P583" s="6"/>
      <c r="Q583" s="6"/>
      <c r="R583" s="6"/>
      <c r="S583" s="6"/>
      <c r="T583" s="6"/>
    </row>
    <row r="584" spans="12:20" ht="12.75">
      <c r="L584" s="6"/>
      <c r="M584" s="6"/>
      <c r="N584" s="6"/>
      <c r="O584" s="6"/>
      <c r="P584" s="6"/>
      <c r="Q584" s="6"/>
      <c r="R584" s="6"/>
      <c r="S584" s="6"/>
      <c r="T584" s="6"/>
    </row>
    <row r="585" spans="12:20" ht="12.75">
      <c r="L585" s="6"/>
      <c r="M585" s="6"/>
      <c r="N585" s="6"/>
      <c r="O585" s="6"/>
      <c r="P585" s="6"/>
      <c r="Q585" s="6"/>
      <c r="R585" s="6"/>
      <c r="S585" s="6"/>
      <c r="T585" s="6"/>
    </row>
    <row r="586" spans="12:20" ht="12.75">
      <c r="L586" s="6"/>
      <c r="M586" s="6"/>
      <c r="N586" s="6"/>
      <c r="O586" s="6"/>
      <c r="P586" s="6"/>
      <c r="Q586" s="6"/>
      <c r="R586" s="6"/>
      <c r="S586" s="6"/>
      <c r="T586" s="6"/>
    </row>
    <row r="587" spans="12:20" ht="12.75">
      <c r="L587" s="6"/>
      <c r="M587" s="6"/>
      <c r="N587" s="6"/>
      <c r="O587" s="6"/>
      <c r="P587" s="6"/>
      <c r="Q587" s="6"/>
      <c r="R587" s="6"/>
      <c r="S587" s="6"/>
      <c r="T587" s="6"/>
    </row>
    <row r="588" spans="12:20" ht="12.75">
      <c r="L588" s="6"/>
      <c r="M588" s="6"/>
      <c r="N588" s="6"/>
      <c r="O588" s="6"/>
      <c r="P588" s="6"/>
      <c r="Q588" s="6"/>
      <c r="R588" s="6"/>
      <c r="S588" s="6"/>
      <c r="T588" s="6"/>
    </row>
    <row r="589" spans="12:20" ht="12.75">
      <c r="L589" s="6"/>
      <c r="M589" s="6"/>
      <c r="N589" s="6"/>
      <c r="O589" s="6"/>
      <c r="P589" s="6"/>
      <c r="Q589" s="6"/>
      <c r="R589" s="6"/>
      <c r="S589" s="6"/>
      <c r="T589" s="6"/>
    </row>
    <row r="590" spans="12:20" ht="12.75">
      <c r="L590" s="6"/>
      <c r="M590" s="6"/>
      <c r="N590" s="6"/>
      <c r="O590" s="6"/>
      <c r="P590" s="6"/>
      <c r="Q590" s="6"/>
      <c r="R590" s="6"/>
      <c r="S590" s="6"/>
      <c r="T590" s="6"/>
    </row>
    <row r="591" spans="12:20" ht="12.75">
      <c r="L591" s="6"/>
      <c r="M591" s="6"/>
      <c r="N591" s="6"/>
      <c r="O591" s="6"/>
      <c r="P591" s="6"/>
      <c r="Q591" s="6"/>
      <c r="R591" s="6"/>
      <c r="S591" s="6"/>
      <c r="T591" s="6"/>
    </row>
    <row r="592" spans="12:20" ht="12.75">
      <c r="L592" s="6"/>
      <c r="M592" s="6"/>
      <c r="N592" s="6"/>
      <c r="O592" s="6"/>
      <c r="P592" s="6"/>
      <c r="Q592" s="6"/>
      <c r="R592" s="6"/>
      <c r="S592" s="6"/>
      <c r="T592" s="6"/>
    </row>
    <row r="593" spans="12:20" ht="12.75">
      <c r="L593" s="6"/>
      <c r="M593" s="6"/>
      <c r="N593" s="6"/>
      <c r="O593" s="6"/>
      <c r="P593" s="6"/>
      <c r="Q593" s="6"/>
      <c r="R593" s="6"/>
      <c r="S593" s="6"/>
      <c r="T593" s="6"/>
    </row>
    <row r="594" spans="12:20" ht="12.75">
      <c r="L594" s="6"/>
      <c r="M594" s="6"/>
      <c r="N594" s="6"/>
      <c r="O594" s="6"/>
      <c r="P594" s="6"/>
      <c r="Q594" s="6"/>
      <c r="R594" s="6"/>
      <c r="S594" s="6"/>
      <c r="T594" s="6"/>
    </row>
    <row r="595" spans="12:20" ht="12.75">
      <c r="L595" s="6"/>
      <c r="M595" s="6"/>
      <c r="N595" s="6"/>
      <c r="O595" s="6"/>
      <c r="P595" s="6"/>
      <c r="Q595" s="6"/>
      <c r="R595" s="6"/>
      <c r="S595" s="6"/>
      <c r="T595" s="6"/>
    </row>
    <row r="596" spans="12:20" ht="12.75">
      <c r="L596" s="6"/>
      <c r="M596" s="6"/>
      <c r="N596" s="6"/>
      <c r="O596" s="6"/>
      <c r="P596" s="6"/>
      <c r="Q596" s="6"/>
      <c r="R596" s="6"/>
      <c r="S596" s="6"/>
      <c r="T596" s="6"/>
    </row>
    <row r="597" spans="12:20" ht="12.75">
      <c r="L597" s="6"/>
      <c r="M597" s="6"/>
      <c r="N597" s="6"/>
      <c r="O597" s="6"/>
      <c r="P597" s="6"/>
      <c r="Q597" s="6"/>
      <c r="R597" s="6"/>
      <c r="S597" s="6"/>
      <c r="T597" s="6"/>
    </row>
    <row r="598" spans="12:20" ht="12.75">
      <c r="L598" s="6"/>
      <c r="M598" s="6"/>
      <c r="N598" s="6"/>
      <c r="O598" s="6"/>
      <c r="P598" s="6"/>
      <c r="Q598" s="6"/>
      <c r="R598" s="6"/>
      <c r="S598" s="6"/>
      <c r="T598" s="6"/>
    </row>
    <row r="599" spans="12:20" ht="12.75">
      <c r="L599" s="6"/>
      <c r="M599" s="6"/>
      <c r="N599" s="6"/>
      <c r="O599" s="6"/>
      <c r="P599" s="6"/>
      <c r="Q599" s="6"/>
      <c r="R599" s="6"/>
      <c r="S599" s="6"/>
      <c r="T599" s="6"/>
    </row>
    <row r="600" spans="12:20" ht="12.75">
      <c r="L600" s="6"/>
      <c r="M600" s="6"/>
      <c r="N600" s="6"/>
      <c r="O600" s="6"/>
      <c r="P600" s="6"/>
      <c r="Q600" s="6"/>
      <c r="R600" s="6"/>
      <c r="S600" s="6"/>
      <c r="T600" s="6"/>
    </row>
    <row r="601" spans="12:20" ht="12.75">
      <c r="L601" s="6"/>
      <c r="M601" s="6"/>
      <c r="N601" s="6"/>
      <c r="O601" s="6"/>
      <c r="P601" s="6"/>
      <c r="Q601" s="6"/>
      <c r="R601" s="6"/>
      <c r="S601" s="6"/>
      <c r="T601" s="6"/>
    </row>
    <row r="602" spans="12:20" ht="12.75">
      <c r="L602" s="6"/>
      <c r="M602" s="6"/>
      <c r="N602" s="6"/>
      <c r="O602" s="6"/>
      <c r="P602" s="6"/>
      <c r="Q602" s="6"/>
      <c r="R602" s="6"/>
      <c r="S602" s="6"/>
      <c r="T602" s="6"/>
    </row>
    <row r="603" spans="12:20" ht="12.75">
      <c r="L603" s="6"/>
      <c r="M603" s="6"/>
      <c r="N603" s="6"/>
      <c r="O603" s="6"/>
      <c r="P603" s="6"/>
      <c r="Q603" s="6"/>
      <c r="R603" s="6"/>
      <c r="S603" s="6"/>
      <c r="T603" s="6"/>
    </row>
    <row r="604" spans="12:20" ht="12.75">
      <c r="L604" s="6"/>
      <c r="M604" s="6"/>
      <c r="N604" s="6"/>
      <c r="O604" s="6"/>
      <c r="P604" s="6"/>
      <c r="Q604" s="6"/>
      <c r="R604" s="6"/>
      <c r="S604" s="6"/>
      <c r="T604" s="6"/>
    </row>
    <row r="605" spans="12:20" ht="12.75">
      <c r="L605" s="6"/>
      <c r="M605" s="6"/>
      <c r="N605" s="6"/>
      <c r="O605" s="6"/>
      <c r="P605" s="6"/>
      <c r="Q605" s="6"/>
      <c r="R605" s="6"/>
      <c r="S605" s="6"/>
      <c r="T605" s="6"/>
    </row>
    <row r="606" spans="12:20" ht="12.75">
      <c r="L606" s="6"/>
      <c r="M606" s="6"/>
      <c r="N606" s="6"/>
      <c r="O606" s="6"/>
      <c r="P606" s="6"/>
      <c r="Q606" s="6"/>
      <c r="R606" s="6"/>
      <c r="S606" s="6"/>
      <c r="T606" s="6"/>
    </row>
    <row r="607" spans="12:20" ht="12.75">
      <c r="L607" s="6"/>
      <c r="M607" s="6"/>
      <c r="N607" s="6"/>
      <c r="O607" s="6"/>
      <c r="P607" s="6"/>
      <c r="Q607" s="6"/>
      <c r="R607" s="6"/>
      <c r="S607" s="6"/>
      <c r="T607" s="6"/>
    </row>
    <row r="608" spans="12:20" ht="12.75">
      <c r="L608" s="6"/>
      <c r="M608" s="6"/>
      <c r="N608" s="6"/>
      <c r="O608" s="6"/>
      <c r="P608" s="6"/>
      <c r="Q608" s="6"/>
      <c r="R608" s="6"/>
      <c r="S608" s="6"/>
      <c r="T608" s="6"/>
    </row>
    <row r="609" spans="12:20" ht="12.75">
      <c r="L609" s="6"/>
      <c r="M609" s="6"/>
      <c r="N609" s="6"/>
      <c r="O609" s="6"/>
      <c r="P609" s="6"/>
      <c r="Q609" s="6"/>
      <c r="R609" s="6"/>
      <c r="S609" s="6"/>
      <c r="T609" s="6"/>
    </row>
    <row r="610" spans="12:20" ht="12.75">
      <c r="L610" s="6"/>
      <c r="M610" s="6"/>
      <c r="N610" s="6"/>
      <c r="O610" s="6"/>
      <c r="P610" s="6"/>
      <c r="Q610" s="6"/>
      <c r="R610" s="6"/>
      <c r="S610" s="6"/>
      <c r="T610" s="6"/>
    </row>
    <row r="611" spans="12:20" ht="12.75">
      <c r="L611" s="6"/>
      <c r="M611" s="6"/>
      <c r="N611" s="6"/>
      <c r="O611" s="6"/>
      <c r="P611" s="6"/>
      <c r="Q611" s="6"/>
      <c r="R611" s="6"/>
      <c r="S611" s="6"/>
      <c r="T611" s="6"/>
    </row>
    <row r="612" spans="12:20" ht="12.75">
      <c r="L612" s="6"/>
      <c r="M612" s="6"/>
      <c r="N612" s="6"/>
      <c r="O612" s="6"/>
      <c r="P612" s="6"/>
      <c r="Q612" s="6"/>
      <c r="R612" s="6"/>
      <c r="S612" s="6"/>
      <c r="T612" s="6"/>
    </row>
    <row r="613" spans="12:20" ht="12.75">
      <c r="L613" s="6"/>
      <c r="M613" s="6"/>
      <c r="N613" s="6"/>
      <c r="O613" s="6"/>
      <c r="P613" s="6"/>
      <c r="Q613" s="6"/>
      <c r="R613" s="6"/>
      <c r="S613" s="6"/>
      <c r="T613" s="6"/>
    </row>
    <row r="614" spans="12:20" ht="12.75">
      <c r="L614" s="6"/>
      <c r="M614" s="6"/>
      <c r="N614" s="6"/>
      <c r="O614" s="6"/>
      <c r="P614" s="6"/>
      <c r="Q614" s="6"/>
      <c r="R614" s="6"/>
      <c r="S614" s="6"/>
      <c r="T614" s="6"/>
    </row>
    <row r="615" spans="12:20" ht="12.75">
      <c r="L615" s="6"/>
      <c r="M615" s="6"/>
      <c r="N615" s="6"/>
      <c r="O615" s="6"/>
      <c r="P615" s="6"/>
      <c r="Q615" s="6"/>
      <c r="R615" s="6"/>
      <c r="S615" s="6"/>
      <c r="T615" s="6"/>
    </row>
    <row r="616" spans="12:20" ht="12.75">
      <c r="L616" s="6"/>
      <c r="M616" s="6"/>
      <c r="N616" s="6"/>
      <c r="O616" s="6"/>
      <c r="P616" s="6"/>
      <c r="Q616" s="6"/>
      <c r="R616" s="6"/>
      <c r="S616" s="6"/>
      <c r="T616" s="6"/>
    </row>
    <row r="617" spans="12:20" ht="12.75">
      <c r="L617" s="6"/>
      <c r="M617" s="6"/>
      <c r="N617" s="6"/>
      <c r="O617" s="6"/>
      <c r="P617" s="6"/>
      <c r="Q617" s="6"/>
      <c r="R617" s="6"/>
      <c r="S617" s="6"/>
      <c r="T617" s="6"/>
    </row>
    <row r="618" spans="12:20" ht="12.75">
      <c r="L618" s="6"/>
      <c r="M618" s="6"/>
      <c r="N618" s="6"/>
      <c r="O618" s="6"/>
      <c r="P618" s="6"/>
      <c r="Q618" s="6"/>
      <c r="R618" s="6"/>
      <c r="S618" s="6"/>
      <c r="T618" s="6"/>
    </row>
    <row r="619" spans="12:20" ht="12.75">
      <c r="L619" s="6"/>
      <c r="M619" s="6"/>
      <c r="N619" s="6"/>
      <c r="O619" s="6"/>
      <c r="P619" s="6"/>
      <c r="Q619" s="6"/>
      <c r="R619" s="6"/>
      <c r="S619" s="6"/>
      <c r="T619" s="6"/>
    </row>
    <row r="620" spans="12:20" ht="12.75">
      <c r="L620" s="6"/>
      <c r="M620" s="6"/>
      <c r="N620" s="6"/>
      <c r="O620" s="6"/>
      <c r="P620" s="6"/>
      <c r="Q620" s="6"/>
      <c r="R620" s="6"/>
      <c r="S620" s="6"/>
      <c r="T620" s="6"/>
    </row>
    <row r="621" spans="12:20" ht="12.75">
      <c r="L621" s="6"/>
      <c r="M621" s="6"/>
      <c r="N621" s="6"/>
      <c r="O621" s="6"/>
      <c r="P621" s="6"/>
      <c r="Q621" s="6"/>
      <c r="R621" s="6"/>
      <c r="S621" s="6"/>
      <c r="T621" s="6"/>
    </row>
    <row r="622" spans="12:20" ht="12.75">
      <c r="L622" s="6"/>
      <c r="M622" s="6"/>
      <c r="N622" s="6"/>
      <c r="O622" s="6"/>
      <c r="P622" s="6"/>
      <c r="Q622" s="6"/>
      <c r="R622" s="6"/>
      <c r="S622" s="6"/>
      <c r="T622" s="6"/>
    </row>
    <row r="623" spans="12:20" ht="12.75">
      <c r="L623" s="6"/>
      <c r="M623" s="6"/>
      <c r="N623" s="6"/>
      <c r="O623" s="6"/>
      <c r="P623" s="6"/>
      <c r="Q623" s="6"/>
      <c r="R623" s="6"/>
      <c r="S623" s="6"/>
      <c r="T623" s="6"/>
    </row>
    <row r="624" spans="12:20" ht="12.75">
      <c r="L624" s="6"/>
      <c r="M624" s="6"/>
      <c r="N624" s="6"/>
      <c r="O624" s="6"/>
      <c r="P624" s="6"/>
      <c r="Q624" s="6"/>
      <c r="R624" s="6"/>
      <c r="S624" s="6"/>
      <c r="T624" s="6"/>
    </row>
    <row r="625" spans="12:20" ht="12.75">
      <c r="L625" s="6"/>
      <c r="M625" s="6"/>
      <c r="N625" s="6"/>
      <c r="O625" s="6"/>
      <c r="P625" s="6"/>
      <c r="Q625" s="6"/>
      <c r="R625" s="6"/>
      <c r="S625" s="6"/>
      <c r="T625" s="6"/>
    </row>
    <row r="626" spans="12:20" ht="12.75">
      <c r="L626" s="6"/>
      <c r="M626" s="6"/>
      <c r="N626" s="6"/>
      <c r="O626" s="6"/>
      <c r="P626" s="6"/>
      <c r="Q626" s="6"/>
      <c r="R626" s="6"/>
      <c r="S626" s="6"/>
      <c r="T626" s="6"/>
    </row>
    <row r="627" spans="12:20" ht="12.75">
      <c r="L627" s="6"/>
      <c r="M627" s="6"/>
      <c r="N627" s="6"/>
      <c r="O627" s="6"/>
      <c r="P627" s="6"/>
      <c r="Q627" s="6"/>
      <c r="R627" s="6"/>
      <c r="S627" s="6"/>
      <c r="T627" s="6"/>
    </row>
    <row r="628" spans="12:20" ht="12.75">
      <c r="L628" s="6"/>
      <c r="M628" s="6"/>
      <c r="N628" s="6"/>
      <c r="O628" s="6"/>
      <c r="P628" s="6"/>
      <c r="Q628" s="6"/>
      <c r="R628" s="6"/>
      <c r="S628" s="6"/>
      <c r="T628" s="6"/>
    </row>
    <row r="629" spans="12:20" ht="12.75">
      <c r="L629" s="6"/>
      <c r="M629" s="6"/>
      <c r="N629" s="6"/>
      <c r="O629" s="6"/>
      <c r="P629" s="6"/>
      <c r="Q629" s="6"/>
      <c r="R629" s="6"/>
      <c r="S629" s="6"/>
      <c r="T629" s="6"/>
    </row>
    <row r="630" spans="12:20" ht="12.75">
      <c r="L630" s="6"/>
      <c r="M630" s="6"/>
      <c r="N630" s="6"/>
      <c r="O630" s="6"/>
      <c r="P630" s="6"/>
      <c r="Q630" s="6"/>
      <c r="R630" s="6"/>
      <c r="S630" s="6"/>
      <c r="T630" s="6"/>
    </row>
    <row r="631" spans="12:20" ht="12.75">
      <c r="L631" s="6"/>
      <c r="M631" s="6"/>
      <c r="N631" s="6"/>
      <c r="O631" s="6"/>
      <c r="P631" s="6"/>
      <c r="Q631" s="6"/>
      <c r="R631" s="6"/>
      <c r="S631" s="6"/>
      <c r="T631" s="6"/>
    </row>
    <row r="632" spans="12:20" ht="12.75">
      <c r="L632" s="6"/>
      <c r="M632" s="6"/>
      <c r="N632" s="6"/>
      <c r="O632" s="6"/>
      <c r="P632" s="6"/>
      <c r="Q632" s="6"/>
      <c r="R632" s="6"/>
      <c r="S632" s="6"/>
      <c r="T632" s="6"/>
    </row>
    <row r="633" spans="12:20" ht="12.75">
      <c r="L633" s="6"/>
      <c r="M633" s="6"/>
      <c r="N633" s="6"/>
      <c r="O633" s="6"/>
      <c r="P633" s="6"/>
      <c r="Q633" s="6"/>
      <c r="R633" s="6"/>
      <c r="S633" s="6"/>
      <c r="T633" s="6"/>
    </row>
    <row r="634" spans="12:20" ht="12.75">
      <c r="L634" s="6"/>
      <c r="M634" s="6"/>
      <c r="N634" s="6"/>
      <c r="O634" s="6"/>
      <c r="P634" s="6"/>
      <c r="Q634" s="6"/>
      <c r="R634" s="6"/>
      <c r="S634" s="6"/>
      <c r="T634" s="6"/>
    </row>
    <row r="635" spans="12:20" ht="12.75">
      <c r="L635" s="6"/>
      <c r="M635" s="6"/>
      <c r="N635" s="6"/>
      <c r="O635" s="6"/>
      <c r="P635" s="6"/>
      <c r="Q635" s="6"/>
      <c r="R635" s="6"/>
      <c r="S635" s="6"/>
      <c r="T635" s="6"/>
    </row>
    <row r="636" spans="12:20" ht="12.75">
      <c r="L636" s="6"/>
      <c r="M636" s="6"/>
      <c r="N636" s="6"/>
      <c r="O636" s="6"/>
      <c r="P636" s="6"/>
      <c r="Q636" s="6"/>
      <c r="R636" s="6"/>
      <c r="S636" s="6"/>
      <c r="T636" s="6"/>
    </row>
    <row r="637" spans="12:20" ht="12.75">
      <c r="L637" s="6"/>
      <c r="M637" s="6"/>
      <c r="N637" s="6"/>
      <c r="O637" s="6"/>
      <c r="P637" s="6"/>
      <c r="Q637" s="6"/>
      <c r="R637" s="6"/>
      <c r="S637" s="6"/>
      <c r="T637" s="6"/>
    </row>
    <row r="638" spans="12:20" ht="12.75">
      <c r="L638" s="6"/>
      <c r="M638" s="6"/>
      <c r="N638" s="6"/>
      <c r="O638" s="6"/>
      <c r="P638" s="6"/>
      <c r="Q638" s="6"/>
      <c r="R638" s="6"/>
      <c r="S638" s="6"/>
      <c r="T638" s="6"/>
    </row>
    <row r="639" spans="12:20" ht="12.75">
      <c r="L639" s="6"/>
      <c r="M639" s="6"/>
      <c r="N639" s="6"/>
      <c r="O639" s="6"/>
      <c r="P639" s="6"/>
      <c r="Q639" s="6"/>
      <c r="R639" s="6"/>
      <c r="S639" s="6"/>
      <c r="T639" s="6"/>
    </row>
    <row r="640" spans="12:20" ht="12.75">
      <c r="L640" s="6"/>
      <c r="M640" s="6"/>
      <c r="N640" s="6"/>
      <c r="O640" s="6"/>
      <c r="P640" s="6"/>
      <c r="Q640" s="6"/>
      <c r="R640" s="6"/>
      <c r="S640" s="6"/>
      <c r="T640" s="6"/>
    </row>
    <row r="641" spans="12:20" ht="12.75">
      <c r="L641" s="6"/>
      <c r="M641" s="6"/>
      <c r="N641" s="6"/>
      <c r="O641" s="6"/>
      <c r="P641" s="6"/>
      <c r="Q641" s="6"/>
      <c r="R641" s="6"/>
      <c r="S641" s="6"/>
      <c r="T641" s="6"/>
    </row>
    <row r="642" spans="12:20" ht="12.75">
      <c r="L642" s="6"/>
      <c r="M642" s="6"/>
      <c r="N642" s="6"/>
      <c r="O642" s="6"/>
      <c r="P642" s="6"/>
      <c r="Q642" s="6"/>
      <c r="R642" s="6"/>
      <c r="S642" s="6"/>
      <c r="T642" s="6"/>
    </row>
    <row r="643" spans="12:20" ht="12.75">
      <c r="L643" s="6"/>
      <c r="M643" s="6"/>
      <c r="N643" s="6"/>
      <c r="O643" s="6"/>
      <c r="P643" s="6"/>
      <c r="Q643" s="6"/>
      <c r="R643" s="6"/>
      <c r="S643" s="6"/>
      <c r="T643" s="6"/>
    </row>
    <row r="644" spans="12:20" ht="12.75">
      <c r="L644" s="6"/>
      <c r="M644" s="6"/>
      <c r="N644" s="6"/>
      <c r="O644" s="6"/>
      <c r="P644" s="6"/>
      <c r="Q644" s="6"/>
      <c r="R644" s="6"/>
      <c r="S644" s="6"/>
      <c r="T644" s="6"/>
    </row>
    <row r="645" spans="12:20" ht="12.75">
      <c r="L645" s="6"/>
      <c r="M645" s="6"/>
      <c r="N645" s="6"/>
      <c r="O645" s="6"/>
      <c r="P645" s="6"/>
      <c r="Q645" s="6"/>
      <c r="R645" s="6"/>
      <c r="S645" s="6"/>
      <c r="T645" s="6"/>
    </row>
    <row r="646" spans="12:20" ht="12.75">
      <c r="L646" s="6"/>
      <c r="M646" s="6"/>
      <c r="N646" s="6"/>
      <c r="O646" s="6"/>
      <c r="P646" s="6"/>
      <c r="Q646" s="6"/>
      <c r="R646" s="6"/>
      <c r="S646" s="6"/>
      <c r="T646" s="6"/>
    </row>
    <row r="647" spans="12:20" ht="12.75">
      <c r="L647" s="6"/>
      <c r="M647" s="6"/>
      <c r="N647" s="6"/>
      <c r="O647" s="6"/>
      <c r="P647" s="6"/>
      <c r="Q647" s="6"/>
      <c r="R647" s="6"/>
      <c r="S647" s="6"/>
      <c r="T647" s="6"/>
    </row>
    <row r="648" spans="12:20" ht="12.75">
      <c r="L648" s="6"/>
      <c r="M648" s="6"/>
      <c r="N648" s="6"/>
      <c r="O648" s="6"/>
      <c r="P648" s="6"/>
      <c r="Q648" s="6"/>
      <c r="R648" s="6"/>
      <c r="S648" s="6"/>
      <c r="T648" s="6"/>
    </row>
    <row r="649" spans="12:20" ht="12.75">
      <c r="L649" s="6"/>
      <c r="M649" s="6"/>
      <c r="N649" s="6"/>
      <c r="O649" s="6"/>
      <c r="P649" s="6"/>
      <c r="Q649" s="6"/>
      <c r="R649" s="6"/>
      <c r="S649" s="6"/>
      <c r="T649" s="6"/>
    </row>
    <row r="650" spans="12:20" ht="12.75">
      <c r="L650" s="6"/>
      <c r="M650" s="6"/>
      <c r="N650" s="6"/>
      <c r="O650" s="6"/>
      <c r="P650" s="6"/>
      <c r="Q650" s="6"/>
      <c r="R650" s="6"/>
      <c r="S650" s="6"/>
      <c r="T650" s="6"/>
    </row>
    <row r="651" spans="12:20" ht="12.75">
      <c r="L651" s="6"/>
      <c r="M651" s="6"/>
      <c r="N651" s="6"/>
      <c r="O651" s="6"/>
      <c r="P651" s="6"/>
      <c r="Q651" s="6"/>
      <c r="R651" s="6"/>
      <c r="S651" s="6"/>
      <c r="T651" s="6"/>
    </row>
    <row r="652" spans="12:20" ht="12.75">
      <c r="L652" s="6"/>
      <c r="M652" s="6"/>
      <c r="N652" s="6"/>
      <c r="O652" s="6"/>
      <c r="P652" s="6"/>
      <c r="Q652" s="6"/>
      <c r="R652" s="6"/>
      <c r="S652" s="6"/>
      <c r="T652" s="6"/>
    </row>
    <row r="653" spans="12:20" ht="12.75">
      <c r="L653" s="6"/>
      <c r="M653" s="6"/>
      <c r="N653" s="6"/>
      <c r="O653" s="6"/>
      <c r="P653" s="6"/>
      <c r="Q653" s="6"/>
      <c r="R653" s="6"/>
      <c r="S653" s="6"/>
      <c r="T653" s="6"/>
    </row>
    <row r="654" spans="12:20" ht="12.75">
      <c r="L654" s="6"/>
      <c r="M654" s="6"/>
      <c r="N654" s="6"/>
      <c r="O654" s="6"/>
      <c r="P654" s="6"/>
      <c r="Q654" s="6"/>
      <c r="R654" s="6"/>
      <c r="S654" s="6"/>
      <c r="T654" s="6"/>
    </row>
    <row r="655" spans="12:20" ht="12.75">
      <c r="L655" s="6"/>
      <c r="M655" s="6"/>
      <c r="N655" s="6"/>
      <c r="O655" s="6"/>
      <c r="P655" s="6"/>
      <c r="Q655" s="6"/>
      <c r="R655" s="6"/>
      <c r="S655" s="6"/>
      <c r="T655" s="6"/>
    </row>
    <row r="656" spans="12:20" ht="12.75">
      <c r="L656" s="6"/>
      <c r="M656" s="6"/>
      <c r="N656" s="6"/>
      <c r="O656" s="6"/>
      <c r="P656" s="6"/>
      <c r="Q656" s="6"/>
      <c r="R656" s="6"/>
      <c r="S656" s="6"/>
      <c r="T656" s="6"/>
    </row>
    <row r="657" spans="12:20" ht="12.75">
      <c r="L657" s="6"/>
      <c r="M657" s="6"/>
      <c r="N657" s="6"/>
      <c r="O657" s="6"/>
      <c r="P657" s="6"/>
      <c r="Q657" s="6"/>
      <c r="R657" s="6"/>
      <c r="S657" s="6"/>
      <c r="T657" s="6"/>
    </row>
    <row r="658" spans="12:20" ht="12.75">
      <c r="L658" s="6"/>
      <c r="M658" s="6"/>
      <c r="N658" s="6"/>
      <c r="O658" s="6"/>
      <c r="P658" s="6"/>
      <c r="Q658" s="6"/>
      <c r="R658" s="6"/>
      <c r="S658" s="6"/>
      <c r="T658" s="6"/>
    </row>
    <row r="659" spans="12:20" ht="12.75">
      <c r="L659" s="6"/>
      <c r="M659" s="6"/>
      <c r="N659" s="6"/>
      <c r="O659" s="6"/>
      <c r="P659" s="6"/>
      <c r="Q659" s="6"/>
      <c r="R659" s="6"/>
      <c r="S659" s="6"/>
      <c r="T659" s="6"/>
    </row>
    <row r="660" spans="12:20" ht="12.75">
      <c r="L660" s="6"/>
      <c r="M660" s="6"/>
      <c r="N660" s="6"/>
      <c r="O660" s="6"/>
      <c r="P660" s="6"/>
      <c r="Q660" s="6"/>
      <c r="R660" s="6"/>
      <c r="S660" s="6"/>
      <c r="T660" s="6"/>
    </row>
    <row r="661" spans="12:20" ht="12.75">
      <c r="L661" s="6"/>
      <c r="M661" s="6"/>
      <c r="N661" s="6"/>
      <c r="O661" s="6"/>
      <c r="P661" s="6"/>
      <c r="Q661" s="6"/>
      <c r="R661" s="6"/>
      <c r="S661" s="6"/>
      <c r="T661" s="6"/>
    </row>
    <row r="662" spans="12:20" ht="12.75">
      <c r="L662" s="6"/>
      <c r="M662" s="6"/>
      <c r="N662" s="6"/>
      <c r="O662" s="6"/>
      <c r="P662" s="6"/>
      <c r="Q662" s="6"/>
      <c r="R662" s="6"/>
      <c r="S662" s="6"/>
      <c r="T662" s="6"/>
    </row>
    <row r="663" spans="12:20" ht="12.75">
      <c r="L663" s="6"/>
      <c r="M663" s="6"/>
      <c r="N663" s="6"/>
      <c r="O663" s="6"/>
      <c r="P663" s="6"/>
      <c r="Q663" s="6"/>
      <c r="R663" s="6"/>
      <c r="S663" s="6"/>
      <c r="T663" s="6"/>
    </row>
    <row r="664" spans="12:20" ht="12.75">
      <c r="L664" s="6"/>
      <c r="M664" s="6"/>
      <c r="N664" s="6"/>
      <c r="O664" s="6"/>
      <c r="P664" s="6"/>
      <c r="Q664" s="6"/>
      <c r="R664" s="6"/>
      <c r="S664" s="6"/>
      <c r="T664" s="6"/>
    </row>
    <row r="665" spans="12:20" ht="12.75">
      <c r="L665" s="6"/>
      <c r="M665" s="6"/>
      <c r="N665" s="6"/>
      <c r="O665" s="6"/>
      <c r="P665" s="6"/>
      <c r="Q665" s="6"/>
      <c r="R665" s="6"/>
      <c r="S665" s="6"/>
      <c r="T665" s="6"/>
    </row>
    <row r="666" spans="12:20" ht="12.75">
      <c r="L666" s="6"/>
      <c r="M666" s="6"/>
      <c r="N666" s="6"/>
      <c r="O666" s="6"/>
      <c r="P666" s="6"/>
      <c r="Q666" s="6"/>
      <c r="R666" s="6"/>
      <c r="S666" s="6"/>
      <c r="T666" s="6"/>
    </row>
    <row r="667" spans="12:20" ht="12.75">
      <c r="L667" s="6"/>
      <c r="M667" s="6"/>
      <c r="N667" s="6"/>
      <c r="O667" s="6"/>
      <c r="P667" s="6"/>
      <c r="Q667" s="6"/>
      <c r="R667" s="6"/>
      <c r="S667" s="6"/>
      <c r="T667" s="6"/>
    </row>
    <row r="668" spans="12:20" ht="12.75">
      <c r="L668" s="6"/>
      <c r="M668" s="6"/>
      <c r="N668" s="6"/>
      <c r="O668" s="6"/>
      <c r="P668" s="6"/>
      <c r="Q668" s="6"/>
      <c r="R668" s="6"/>
      <c r="S668" s="6"/>
      <c r="T668" s="6"/>
    </row>
    <row r="669" spans="12:20" ht="12.75">
      <c r="L669" s="6"/>
      <c r="M669" s="6"/>
      <c r="N669" s="6"/>
      <c r="O669" s="6"/>
      <c r="P669" s="6"/>
      <c r="Q669" s="6"/>
      <c r="R669" s="6"/>
      <c r="S669" s="6"/>
      <c r="T669" s="6"/>
    </row>
    <row r="670" spans="12:20" ht="12.75">
      <c r="L670" s="6"/>
      <c r="M670" s="6"/>
      <c r="N670" s="6"/>
      <c r="O670" s="6"/>
      <c r="P670" s="6"/>
      <c r="Q670" s="6"/>
      <c r="R670" s="6"/>
      <c r="S670" s="6"/>
      <c r="T670" s="6"/>
    </row>
    <row r="671" spans="12:20" ht="12.75">
      <c r="L671" s="6"/>
      <c r="M671" s="6"/>
      <c r="N671" s="6"/>
      <c r="O671" s="6"/>
      <c r="P671" s="6"/>
      <c r="Q671" s="6"/>
      <c r="R671" s="6"/>
      <c r="S671" s="6"/>
      <c r="T671" s="6"/>
    </row>
    <row r="672" spans="12:20" ht="12.75">
      <c r="L672" s="6"/>
      <c r="M672" s="6"/>
      <c r="N672" s="6"/>
      <c r="O672" s="6"/>
      <c r="P672" s="6"/>
      <c r="Q672" s="6"/>
      <c r="R672" s="6"/>
      <c r="S672" s="6"/>
      <c r="T672" s="6"/>
    </row>
    <row r="673" spans="12:20" ht="12.75">
      <c r="L673" s="6"/>
      <c r="M673" s="6"/>
      <c r="N673" s="6"/>
      <c r="O673" s="6"/>
      <c r="P673" s="6"/>
      <c r="Q673" s="6"/>
      <c r="R673" s="6"/>
      <c r="S673" s="6"/>
      <c r="T673" s="6"/>
    </row>
    <row r="674" spans="12:20" ht="12.75">
      <c r="L674" s="6"/>
      <c r="M674" s="6"/>
      <c r="N674" s="6"/>
      <c r="O674" s="6"/>
      <c r="P674" s="6"/>
      <c r="Q674" s="6"/>
      <c r="R674" s="6"/>
      <c r="S674" s="6"/>
      <c r="T674" s="6"/>
    </row>
    <row r="675" spans="12:20" ht="12.75">
      <c r="L675" s="6"/>
      <c r="M675" s="6"/>
      <c r="N675" s="6"/>
      <c r="O675" s="6"/>
      <c r="P675" s="6"/>
      <c r="Q675" s="6"/>
      <c r="R675" s="6"/>
      <c r="S675" s="6"/>
      <c r="T675" s="6"/>
    </row>
    <row r="676" spans="12:20" ht="12.75">
      <c r="L676" s="6"/>
      <c r="M676" s="6"/>
      <c r="N676" s="6"/>
      <c r="O676" s="6"/>
      <c r="P676" s="6"/>
      <c r="Q676" s="6"/>
      <c r="R676" s="6"/>
      <c r="S676" s="6"/>
      <c r="T676" s="6"/>
    </row>
    <row r="677" spans="12:20" ht="12.75">
      <c r="L677" s="6"/>
      <c r="M677" s="6"/>
      <c r="N677" s="6"/>
      <c r="O677" s="6"/>
      <c r="P677" s="6"/>
      <c r="Q677" s="6"/>
      <c r="R677" s="6"/>
      <c r="S677" s="6"/>
      <c r="T677" s="6"/>
    </row>
    <row r="678" spans="12:20" ht="12.75">
      <c r="L678" s="6"/>
      <c r="M678" s="6"/>
      <c r="N678" s="6"/>
      <c r="O678" s="6"/>
      <c r="P678" s="6"/>
      <c r="Q678" s="6"/>
      <c r="R678" s="6"/>
      <c r="S678" s="6"/>
      <c r="T678" s="6"/>
    </row>
    <row r="679" spans="12:20" ht="12.75">
      <c r="L679" s="6"/>
      <c r="M679" s="6"/>
      <c r="N679" s="6"/>
      <c r="O679" s="6"/>
      <c r="P679" s="6"/>
      <c r="Q679" s="6"/>
      <c r="R679" s="6"/>
      <c r="S679" s="6"/>
      <c r="T679" s="6"/>
    </row>
    <row r="680" spans="12:20" ht="12.75">
      <c r="L680" s="6"/>
      <c r="M680" s="6"/>
      <c r="N680" s="6"/>
      <c r="O680" s="6"/>
      <c r="P680" s="6"/>
      <c r="Q680" s="6"/>
      <c r="R680" s="6"/>
      <c r="S680" s="6"/>
      <c r="T680" s="6"/>
    </row>
    <row r="681" spans="12:20" ht="12.75">
      <c r="L681" s="6"/>
      <c r="M681" s="6"/>
      <c r="N681" s="6"/>
      <c r="O681" s="6"/>
      <c r="P681" s="6"/>
      <c r="Q681" s="6"/>
      <c r="R681" s="6"/>
      <c r="S681" s="6"/>
      <c r="T681" s="6"/>
    </row>
    <row r="682" spans="12:20" ht="12.75">
      <c r="L682" s="6"/>
      <c r="M682" s="6"/>
      <c r="N682" s="6"/>
      <c r="O682" s="6"/>
      <c r="P682" s="6"/>
      <c r="Q682" s="6"/>
      <c r="R682" s="6"/>
      <c r="S682" s="6"/>
      <c r="T682" s="6"/>
    </row>
    <row r="683" spans="12:20" ht="12.75">
      <c r="L683" s="6"/>
      <c r="M683" s="6"/>
      <c r="N683" s="6"/>
      <c r="O683" s="6"/>
      <c r="P683" s="6"/>
      <c r="Q683" s="6"/>
      <c r="R683" s="6"/>
      <c r="S683" s="6"/>
      <c r="T683" s="6"/>
    </row>
    <row r="684" spans="12:20" ht="12.75">
      <c r="L684" s="6"/>
      <c r="M684" s="6"/>
      <c r="N684" s="6"/>
      <c r="O684" s="6"/>
      <c r="P684" s="6"/>
      <c r="Q684" s="6"/>
      <c r="R684" s="6"/>
      <c r="S684" s="6"/>
      <c r="T684" s="6"/>
    </row>
    <row r="685" spans="12:20" ht="12.75">
      <c r="L685" s="6"/>
      <c r="M685" s="6"/>
      <c r="N685" s="6"/>
      <c r="O685" s="6"/>
      <c r="P685" s="6"/>
      <c r="Q685" s="6"/>
      <c r="R685" s="6"/>
      <c r="S685" s="6"/>
      <c r="T685" s="6"/>
    </row>
    <row r="686" spans="12:20" ht="12.75">
      <c r="L686" s="6"/>
      <c r="M686" s="6"/>
      <c r="N686" s="6"/>
      <c r="O686" s="6"/>
      <c r="P686" s="6"/>
      <c r="Q686" s="6"/>
      <c r="R686" s="6"/>
      <c r="S686" s="6"/>
      <c r="T686" s="6"/>
    </row>
    <row r="687" spans="12:20" ht="12.75">
      <c r="L687" s="6"/>
      <c r="M687" s="6"/>
      <c r="N687" s="6"/>
      <c r="O687" s="6"/>
      <c r="P687" s="6"/>
      <c r="Q687" s="6"/>
      <c r="R687" s="6"/>
      <c r="S687" s="6"/>
      <c r="T687" s="6"/>
    </row>
    <row r="688" spans="12:20" ht="12.75">
      <c r="L688" s="6"/>
      <c r="M688" s="6"/>
      <c r="N688" s="6"/>
      <c r="O688" s="6"/>
      <c r="P688" s="6"/>
      <c r="Q688" s="6"/>
      <c r="R688" s="6"/>
      <c r="S688" s="6"/>
      <c r="T688" s="6"/>
    </row>
    <row r="689" spans="12:20" ht="12.75">
      <c r="L689" s="6"/>
      <c r="M689" s="6"/>
      <c r="N689" s="6"/>
      <c r="O689" s="6"/>
      <c r="P689" s="6"/>
      <c r="Q689" s="6"/>
      <c r="R689" s="6"/>
      <c r="S689" s="6"/>
      <c r="T689" s="6"/>
    </row>
    <row r="690" spans="12:20" ht="12.75">
      <c r="L690" s="6"/>
      <c r="M690" s="6"/>
      <c r="N690" s="6"/>
      <c r="O690" s="6"/>
      <c r="P690" s="6"/>
      <c r="Q690" s="6"/>
      <c r="R690" s="6"/>
      <c r="S690" s="6"/>
      <c r="T690" s="6"/>
    </row>
    <row r="691" spans="12:20" ht="12.75">
      <c r="L691" s="6"/>
      <c r="M691" s="6"/>
      <c r="N691" s="6"/>
      <c r="O691" s="6"/>
      <c r="P691" s="6"/>
      <c r="Q691" s="6"/>
      <c r="R691" s="6"/>
      <c r="S691" s="6"/>
      <c r="T691" s="6"/>
    </row>
    <row r="692" spans="12:20" ht="12.75">
      <c r="L692" s="6"/>
      <c r="M692" s="6"/>
      <c r="N692" s="6"/>
      <c r="O692" s="6"/>
      <c r="P692" s="6"/>
      <c r="Q692" s="6"/>
      <c r="R692" s="6"/>
      <c r="S692" s="6"/>
      <c r="T692" s="6"/>
    </row>
    <row r="693" spans="12:20" ht="12.75">
      <c r="L693" s="6"/>
      <c r="M693" s="6"/>
      <c r="N693" s="6"/>
      <c r="O693" s="6"/>
      <c r="P693" s="6"/>
      <c r="Q693" s="6"/>
      <c r="R693" s="6"/>
      <c r="S693" s="6"/>
      <c r="T693" s="6"/>
    </row>
    <row r="694" spans="12:20" ht="12.75">
      <c r="L694" s="6"/>
      <c r="M694" s="6"/>
      <c r="N694" s="6"/>
      <c r="O694" s="6"/>
      <c r="P694" s="6"/>
      <c r="Q694" s="6"/>
      <c r="R694" s="6"/>
      <c r="S694" s="6"/>
      <c r="T694" s="6"/>
    </row>
    <row r="695" spans="12:20" ht="12.75">
      <c r="L695" s="6"/>
      <c r="M695" s="6"/>
      <c r="N695" s="6"/>
      <c r="O695" s="6"/>
      <c r="P695" s="6"/>
      <c r="Q695" s="6"/>
      <c r="R695" s="6"/>
      <c r="S695" s="6"/>
      <c r="T695" s="6"/>
    </row>
    <row r="696" spans="12:20" ht="12.75">
      <c r="L696" s="6"/>
      <c r="M696" s="6"/>
      <c r="N696" s="6"/>
      <c r="O696" s="6"/>
      <c r="P696" s="6"/>
      <c r="Q696" s="6"/>
      <c r="R696" s="6"/>
      <c r="S696" s="6"/>
      <c r="T696" s="6"/>
    </row>
    <row r="697" spans="12:20" ht="12.75">
      <c r="L697" s="6"/>
      <c r="M697" s="6"/>
      <c r="N697" s="6"/>
      <c r="O697" s="6"/>
      <c r="P697" s="6"/>
      <c r="Q697" s="6"/>
      <c r="R697" s="6"/>
      <c r="S697" s="6"/>
      <c r="T697" s="6"/>
    </row>
    <row r="698" spans="12:20" ht="12.75">
      <c r="L698" s="6"/>
      <c r="M698" s="6"/>
      <c r="N698" s="6"/>
      <c r="O698" s="6"/>
      <c r="P698" s="6"/>
      <c r="Q698" s="6"/>
      <c r="R698" s="6"/>
      <c r="S698" s="6"/>
      <c r="T698" s="6"/>
    </row>
    <row r="699" spans="12:20" ht="12.75">
      <c r="L699" s="6"/>
      <c r="M699" s="6"/>
      <c r="N699" s="6"/>
      <c r="O699" s="6"/>
      <c r="P699" s="6"/>
      <c r="Q699" s="6"/>
      <c r="R699" s="6"/>
      <c r="S699" s="6"/>
      <c r="T699" s="6"/>
    </row>
    <row r="700" spans="12:20" ht="12.75">
      <c r="L700" s="6"/>
      <c r="M700" s="6"/>
      <c r="N700" s="6"/>
      <c r="O700" s="6"/>
      <c r="P700" s="6"/>
      <c r="Q700" s="6"/>
      <c r="R700" s="6"/>
      <c r="S700" s="6"/>
      <c r="T700" s="6"/>
    </row>
    <row r="701" spans="12:20" ht="12.75">
      <c r="L701" s="6"/>
      <c r="M701" s="6"/>
      <c r="N701" s="6"/>
      <c r="O701" s="6"/>
      <c r="P701" s="6"/>
      <c r="Q701" s="6"/>
      <c r="R701" s="6"/>
      <c r="S701" s="6"/>
      <c r="T701" s="6"/>
    </row>
    <row r="702" spans="12:20" ht="12.75">
      <c r="L702" s="6"/>
      <c r="M702" s="6"/>
      <c r="N702" s="6"/>
      <c r="O702" s="6"/>
      <c r="P702" s="6"/>
      <c r="Q702" s="6"/>
      <c r="R702" s="6"/>
      <c r="S702" s="6"/>
      <c r="T702" s="6"/>
    </row>
    <row r="703" spans="12:20" ht="12.75">
      <c r="L703" s="6"/>
      <c r="M703" s="6"/>
      <c r="N703" s="6"/>
      <c r="O703" s="6"/>
      <c r="P703" s="6"/>
      <c r="Q703" s="6"/>
      <c r="R703" s="6"/>
      <c r="S703" s="6"/>
      <c r="T703" s="6"/>
    </row>
    <row r="704" spans="12:20" ht="12.75">
      <c r="L704" s="6"/>
      <c r="M704" s="6"/>
      <c r="N704" s="6"/>
      <c r="O704" s="6"/>
      <c r="P704" s="6"/>
      <c r="Q704" s="6"/>
      <c r="R704" s="6"/>
      <c r="S704" s="6"/>
      <c r="T704" s="6"/>
    </row>
    <row r="705" spans="12:20" ht="12.75">
      <c r="L705" s="6"/>
      <c r="M705" s="6"/>
      <c r="N705" s="6"/>
      <c r="O705" s="6"/>
      <c r="P705" s="6"/>
      <c r="Q705" s="6"/>
      <c r="R705" s="6"/>
      <c r="S705" s="6"/>
      <c r="T705" s="6"/>
    </row>
    <row r="706" spans="12:20" ht="12.75">
      <c r="L706" s="6"/>
      <c r="M706" s="6"/>
      <c r="N706" s="6"/>
      <c r="O706" s="6"/>
      <c r="P706" s="6"/>
      <c r="Q706" s="6"/>
      <c r="R706" s="6"/>
      <c r="S706" s="6"/>
      <c r="T706" s="6"/>
    </row>
    <row r="707" spans="12:20" ht="12.75">
      <c r="L707" s="6"/>
      <c r="M707" s="6"/>
      <c r="N707" s="6"/>
      <c r="O707" s="6"/>
      <c r="P707" s="6"/>
      <c r="Q707" s="6"/>
      <c r="R707" s="6"/>
      <c r="S707" s="6"/>
      <c r="T707" s="6"/>
    </row>
    <row r="708" spans="12:20" ht="12.75">
      <c r="L708" s="6"/>
      <c r="M708" s="6"/>
      <c r="N708" s="6"/>
      <c r="O708" s="6"/>
      <c r="P708" s="6"/>
      <c r="Q708" s="6"/>
      <c r="R708" s="6"/>
      <c r="S708" s="6"/>
      <c r="T708" s="6"/>
    </row>
    <row r="709" spans="12:20" ht="12.75">
      <c r="L709" s="6"/>
      <c r="M709" s="6"/>
      <c r="N709" s="6"/>
      <c r="O709" s="6"/>
      <c r="P709" s="6"/>
      <c r="Q709" s="6"/>
      <c r="R709" s="6"/>
      <c r="S709" s="6"/>
      <c r="T709" s="6"/>
    </row>
    <row r="710" spans="12:20" ht="12.75">
      <c r="L710" s="6"/>
      <c r="M710" s="6"/>
      <c r="N710" s="6"/>
      <c r="O710" s="6"/>
      <c r="P710" s="6"/>
      <c r="Q710" s="6"/>
      <c r="R710" s="6"/>
      <c r="S710" s="6"/>
      <c r="T710" s="6"/>
    </row>
    <row r="711" spans="12:20" ht="12.75">
      <c r="L711" s="6"/>
      <c r="M711" s="6"/>
      <c r="N711" s="6"/>
      <c r="O711" s="6"/>
      <c r="P711" s="6"/>
      <c r="Q711" s="6"/>
      <c r="R711" s="6"/>
      <c r="S711" s="6"/>
      <c r="T711" s="6"/>
    </row>
    <row r="712" spans="12:20" ht="12.75">
      <c r="L712" s="6"/>
      <c r="M712" s="6"/>
      <c r="N712" s="6"/>
      <c r="O712" s="6"/>
      <c r="P712" s="6"/>
      <c r="Q712" s="6"/>
      <c r="R712" s="6"/>
      <c r="S712" s="6"/>
      <c r="T712" s="6"/>
    </row>
    <row r="713" spans="12:20" ht="12.75">
      <c r="L713" s="6"/>
      <c r="M713" s="6"/>
      <c r="N713" s="6"/>
      <c r="O713" s="6"/>
      <c r="P713" s="6"/>
      <c r="Q713" s="6"/>
      <c r="R713" s="6"/>
      <c r="S713" s="6"/>
      <c r="T713" s="6"/>
    </row>
    <row r="714" spans="12:20" ht="12.75">
      <c r="L714" s="6"/>
      <c r="M714" s="6"/>
      <c r="N714" s="6"/>
      <c r="O714" s="6"/>
      <c r="P714" s="6"/>
      <c r="Q714" s="6"/>
      <c r="R714" s="6"/>
      <c r="S714" s="6"/>
      <c r="T714" s="6"/>
    </row>
    <row r="715" spans="12:20" ht="12.75">
      <c r="L715" s="6"/>
      <c r="M715" s="6"/>
      <c r="N715" s="6"/>
      <c r="O715" s="6"/>
      <c r="P715" s="6"/>
      <c r="Q715" s="6"/>
      <c r="R715" s="6"/>
      <c r="S715" s="6"/>
      <c r="T715" s="6"/>
    </row>
    <row r="716" spans="12:20" ht="12.75">
      <c r="L716" s="6"/>
      <c r="M716" s="6"/>
      <c r="N716" s="6"/>
      <c r="O716" s="6"/>
      <c r="P716" s="6"/>
      <c r="Q716" s="6"/>
      <c r="R716" s="6"/>
      <c r="S716" s="6"/>
      <c r="T716" s="6"/>
    </row>
    <row r="717" spans="12:20" ht="12.75">
      <c r="L717" s="6"/>
      <c r="M717" s="6"/>
      <c r="N717" s="6"/>
      <c r="O717" s="6"/>
      <c r="P717" s="6"/>
      <c r="Q717" s="6"/>
      <c r="R717" s="6"/>
      <c r="S717" s="6"/>
      <c r="T717" s="6"/>
    </row>
    <row r="718" spans="12:20" ht="12.75">
      <c r="L718" s="6"/>
      <c r="M718" s="6"/>
      <c r="N718" s="6"/>
      <c r="O718" s="6"/>
      <c r="P718" s="6"/>
      <c r="Q718" s="6"/>
      <c r="R718" s="6"/>
      <c r="S718" s="6"/>
      <c r="T718" s="6"/>
    </row>
    <row r="719" spans="12:20" ht="12.75">
      <c r="L719" s="6"/>
      <c r="M719" s="6"/>
      <c r="N719" s="6"/>
      <c r="O719" s="6"/>
      <c r="P719" s="6"/>
      <c r="Q719" s="6"/>
      <c r="R719" s="6"/>
      <c r="S719" s="6"/>
      <c r="T719" s="6"/>
    </row>
    <row r="720" spans="12:20" ht="12.75">
      <c r="L720" s="6"/>
      <c r="M720" s="6"/>
      <c r="N720" s="6"/>
      <c r="O720" s="6"/>
      <c r="P720" s="6"/>
      <c r="Q720" s="6"/>
      <c r="R720" s="6"/>
      <c r="S720" s="6"/>
      <c r="T720" s="6"/>
    </row>
    <row r="721" spans="12:20" ht="12.75">
      <c r="L721" s="6"/>
      <c r="M721" s="6"/>
      <c r="N721" s="6"/>
      <c r="O721" s="6"/>
      <c r="P721" s="6"/>
      <c r="Q721" s="6"/>
      <c r="R721" s="6"/>
      <c r="S721" s="6"/>
      <c r="T721" s="6"/>
    </row>
    <row r="722" spans="12:20" ht="12.75">
      <c r="L722" s="6"/>
      <c r="M722" s="6"/>
      <c r="N722" s="6"/>
      <c r="O722" s="6"/>
      <c r="P722" s="6"/>
      <c r="Q722" s="6"/>
      <c r="R722" s="6"/>
      <c r="S722" s="6"/>
      <c r="T722" s="6"/>
    </row>
    <row r="723" spans="12:20" ht="12.75">
      <c r="L723" s="6"/>
      <c r="M723" s="6"/>
      <c r="N723" s="6"/>
      <c r="O723" s="6"/>
      <c r="P723" s="6"/>
      <c r="Q723" s="6"/>
      <c r="R723" s="6"/>
      <c r="S723" s="6"/>
      <c r="T723" s="6"/>
    </row>
    <row r="724" spans="12:20" ht="12.75">
      <c r="L724" s="6"/>
      <c r="M724" s="6"/>
      <c r="N724" s="6"/>
      <c r="O724" s="6"/>
      <c r="P724" s="6"/>
      <c r="Q724" s="6"/>
      <c r="R724" s="6"/>
      <c r="S724" s="6"/>
      <c r="T724" s="6"/>
    </row>
    <row r="725" spans="12:20" ht="12.75">
      <c r="L725" s="6"/>
      <c r="M725" s="6"/>
      <c r="N725" s="6"/>
      <c r="O725" s="6"/>
      <c r="P725" s="6"/>
      <c r="Q725" s="6"/>
      <c r="R725" s="6"/>
      <c r="S725" s="6"/>
      <c r="T725" s="6"/>
    </row>
    <row r="726" spans="12:20" ht="12.75">
      <c r="L726" s="6"/>
      <c r="M726" s="6"/>
      <c r="N726" s="6"/>
      <c r="O726" s="6"/>
      <c r="P726" s="6"/>
      <c r="Q726" s="6"/>
      <c r="R726" s="6"/>
      <c r="S726" s="6"/>
      <c r="T726" s="6"/>
    </row>
    <row r="727" spans="12:20" ht="12.75">
      <c r="L727" s="6"/>
      <c r="M727" s="6"/>
      <c r="N727" s="6"/>
      <c r="O727" s="6"/>
      <c r="P727" s="6"/>
      <c r="Q727" s="6"/>
      <c r="R727" s="6"/>
      <c r="S727" s="6"/>
      <c r="T727" s="6"/>
    </row>
    <row r="728" spans="12:20" ht="12.75">
      <c r="L728" s="6"/>
      <c r="M728" s="6"/>
      <c r="N728" s="6"/>
      <c r="O728" s="6"/>
      <c r="P728" s="6"/>
      <c r="Q728" s="6"/>
      <c r="R728" s="6"/>
      <c r="S728" s="6"/>
      <c r="T728" s="6"/>
    </row>
    <row r="729" spans="12:20" ht="12.75">
      <c r="L729" s="6"/>
      <c r="M729" s="6"/>
      <c r="N729" s="6"/>
      <c r="O729" s="6"/>
      <c r="P729" s="6"/>
      <c r="Q729" s="6"/>
      <c r="R729" s="6"/>
      <c r="S729" s="6"/>
      <c r="T729" s="6"/>
    </row>
    <row r="730" spans="12:20" ht="12.75">
      <c r="L730" s="6"/>
      <c r="M730" s="6"/>
      <c r="N730" s="6"/>
      <c r="O730" s="6"/>
      <c r="P730" s="6"/>
      <c r="Q730" s="6"/>
      <c r="R730" s="6"/>
      <c r="S730" s="6"/>
      <c r="T730" s="6"/>
    </row>
    <row r="731" spans="12:20" ht="12.75">
      <c r="L731" s="6"/>
      <c r="M731" s="6"/>
      <c r="N731" s="6"/>
      <c r="O731" s="6"/>
      <c r="P731" s="6"/>
      <c r="Q731" s="6"/>
      <c r="R731" s="6"/>
      <c r="S731" s="6"/>
      <c r="T731" s="6"/>
    </row>
    <row r="732" spans="12:20" ht="12.75">
      <c r="L732" s="6"/>
      <c r="M732" s="6"/>
      <c r="N732" s="6"/>
      <c r="O732" s="6"/>
      <c r="P732" s="6"/>
      <c r="Q732" s="6"/>
      <c r="R732" s="6"/>
      <c r="S732" s="6"/>
      <c r="T732" s="6"/>
    </row>
    <row r="733" spans="12:20" ht="12.75">
      <c r="L733" s="6"/>
      <c r="M733" s="6"/>
      <c r="N733" s="6"/>
      <c r="O733" s="6"/>
      <c r="P733" s="6"/>
      <c r="Q733" s="6"/>
      <c r="R733" s="6"/>
      <c r="S733" s="6"/>
      <c r="T733" s="6"/>
    </row>
    <row r="734" spans="12:20" ht="12.75">
      <c r="L734" s="6"/>
      <c r="M734" s="6"/>
      <c r="N734" s="6"/>
      <c r="O734" s="6"/>
      <c r="P734" s="6"/>
      <c r="Q734" s="6"/>
      <c r="R734" s="6"/>
      <c r="S734" s="6"/>
      <c r="T734" s="6"/>
    </row>
    <row r="735" spans="12:20" ht="12.75">
      <c r="L735" s="6"/>
      <c r="M735" s="6"/>
      <c r="N735" s="6"/>
      <c r="O735" s="6"/>
      <c r="P735" s="6"/>
      <c r="Q735" s="6"/>
      <c r="R735" s="6"/>
      <c r="S735" s="6"/>
      <c r="T735" s="6"/>
    </row>
    <row r="736" spans="12:20" ht="12.75">
      <c r="L736" s="6"/>
      <c r="M736" s="6"/>
      <c r="N736" s="6"/>
      <c r="O736" s="6"/>
      <c r="P736" s="6"/>
      <c r="Q736" s="6"/>
      <c r="R736" s="6"/>
      <c r="S736" s="6"/>
      <c r="T736" s="6"/>
    </row>
    <row r="737" spans="12:20" ht="12.75">
      <c r="L737" s="6"/>
      <c r="M737" s="6"/>
      <c r="N737" s="6"/>
      <c r="O737" s="6"/>
      <c r="P737" s="6"/>
      <c r="Q737" s="6"/>
      <c r="R737" s="6"/>
      <c r="S737" s="6"/>
      <c r="T737" s="6"/>
    </row>
    <row r="738" spans="12:20" ht="12.75">
      <c r="L738" s="6"/>
      <c r="M738" s="6"/>
      <c r="N738" s="6"/>
      <c r="O738" s="6"/>
      <c r="P738" s="6"/>
      <c r="Q738" s="6"/>
      <c r="R738" s="6"/>
      <c r="S738" s="6"/>
      <c r="T738" s="6"/>
    </row>
    <row r="739" spans="12:20" ht="12.75">
      <c r="L739" s="6"/>
      <c r="M739" s="6"/>
      <c r="N739" s="6"/>
      <c r="O739" s="6"/>
      <c r="P739" s="6"/>
      <c r="Q739" s="6"/>
      <c r="R739" s="6"/>
      <c r="S739" s="6"/>
      <c r="T739" s="6"/>
    </row>
    <row r="740" spans="12:20" ht="12.75">
      <c r="L740" s="6"/>
      <c r="M740" s="6"/>
      <c r="N740" s="6"/>
      <c r="O740" s="6"/>
      <c r="P740" s="6"/>
      <c r="Q740" s="6"/>
      <c r="R740" s="6"/>
      <c r="S740" s="6"/>
      <c r="T740" s="6"/>
    </row>
    <row r="741" spans="12:20" ht="12.75">
      <c r="L741" s="6"/>
      <c r="M741" s="6"/>
      <c r="N741" s="6"/>
      <c r="O741" s="6"/>
      <c r="P741" s="6"/>
      <c r="Q741" s="6"/>
      <c r="R741" s="6"/>
      <c r="S741" s="6"/>
      <c r="T741" s="6"/>
    </row>
    <row r="742" spans="12:20" ht="12.75">
      <c r="L742" s="6"/>
      <c r="M742" s="6"/>
      <c r="N742" s="6"/>
      <c r="O742" s="6"/>
      <c r="P742" s="6"/>
      <c r="Q742" s="6"/>
      <c r="R742" s="6"/>
      <c r="S742" s="6"/>
      <c r="T742" s="6"/>
    </row>
    <row r="743" spans="12:20" ht="12.75">
      <c r="L743" s="6"/>
      <c r="M743" s="6"/>
      <c r="N743" s="6"/>
      <c r="O743" s="6"/>
      <c r="P743" s="6"/>
      <c r="Q743" s="6"/>
      <c r="R743" s="6"/>
      <c r="S743" s="6"/>
      <c r="T743" s="6"/>
    </row>
    <row r="744" spans="12:20" ht="12.75">
      <c r="L744" s="6"/>
      <c r="M744" s="6"/>
      <c r="N744" s="6"/>
      <c r="O744" s="6"/>
      <c r="P744" s="6"/>
      <c r="Q744" s="6"/>
      <c r="R744" s="6"/>
      <c r="S744" s="6"/>
      <c r="T744" s="6"/>
    </row>
    <row r="745" spans="12:20" ht="12.75">
      <c r="L745" s="6"/>
      <c r="M745" s="6"/>
      <c r="N745" s="6"/>
      <c r="O745" s="6"/>
      <c r="P745" s="6"/>
      <c r="Q745" s="6"/>
      <c r="R745" s="6"/>
      <c r="S745" s="6"/>
      <c r="T745" s="6"/>
    </row>
    <row r="746" spans="12:20" ht="12.75">
      <c r="L746" s="6"/>
      <c r="M746" s="6"/>
      <c r="N746" s="6"/>
      <c r="O746" s="6"/>
      <c r="P746" s="6"/>
      <c r="Q746" s="6"/>
      <c r="R746" s="6"/>
      <c r="S746" s="6"/>
      <c r="T746" s="6"/>
    </row>
    <row r="747" spans="12:20" ht="12.75">
      <c r="L747" s="6"/>
      <c r="M747" s="6"/>
      <c r="N747" s="6"/>
      <c r="O747" s="6"/>
      <c r="P747" s="6"/>
      <c r="Q747" s="6"/>
      <c r="R747" s="6"/>
      <c r="S747" s="6"/>
      <c r="T747" s="6"/>
    </row>
    <row r="748" spans="12:20" ht="12.75">
      <c r="L748" s="6"/>
      <c r="M748" s="6"/>
      <c r="N748" s="6"/>
      <c r="O748" s="6"/>
      <c r="P748" s="6"/>
      <c r="Q748" s="6"/>
      <c r="R748" s="6"/>
      <c r="S748" s="6"/>
      <c r="T748" s="6"/>
    </row>
    <row r="749" spans="12:20" ht="12.75">
      <c r="L749" s="6"/>
      <c r="M749" s="6"/>
      <c r="N749" s="6"/>
      <c r="O749" s="6"/>
      <c r="P749" s="6"/>
      <c r="Q749" s="6"/>
      <c r="R749" s="6"/>
      <c r="S749" s="6"/>
      <c r="T749" s="6"/>
    </row>
    <row r="750" spans="12:20" ht="12.75">
      <c r="L750" s="6"/>
      <c r="M750" s="6"/>
      <c r="N750" s="6"/>
      <c r="O750" s="6"/>
      <c r="P750" s="6"/>
      <c r="Q750" s="6"/>
      <c r="R750" s="6"/>
      <c r="S750" s="6"/>
      <c r="T750" s="6"/>
    </row>
    <row r="751" spans="12:20" ht="12.75">
      <c r="L751" s="6"/>
      <c r="M751" s="6"/>
      <c r="N751" s="6"/>
      <c r="O751" s="6"/>
      <c r="P751" s="6"/>
      <c r="Q751" s="6"/>
      <c r="R751" s="6"/>
      <c r="S751" s="6"/>
      <c r="T751" s="6"/>
    </row>
    <row r="752" spans="12:20" ht="12.75">
      <c r="L752" s="6"/>
      <c r="M752" s="6"/>
      <c r="N752" s="6"/>
      <c r="O752" s="6"/>
      <c r="P752" s="6"/>
      <c r="Q752" s="6"/>
      <c r="R752" s="6"/>
      <c r="S752" s="6"/>
      <c r="T752" s="6"/>
    </row>
    <row r="753" spans="12:20" ht="12.75">
      <c r="L753" s="6"/>
      <c r="M753" s="6"/>
      <c r="N753" s="6"/>
      <c r="O753" s="6"/>
      <c r="P753" s="6"/>
      <c r="Q753" s="6"/>
      <c r="R753" s="6"/>
      <c r="S753" s="6"/>
      <c r="T753" s="6"/>
    </row>
    <row r="754" spans="12:20" ht="12.75">
      <c r="L754" s="6"/>
      <c r="M754" s="6"/>
      <c r="N754" s="6"/>
      <c r="O754" s="6"/>
      <c r="P754" s="6"/>
      <c r="Q754" s="6"/>
      <c r="R754" s="6"/>
      <c r="S754" s="6"/>
      <c r="T754" s="6"/>
    </row>
    <row r="755" spans="12:20" ht="12.75">
      <c r="L755" s="6"/>
      <c r="M755" s="6"/>
      <c r="N755" s="6"/>
      <c r="O755" s="6"/>
      <c r="P755" s="6"/>
      <c r="Q755" s="6"/>
      <c r="R755" s="6"/>
      <c r="S755" s="6"/>
      <c r="T755" s="6"/>
    </row>
    <row r="756" spans="12:20" ht="12.75">
      <c r="L756" s="6"/>
      <c r="M756" s="6"/>
      <c r="N756" s="6"/>
      <c r="O756" s="6"/>
      <c r="P756" s="6"/>
      <c r="Q756" s="6"/>
      <c r="R756" s="6"/>
      <c r="S756" s="6"/>
      <c r="T756" s="6"/>
    </row>
    <row r="757" spans="12:20" ht="12.75">
      <c r="L757" s="6"/>
      <c r="M757" s="6"/>
      <c r="N757" s="6"/>
      <c r="O757" s="6"/>
      <c r="P757" s="6"/>
      <c r="Q757" s="6"/>
      <c r="R757" s="6"/>
      <c r="S757" s="6"/>
      <c r="T757" s="6"/>
    </row>
    <row r="758" spans="12:20" ht="12.75">
      <c r="L758" s="6"/>
      <c r="M758" s="6"/>
      <c r="N758" s="6"/>
      <c r="O758" s="6"/>
      <c r="P758" s="6"/>
      <c r="Q758" s="6"/>
      <c r="R758" s="6"/>
      <c r="S758" s="6"/>
      <c r="T758" s="6"/>
    </row>
    <row r="759" spans="12:20" ht="12.75">
      <c r="L759" s="6"/>
      <c r="M759" s="6"/>
      <c r="N759" s="6"/>
      <c r="O759" s="6"/>
      <c r="P759" s="6"/>
      <c r="Q759" s="6"/>
      <c r="R759" s="6"/>
      <c r="S759" s="6"/>
      <c r="T759" s="6"/>
    </row>
    <row r="760" spans="12:20" ht="12.75">
      <c r="L760" s="6"/>
      <c r="M760" s="6"/>
      <c r="N760" s="6"/>
      <c r="O760" s="6"/>
      <c r="P760" s="6"/>
      <c r="Q760" s="6"/>
      <c r="R760" s="6"/>
      <c r="S760" s="6"/>
      <c r="T760" s="6"/>
    </row>
    <row r="761" spans="12:20" ht="12.75">
      <c r="L761" s="6"/>
      <c r="M761" s="6"/>
      <c r="N761" s="6"/>
      <c r="O761" s="6"/>
      <c r="P761" s="6"/>
      <c r="Q761" s="6"/>
      <c r="R761" s="6"/>
      <c r="S761" s="6"/>
      <c r="T761" s="6"/>
    </row>
    <row r="762" spans="12:20" ht="12.75">
      <c r="L762" s="6"/>
      <c r="M762" s="6"/>
      <c r="N762" s="6"/>
      <c r="O762" s="6"/>
      <c r="P762" s="6"/>
      <c r="Q762" s="6"/>
      <c r="R762" s="6"/>
      <c r="S762" s="6"/>
      <c r="T762" s="6"/>
    </row>
    <row r="763" spans="12:20" ht="12.75">
      <c r="L763" s="6"/>
      <c r="M763" s="6"/>
      <c r="N763" s="6"/>
      <c r="O763" s="6"/>
      <c r="P763" s="6"/>
      <c r="Q763" s="6"/>
      <c r="R763" s="6"/>
      <c r="S763" s="6"/>
      <c r="T763" s="6"/>
    </row>
    <row r="764" spans="12:20" ht="12.75">
      <c r="L764" s="6"/>
      <c r="M764" s="6"/>
      <c r="N764" s="6"/>
      <c r="O764" s="6"/>
      <c r="P764" s="6"/>
      <c r="Q764" s="6"/>
      <c r="R764" s="6"/>
      <c r="S764" s="6"/>
      <c r="T764" s="6"/>
    </row>
    <row r="765" spans="12:20" ht="12.75">
      <c r="L765" s="6"/>
      <c r="M765" s="6"/>
      <c r="N765" s="6"/>
      <c r="O765" s="6"/>
      <c r="P765" s="6"/>
      <c r="Q765" s="6"/>
      <c r="R765" s="6"/>
      <c r="S765" s="6"/>
      <c r="T765" s="6"/>
    </row>
    <row r="766" spans="12:20" ht="12.75">
      <c r="L766" s="6"/>
      <c r="M766" s="6"/>
      <c r="N766" s="6"/>
      <c r="O766" s="6"/>
      <c r="P766" s="6"/>
      <c r="Q766" s="6"/>
      <c r="R766" s="6"/>
      <c r="S766" s="6"/>
      <c r="T766" s="6"/>
    </row>
    <row r="767" spans="12:20" ht="12.75">
      <c r="L767" s="6"/>
      <c r="M767" s="6"/>
      <c r="N767" s="6"/>
      <c r="O767" s="6"/>
      <c r="P767" s="6"/>
      <c r="Q767" s="6"/>
      <c r="R767" s="6"/>
      <c r="S767" s="6"/>
      <c r="T767" s="6"/>
    </row>
    <row r="768" spans="12:20" ht="12.75">
      <c r="L768" s="6"/>
      <c r="M768" s="6"/>
      <c r="N768" s="6"/>
      <c r="O768" s="6"/>
      <c r="P768" s="6"/>
      <c r="Q768" s="6"/>
      <c r="R768" s="6"/>
      <c r="S768" s="6"/>
      <c r="T768" s="6"/>
    </row>
    <row r="769" spans="12:20" ht="12.75">
      <c r="L769" s="6"/>
      <c r="M769" s="6"/>
      <c r="N769" s="6"/>
      <c r="O769" s="6"/>
      <c r="P769" s="6"/>
      <c r="Q769" s="6"/>
      <c r="R769" s="6"/>
      <c r="S769" s="6"/>
      <c r="T769" s="6"/>
    </row>
    <row r="770" spans="12:20" ht="12.75">
      <c r="L770" s="6"/>
      <c r="M770" s="6"/>
      <c r="N770" s="6"/>
      <c r="O770" s="6"/>
      <c r="P770" s="6"/>
      <c r="Q770" s="6"/>
      <c r="R770" s="6"/>
      <c r="S770" s="6"/>
      <c r="T770" s="6"/>
    </row>
    <row r="771" spans="12:20" ht="12.75">
      <c r="L771" s="6"/>
      <c r="M771" s="6"/>
      <c r="N771" s="6"/>
      <c r="O771" s="6"/>
      <c r="P771" s="6"/>
      <c r="Q771" s="6"/>
      <c r="R771" s="6"/>
      <c r="S771" s="6"/>
      <c r="T771" s="6"/>
    </row>
    <row r="772" spans="12:20" ht="12.75">
      <c r="L772" s="6"/>
      <c r="M772" s="6"/>
      <c r="N772" s="6"/>
      <c r="O772" s="6"/>
      <c r="P772" s="6"/>
      <c r="Q772" s="6"/>
      <c r="R772" s="6"/>
      <c r="S772" s="6"/>
      <c r="T772" s="6"/>
    </row>
    <row r="773" spans="12:20" ht="12.75">
      <c r="L773" s="6"/>
      <c r="M773" s="6"/>
      <c r="N773" s="6"/>
      <c r="O773" s="6"/>
      <c r="P773" s="6"/>
      <c r="Q773" s="6"/>
      <c r="R773" s="6"/>
      <c r="S773" s="6"/>
      <c r="T773" s="6"/>
    </row>
    <row r="774" spans="12:20" ht="12.75">
      <c r="L774" s="6"/>
      <c r="M774" s="6"/>
      <c r="N774" s="6"/>
      <c r="O774" s="6"/>
      <c r="P774" s="6"/>
      <c r="Q774" s="6"/>
      <c r="R774" s="6"/>
      <c r="S774" s="6"/>
      <c r="T774" s="6"/>
    </row>
    <row r="775" spans="12:20" ht="12.75">
      <c r="L775" s="6"/>
      <c r="M775" s="6"/>
      <c r="N775" s="6"/>
      <c r="O775" s="6"/>
      <c r="P775" s="6"/>
      <c r="Q775" s="6"/>
      <c r="R775" s="6"/>
      <c r="S775" s="6"/>
      <c r="T775" s="6"/>
    </row>
    <row r="776" spans="12:20" ht="12.75">
      <c r="L776" s="6"/>
      <c r="M776" s="6"/>
      <c r="N776" s="6"/>
      <c r="O776" s="6"/>
      <c r="P776" s="6"/>
      <c r="Q776" s="6"/>
      <c r="R776" s="6"/>
      <c r="S776" s="6"/>
      <c r="T776" s="6"/>
    </row>
    <row r="777" spans="12:20" ht="12.75">
      <c r="L777" s="6"/>
      <c r="M777" s="6"/>
      <c r="N777" s="6"/>
      <c r="O777" s="6"/>
      <c r="P777" s="6"/>
      <c r="Q777" s="6"/>
      <c r="R777" s="6"/>
      <c r="S777" s="6"/>
      <c r="T777" s="6"/>
    </row>
    <row r="778" spans="12:20" ht="12.75">
      <c r="L778" s="6"/>
      <c r="M778" s="6"/>
      <c r="N778" s="6"/>
      <c r="O778" s="6"/>
      <c r="P778" s="6"/>
      <c r="Q778" s="6"/>
      <c r="R778" s="6"/>
      <c r="S778" s="6"/>
      <c r="T778" s="6"/>
    </row>
    <row r="779" spans="12:20" ht="12.75">
      <c r="L779" s="6"/>
      <c r="M779" s="6"/>
      <c r="N779" s="6"/>
      <c r="O779" s="6"/>
      <c r="P779" s="6"/>
      <c r="Q779" s="6"/>
      <c r="R779" s="6"/>
      <c r="S779" s="6"/>
      <c r="T779" s="6"/>
    </row>
    <row r="780" spans="12:20" ht="12.75">
      <c r="L780" s="6"/>
      <c r="M780" s="6"/>
      <c r="N780" s="6"/>
      <c r="O780" s="6"/>
      <c r="P780" s="6"/>
      <c r="Q780" s="6"/>
      <c r="R780" s="6"/>
      <c r="S780" s="6"/>
      <c r="T780" s="6"/>
    </row>
    <row r="781" spans="12:20" ht="12.75">
      <c r="L781" s="6"/>
      <c r="M781" s="6"/>
      <c r="N781" s="6"/>
      <c r="O781" s="6"/>
      <c r="P781" s="6"/>
      <c r="Q781" s="6"/>
      <c r="R781" s="6"/>
      <c r="S781" s="6"/>
      <c r="T781" s="6"/>
    </row>
    <row r="782" spans="12:20" ht="12.75">
      <c r="L782" s="6"/>
      <c r="M782" s="6"/>
      <c r="N782" s="6"/>
      <c r="O782" s="6"/>
      <c r="P782" s="6"/>
      <c r="Q782" s="6"/>
      <c r="R782" s="6"/>
      <c r="S782" s="6"/>
      <c r="T782" s="6"/>
    </row>
    <row r="783" spans="12:20" ht="12.75">
      <c r="L783" s="6"/>
      <c r="M783" s="6"/>
      <c r="N783" s="6"/>
      <c r="O783" s="6"/>
      <c r="P783" s="6"/>
      <c r="Q783" s="6"/>
      <c r="R783" s="6"/>
      <c r="S783" s="6"/>
      <c r="T783" s="6"/>
    </row>
    <row r="784" spans="12:20" ht="12.75">
      <c r="L784" s="6"/>
      <c r="M784" s="6"/>
      <c r="N784" s="6"/>
      <c r="O784" s="6"/>
      <c r="P784" s="6"/>
      <c r="Q784" s="6"/>
      <c r="R784" s="6"/>
      <c r="S784" s="6"/>
      <c r="T784" s="6"/>
    </row>
    <row r="785" spans="12:20" ht="12.75">
      <c r="L785" s="6"/>
      <c r="M785" s="6"/>
      <c r="N785" s="6"/>
      <c r="O785" s="6"/>
      <c r="P785" s="6"/>
      <c r="Q785" s="6"/>
      <c r="R785" s="6"/>
      <c r="S785" s="6"/>
      <c r="T785" s="6"/>
    </row>
    <row r="786" spans="12:20" ht="12.75">
      <c r="L786" s="6"/>
      <c r="M786" s="6"/>
      <c r="N786" s="6"/>
      <c r="O786" s="6"/>
      <c r="P786" s="6"/>
      <c r="Q786" s="6"/>
      <c r="R786" s="6"/>
      <c r="S786" s="6"/>
      <c r="T786" s="6"/>
    </row>
    <row r="787" spans="12:20" ht="12.75">
      <c r="L787" s="6"/>
      <c r="M787" s="6"/>
      <c r="N787" s="6"/>
      <c r="O787" s="6"/>
      <c r="P787" s="6"/>
      <c r="Q787" s="6"/>
      <c r="R787" s="6"/>
      <c r="S787" s="6"/>
      <c r="T787" s="6"/>
    </row>
    <row r="788" spans="12:20" ht="12.75">
      <c r="L788" s="6"/>
      <c r="M788" s="6"/>
      <c r="N788" s="6"/>
      <c r="O788" s="6"/>
      <c r="P788" s="6"/>
      <c r="Q788" s="6"/>
      <c r="R788" s="6"/>
      <c r="S788" s="6"/>
      <c r="T788" s="6"/>
    </row>
    <row r="789" spans="12:20" ht="12.75">
      <c r="L789" s="6"/>
      <c r="M789" s="6"/>
      <c r="N789" s="6"/>
      <c r="O789" s="6"/>
      <c r="P789" s="6"/>
      <c r="Q789" s="6"/>
      <c r="R789" s="6"/>
      <c r="S789" s="6"/>
      <c r="T789" s="6"/>
    </row>
    <row r="790" spans="12:20" ht="12.75">
      <c r="L790" s="6"/>
      <c r="M790" s="6"/>
      <c r="N790" s="6"/>
      <c r="O790" s="6"/>
      <c r="P790" s="6"/>
      <c r="Q790" s="6"/>
      <c r="R790" s="6"/>
      <c r="S790" s="6"/>
      <c r="T790" s="6"/>
    </row>
    <row r="791" spans="12:20" ht="12.75">
      <c r="L791" s="6"/>
      <c r="M791" s="6"/>
      <c r="N791" s="6"/>
      <c r="O791" s="6"/>
      <c r="P791" s="6"/>
      <c r="Q791" s="6"/>
      <c r="R791" s="6"/>
      <c r="S791" s="6"/>
      <c r="T791" s="6"/>
    </row>
    <row r="792" spans="12:20" ht="12.75">
      <c r="L792" s="6"/>
      <c r="M792" s="6"/>
      <c r="N792" s="6"/>
      <c r="O792" s="6"/>
      <c r="P792" s="6"/>
      <c r="Q792" s="6"/>
      <c r="R792" s="6"/>
      <c r="S792" s="6"/>
      <c r="T792" s="6"/>
    </row>
    <row r="793" spans="12:20" ht="12.75">
      <c r="L793" s="6"/>
      <c r="M793" s="6"/>
      <c r="N793" s="6"/>
      <c r="O793" s="6"/>
      <c r="P793" s="6"/>
      <c r="Q793" s="6"/>
      <c r="R793" s="6"/>
      <c r="S793" s="6"/>
      <c r="T793" s="6"/>
    </row>
    <row r="794" spans="12:20" ht="12.75">
      <c r="L794" s="6"/>
      <c r="M794" s="6"/>
      <c r="N794" s="6"/>
      <c r="O794" s="6"/>
      <c r="P794" s="6"/>
      <c r="Q794" s="6"/>
      <c r="R794" s="6"/>
      <c r="S794" s="6"/>
      <c r="T794" s="6"/>
    </row>
    <row r="795" spans="12:20" ht="12.75">
      <c r="L795" s="6"/>
      <c r="M795" s="6"/>
      <c r="N795" s="6"/>
      <c r="O795" s="6"/>
      <c r="P795" s="6"/>
      <c r="Q795" s="6"/>
      <c r="R795" s="6"/>
      <c r="S795" s="6"/>
      <c r="T795" s="6"/>
    </row>
    <row r="796" spans="12:20" ht="12.75">
      <c r="L796" s="6"/>
      <c r="M796" s="6"/>
      <c r="N796" s="6"/>
      <c r="O796" s="6"/>
      <c r="P796" s="6"/>
      <c r="Q796" s="6"/>
      <c r="R796" s="6"/>
      <c r="S796" s="6"/>
      <c r="T796" s="6"/>
    </row>
    <row r="797" spans="12:20" ht="12.75">
      <c r="L797" s="6"/>
      <c r="M797" s="6"/>
      <c r="N797" s="6"/>
      <c r="O797" s="6"/>
      <c r="P797" s="6"/>
      <c r="Q797" s="6"/>
      <c r="R797" s="6"/>
      <c r="S797" s="6"/>
      <c r="T797" s="6"/>
    </row>
    <row r="798" spans="12:20" ht="12.75">
      <c r="L798" s="6"/>
      <c r="M798" s="6"/>
      <c r="N798" s="6"/>
      <c r="O798" s="6"/>
      <c r="P798" s="6"/>
      <c r="Q798" s="6"/>
      <c r="R798" s="6"/>
      <c r="S798" s="6"/>
      <c r="T798" s="6"/>
    </row>
    <row r="799" spans="12:20" ht="12.75">
      <c r="L799" s="6"/>
      <c r="M799" s="6"/>
      <c r="N799" s="6"/>
      <c r="O799" s="6"/>
      <c r="P799" s="6"/>
      <c r="Q799" s="6"/>
      <c r="R799" s="6"/>
      <c r="S799" s="6"/>
      <c r="T799" s="6"/>
    </row>
    <row r="800" spans="12:20" ht="12.75">
      <c r="L800" s="6"/>
      <c r="M800" s="6"/>
      <c r="N800" s="6"/>
      <c r="O800" s="6"/>
      <c r="P800" s="6"/>
      <c r="Q800" s="6"/>
      <c r="R800" s="6"/>
      <c r="S800" s="6"/>
      <c r="T800" s="6"/>
    </row>
    <row r="801" spans="12:20" ht="12.75">
      <c r="L801" s="6"/>
      <c r="M801" s="6"/>
      <c r="N801" s="6"/>
      <c r="O801" s="6"/>
      <c r="P801" s="6"/>
      <c r="Q801" s="6"/>
      <c r="R801" s="6"/>
      <c r="S801" s="6"/>
      <c r="T801" s="6"/>
    </row>
    <row r="802" spans="12:20" ht="12.75">
      <c r="L802" s="6"/>
      <c r="M802" s="6"/>
      <c r="N802" s="6"/>
      <c r="O802" s="6"/>
      <c r="P802" s="6"/>
      <c r="Q802" s="6"/>
      <c r="R802" s="6"/>
      <c r="S802" s="6"/>
      <c r="T802" s="6"/>
    </row>
    <row r="803" spans="12:20" ht="12.75">
      <c r="L803" s="6"/>
      <c r="M803" s="6"/>
      <c r="N803" s="6"/>
      <c r="O803" s="6"/>
      <c r="P803" s="6"/>
      <c r="Q803" s="6"/>
      <c r="R803" s="6"/>
      <c r="S803" s="6"/>
      <c r="T803" s="6"/>
    </row>
    <row r="804" spans="12:20" ht="12.75">
      <c r="L804" s="6"/>
      <c r="M804" s="6"/>
      <c r="N804" s="6"/>
      <c r="O804" s="6"/>
      <c r="P804" s="6"/>
      <c r="Q804" s="6"/>
      <c r="R804" s="6"/>
      <c r="S804" s="6"/>
      <c r="T804" s="6"/>
    </row>
    <row r="805" spans="12:20" ht="12.75">
      <c r="L805" s="6"/>
      <c r="M805" s="6"/>
      <c r="N805" s="6"/>
      <c r="O805" s="6"/>
      <c r="P805" s="6"/>
      <c r="Q805" s="6"/>
      <c r="R805" s="6"/>
      <c r="S805" s="6"/>
      <c r="T805" s="6"/>
    </row>
    <row r="806" spans="12:20" ht="12.75">
      <c r="L806" s="6"/>
      <c r="M806" s="6"/>
      <c r="N806" s="6"/>
      <c r="O806" s="6"/>
      <c r="P806" s="6"/>
      <c r="Q806" s="6"/>
      <c r="R806" s="6"/>
      <c r="S806" s="6"/>
      <c r="T806" s="6"/>
    </row>
    <row r="807" spans="12:20" ht="12.75">
      <c r="L807" s="6"/>
      <c r="M807" s="6"/>
      <c r="N807" s="6"/>
      <c r="O807" s="6"/>
      <c r="P807" s="6"/>
      <c r="Q807" s="6"/>
      <c r="R807" s="6"/>
      <c r="S807" s="6"/>
      <c r="T807" s="6"/>
    </row>
    <row r="808" spans="12:20" ht="12.75">
      <c r="L808" s="6"/>
      <c r="M808" s="6"/>
      <c r="N808" s="6"/>
      <c r="O808" s="6"/>
      <c r="P808" s="6"/>
      <c r="Q808" s="6"/>
      <c r="R808" s="6"/>
      <c r="S808" s="6"/>
      <c r="T808" s="6"/>
    </row>
    <row r="809" spans="12:20" ht="12.75">
      <c r="L809" s="6"/>
      <c r="M809" s="6"/>
      <c r="N809" s="6"/>
      <c r="O809" s="6"/>
      <c r="P809" s="6"/>
      <c r="Q809" s="6"/>
      <c r="R809" s="6"/>
      <c r="S809" s="6"/>
      <c r="T809" s="6"/>
    </row>
    <row r="810" spans="12:20" ht="12.75">
      <c r="L810" s="6"/>
      <c r="M810" s="6"/>
      <c r="N810" s="6"/>
      <c r="O810" s="6"/>
      <c r="P810" s="6"/>
      <c r="Q810" s="6"/>
      <c r="R810" s="6"/>
      <c r="S810" s="6"/>
      <c r="T810" s="6"/>
    </row>
    <row r="811" spans="12:20" ht="12.75">
      <c r="L811" s="6"/>
      <c r="M811" s="6"/>
      <c r="N811" s="6"/>
      <c r="O811" s="6"/>
      <c r="P811" s="6"/>
      <c r="Q811" s="6"/>
      <c r="R811" s="6"/>
      <c r="S811" s="6"/>
      <c r="T811" s="6"/>
    </row>
    <row r="812" spans="12:20" ht="12.75">
      <c r="L812" s="6"/>
      <c r="M812" s="6"/>
      <c r="N812" s="6"/>
      <c r="O812" s="6"/>
      <c r="P812" s="6"/>
      <c r="Q812" s="6"/>
      <c r="R812" s="6"/>
      <c r="S812" s="6"/>
      <c r="T812" s="6"/>
    </row>
    <row r="813" spans="12:20" ht="12.75">
      <c r="L813" s="6"/>
      <c r="M813" s="6"/>
      <c r="N813" s="6"/>
      <c r="O813" s="6"/>
      <c r="P813" s="6"/>
      <c r="Q813" s="6"/>
      <c r="R813" s="6"/>
      <c r="S813" s="6"/>
      <c r="T813" s="6"/>
    </row>
    <row r="814" spans="12:20" ht="12.75">
      <c r="L814" s="6"/>
      <c r="M814" s="6"/>
      <c r="N814" s="6"/>
      <c r="O814" s="6"/>
      <c r="P814" s="6"/>
      <c r="Q814" s="6"/>
      <c r="R814" s="6"/>
      <c r="S814" s="6"/>
      <c r="T814" s="6"/>
    </row>
    <row r="815" spans="12:20" ht="12.75">
      <c r="L815" s="6"/>
      <c r="M815" s="6"/>
      <c r="N815" s="6"/>
      <c r="O815" s="6"/>
      <c r="P815" s="6"/>
      <c r="Q815" s="6"/>
      <c r="R815" s="6"/>
      <c r="S815" s="6"/>
      <c r="T815" s="6"/>
    </row>
    <row r="816" spans="12:20" ht="12.75">
      <c r="L816" s="6"/>
      <c r="M816" s="6"/>
      <c r="N816" s="6"/>
      <c r="O816" s="6"/>
      <c r="P816" s="6"/>
      <c r="Q816" s="6"/>
      <c r="R816" s="6"/>
      <c r="S816" s="6"/>
      <c r="T816" s="6"/>
    </row>
    <row r="817" spans="12:20" ht="12.75">
      <c r="L817" s="6"/>
      <c r="M817" s="6"/>
      <c r="N817" s="6"/>
      <c r="O817" s="6"/>
      <c r="P817" s="6"/>
      <c r="Q817" s="6"/>
      <c r="R817" s="6"/>
      <c r="S817" s="6"/>
      <c r="T817" s="6"/>
    </row>
    <row r="818" spans="12:20" ht="12.75">
      <c r="L818" s="6"/>
      <c r="M818" s="6"/>
      <c r="N818" s="6"/>
      <c r="O818" s="6"/>
      <c r="P818" s="6"/>
      <c r="Q818" s="6"/>
      <c r="R818" s="6"/>
      <c r="S818" s="6"/>
      <c r="T818" s="6"/>
    </row>
    <row r="819" spans="12:20" ht="12.75">
      <c r="L819" s="6"/>
      <c r="M819" s="6"/>
      <c r="N819" s="6"/>
      <c r="O819" s="6"/>
      <c r="P819" s="6"/>
      <c r="Q819" s="6"/>
      <c r="R819" s="6"/>
      <c r="S819" s="6"/>
      <c r="T819" s="6"/>
    </row>
    <row r="820" spans="12:20" ht="12.75">
      <c r="L820" s="6"/>
      <c r="M820" s="6"/>
      <c r="N820" s="6"/>
      <c r="O820" s="6"/>
      <c r="P820" s="6"/>
      <c r="Q820" s="6"/>
      <c r="R820" s="6"/>
      <c r="S820" s="6"/>
      <c r="T820" s="6"/>
    </row>
    <row r="821" spans="12:20" ht="12.75">
      <c r="L821" s="6"/>
      <c r="M821" s="6"/>
      <c r="N821" s="6"/>
      <c r="O821" s="6"/>
      <c r="P821" s="6"/>
      <c r="Q821" s="6"/>
      <c r="R821" s="6"/>
      <c r="S821" s="6"/>
      <c r="T821" s="6"/>
    </row>
    <row r="822" spans="12:20" ht="12.75">
      <c r="L822" s="6"/>
      <c r="M822" s="6"/>
      <c r="N822" s="6"/>
      <c r="O822" s="6"/>
      <c r="P822" s="6"/>
      <c r="Q822" s="6"/>
      <c r="R822" s="6"/>
      <c r="S822" s="6"/>
      <c r="T822" s="6"/>
    </row>
    <row r="823" spans="12:20" ht="12.75">
      <c r="L823" s="6"/>
      <c r="M823" s="6"/>
      <c r="N823" s="6"/>
      <c r="O823" s="6"/>
      <c r="P823" s="6"/>
      <c r="Q823" s="6"/>
      <c r="R823" s="6"/>
      <c r="S823" s="6"/>
      <c r="T823" s="6"/>
    </row>
    <row r="824" spans="12:20" ht="12.75">
      <c r="L824" s="6"/>
      <c r="M824" s="6"/>
      <c r="N824" s="6"/>
      <c r="O824" s="6"/>
      <c r="P824" s="6"/>
      <c r="Q824" s="6"/>
      <c r="R824" s="6"/>
      <c r="S824" s="6"/>
      <c r="T824" s="6"/>
    </row>
    <row r="825" spans="12:20" ht="12.75">
      <c r="L825" s="6"/>
      <c r="M825" s="6"/>
      <c r="N825" s="6"/>
      <c r="O825" s="6"/>
      <c r="P825" s="6"/>
      <c r="Q825" s="6"/>
      <c r="R825" s="6"/>
      <c r="S825" s="6"/>
      <c r="T825" s="6"/>
    </row>
    <row r="826" spans="12:20" ht="12.75">
      <c r="L826" s="6"/>
      <c r="M826" s="6"/>
      <c r="N826" s="6"/>
      <c r="O826" s="6"/>
      <c r="P826" s="6"/>
      <c r="Q826" s="6"/>
      <c r="R826" s="6"/>
      <c r="S826" s="6"/>
      <c r="T826" s="6"/>
    </row>
    <row r="827" spans="12:20" ht="12.75">
      <c r="L827" s="6"/>
      <c r="M827" s="6"/>
      <c r="N827" s="6"/>
      <c r="O827" s="6"/>
      <c r="P827" s="6"/>
      <c r="Q827" s="6"/>
      <c r="R827" s="6"/>
      <c r="S827" s="6"/>
      <c r="T827" s="6"/>
    </row>
    <row r="828" spans="12:20" ht="12.75">
      <c r="L828" s="6"/>
      <c r="M828" s="6"/>
      <c r="N828" s="6"/>
      <c r="O828" s="6"/>
      <c r="P828" s="6"/>
      <c r="Q828" s="6"/>
      <c r="R828" s="6"/>
      <c r="S828" s="6"/>
      <c r="T828" s="6"/>
    </row>
    <row r="829" spans="12:20" ht="12.75">
      <c r="L829" s="6"/>
      <c r="M829" s="6"/>
      <c r="N829" s="6"/>
      <c r="O829" s="6"/>
      <c r="P829" s="6"/>
      <c r="Q829" s="6"/>
      <c r="R829" s="6"/>
      <c r="S829" s="6"/>
      <c r="T829" s="6"/>
    </row>
    <row r="830" spans="12:20" ht="12.75">
      <c r="L830" s="6"/>
      <c r="M830" s="6"/>
      <c r="N830" s="6"/>
      <c r="O830" s="6"/>
      <c r="P830" s="6"/>
      <c r="Q830" s="6"/>
      <c r="R830" s="6"/>
      <c r="S830" s="6"/>
      <c r="T830" s="6"/>
    </row>
    <row r="831" spans="12:20" ht="12.75">
      <c r="L831" s="6"/>
      <c r="M831" s="6"/>
      <c r="N831" s="6"/>
      <c r="O831" s="6"/>
      <c r="P831" s="6"/>
      <c r="Q831" s="6"/>
      <c r="R831" s="6"/>
      <c r="S831" s="6"/>
      <c r="T831" s="6"/>
    </row>
    <row r="832" spans="12:20" ht="12.75">
      <c r="L832" s="6"/>
      <c r="M832" s="6"/>
      <c r="N832" s="6"/>
      <c r="O832" s="6"/>
      <c r="P832" s="6"/>
      <c r="Q832" s="6"/>
      <c r="R832" s="6"/>
      <c r="S832" s="6"/>
      <c r="T832" s="6"/>
    </row>
    <row r="833" spans="12:20" ht="12.75">
      <c r="L833" s="6"/>
      <c r="M833" s="6"/>
      <c r="N833" s="6"/>
      <c r="O833" s="6"/>
      <c r="P833" s="6"/>
      <c r="Q833" s="6"/>
      <c r="R833" s="6"/>
      <c r="S833" s="6"/>
      <c r="T833" s="6"/>
    </row>
    <row r="834" spans="12:20" ht="12.75">
      <c r="L834" s="6"/>
      <c r="M834" s="6"/>
      <c r="N834" s="6"/>
      <c r="O834" s="6"/>
      <c r="P834" s="6"/>
      <c r="Q834" s="6"/>
      <c r="R834" s="6"/>
      <c r="S834" s="6"/>
      <c r="T834" s="6"/>
    </row>
    <row r="835" spans="12:20" ht="12.75">
      <c r="L835" s="6"/>
      <c r="M835" s="6"/>
      <c r="N835" s="6"/>
      <c r="O835" s="6"/>
      <c r="P835" s="6"/>
      <c r="Q835" s="6"/>
      <c r="R835" s="6"/>
      <c r="S835" s="6"/>
      <c r="T835" s="6"/>
    </row>
    <row r="836" spans="12:20" ht="12.75">
      <c r="L836" s="6"/>
      <c r="M836" s="6"/>
      <c r="N836" s="6"/>
      <c r="O836" s="6"/>
      <c r="P836" s="6"/>
      <c r="Q836" s="6"/>
      <c r="R836" s="6"/>
      <c r="S836" s="6"/>
      <c r="T836" s="6"/>
    </row>
    <row r="837" spans="12:20" ht="12.75">
      <c r="L837" s="6"/>
      <c r="M837" s="6"/>
      <c r="N837" s="6"/>
      <c r="O837" s="6"/>
      <c r="P837" s="6"/>
      <c r="Q837" s="6"/>
      <c r="R837" s="6"/>
      <c r="S837" s="6"/>
      <c r="T837" s="6"/>
    </row>
    <row r="838" spans="12:20" ht="12.75">
      <c r="L838" s="6"/>
      <c r="M838" s="6"/>
      <c r="N838" s="6"/>
      <c r="O838" s="6"/>
      <c r="P838" s="6"/>
      <c r="Q838" s="6"/>
      <c r="R838" s="6"/>
      <c r="S838" s="6"/>
      <c r="T838" s="6"/>
    </row>
    <row r="839" spans="12:20" ht="12.75">
      <c r="L839" s="6"/>
      <c r="M839" s="6"/>
      <c r="N839" s="6"/>
      <c r="O839" s="6"/>
      <c r="P839" s="6"/>
      <c r="Q839" s="6"/>
      <c r="R839" s="6"/>
      <c r="S839" s="6"/>
      <c r="T839" s="6"/>
    </row>
    <row r="840" spans="12:20" ht="12.75">
      <c r="L840" s="6"/>
      <c r="M840" s="6"/>
      <c r="N840" s="6"/>
      <c r="O840" s="6"/>
      <c r="P840" s="6"/>
      <c r="Q840" s="6"/>
      <c r="R840" s="6"/>
      <c r="S840" s="6"/>
      <c r="T840" s="6"/>
    </row>
    <row r="841" spans="12:20" ht="12.75">
      <c r="L841" s="6"/>
      <c r="M841" s="6"/>
      <c r="N841" s="6"/>
      <c r="O841" s="6"/>
      <c r="P841" s="6"/>
      <c r="Q841" s="6"/>
      <c r="R841" s="6"/>
      <c r="S841" s="6"/>
      <c r="T841" s="6"/>
    </row>
    <row r="842" spans="12:20" ht="12.75">
      <c r="L842" s="6"/>
      <c r="M842" s="6"/>
      <c r="N842" s="6"/>
      <c r="O842" s="6"/>
      <c r="P842" s="6"/>
      <c r="Q842" s="6"/>
      <c r="R842" s="6"/>
      <c r="S842" s="6"/>
      <c r="T842" s="6"/>
    </row>
    <row r="843" spans="12:20" ht="12.75">
      <c r="L843" s="6"/>
      <c r="M843" s="6"/>
      <c r="N843" s="6"/>
      <c r="O843" s="6"/>
      <c r="P843" s="6"/>
      <c r="Q843" s="6"/>
      <c r="R843" s="6"/>
      <c r="S843" s="6"/>
      <c r="T843" s="6"/>
    </row>
    <row r="844" spans="12:20" ht="12.75">
      <c r="L844" s="6"/>
      <c r="M844" s="6"/>
      <c r="N844" s="6"/>
      <c r="O844" s="6"/>
      <c r="P844" s="6"/>
      <c r="Q844" s="6"/>
      <c r="R844" s="6"/>
      <c r="S844" s="6"/>
      <c r="T844" s="6"/>
    </row>
    <row r="845" spans="12:20" ht="12.75">
      <c r="L845" s="6"/>
      <c r="M845" s="6"/>
      <c r="N845" s="6"/>
      <c r="O845" s="6"/>
      <c r="P845" s="6"/>
      <c r="Q845" s="6"/>
      <c r="R845" s="6"/>
      <c r="S845" s="6"/>
      <c r="T845" s="6"/>
    </row>
    <row r="846" spans="12:20" ht="12.75">
      <c r="L846" s="6"/>
      <c r="M846" s="6"/>
      <c r="N846" s="6"/>
      <c r="O846" s="6"/>
      <c r="P846" s="6"/>
      <c r="Q846" s="6"/>
      <c r="R846" s="6"/>
      <c r="S846" s="6"/>
      <c r="T846" s="6"/>
    </row>
    <row r="847" spans="12:20" ht="12.75">
      <c r="L847" s="6"/>
      <c r="M847" s="6"/>
      <c r="N847" s="6"/>
      <c r="O847" s="6"/>
      <c r="P847" s="6"/>
      <c r="Q847" s="6"/>
      <c r="R847" s="6"/>
      <c r="S847" s="6"/>
      <c r="T847" s="6"/>
    </row>
    <row r="848" spans="12:20" ht="12.75">
      <c r="L848" s="6"/>
      <c r="M848" s="6"/>
      <c r="N848" s="6"/>
      <c r="O848" s="6"/>
      <c r="P848" s="6"/>
      <c r="Q848" s="6"/>
      <c r="R848" s="6"/>
      <c r="S848" s="6"/>
      <c r="T848" s="6"/>
    </row>
    <row r="849" spans="12:20" ht="12.75">
      <c r="L849" s="6"/>
      <c r="M849" s="6"/>
      <c r="N849" s="6"/>
      <c r="O849" s="6"/>
      <c r="P849" s="6"/>
      <c r="Q849" s="6"/>
      <c r="R849" s="6"/>
      <c r="S849" s="6"/>
      <c r="T849" s="6"/>
    </row>
    <row r="850" spans="12:20" ht="12.75">
      <c r="L850" s="6"/>
      <c r="M850" s="6"/>
      <c r="N850" s="6"/>
      <c r="O850" s="6"/>
      <c r="P850" s="6"/>
      <c r="Q850" s="6"/>
      <c r="R850" s="6"/>
      <c r="S850" s="6"/>
      <c r="T850" s="6"/>
    </row>
    <row r="851" spans="12:20" ht="12.75">
      <c r="L851" s="6"/>
      <c r="M851" s="6"/>
      <c r="N851" s="6"/>
      <c r="O851" s="6"/>
      <c r="P851" s="6"/>
      <c r="Q851" s="6"/>
      <c r="R851" s="6"/>
      <c r="S851" s="6"/>
      <c r="T851" s="6"/>
    </row>
    <row r="852" spans="12:20" ht="12.75">
      <c r="L852" s="6"/>
      <c r="M852" s="6"/>
      <c r="N852" s="6"/>
      <c r="O852" s="6"/>
      <c r="P852" s="6"/>
      <c r="Q852" s="6"/>
      <c r="R852" s="6"/>
      <c r="S852" s="6"/>
      <c r="T852" s="6"/>
    </row>
    <row r="853" spans="12:20" ht="12.75">
      <c r="L853" s="6"/>
      <c r="M853" s="6"/>
      <c r="N853" s="6"/>
      <c r="O853" s="6"/>
      <c r="P853" s="6"/>
      <c r="Q853" s="6"/>
      <c r="R853" s="6"/>
      <c r="S853" s="6"/>
      <c r="T853" s="6"/>
    </row>
    <row r="854" spans="12:20" ht="12.75">
      <c r="L854" s="6"/>
      <c r="M854" s="6"/>
      <c r="N854" s="6"/>
      <c r="O854" s="6"/>
      <c r="P854" s="6"/>
      <c r="Q854" s="6"/>
      <c r="R854" s="6"/>
      <c r="S854" s="6"/>
      <c r="T854" s="6"/>
    </row>
    <row r="855" spans="12:20" ht="12.75">
      <c r="L855" s="6"/>
      <c r="M855" s="6"/>
      <c r="N855" s="6"/>
      <c r="O855" s="6"/>
      <c r="P855" s="6"/>
      <c r="Q855" s="6"/>
      <c r="R855" s="6"/>
      <c r="S855" s="6"/>
      <c r="T855" s="6"/>
    </row>
    <row r="856" spans="12:20" ht="12.75">
      <c r="L856" s="6"/>
      <c r="M856" s="6"/>
      <c r="N856" s="6"/>
      <c r="O856" s="6"/>
      <c r="P856" s="6"/>
      <c r="Q856" s="6"/>
      <c r="R856" s="6"/>
      <c r="S856" s="6"/>
      <c r="T856" s="6"/>
    </row>
    <row r="857" spans="12:20" ht="12.75">
      <c r="L857" s="6"/>
      <c r="M857" s="6"/>
      <c r="N857" s="6"/>
      <c r="O857" s="6"/>
      <c r="P857" s="6"/>
      <c r="Q857" s="6"/>
      <c r="R857" s="6"/>
      <c r="S857" s="6"/>
      <c r="T857" s="6"/>
    </row>
    <row r="858" spans="12:20" ht="12.75">
      <c r="L858" s="6"/>
      <c r="M858" s="6"/>
      <c r="N858" s="6"/>
      <c r="O858" s="6"/>
      <c r="P858" s="6"/>
      <c r="Q858" s="6"/>
      <c r="R858" s="6"/>
      <c r="S858" s="6"/>
      <c r="T858" s="6"/>
    </row>
    <row r="859" spans="12:20" ht="12.75">
      <c r="L859" s="6"/>
      <c r="M859" s="6"/>
      <c r="N859" s="6"/>
      <c r="O859" s="6"/>
      <c r="P859" s="6"/>
      <c r="Q859" s="6"/>
      <c r="R859" s="6"/>
      <c r="S859" s="6"/>
      <c r="T859" s="6"/>
    </row>
    <row r="860" spans="12:20" ht="12.75">
      <c r="L860" s="6"/>
      <c r="M860" s="6"/>
      <c r="N860" s="6"/>
      <c r="O860" s="6"/>
      <c r="P860" s="6"/>
      <c r="Q860" s="6"/>
      <c r="R860" s="6"/>
      <c r="S860" s="6"/>
      <c r="T860" s="6"/>
    </row>
    <row r="861" spans="12:20" ht="12.75">
      <c r="L861" s="6"/>
      <c r="M861" s="6"/>
      <c r="N861" s="6"/>
      <c r="O861" s="6"/>
      <c r="P861" s="6"/>
      <c r="Q861" s="6"/>
      <c r="R861" s="6"/>
      <c r="S861" s="6"/>
      <c r="T861" s="6"/>
    </row>
    <row r="862" spans="12:20" ht="12.75">
      <c r="L862" s="6"/>
      <c r="M862" s="6"/>
      <c r="N862" s="6"/>
      <c r="O862" s="6"/>
      <c r="P862" s="6"/>
      <c r="Q862" s="6"/>
      <c r="R862" s="6"/>
      <c r="S862" s="6"/>
      <c r="T862" s="6"/>
    </row>
    <row r="863" spans="12:20" ht="12.75">
      <c r="L863" s="6"/>
      <c r="M863" s="6"/>
      <c r="N863" s="6"/>
      <c r="O863" s="6"/>
      <c r="P863" s="6"/>
      <c r="Q863" s="6"/>
      <c r="R863" s="6"/>
      <c r="S863" s="6"/>
      <c r="T863" s="6"/>
    </row>
    <row r="864" spans="12:20" ht="12.75">
      <c r="L864" s="6"/>
      <c r="M864" s="6"/>
      <c r="N864" s="6"/>
      <c r="O864" s="6"/>
      <c r="P864" s="6"/>
      <c r="Q864" s="6"/>
      <c r="R864" s="6"/>
      <c r="S864" s="6"/>
      <c r="T864" s="6"/>
    </row>
    <row r="865" spans="12:20" ht="12.75">
      <c r="L865" s="6"/>
      <c r="M865" s="6"/>
      <c r="N865" s="6"/>
      <c r="O865" s="6"/>
      <c r="P865" s="6"/>
      <c r="Q865" s="6"/>
      <c r="R865" s="6"/>
      <c r="S865" s="6"/>
      <c r="T865" s="6"/>
    </row>
    <row r="866" spans="12:20" ht="12.75">
      <c r="L866" s="6"/>
      <c r="M866" s="6"/>
      <c r="N866" s="6"/>
      <c r="O866" s="6"/>
      <c r="P866" s="6"/>
      <c r="Q866" s="6"/>
      <c r="R866" s="6"/>
      <c r="S866" s="6"/>
      <c r="T866" s="6"/>
    </row>
    <row r="867" spans="12:20" ht="12.75">
      <c r="L867" s="6"/>
      <c r="M867" s="6"/>
      <c r="N867" s="6"/>
      <c r="O867" s="6"/>
      <c r="P867" s="6"/>
      <c r="Q867" s="6"/>
      <c r="R867" s="6"/>
      <c r="S867" s="6"/>
      <c r="T867" s="6"/>
    </row>
    <row r="868" spans="12:20" ht="12.75">
      <c r="L868" s="6"/>
      <c r="M868" s="6"/>
      <c r="N868" s="6"/>
      <c r="O868" s="6"/>
      <c r="P868" s="6"/>
      <c r="Q868" s="6"/>
      <c r="R868" s="6"/>
      <c r="S868" s="6"/>
      <c r="T868" s="6"/>
    </row>
    <row r="869" spans="12:20" ht="12.75">
      <c r="L869" s="6"/>
      <c r="M869" s="6"/>
      <c r="N869" s="6"/>
      <c r="O869" s="6"/>
      <c r="P869" s="6"/>
      <c r="Q869" s="6"/>
      <c r="R869" s="6"/>
      <c r="S869" s="6"/>
      <c r="T869" s="6"/>
    </row>
    <row r="870" spans="12:20" ht="12.75">
      <c r="L870" s="6"/>
      <c r="M870" s="6"/>
      <c r="N870" s="6"/>
      <c r="O870" s="6"/>
      <c r="P870" s="6"/>
      <c r="Q870" s="6"/>
      <c r="R870" s="6"/>
      <c r="S870" s="6"/>
      <c r="T870" s="6"/>
    </row>
    <row r="871" spans="12:20" ht="12.75">
      <c r="L871" s="6"/>
      <c r="M871" s="6"/>
      <c r="N871" s="6"/>
      <c r="O871" s="6"/>
      <c r="P871" s="6"/>
      <c r="Q871" s="6"/>
      <c r="R871" s="6"/>
      <c r="S871" s="6"/>
      <c r="T871" s="6"/>
    </row>
    <row r="872" spans="12:20" ht="12.75">
      <c r="L872" s="6"/>
      <c r="M872" s="6"/>
      <c r="N872" s="6"/>
      <c r="O872" s="6"/>
      <c r="P872" s="6"/>
      <c r="Q872" s="6"/>
      <c r="R872" s="6"/>
      <c r="S872" s="6"/>
      <c r="T872" s="6"/>
    </row>
    <row r="873" spans="12:20" ht="12.75">
      <c r="L873" s="6"/>
      <c r="M873" s="6"/>
      <c r="N873" s="6"/>
      <c r="O873" s="6"/>
      <c r="P873" s="6"/>
      <c r="Q873" s="6"/>
      <c r="R873" s="6"/>
      <c r="S873" s="6"/>
      <c r="T873" s="6"/>
    </row>
    <row r="874" spans="12:20" ht="12.75">
      <c r="L874" s="6"/>
      <c r="M874" s="6"/>
      <c r="N874" s="6"/>
      <c r="O874" s="6"/>
      <c r="P874" s="6"/>
      <c r="Q874" s="6"/>
      <c r="R874" s="6"/>
      <c r="S874" s="6"/>
      <c r="T874" s="6"/>
    </row>
    <row r="875" spans="12:20" ht="12.75">
      <c r="L875" s="6"/>
      <c r="M875" s="6"/>
      <c r="N875" s="6"/>
      <c r="O875" s="6"/>
      <c r="P875" s="6"/>
      <c r="Q875" s="6"/>
      <c r="R875" s="6"/>
      <c r="S875" s="6"/>
      <c r="T875" s="6"/>
    </row>
    <row r="876" spans="12:20" ht="12.75">
      <c r="L876" s="6"/>
      <c r="M876" s="6"/>
      <c r="N876" s="6"/>
      <c r="O876" s="6"/>
      <c r="P876" s="6"/>
      <c r="Q876" s="6"/>
      <c r="R876" s="6"/>
      <c r="S876" s="6"/>
      <c r="T876" s="6"/>
    </row>
    <row r="877" spans="12:20" ht="12.75">
      <c r="L877" s="6"/>
      <c r="M877" s="6"/>
      <c r="N877" s="6"/>
      <c r="O877" s="6"/>
      <c r="P877" s="6"/>
      <c r="Q877" s="6"/>
      <c r="R877" s="6"/>
      <c r="S877" s="6"/>
      <c r="T877" s="6"/>
    </row>
    <row r="878" spans="12:20" ht="12.75">
      <c r="L878" s="6"/>
      <c r="M878" s="6"/>
      <c r="N878" s="6"/>
      <c r="O878" s="6"/>
      <c r="P878" s="6"/>
      <c r="Q878" s="6"/>
      <c r="R878" s="6"/>
      <c r="S878" s="6"/>
      <c r="T878" s="6"/>
    </row>
    <row r="879" spans="12:20" ht="12.75">
      <c r="L879" s="6"/>
      <c r="M879" s="6"/>
      <c r="N879" s="6"/>
      <c r="O879" s="6"/>
      <c r="P879" s="6"/>
      <c r="Q879" s="6"/>
      <c r="R879" s="6"/>
      <c r="S879" s="6"/>
      <c r="T879" s="6"/>
    </row>
    <row r="880" spans="12:20" ht="12.75">
      <c r="L880" s="6"/>
      <c r="M880" s="6"/>
      <c r="N880" s="6"/>
      <c r="O880" s="6"/>
      <c r="P880" s="6"/>
      <c r="Q880" s="6"/>
      <c r="R880" s="6"/>
      <c r="S880" s="6"/>
      <c r="T880" s="6"/>
    </row>
    <row r="881" spans="12:20" ht="12.75">
      <c r="L881" s="6"/>
      <c r="M881" s="6"/>
      <c r="N881" s="6"/>
      <c r="O881" s="6"/>
      <c r="P881" s="6"/>
      <c r="Q881" s="6"/>
      <c r="R881" s="6"/>
      <c r="S881" s="6"/>
      <c r="T881" s="6"/>
    </row>
    <row r="882" spans="12:20" ht="12.75">
      <c r="L882" s="6"/>
      <c r="M882" s="6"/>
      <c r="N882" s="6"/>
      <c r="O882" s="6"/>
      <c r="P882" s="6"/>
      <c r="Q882" s="6"/>
      <c r="R882" s="6"/>
      <c r="S882" s="6"/>
      <c r="T882" s="6"/>
    </row>
    <row r="883" spans="12:20" ht="12.75">
      <c r="L883" s="6"/>
      <c r="M883" s="6"/>
      <c r="N883" s="6"/>
      <c r="O883" s="6"/>
      <c r="P883" s="6"/>
      <c r="Q883" s="6"/>
      <c r="R883" s="6"/>
      <c r="S883" s="6"/>
      <c r="T883" s="6"/>
    </row>
    <row r="884" spans="12:20" ht="12.75">
      <c r="L884" s="6"/>
      <c r="M884" s="6"/>
      <c r="N884" s="6"/>
      <c r="O884" s="6"/>
      <c r="P884" s="6"/>
      <c r="Q884" s="6"/>
      <c r="R884" s="6"/>
      <c r="S884" s="6"/>
      <c r="T884" s="6"/>
    </row>
    <row r="885" spans="12:20" ht="12.75">
      <c r="L885" s="6"/>
      <c r="M885" s="6"/>
      <c r="N885" s="6"/>
      <c r="O885" s="6"/>
      <c r="P885" s="6"/>
      <c r="Q885" s="6"/>
      <c r="R885" s="6"/>
      <c r="S885" s="6"/>
      <c r="T885" s="6"/>
    </row>
    <row r="886" spans="12:20" ht="12.75">
      <c r="L886" s="6"/>
      <c r="M886" s="6"/>
      <c r="N886" s="6"/>
      <c r="O886" s="6"/>
      <c r="P886" s="6"/>
      <c r="Q886" s="6"/>
      <c r="R886" s="6"/>
      <c r="S886" s="6"/>
      <c r="T886" s="6"/>
    </row>
    <row r="887" spans="12:20" ht="12.75">
      <c r="L887" s="6"/>
      <c r="M887" s="6"/>
      <c r="N887" s="6"/>
      <c r="O887" s="6"/>
      <c r="P887" s="6"/>
      <c r="Q887" s="6"/>
      <c r="R887" s="6"/>
      <c r="S887" s="6"/>
      <c r="T887" s="6"/>
    </row>
    <row r="888" spans="12:20" ht="12.75">
      <c r="L888" s="6"/>
      <c r="M888" s="6"/>
      <c r="N888" s="6"/>
      <c r="O888" s="6"/>
      <c r="P888" s="6"/>
      <c r="Q888" s="6"/>
      <c r="R888" s="6"/>
      <c r="S888" s="6"/>
      <c r="T888" s="6"/>
    </row>
    <row r="889" spans="12:20" ht="12.75">
      <c r="L889" s="6"/>
      <c r="M889" s="6"/>
      <c r="N889" s="6"/>
      <c r="O889" s="6"/>
      <c r="P889" s="6"/>
      <c r="Q889" s="6"/>
      <c r="R889" s="6"/>
      <c r="S889" s="6"/>
      <c r="T889" s="6"/>
    </row>
    <row r="890" spans="12:20" ht="12.75">
      <c r="L890" s="6"/>
      <c r="M890" s="6"/>
      <c r="N890" s="6"/>
      <c r="O890" s="6"/>
      <c r="P890" s="6"/>
      <c r="Q890" s="6"/>
      <c r="R890" s="6"/>
      <c r="S890" s="6"/>
      <c r="T890" s="6"/>
    </row>
    <row r="891" spans="12:20" ht="12.75">
      <c r="L891" s="6"/>
      <c r="M891" s="6"/>
      <c r="N891" s="6"/>
      <c r="O891" s="6"/>
      <c r="P891" s="6"/>
      <c r="Q891" s="6"/>
      <c r="R891" s="6"/>
      <c r="S891" s="6"/>
      <c r="T891" s="6"/>
    </row>
    <row r="892" spans="12:20" ht="12.75">
      <c r="L892" s="6"/>
      <c r="M892" s="6"/>
      <c r="N892" s="6"/>
      <c r="O892" s="6"/>
      <c r="P892" s="6"/>
      <c r="Q892" s="6"/>
      <c r="R892" s="6"/>
      <c r="S892" s="6"/>
      <c r="T892" s="6"/>
    </row>
    <row r="893" spans="12:20" ht="12.75">
      <c r="L893" s="6"/>
      <c r="M893" s="6"/>
      <c r="N893" s="6"/>
      <c r="O893" s="6"/>
      <c r="P893" s="6"/>
      <c r="Q893" s="6"/>
      <c r="R893" s="6"/>
      <c r="S893" s="6"/>
      <c r="T893" s="6"/>
    </row>
    <row r="894" spans="12:20" ht="12.75">
      <c r="L894" s="6"/>
      <c r="M894" s="6"/>
      <c r="N894" s="6"/>
      <c r="O894" s="6"/>
      <c r="P894" s="6"/>
      <c r="Q894" s="6"/>
      <c r="R894" s="6"/>
      <c r="S894" s="6"/>
      <c r="T894" s="6"/>
    </row>
    <row r="895" spans="12:20" ht="12.75">
      <c r="L895" s="6"/>
      <c r="M895" s="6"/>
      <c r="N895" s="6"/>
      <c r="O895" s="6"/>
      <c r="P895" s="6"/>
      <c r="Q895" s="6"/>
      <c r="R895" s="6"/>
      <c r="S895" s="6"/>
      <c r="T895" s="6"/>
    </row>
    <row r="896" spans="12:20" ht="12.75">
      <c r="L896" s="6"/>
      <c r="M896" s="6"/>
      <c r="N896" s="6"/>
      <c r="O896" s="6"/>
      <c r="P896" s="6"/>
      <c r="Q896" s="6"/>
      <c r="R896" s="6"/>
      <c r="S896" s="6"/>
      <c r="T896" s="6"/>
    </row>
    <row r="897" spans="12:20" ht="12.75">
      <c r="L897" s="6"/>
      <c r="M897" s="6"/>
      <c r="N897" s="6"/>
      <c r="O897" s="6"/>
      <c r="P897" s="6"/>
      <c r="Q897" s="6"/>
      <c r="R897" s="6"/>
      <c r="S897" s="6"/>
      <c r="T897" s="6"/>
    </row>
    <row r="898" spans="12:20" ht="12.75">
      <c r="L898" s="6"/>
      <c r="M898" s="6"/>
      <c r="N898" s="6"/>
      <c r="O898" s="6"/>
      <c r="P898" s="6"/>
      <c r="Q898" s="6"/>
      <c r="R898" s="6"/>
      <c r="S898" s="6"/>
      <c r="T898" s="6"/>
    </row>
    <row r="899" spans="12:20" ht="12.75">
      <c r="L899" s="6"/>
      <c r="M899" s="6"/>
      <c r="N899" s="6"/>
      <c r="O899" s="6"/>
      <c r="P899" s="6"/>
      <c r="Q899" s="6"/>
      <c r="R899" s="6"/>
      <c r="S899" s="6"/>
      <c r="T899" s="6"/>
    </row>
    <row r="900" spans="12:20" ht="12.75">
      <c r="L900" s="6"/>
      <c r="M900" s="6"/>
      <c r="N900" s="6"/>
      <c r="O900" s="6"/>
      <c r="P900" s="6"/>
      <c r="Q900" s="6"/>
      <c r="R900" s="6"/>
      <c r="S900" s="6"/>
      <c r="T900" s="6"/>
    </row>
    <row r="901" spans="12:20" ht="12.75">
      <c r="L901" s="6"/>
      <c r="M901" s="6"/>
      <c r="N901" s="6"/>
      <c r="O901" s="6"/>
      <c r="P901" s="6"/>
      <c r="Q901" s="6"/>
      <c r="R901" s="6"/>
      <c r="S901" s="6"/>
      <c r="T901" s="6"/>
    </row>
    <row r="902" spans="12:20" ht="12.75">
      <c r="L902" s="6"/>
      <c r="M902" s="6"/>
      <c r="N902" s="6"/>
      <c r="O902" s="6"/>
      <c r="P902" s="6"/>
      <c r="Q902" s="6"/>
      <c r="R902" s="6"/>
      <c r="S902" s="6"/>
      <c r="T902" s="6"/>
    </row>
    <row r="903" spans="12:20" ht="12.75">
      <c r="L903" s="6"/>
      <c r="M903" s="6"/>
      <c r="N903" s="6"/>
      <c r="O903" s="6"/>
      <c r="P903" s="6"/>
      <c r="Q903" s="6"/>
      <c r="R903" s="6"/>
      <c r="S903" s="6"/>
      <c r="T903" s="6"/>
    </row>
    <row r="904" spans="12:20" ht="12.75">
      <c r="L904" s="6"/>
      <c r="M904" s="6"/>
      <c r="N904" s="6"/>
      <c r="O904" s="6"/>
      <c r="P904" s="6"/>
      <c r="Q904" s="6"/>
      <c r="R904" s="6"/>
      <c r="S904" s="6"/>
      <c r="T904" s="6"/>
    </row>
    <row r="905" spans="12:20" ht="12.75">
      <c r="L905" s="6"/>
      <c r="M905" s="6"/>
      <c r="N905" s="6"/>
      <c r="O905" s="6"/>
      <c r="P905" s="6"/>
      <c r="Q905" s="6"/>
      <c r="R905" s="6"/>
      <c r="S905" s="6"/>
      <c r="T905" s="6"/>
    </row>
    <row r="906" spans="12:20" ht="12.75">
      <c r="L906" s="6"/>
      <c r="M906" s="6"/>
      <c r="N906" s="6"/>
      <c r="O906" s="6"/>
      <c r="P906" s="6"/>
      <c r="Q906" s="6"/>
      <c r="R906" s="6"/>
      <c r="S906" s="6"/>
      <c r="T906" s="6"/>
    </row>
    <row r="907" spans="12:20" ht="12.75">
      <c r="L907" s="6"/>
      <c r="M907" s="6"/>
      <c r="N907" s="6"/>
      <c r="O907" s="6"/>
      <c r="P907" s="6"/>
      <c r="Q907" s="6"/>
      <c r="R907" s="6"/>
      <c r="S907" s="6"/>
      <c r="T907" s="6"/>
    </row>
    <row r="908" spans="12:20" ht="12.75">
      <c r="L908" s="6"/>
      <c r="M908" s="6"/>
      <c r="N908" s="6"/>
      <c r="O908" s="6"/>
      <c r="P908" s="6"/>
      <c r="Q908" s="6"/>
      <c r="R908" s="6"/>
      <c r="S908" s="6"/>
      <c r="T908" s="6"/>
    </row>
    <row r="909" spans="12:20" ht="12.75">
      <c r="L909" s="6"/>
      <c r="M909" s="6"/>
      <c r="N909" s="6"/>
      <c r="O909" s="6"/>
      <c r="P909" s="6"/>
      <c r="Q909" s="6"/>
      <c r="R909" s="6"/>
      <c r="S909" s="6"/>
      <c r="T909" s="6"/>
    </row>
    <row r="910" spans="12:20" ht="12.75">
      <c r="L910" s="6"/>
      <c r="M910" s="6"/>
      <c r="N910" s="6"/>
      <c r="O910" s="6"/>
      <c r="P910" s="6"/>
      <c r="Q910" s="6"/>
      <c r="R910" s="6"/>
      <c r="S910" s="6"/>
      <c r="T910" s="6"/>
    </row>
    <row r="911" spans="12:20" ht="12.75">
      <c r="L911" s="6"/>
      <c r="M911" s="6"/>
      <c r="N911" s="6"/>
      <c r="O911" s="6"/>
      <c r="P911" s="6"/>
      <c r="Q911" s="6"/>
      <c r="R911" s="6"/>
      <c r="S911" s="6"/>
      <c r="T911" s="6"/>
    </row>
    <row r="912" spans="12:20" ht="12.75">
      <c r="L912" s="6"/>
      <c r="M912" s="6"/>
      <c r="N912" s="6"/>
      <c r="O912" s="6"/>
      <c r="P912" s="6"/>
      <c r="Q912" s="6"/>
      <c r="R912" s="6"/>
      <c r="S912" s="6"/>
      <c r="T912" s="6"/>
    </row>
    <row r="913" spans="12:20" ht="12.75">
      <c r="L913" s="6"/>
      <c r="M913" s="6"/>
      <c r="N913" s="6"/>
      <c r="O913" s="6"/>
      <c r="P913" s="6"/>
      <c r="Q913" s="6"/>
      <c r="R913" s="6"/>
      <c r="S913" s="6"/>
      <c r="T913" s="6"/>
    </row>
    <row r="914" spans="12:20" ht="12.75">
      <c r="L914" s="6"/>
      <c r="M914" s="6"/>
      <c r="N914" s="6"/>
      <c r="O914" s="6"/>
      <c r="P914" s="6"/>
      <c r="Q914" s="6"/>
      <c r="R914" s="6"/>
      <c r="S914" s="6"/>
      <c r="T914" s="6"/>
    </row>
    <row r="915" spans="12:20" ht="12.75">
      <c r="L915" s="6"/>
      <c r="M915" s="6"/>
      <c r="N915" s="6"/>
      <c r="O915" s="6"/>
      <c r="P915" s="6"/>
      <c r="Q915" s="6"/>
      <c r="R915" s="6"/>
      <c r="S915" s="6"/>
      <c r="T915" s="6"/>
    </row>
    <row r="916" spans="12:20" ht="12.75">
      <c r="L916" s="6"/>
      <c r="M916" s="6"/>
      <c r="N916" s="6"/>
      <c r="O916" s="6"/>
      <c r="P916" s="6"/>
      <c r="Q916" s="6"/>
      <c r="R916" s="6"/>
      <c r="S916" s="6"/>
      <c r="T916" s="6"/>
    </row>
    <row r="917" spans="12:20" ht="12.75">
      <c r="L917" s="6"/>
      <c r="M917" s="6"/>
      <c r="N917" s="6"/>
      <c r="O917" s="6"/>
      <c r="P917" s="6"/>
      <c r="Q917" s="6"/>
      <c r="R917" s="6"/>
      <c r="S917" s="6"/>
      <c r="T917" s="6"/>
    </row>
    <row r="918" spans="12:20" ht="12.75">
      <c r="L918" s="6"/>
      <c r="M918" s="6"/>
      <c r="N918" s="6"/>
      <c r="O918" s="6"/>
      <c r="P918" s="6"/>
      <c r="Q918" s="6"/>
      <c r="R918" s="6"/>
      <c r="S918" s="6"/>
      <c r="T918" s="6"/>
    </row>
    <row r="919" spans="12:20" ht="12.75">
      <c r="L919" s="6"/>
      <c r="M919" s="6"/>
      <c r="N919" s="6"/>
      <c r="O919" s="6"/>
      <c r="P919" s="6"/>
      <c r="Q919" s="6"/>
      <c r="R919" s="6"/>
      <c r="S919" s="6"/>
      <c r="T919" s="6"/>
    </row>
    <row r="920" spans="12:20" ht="12.75">
      <c r="L920" s="6"/>
      <c r="M920" s="6"/>
      <c r="N920" s="6"/>
      <c r="O920" s="6"/>
      <c r="P920" s="6"/>
      <c r="Q920" s="6"/>
      <c r="R920" s="6"/>
      <c r="S920" s="6"/>
      <c r="T920" s="6"/>
    </row>
    <row r="921" spans="12:20" ht="12.75">
      <c r="L921" s="6"/>
      <c r="M921" s="6"/>
      <c r="N921" s="6"/>
      <c r="O921" s="6"/>
      <c r="P921" s="6"/>
      <c r="Q921" s="6"/>
      <c r="R921" s="6"/>
      <c r="S921" s="6"/>
      <c r="T921" s="6"/>
    </row>
    <row r="922" spans="12:20" ht="12.75">
      <c r="L922" s="6"/>
      <c r="M922" s="6"/>
      <c r="N922" s="6"/>
      <c r="O922" s="6"/>
      <c r="P922" s="6"/>
      <c r="Q922" s="6"/>
      <c r="R922" s="6"/>
      <c r="S922" s="6"/>
      <c r="T922" s="6"/>
    </row>
    <row r="923" spans="12:20" ht="12.75">
      <c r="L923" s="6"/>
      <c r="M923" s="6"/>
      <c r="N923" s="6"/>
      <c r="O923" s="6"/>
      <c r="P923" s="6"/>
      <c r="Q923" s="6"/>
      <c r="R923" s="6"/>
      <c r="S923" s="6"/>
      <c r="T923" s="6"/>
    </row>
    <row r="924" spans="12:20" ht="12.75">
      <c r="L924" s="6"/>
      <c r="M924" s="6"/>
      <c r="N924" s="6"/>
      <c r="O924" s="6"/>
      <c r="P924" s="6"/>
      <c r="Q924" s="6"/>
      <c r="R924" s="6"/>
      <c r="S924" s="6"/>
      <c r="T924" s="6"/>
    </row>
    <row r="925" spans="12:20" ht="12.75">
      <c r="L925" s="6"/>
      <c r="M925" s="6"/>
      <c r="N925" s="6"/>
      <c r="O925" s="6"/>
      <c r="P925" s="6"/>
      <c r="Q925" s="6"/>
      <c r="R925" s="6"/>
      <c r="S925" s="6"/>
      <c r="T925" s="6"/>
    </row>
    <row r="926" spans="12:20" ht="12.75">
      <c r="L926" s="6"/>
      <c r="M926" s="6"/>
      <c r="N926" s="6"/>
      <c r="O926" s="6"/>
      <c r="P926" s="6"/>
      <c r="Q926" s="6"/>
      <c r="R926" s="6"/>
      <c r="S926" s="6"/>
      <c r="T926" s="6"/>
    </row>
    <row r="927" spans="12:20" ht="12.75">
      <c r="L927" s="6"/>
      <c r="M927" s="6"/>
      <c r="N927" s="6"/>
      <c r="O927" s="6"/>
      <c r="P927" s="6"/>
      <c r="Q927" s="6"/>
      <c r="R927" s="6"/>
      <c r="S927" s="6"/>
      <c r="T927" s="6"/>
    </row>
    <row r="928" spans="12:20" ht="12.75">
      <c r="L928" s="6"/>
      <c r="M928" s="6"/>
      <c r="N928" s="6"/>
      <c r="O928" s="6"/>
      <c r="P928" s="6"/>
      <c r="Q928" s="6"/>
      <c r="R928" s="6"/>
      <c r="S928" s="6"/>
      <c r="T928" s="6"/>
    </row>
    <row r="929" spans="12:20" ht="12.75">
      <c r="L929" s="6"/>
      <c r="M929" s="6"/>
      <c r="N929" s="6"/>
      <c r="O929" s="6"/>
      <c r="P929" s="6"/>
      <c r="Q929" s="6"/>
      <c r="R929" s="6"/>
      <c r="S929" s="6"/>
      <c r="T929" s="6"/>
    </row>
    <row r="930" spans="12:20" ht="12.75">
      <c r="L930" s="6"/>
      <c r="M930" s="6"/>
      <c r="N930" s="6"/>
      <c r="O930" s="6"/>
      <c r="P930" s="6"/>
      <c r="Q930" s="6"/>
      <c r="R930" s="6"/>
      <c r="S930" s="6"/>
      <c r="T930" s="6"/>
    </row>
    <row r="931" spans="12:20" ht="12.75">
      <c r="L931" s="6"/>
      <c r="M931" s="6"/>
      <c r="N931" s="6"/>
      <c r="O931" s="6"/>
      <c r="P931" s="6"/>
      <c r="Q931" s="6"/>
      <c r="R931" s="6"/>
      <c r="S931" s="6"/>
      <c r="T931" s="6"/>
    </row>
    <row r="932" spans="12:20" ht="12.75">
      <c r="L932" s="6"/>
      <c r="M932" s="6"/>
      <c r="N932" s="6"/>
      <c r="O932" s="6"/>
      <c r="P932" s="6"/>
      <c r="Q932" s="6"/>
      <c r="R932" s="6"/>
      <c r="S932" s="6"/>
      <c r="T932" s="6"/>
    </row>
    <row r="933" spans="12:20" ht="12.75">
      <c r="L933" s="6"/>
      <c r="M933" s="6"/>
      <c r="N933" s="6"/>
      <c r="O933" s="6"/>
      <c r="P933" s="6"/>
      <c r="Q933" s="6"/>
      <c r="R933" s="6"/>
      <c r="S933" s="6"/>
      <c r="T933" s="6"/>
    </row>
    <row r="934" spans="12:20" ht="12.75">
      <c r="L934" s="6"/>
      <c r="M934" s="6"/>
      <c r="N934" s="6"/>
      <c r="O934" s="6"/>
      <c r="P934" s="6"/>
      <c r="Q934" s="6"/>
      <c r="R934" s="6"/>
      <c r="S934" s="6"/>
      <c r="T934" s="6"/>
    </row>
    <row r="935" spans="12:20" ht="12.75">
      <c r="L935" s="6"/>
      <c r="M935" s="6"/>
      <c r="N935" s="6"/>
      <c r="O935" s="6"/>
      <c r="P935" s="6"/>
      <c r="Q935" s="6"/>
      <c r="R935" s="6"/>
      <c r="S935" s="6"/>
      <c r="T935" s="6"/>
    </row>
    <row r="936" spans="12:20" ht="12.75">
      <c r="L936" s="6"/>
      <c r="M936" s="6"/>
      <c r="N936" s="6"/>
      <c r="O936" s="6"/>
      <c r="P936" s="6"/>
      <c r="Q936" s="6"/>
      <c r="R936" s="6"/>
      <c r="S936" s="6"/>
      <c r="T936" s="6"/>
    </row>
    <row r="937" spans="12:20" ht="12.75">
      <c r="L937" s="6"/>
      <c r="M937" s="6"/>
      <c r="N937" s="6"/>
      <c r="O937" s="6"/>
      <c r="P937" s="6"/>
      <c r="Q937" s="6"/>
      <c r="R937" s="6"/>
      <c r="S937" s="6"/>
      <c r="T937" s="6"/>
    </row>
    <row r="938" spans="12:20" ht="12.75">
      <c r="L938" s="6"/>
      <c r="M938" s="6"/>
      <c r="N938" s="6"/>
      <c r="O938" s="6"/>
      <c r="P938" s="6"/>
      <c r="Q938" s="6"/>
      <c r="R938" s="6"/>
      <c r="S938" s="6"/>
      <c r="T938" s="6"/>
    </row>
    <row r="939" spans="12:20" ht="12.75">
      <c r="L939" s="6"/>
      <c r="M939" s="6"/>
      <c r="N939" s="6"/>
      <c r="O939" s="6"/>
      <c r="P939" s="6"/>
      <c r="Q939" s="6"/>
      <c r="R939" s="6"/>
      <c r="S939" s="6"/>
      <c r="T939" s="6"/>
    </row>
    <row r="940" spans="12:20" ht="12.75">
      <c r="L940" s="6"/>
      <c r="M940" s="6"/>
      <c r="N940" s="6"/>
      <c r="O940" s="6"/>
      <c r="P940" s="6"/>
      <c r="Q940" s="6"/>
      <c r="R940" s="6"/>
      <c r="S940" s="6"/>
      <c r="T940" s="6"/>
    </row>
    <row r="941" spans="12:20" ht="12.75">
      <c r="L941" s="6"/>
      <c r="M941" s="6"/>
      <c r="N941" s="6"/>
      <c r="O941" s="6"/>
      <c r="P941" s="6"/>
      <c r="Q941" s="6"/>
      <c r="R941" s="6"/>
      <c r="S941" s="6"/>
      <c r="T941" s="6"/>
    </row>
    <row r="942" spans="12:20" ht="12.75">
      <c r="L942" s="6"/>
      <c r="M942" s="6"/>
      <c r="N942" s="6"/>
      <c r="O942" s="6"/>
      <c r="P942" s="6"/>
      <c r="Q942" s="6"/>
      <c r="R942" s="6"/>
      <c r="S942" s="6"/>
      <c r="T942" s="6"/>
    </row>
    <row r="943" spans="12:20" ht="12.75">
      <c r="L943" s="6"/>
      <c r="M943" s="6"/>
      <c r="N943" s="6"/>
      <c r="O943" s="6"/>
      <c r="P943" s="6"/>
      <c r="Q943" s="6"/>
      <c r="R943" s="6"/>
      <c r="S943" s="6"/>
      <c r="T943" s="6"/>
    </row>
    <row r="944" spans="12:20" ht="12.75">
      <c r="L944" s="6"/>
      <c r="M944" s="6"/>
      <c r="N944" s="6"/>
      <c r="O944" s="6"/>
      <c r="P944" s="6"/>
      <c r="Q944" s="6"/>
      <c r="R944" s="6"/>
      <c r="S944" s="6"/>
      <c r="T944" s="6"/>
    </row>
    <row r="945" spans="12:20" ht="12.75">
      <c r="L945" s="6"/>
      <c r="M945" s="6"/>
      <c r="N945" s="6"/>
      <c r="O945" s="6"/>
      <c r="P945" s="6"/>
      <c r="Q945" s="6"/>
      <c r="R945" s="6"/>
      <c r="S945" s="6"/>
      <c r="T945" s="6"/>
    </row>
    <row r="946" spans="12:20" ht="12.75">
      <c r="L946" s="6"/>
      <c r="M946" s="6"/>
      <c r="N946" s="6"/>
      <c r="O946" s="6"/>
      <c r="P946" s="6"/>
      <c r="Q946" s="6"/>
      <c r="R946" s="6"/>
      <c r="S946" s="6"/>
      <c r="T946" s="6"/>
    </row>
    <row r="947" spans="12:20" ht="12.75">
      <c r="L947" s="6"/>
      <c r="M947" s="6"/>
      <c r="N947" s="6"/>
      <c r="O947" s="6"/>
      <c r="P947" s="6"/>
      <c r="Q947" s="6"/>
      <c r="R947" s="6"/>
      <c r="S947" s="6"/>
      <c r="T947" s="6"/>
    </row>
    <row r="948" spans="12:20" ht="12.75">
      <c r="L948" s="6"/>
      <c r="M948" s="6"/>
      <c r="N948" s="6"/>
      <c r="O948" s="6"/>
      <c r="P948" s="6"/>
      <c r="Q948" s="6"/>
      <c r="R948" s="6"/>
      <c r="S948" s="6"/>
      <c r="T948" s="6"/>
    </row>
    <row r="949" spans="12:20" ht="12.75">
      <c r="L949" s="6"/>
      <c r="M949" s="6"/>
      <c r="N949" s="6"/>
      <c r="O949" s="6"/>
      <c r="P949" s="6"/>
      <c r="Q949" s="6"/>
      <c r="R949" s="6"/>
      <c r="S949" s="6"/>
      <c r="T949" s="6"/>
    </row>
    <row r="950" spans="12:20" ht="12.75">
      <c r="L950" s="6"/>
      <c r="M950" s="6"/>
      <c r="N950" s="6"/>
      <c r="O950" s="6"/>
      <c r="P950" s="6"/>
      <c r="Q950" s="6"/>
      <c r="R950" s="6"/>
      <c r="S950" s="6"/>
      <c r="T950" s="6"/>
    </row>
    <row r="951" spans="12:20" ht="12.75">
      <c r="L951" s="6"/>
      <c r="M951" s="6"/>
      <c r="N951" s="6"/>
      <c r="O951" s="6"/>
      <c r="P951" s="6"/>
      <c r="Q951" s="6"/>
      <c r="R951" s="6"/>
      <c r="S951" s="6"/>
      <c r="T951" s="6"/>
    </row>
    <row r="952" spans="12:20" ht="12.75">
      <c r="L952" s="6"/>
      <c r="M952" s="6"/>
      <c r="N952" s="6"/>
      <c r="O952" s="6"/>
      <c r="P952" s="6"/>
      <c r="Q952" s="6"/>
      <c r="R952" s="6"/>
      <c r="S952" s="6"/>
      <c r="T952" s="6"/>
    </row>
    <row r="953" spans="12:20" ht="12.75">
      <c r="L953" s="6"/>
      <c r="M953" s="6"/>
      <c r="N953" s="6"/>
      <c r="O953" s="6"/>
      <c r="P953" s="6"/>
      <c r="Q953" s="6"/>
      <c r="R953" s="6"/>
      <c r="S953" s="6"/>
      <c r="T953" s="6"/>
    </row>
    <row r="954" spans="12:20" ht="12.75">
      <c r="L954" s="6"/>
      <c r="M954" s="6"/>
      <c r="N954" s="6"/>
      <c r="O954" s="6"/>
      <c r="P954" s="6"/>
      <c r="Q954" s="6"/>
      <c r="R954" s="6"/>
      <c r="S954" s="6"/>
      <c r="T954" s="6"/>
    </row>
    <row r="955" spans="12:20" ht="12.75">
      <c r="L955" s="6"/>
      <c r="M955" s="6"/>
      <c r="N955" s="6"/>
      <c r="O955" s="6"/>
      <c r="P955" s="6"/>
      <c r="Q955" s="6"/>
      <c r="R955" s="6"/>
      <c r="S955" s="6"/>
      <c r="T955" s="6"/>
    </row>
    <row r="956" spans="12:20" ht="12.75">
      <c r="L956" s="6"/>
      <c r="M956" s="6"/>
      <c r="N956" s="6"/>
      <c r="O956" s="6"/>
      <c r="P956" s="6"/>
      <c r="Q956" s="6"/>
      <c r="R956" s="6"/>
      <c r="S956" s="6"/>
      <c r="T956" s="6"/>
    </row>
    <row r="957" spans="12:20" ht="12.75">
      <c r="L957" s="6"/>
      <c r="M957" s="6"/>
      <c r="N957" s="6"/>
      <c r="O957" s="6"/>
      <c r="P957" s="6"/>
      <c r="Q957" s="6"/>
      <c r="R957" s="6"/>
      <c r="S957" s="6"/>
      <c r="T957" s="6"/>
    </row>
    <row r="958" spans="12:20" ht="12.75">
      <c r="L958" s="6"/>
      <c r="M958" s="6"/>
      <c r="N958" s="6"/>
      <c r="O958" s="6"/>
      <c r="P958" s="6"/>
      <c r="Q958" s="6"/>
      <c r="R958" s="6"/>
      <c r="S958" s="6"/>
      <c r="T958" s="6"/>
    </row>
    <row r="959" spans="12:20" ht="12.75">
      <c r="L959" s="6"/>
      <c r="M959" s="6"/>
      <c r="N959" s="6"/>
      <c r="O959" s="6"/>
      <c r="P959" s="6"/>
      <c r="Q959" s="6"/>
      <c r="R959" s="6"/>
      <c r="S959" s="6"/>
      <c r="T959" s="6"/>
    </row>
    <row r="960" spans="12:20" ht="12.75">
      <c r="L960" s="6"/>
      <c r="M960" s="6"/>
      <c r="N960" s="6"/>
      <c r="O960" s="6"/>
      <c r="P960" s="6"/>
      <c r="Q960" s="6"/>
      <c r="R960" s="6"/>
      <c r="S960" s="6"/>
      <c r="T960" s="6"/>
    </row>
    <row r="961" spans="12:20" ht="12.75">
      <c r="L961" s="6"/>
      <c r="M961" s="6"/>
      <c r="N961" s="6"/>
      <c r="O961" s="6"/>
      <c r="P961" s="6"/>
      <c r="Q961" s="6"/>
      <c r="R961" s="6"/>
      <c r="S961" s="6"/>
      <c r="T961" s="6"/>
    </row>
    <row r="962" spans="12:20" ht="12.75">
      <c r="L962" s="6"/>
      <c r="M962" s="6"/>
      <c r="N962" s="6"/>
      <c r="O962" s="6"/>
      <c r="P962" s="6"/>
      <c r="Q962" s="6"/>
      <c r="R962" s="6"/>
      <c r="S962" s="6"/>
      <c r="T962" s="6"/>
    </row>
    <row r="963" spans="12:20" ht="12.75">
      <c r="L963" s="6"/>
      <c r="M963" s="6"/>
      <c r="N963" s="6"/>
      <c r="O963" s="6"/>
      <c r="P963" s="6"/>
      <c r="Q963" s="6"/>
      <c r="R963" s="6"/>
      <c r="S963" s="6"/>
      <c r="T963" s="6"/>
    </row>
    <row r="964" spans="12:20" ht="12.75">
      <c r="L964" s="6"/>
      <c r="M964" s="6"/>
      <c r="N964" s="6"/>
      <c r="O964" s="6"/>
      <c r="P964" s="6"/>
      <c r="Q964" s="6"/>
      <c r="R964" s="6"/>
      <c r="S964" s="6"/>
      <c r="T964" s="6"/>
    </row>
    <row r="965" spans="12:20" ht="12.75">
      <c r="L965" s="6"/>
      <c r="M965" s="6"/>
      <c r="N965" s="6"/>
      <c r="O965" s="6"/>
      <c r="P965" s="6"/>
      <c r="Q965" s="6"/>
      <c r="R965" s="6"/>
      <c r="S965" s="6"/>
      <c r="T965" s="6"/>
    </row>
    <row r="966" spans="12:20" ht="12.75">
      <c r="L966" s="6"/>
      <c r="M966" s="6"/>
      <c r="N966" s="6"/>
      <c r="O966" s="6"/>
      <c r="P966" s="6"/>
      <c r="Q966" s="6"/>
      <c r="R966" s="6"/>
      <c r="S966" s="6"/>
      <c r="T966" s="6"/>
    </row>
    <row r="967" spans="12:20" ht="12.75">
      <c r="L967" s="6"/>
      <c r="M967" s="6"/>
      <c r="N967" s="6"/>
      <c r="O967" s="6"/>
      <c r="P967" s="6"/>
      <c r="Q967" s="6"/>
      <c r="R967" s="6"/>
      <c r="S967" s="6"/>
      <c r="T967" s="6"/>
    </row>
    <row r="968" spans="12:20" ht="12.75">
      <c r="L968" s="6"/>
      <c r="M968" s="6"/>
      <c r="N968" s="6"/>
      <c r="O968" s="6"/>
      <c r="P968" s="6"/>
      <c r="Q968" s="6"/>
      <c r="R968" s="6"/>
      <c r="S968" s="6"/>
      <c r="T968" s="6"/>
    </row>
    <row r="969" spans="12:20" ht="12.75">
      <c r="L969" s="6"/>
      <c r="M969" s="6"/>
      <c r="N969" s="6"/>
      <c r="O969" s="6"/>
      <c r="P969" s="6"/>
      <c r="Q969" s="6"/>
      <c r="R969" s="6"/>
      <c r="S969" s="6"/>
      <c r="T969" s="6"/>
    </row>
    <row r="970" spans="12:20" ht="12.75">
      <c r="L970" s="6"/>
      <c r="M970" s="6"/>
      <c r="N970" s="6"/>
      <c r="O970" s="6"/>
      <c r="P970" s="6"/>
      <c r="Q970" s="6"/>
      <c r="R970" s="6"/>
      <c r="S970" s="6"/>
      <c r="T970" s="6"/>
    </row>
    <row r="971" spans="12:20" ht="12.75">
      <c r="L971" s="6"/>
      <c r="M971" s="6"/>
      <c r="N971" s="6"/>
      <c r="O971" s="6"/>
      <c r="P971" s="6"/>
      <c r="Q971" s="6"/>
      <c r="R971" s="6"/>
      <c r="S971" s="6"/>
      <c r="T971" s="6"/>
    </row>
    <row r="972" spans="12:20" ht="12.75">
      <c r="L972" s="6"/>
      <c r="M972" s="6"/>
      <c r="N972" s="6"/>
      <c r="O972" s="6"/>
      <c r="P972" s="6"/>
      <c r="Q972" s="6"/>
      <c r="R972" s="6"/>
      <c r="S972" s="6"/>
      <c r="T972" s="6"/>
    </row>
    <row r="973" spans="12:20" ht="12.75">
      <c r="L973" s="6"/>
      <c r="M973" s="6"/>
      <c r="N973" s="6"/>
      <c r="O973" s="6"/>
      <c r="P973" s="6"/>
      <c r="Q973" s="6"/>
      <c r="R973" s="6"/>
      <c r="S973" s="6"/>
      <c r="T973" s="6"/>
    </row>
    <row r="974" spans="12:20" ht="12.75">
      <c r="L974" s="6"/>
      <c r="M974" s="6"/>
      <c r="N974" s="6"/>
      <c r="O974" s="6"/>
      <c r="P974" s="6"/>
      <c r="Q974" s="6"/>
      <c r="R974" s="6"/>
      <c r="S974" s="6"/>
      <c r="T974" s="6"/>
    </row>
    <row r="975" spans="12:20" ht="12.75">
      <c r="L975" s="6"/>
      <c r="M975" s="6"/>
      <c r="N975" s="6"/>
      <c r="O975" s="6"/>
      <c r="P975" s="6"/>
      <c r="Q975" s="6"/>
      <c r="R975" s="6"/>
      <c r="S975" s="6"/>
      <c r="T975" s="6"/>
    </row>
    <row r="976" spans="12:20" ht="12.75">
      <c r="L976" s="6"/>
      <c r="M976" s="6"/>
      <c r="N976" s="6"/>
      <c r="O976" s="6"/>
      <c r="P976" s="6"/>
      <c r="Q976" s="6"/>
      <c r="R976" s="6"/>
      <c r="S976" s="6"/>
      <c r="T976" s="6"/>
    </row>
    <row r="977" spans="12:20" ht="12.75">
      <c r="L977" s="6"/>
      <c r="M977" s="6"/>
      <c r="N977" s="6"/>
      <c r="O977" s="6"/>
      <c r="P977" s="6"/>
      <c r="Q977" s="6"/>
      <c r="R977" s="6"/>
      <c r="S977" s="6"/>
      <c r="T977" s="6"/>
    </row>
    <row r="978" spans="12:20" ht="12.75">
      <c r="L978" s="6"/>
      <c r="M978" s="6"/>
      <c r="N978" s="6"/>
      <c r="O978" s="6"/>
      <c r="P978" s="6"/>
      <c r="Q978" s="6"/>
      <c r="R978" s="6"/>
      <c r="S978" s="6"/>
      <c r="T978" s="6"/>
    </row>
    <row r="979" spans="12:20" ht="12.75">
      <c r="L979" s="6"/>
      <c r="M979" s="6"/>
      <c r="N979" s="6"/>
      <c r="O979" s="6"/>
      <c r="P979" s="6"/>
      <c r="Q979" s="6"/>
      <c r="R979" s="6"/>
      <c r="S979" s="6"/>
      <c r="T979" s="6"/>
    </row>
    <row r="980" spans="12:20" ht="12.75">
      <c r="L980" s="6"/>
      <c r="M980" s="6"/>
      <c r="N980" s="6"/>
      <c r="O980" s="6"/>
      <c r="P980" s="6"/>
      <c r="Q980" s="6"/>
      <c r="R980" s="6"/>
      <c r="S980" s="6"/>
      <c r="T980" s="6"/>
    </row>
    <row r="981" spans="12:20" ht="12.75">
      <c r="L981" s="6"/>
      <c r="M981" s="6"/>
      <c r="N981" s="6"/>
      <c r="O981" s="6"/>
      <c r="P981" s="6"/>
      <c r="Q981" s="6"/>
      <c r="R981" s="6"/>
      <c r="S981" s="6"/>
      <c r="T981" s="6"/>
    </row>
    <row r="982" spans="12:20" ht="12.75">
      <c r="L982" s="6"/>
      <c r="M982" s="6"/>
      <c r="N982" s="6"/>
      <c r="O982" s="6"/>
      <c r="P982" s="6"/>
      <c r="Q982" s="6"/>
      <c r="R982" s="6"/>
      <c r="S982" s="6"/>
      <c r="T982" s="6"/>
    </row>
    <row r="983" spans="12:20" ht="12.75">
      <c r="L983" s="6"/>
      <c r="M983" s="6"/>
      <c r="N983" s="6"/>
      <c r="O983" s="6"/>
      <c r="P983" s="6"/>
      <c r="Q983" s="6"/>
      <c r="R983" s="6"/>
      <c r="S983" s="6"/>
      <c r="T983" s="6"/>
    </row>
    <row r="984" spans="12:20" ht="12.75">
      <c r="L984" s="6"/>
      <c r="M984" s="6"/>
      <c r="N984" s="6"/>
      <c r="O984" s="6"/>
      <c r="P984" s="6"/>
      <c r="Q984" s="6"/>
      <c r="R984" s="6"/>
      <c r="S984" s="6"/>
      <c r="T984" s="6"/>
    </row>
    <row r="985" spans="12:20" ht="12.75">
      <c r="L985" s="6"/>
      <c r="M985" s="6"/>
      <c r="N985" s="6"/>
      <c r="O985" s="6"/>
      <c r="P985" s="6"/>
      <c r="Q985" s="6"/>
      <c r="R985" s="6"/>
      <c r="S985" s="6"/>
      <c r="T985" s="6"/>
    </row>
    <row r="986" spans="12:20" ht="12.75">
      <c r="L986" s="6"/>
      <c r="M986" s="6"/>
      <c r="N986" s="6"/>
      <c r="O986" s="6"/>
      <c r="P986" s="6"/>
      <c r="Q986" s="6"/>
      <c r="R986" s="6"/>
      <c r="S986" s="6"/>
      <c r="T986" s="6"/>
    </row>
    <row r="987" spans="12:20" ht="12.75">
      <c r="L987" s="6"/>
      <c r="M987" s="6"/>
      <c r="N987" s="6"/>
      <c r="O987" s="6"/>
      <c r="P987" s="6"/>
      <c r="Q987" s="6"/>
      <c r="R987" s="6"/>
      <c r="S987" s="6"/>
      <c r="T987" s="6"/>
    </row>
    <row r="988" spans="12:20" ht="12.75">
      <c r="L988" s="6"/>
      <c r="M988" s="6"/>
      <c r="N988" s="6"/>
      <c r="O988" s="6"/>
      <c r="P988" s="6"/>
      <c r="Q988" s="6"/>
      <c r="R988" s="6"/>
      <c r="S988" s="6"/>
      <c r="T988" s="6"/>
    </row>
    <row r="989" spans="12:20" ht="12.75">
      <c r="L989" s="6"/>
      <c r="M989" s="6"/>
      <c r="N989" s="6"/>
      <c r="O989" s="6"/>
      <c r="P989" s="6"/>
      <c r="Q989" s="6"/>
      <c r="R989" s="6"/>
      <c r="S989" s="6"/>
      <c r="T989" s="6"/>
    </row>
    <row r="990" spans="12:20" ht="12.75">
      <c r="L990" s="6"/>
      <c r="M990" s="6"/>
      <c r="N990" s="6"/>
      <c r="O990" s="6"/>
      <c r="P990" s="6"/>
      <c r="Q990" s="6"/>
      <c r="R990" s="6"/>
      <c r="S990" s="6"/>
      <c r="T990" s="6"/>
    </row>
    <row r="991" spans="12:20" ht="12.75">
      <c r="L991" s="6"/>
      <c r="M991" s="6"/>
      <c r="N991" s="6"/>
      <c r="O991" s="6"/>
      <c r="P991" s="6"/>
      <c r="Q991" s="6"/>
      <c r="R991" s="6"/>
      <c r="S991" s="6"/>
      <c r="T991" s="6"/>
    </row>
    <row r="992" spans="12:20" ht="12.75">
      <c r="L992" s="6"/>
      <c r="M992" s="6"/>
      <c r="N992" s="6"/>
      <c r="O992" s="6"/>
      <c r="P992" s="6"/>
      <c r="Q992" s="6"/>
      <c r="R992" s="6"/>
      <c r="S992" s="6"/>
      <c r="T992" s="6"/>
    </row>
    <row r="993" spans="12:20" ht="12.75">
      <c r="L993" s="6"/>
      <c r="M993" s="6"/>
      <c r="N993" s="6"/>
      <c r="O993" s="6"/>
      <c r="P993" s="6"/>
      <c r="Q993" s="6"/>
      <c r="R993" s="6"/>
      <c r="S993" s="6"/>
      <c r="T993" s="6"/>
    </row>
    <row r="994" spans="12:20" ht="12.75">
      <c r="L994" s="6"/>
      <c r="M994" s="6"/>
      <c r="N994" s="6"/>
      <c r="O994" s="6"/>
      <c r="P994" s="6"/>
      <c r="Q994" s="6"/>
      <c r="R994" s="6"/>
      <c r="S994" s="6"/>
      <c r="T994" s="6"/>
    </row>
    <row r="995" spans="12:20" ht="12.75">
      <c r="L995" s="6"/>
      <c r="M995" s="6"/>
      <c r="N995" s="6"/>
      <c r="O995" s="6"/>
      <c r="P995" s="6"/>
      <c r="Q995" s="6"/>
      <c r="R995" s="6"/>
      <c r="S995" s="6"/>
      <c r="T995" s="6"/>
    </row>
    <row r="996" spans="12:20" ht="12.75">
      <c r="L996" s="6"/>
      <c r="M996" s="6"/>
      <c r="N996" s="6"/>
      <c r="O996" s="6"/>
      <c r="P996" s="6"/>
      <c r="Q996" s="6"/>
      <c r="R996" s="6"/>
      <c r="S996" s="6"/>
      <c r="T996" s="6"/>
    </row>
    <row r="997" spans="12:20" ht="12.75">
      <c r="L997" s="6"/>
      <c r="M997" s="6"/>
      <c r="N997" s="6"/>
      <c r="O997" s="6"/>
      <c r="P997" s="6"/>
      <c r="Q997" s="6"/>
      <c r="R997" s="6"/>
      <c r="S997" s="6"/>
      <c r="T997" s="6"/>
    </row>
    <row r="998" spans="12:20" ht="12.75">
      <c r="L998" s="6"/>
      <c r="M998" s="6"/>
      <c r="N998" s="6"/>
      <c r="O998" s="6"/>
      <c r="P998" s="6"/>
      <c r="Q998" s="6"/>
      <c r="R998" s="6"/>
      <c r="S998" s="6"/>
      <c r="T998" s="6"/>
    </row>
    <row r="999" spans="12:20" ht="12.75">
      <c r="L999" s="6"/>
      <c r="M999" s="6"/>
      <c r="N999" s="6"/>
      <c r="O999" s="6"/>
      <c r="P999" s="6"/>
      <c r="Q999" s="6"/>
      <c r="R999" s="6"/>
      <c r="S999" s="6"/>
      <c r="T999" s="6"/>
    </row>
    <row r="1000" spans="12:20" ht="12.75">
      <c r="L1000" s="6"/>
      <c r="M1000" s="6"/>
      <c r="N1000" s="6"/>
      <c r="O1000" s="6"/>
      <c r="P1000" s="6"/>
      <c r="Q1000" s="6"/>
      <c r="R1000" s="6"/>
      <c r="S1000" s="6"/>
      <c r="T1000" s="6"/>
    </row>
    <row r="1001" spans="12:20" ht="12.75">
      <c r="L1001" s="6"/>
      <c r="M1001" s="6"/>
      <c r="N1001" s="6"/>
      <c r="O1001" s="6"/>
      <c r="P1001" s="6"/>
      <c r="Q1001" s="6"/>
      <c r="R1001" s="6"/>
      <c r="S1001" s="6"/>
      <c r="T1001" s="6"/>
    </row>
    <row r="1002" spans="12:20" ht="12.75">
      <c r="L1002" s="6"/>
      <c r="M1002" s="6"/>
      <c r="N1002" s="6"/>
      <c r="O1002" s="6"/>
      <c r="P1002" s="6"/>
      <c r="Q1002" s="6"/>
      <c r="R1002" s="6"/>
      <c r="S1002" s="6"/>
      <c r="T1002" s="6"/>
    </row>
    <row r="1003" spans="12:20" ht="12.75">
      <c r="L1003" s="6"/>
      <c r="M1003" s="6"/>
      <c r="N1003" s="6"/>
      <c r="O1003" s="6"/>
      <c r="P1003" s="6"/>
      <c r="Q1003" s="6"/>
      <c r="R1003" s="6"/>
      <c r="S1003" s="6"/>
      <c r="T1003" s="6"/>
    </row>
    <row r="1004" spans="12:20" ht="12.75">
      <c r="L1004" s="6"/>
      <c r="M1004" s="6"/>
      <c r="N1004" s="6"/>
      <c r="O1004" s="6"/>
      <c r="P1004" s="6"/>
      <c r="Q1004" s="6"/>
      <c r="R1004" s="6"/>
      <c r="S1004" s="6"/>
      <c r="T1004" s="6"/>
    </row>
    <row r="1005" spans="12:20" ht="12.75">
      <c r="L1005" s="6"/>
      <c r="M1005" s="6"/>
      <c r="N1005" s="6"/>
      <c r="O1005" s="6"/>
      <c r="P1005" s="6"/>
      <c r="Q1005" s="6"/>
      <c r="R1005" s="6"/>
      <c r="S1005" s="6"/>
      <c r="T1005" s="6"/>
    </row>
    <row r="1006" spans="12:20" ht="12.75">
      <c r="L1006" s="6"/>
      <c r="M1006" s="6"/>
      <c r="N1006" s="6"/>
      <c r="O1006" s="6"/>
      <c r="P1006" s="6"/>
      <c r="Q1006" s="6"/>
      <c r="R1006" s="6"/>
      <c r="S1006" s="6"/>
      <c r="T1006" s="6"/>
    </row>
    <row r="1007" spans="12:20" ht="12.75">
      <c r="L1007" s="6"/>
      <c r="M1007" s="6"/>
      <c r="N1007" s="6"/>
      <c r="O1007" s="6"/>
      <c r="P1007" s="6"/>
      <c r="Q1007" s="6"/>
      <c r="R1007" s="6"/>
      <c r="S1007" s="6"/>
      <c r="T1007" s="6"/>
    </row>
    <row r="1008" spans="12:20" ht="12.75">
      <c r="L1008" s="6"/>
      <c r="M1008" s="6"/>
      <c r="N1008" s="6"/>
      <c r="O1008" s="6"/>
      <c r="P1008" s="6"/>
      <c r="Q1008" s="6"/>
      <c r="R1008" s="6"/>
      <c r="S1008" s="6"/>
      <c r="T1008" s="6"/>
    </row>
    <row r="1009" spans="12:20" ht="12.75">
      <c r="L1009" s="6"/>
      <c r="M1009" s="6"/>
      <c r="N1009" s="6"/>
      <c r="O1009" s="6"/>
      <c r="P1009" s="6"/>
      <c r="Q1009" s="6"/>
      <c r="R1009" s="6"/>
      <c r="S1009" s="6"/>
      <c r="T1009" s="6"/>
    </row>
    <row r="1010" spans="12:20" ht="12.75">
      <c r="L1010" s="6"/>
      <c r="M1010" s="6"/>
      <c r="N1010" s="6"/>
      <c r="O1010" s="6"/>
      <c r="P1010" s="6"/>
      <c r="Q1010" s="6"/>
      <c r="R1010" s="6"/>
      <c r="S1010" s="6"/>
      <c r="T1010" s="6"/>
    </row>
    <row r="1011" spans="12:20" ht="12.75">
      <c r="L1011" s="6"/>
      <c r="M1011" s="6"/>
      <c r="N1011" s="6"/>
      <c r="O1011" s="6"/>
      <c r="P1011" s="6"/>
      <c r="Q1011" s="6"/>
      <c r="R1011" s="6"/>
      <c r="S1011" s="6"/>
      <c r="T1011" s="6"/>
    </row>
    <row r="1012" spans="12:20" ht="12.75">
      <c r="L1012" s="6"/>
      <c r="M1012" s="6"/>
      <c r="N1012" s="6"/>
      <c r="O1012" s="6"/>
      <c r="P1012" s="6"/>
      <c r="Q1012" s="6"/>
      <c r="R1012" s="6"/>
      <c r="S1012" s="6"/>
      <c r="T1012" s="6"/>
    </row>
    <row r="1013" spans="12:20" ht="12.75">
      <c r="L1013" s="6"/>
      <c r="M1013" s="6"/>
      <c r="N1013" s="6"/>
      <c r="O1013" s="6"/>
      <c r="P1013" s="6"/>
      <c r="Q1013" s="6"/>
      <c r="R1013" s="6"/>
      <c r="S1013" s="6"/>
      <c r="T1013" s="6"/>
    </row>
    <row r="1014" spans="12:20" ht="12.75">
      <c r="L1014" s="6"/>
      <c r="M1014" s="6"/>
      <c r="N1014" s="6"/>
      <c r="O1014" s="6"/>
      <c r="P1014" s="6"/>
      <c r="Q1014" s="6"/>
      <c r="R1014" s="6"/>
      <c r="S1014" s="6"/>
      <c r="T1014" s="6"/>
    </row>
    <row r="1015" spans="12:20" ht="12.75">
      <c r="L1015" s="6"/>
      <c r="M1015" s="6"/>
      <c r="N1015" s="6"/>
      <c r="O1015" s="6"/>
      <c r="P1015" s="6"/>
      <c r="Q1015" s="6"/>
      <c r="R1015" s="6"/>
      <c r="S1015" s="6"/>
      <c r="T1015" s="6"/>
    </row>
    <row r="1016" spans="12:20" ht="12.75">
      <c r="L1016" s="6"/>
      <c r="M1016" s="6"/>
      <c r="N1016" s="6"/>
      <c r="O1016" s="6"/>
      <c r="P1016" s="6"/>
      <c r="Q1016" s="6"/>
      <c r="R1016" s="6"/>
      <c r="S1016" s="6"/>
      <c r="T1016" s="6"/>
    </row>
    <row r="1017" spans="12:20" ht="12.75">
      <c r="L1017" s="6"/>
      <c r="M1017" s="6"/>
      <c r="N1017" s="6"/>
      <c r="O1017" s="6"/>
      <c r="P1017" s="6"/>
      <c r="Q1017" s="6"/>
      <c r="R1017" s="6"/>
      <c r="S1017" s="6"/>
      <c r="T1017" s="6"/>
    </row>
    <row r="1018" spans="12:20" ht="12.75">
      <c r="L1018" s="6"/>
      <c r="M1018" s="6"/>
      <c r="N1018" s="6"/>
      <c r="O1018" s="6"/>
      <c r="P1018" s="6"/>
      <c r="Q1018" s="6"/>
      <c r="R1018" s="6"/>
      <c r="S1018" s="6"/>
      <c r="T1018" s="6"/>
    </row>
    <row r="1019" spans="12:20" ht="12.75">
      <c r="L1019" s="6"/>
      <c r="M1019" s="6"/>
      <c r="N1019" s="6"/>
      <c r="O1019" s="6"/>
      <c r="P1019" s="6"/>
      <c r="Q1019" s="6"/>
      <c r="R1019" s="6"/>
      <c r="S1019" s="6"/>
      <c r="T1019" s="6"/>
    </row>
    <row r="1020" spans="12:20" ht="12.75">
      <c r="L1020" s="6"/>
      <c r="M1020" s="6"/>
      <c r="N1020" s="6"/>
      <c r="O1020" s="6"/>
      <c r="P1020" s="6"/>
      <c r="Q1020" s="6"/>
      <c r="R1020" s="6"/>
      <c r="S1020" s="6"/>
      <c r="T1020" s="6"/>
    </row>
    <row r="1021" spans="12:20" ht="12.75">
      <c r="L1021" s="6"/>
      <c r="M1021" s="6"/>
      <c r="N1021" s="6"/>
      <c r="O1021" s="6"/>
      <c r="P1021" s="6"/>
      <c r="Q1021" s="6"/>
      <c r="R1021" s="6"/>
      <c r="S1021" s="6"/>
      <c r="T1021" s="6"/>
    </row>
    <row r="1022" spans="12:20" ht="12.75">
      <c r="L1022" s="6"/>
      <c r="M1022" s="6"/>
      <c r="N1022" s="6"/>
      <c r="O1022" s="6"/>
      <c r="P1022" s="6"/>
      <c r="Q1022" s="6"/>
      <c r="R1022" s="6"/>
      <c r="S1022" s="6"/>
      <c r="T1022" s="6"/>
    </row>
    <row r="1023" spans="12:20" ht="12.75">
      <c r="L1023" s="6"/>
      <c r="M1023" s="6"/>
      <c r="N1023" s="6"/>
      <c r="O1023" s="6"/>
      <c r="P1023" s="6"/>
      <c r="Q1023" s="6"/>
      <c r="R1023" s="6"/>
      <c r="S1023" s="6"/>
      <c r="T1023" s="6"/>
    </row>
    <row r="1024" spans="12:20" ht="12.75">
      <c r="L1024" s="6"/>
      <c r="M1024" s="6"/>
      <c r="N1024" s="6"/>
      <c r="O1024" s="6"/>
      <c r="P1024" s="6"/>
      <c r="Q1024" s="6"/>
      <c r="R1024" s="6"/>
      <c r="S1024" s="6"/>
      <c r="T1024" s="6"/>
    </row>
    <row r="1025" spans="12:20" ht="12.75">
      <c r="L1025" s="6"/>
      <c r="M1025" s="6"/>
      <c r="N1025" s="6"/>
      <c r="O1025" s="6"/>
      <c r="P1025" s="6"/>
      <c r="Q1025" s="6"/>
      <c r="R1025" s="6"/>
      <c r="S1025" s="6"/>
      <c r="T1025" s="6"/>
    </row>
    <row r="1026" spans="12:20" ht="12.75">
      <c r="L1026" s="6"/>
      <c r="M1026" s="6"/>
      <c r="N1026" s="6"/>
      <c r="O1026" s="6"/>
      <c r="P1026" s="6"/>
      <c r="Q1026" s="6"/>
      <c r="R1026" s="6"/>
      <c r="S1026" s="6"/>
      <c r="T1026" s="6"/>
    </row>
    <row r="1027" spans="12:20" ht="12.75">
      <c r="L1027" s="6"/>
      <c r="M1027" s="6"/>
      <c r="N1027" s="6"/>
      <c r="O1027" s="6"/>
      <c r="P1027" s="6"/>
      <c r="Q1027" s="6"/>
      <c r="R1027" s="6"/>
      <c r="S1027" s="6"/>
      <c r="T1027" s="6"/>
    </row>
    <row r="1028" spans="12:20" ht="12.75">
      <c r="L1028" s="6"/>
      <c r="M1028" s="6"/>
      <c r="N1028" s="6"/>
      <c r="O1028" s="6"/>
      <c r="P1028" s="6"/>
      <c r="Q1028" s="6"/>
      <c r="R1028" s="6"/>
      <c r="S1028" s="6"/>
      <c r="T1028" s="6"/>
    </row>
    <row r="1029" spans="12:20" ht="12.75">
      <c r="L1029" s="6"/>
      <c r="M1029" s="6"/>
      <c r="N1029" s="6"/>
      <c r="O1029" s="6"/>
      <c r="P1029" s="6"/>
      <c r="Q1029" s="6"/>
      <c r="R1029" s="6"/>
      <c r="S1029" s="6"/>
      <c r="T1029" s="6"/>
    </row>
    <row r="1030" spans="12:20" ht="12.75">
      <c r="L1030" s="6"/>
      <c r="M1030" s="6"/>
      <c r="N1030" s="6"/>
      <c r="O1030" s="6"/>
      <c r="P1030" s="6"/>
      <c r="Q1030" s="6"/>
      <c r="R1030" s="6"/>
      <c r="S1030" s="6"/>
      <c r="T1030" s="6"/>
    </row>
    <row r="1031" spans="12:20" ht="12.75">
      <c r="L1031" s="6"/>
      <c r="M1031" s="6"/>
      <c r="N1031" s="6"/>
      <c r="O1031" s="6"/>
      <c r="P1031" s="6"/>
      <c r="Q1031" s="6"/>
      <c r="R1031" s="6"/>
      <c r="S1031" s="6"/>
      <c r="T1031" s="6"/>
    </row>
    <row r="1032" spans="12:20" ht="12.75">
      <c r="L1032" s="6"/>
      <c r="M1032" s="6"/>
      <c r="N1032" s="6"/>
      <c r="O1032" s="6"/>
      <c r="P1032" s="6"/>
      <c r="Q1032" s="6"/>
      <c r="R1032" s="6"/>
      <c r="S1032" s="6"/>
      <c r="T1032" s="6"/>
    </row>
    <row r="1033" spans="12:20" ht="12.75">
      <c r="L1033" s="6"/>
      <c r="M1033" s="6"/>
      <c r="N1033" s="6"/>
      <c r="O1033" s="6"/>
      <c r="P1033" s="6"/>
      <c r="Q1033" s="6"/>
      <c r="R1033" s="6"/>
      <c r="S1033" s="6"/>
      <c r="T1033" s="6"/>
    </row>
    <row r="1034" spans="12:20" ht="12.75">
      <c r="L1034" s="6"/>
      <c r="M1034" s="6"/>
      <c r="N1034" s="6"/>
      <c r="O1034" s="6"/>
      <c r="P1034" s="6"/>
      <c r="Q1034" s="6"/>
      <c r="R1034" s="6"/>
      <c r="S1034" s="6"/>
      <c r="T1034" s="6"/>
    </row>
    <row r="1035" spans="12:20" ht="12.75">
      <c r="L1035" s="6"/>
      <c r="M1035" s="6"/>
      <c r="N1035" s="6"/>
      <c r="O1035" s="6"/>
      <c r="P1035" s="6"/>
      <c r="Q1035" s="6"/>
      <c r="R1035" s="6"/>
      <c r="S1035" s="6"/>
      <c r="T1035" s="6"/>
    </row>
    <row r="1036" spans="12:20" ht="12.75">
      <c r="L1036" s="6"/>
      <c r="M1036" s="6"/>
      <c r="N1036" s="6"/>
      <c r="O1036" s="6"/>
      <c r="P1036" s="6"/>
      <c r="Q1036" s="6"/>
      <c r="R1036" s="6"/>
      <c r="S1036" s="6"/>
      <c r="T1036" s="6"/>
    </row>
    <row r="1037" spans="12:20" ht="12.75">
      <c r="L1037" s="6"/>
      <c r="M1037" s="6"/>
      <c r="N1037" s="6"/>
      <c r="O1037" s="6"/>
      <c r="P1037" s="6"/>
      <c r="Q1037" s="6"/>
      <c r="R1037" s="6"/>
      <c r="S1037" s="6"/>
      <c r="T1037" s="6"/>
    </row>
    <row r="1038" spans="12:20" ht="12.75">
      <c r="L1038" s="6"/>
      <c r="M1038" s="6"/>
      <c r="N1038" s="6"/>
      <c r="O1038" s="6"/>
      <c r="P1038" s="6"/>
      <c r="Q1038" s="6"/>
      <c r="R1038" s="6"/>
      <c r="S1038" s="6"/>
      <c r="T1038" s="6"/>
    </row>
    <row r="1039" spans="12:20" ht="12.75">
      <c r="L1039" s="6"/>
      <c r="M1039" s="6"/>
      <c r="N1039" s="6"/>
      <c r="O1039" s="6"/>
      <c r="P1039" s="6"/>
      <c r="Q1039" s="6"/>
      <c r="R1039" s="6"/>
      <c r="S1039" s="6"/>
      <c r="T1039" s="6"/>
    </row>
    <row r="1040" spans="12:20" ht="12.75">
      <c r="L1040" s="6"/>
      <c r="M1040" s="6"/>
      <c r="N1040" s="6"/>
      <c r="O1040" s="6"/>
      <c r="P1040" s="6"/>
      <c r="Q1040" s="6"/>
      <c r="R1040" s="6"/>
      <c r="S1040" s="6"/>
      <c r="T1040" s="6"/>
    </row>
    <row r="1041" spans="12:20" ht="12.75">
      <c r="L1041" s="6"/>
      <c r="M1041" s="6"/>
      <c r="N1041" s="6"/>
      <c r="O1041" s="6"/>
      <c r="P1041" s="6"/>
      <c r="Q1041" s="6"/>
      <c r="R1041" s="6"/>
      <c r="S1041" s="6"/>
      <c r="T1041" s="6"/>
    </row>
    <row r="1042" spans="12:20" ht="12.75">
      <c r="L1042" s="6"/>
      <c r="M1042" s="6"/>
      <c r="N1042" s="6"/>
      <c r="O1042" s="6"/>
      <c r="P1042" s="6"/>
      <c r="Q1042" s="6"/>
      <c r="R1042" s="6"/>
      <c r="S1042" s="6"/>
      <c r="T1042" s="6"/>
    </row>
    <row r="1043" spans="12:20" ht="12.75">
      <c r="L1043" s="6"/>
      <c r="M1043" s="6"/>
      <c r="N1043" s="6"/>
      <c r="O1043" s="6"/>
      <c r="P1043" s="6"/>
      <c r="Q1043" s="6"/>
      <c r="R1043" s="6"/>
      <c r="S1043" s="6"/>
      <c r="T1043" s="6"/>
    </row>
    <row r="1044" spans="12:20" ht="12.75">
      <c r="L1044" s="6"/>
      <c r="M1044" s="6"/>
      <c r="N1044" s="6"/>
      <c r="O1044" s="6"/>
      <c r="P1044" s="6"/>
      <c r="Q1044" s="6"/>
      <c r="R1044" s="6"/>
      <c r="S1044" s="6"/>
      <c r="T1044" s="6"/>
    </row>
    <row r="1045" spans="12:20" ht="12.75">
      <c r="L1045" s="6"/>
      <c r="M1045" s="6"/>
      <c r="N1045" s="6"/>
      <c r="O1045" s="6"/>
      <c r="P1045" s="6"/>
      <c r="Q1045" s="6"/>
      <c r="R1045" s="6"/>
      <c r="S1045" s="6"/>
      <c r="T1045" s="6"/>
    </row>
    <row r="1046" spans="12:20" ht="12.75">
      <c r="L1046" s="6"/>
      <c r="M1046" s="6"/>
      <c r="N1046" s="6"/>
      <c r="O1046" s="6"/>
      <c r="P1046" s="6"/>
      <c r="Q1046" s="6"/>
      <c r="R1046" s="6"/>
      <c r="S1046" s="6"/>
      <c r="T1046" s="6"/>
    </row>
    <row r="1047" spans="12:20" ht="12.75">
      <c r="L1047" s="6"/>
      <c r="M1047" s="6"/>
      <c r="N1047" s="6"/>
      <c r="O1047" s="6"/>
      <c r="P1047" s="6"/>
      <c r="Q1047" s="6"/>
      <c r="R1047" s="6"/>
      <c r="S1047" s="6"/>
      <c r="T1047" s="6"/>
    </row>
    <row r="1048" spans="12:20" ht="12.75">
      <c r="L1048" s="6"/>
      <c r="M1048" s="6"/>
      <c r="N1048" s="6"/>
      <c r="O1048" s="6"/>
      <c r="P1048" s="6"/>
      <c r="Q1048" s="6"/>
      <c r="R1048" s="6"/>
      <c r="S1048" s="6"/>
      <c r="T1048" s="6"/>
    </row>
    <row r="1049" spans="12:20" ht="12.75">
      <c r="L1049" s="6"/>
      <c r="M1049" s="6"/>
      <c r="N1049" s="6"/>
      <c r="O1049" s="6"/>
      <c r="P1049" s="6"/>
      <c r="Q1049" s="6"/>
      <c r="R1049" s="6"/>
      <c r="S1049" s="6"/>
      <c r="T1049" s="6"/>
    </row>
    <row r="1050" spans="12:20" ht="12.75">
      <c r="L1050" s="6"/>
      <c r="M1050" s="6"/>
      <c r="N1050" s="6"/>
      <c r="O1050" s="6"/>
      <c r="P1050" s="6"/>
      <c r="Q1050" s="6"/>
      <c r="R1050" s="6"/>
      <c r="S1050" s="6"/>
      <c r="T1050" s="6"/>
    </row>
    <row r="1051" spans="12:20" ht="12.75">
      <c r="L1051" s="6"/>
      <c r="M1051" s="6"/>
      <c r="N1051" s="6"/>
      <c r="O1051" s="6"/>
      <c r="P1051" s="6"/>
      <c r="Q1051" s="6"/>
      <c r="R1051" s="6"/>
      <c r="S1051" s="6"/>
      <c r="T1051" s="6"/>
    </row>
    <row r="1052" spans="12:20" ht="12.75">
      <c r="L1052" s="6"/>
      <c r="M1052" s="6"/>
      <c r="N1052" s="6"/>
      <c r="O1052" s="6"/>
      <c r="P1052" s="6"/>
      <c r="Q1052" s="6"/>
      <c r="R1052" s="6"/>
      <c r="S1052" s="6"/>
      <c r="T1052" s="6"/>
    </row>
    <row r="1053" spans="12:20" ht="12.75">
      <c r="L1053" s="6"/>
      <c r="M1053" s="6"/>
      <c r="N1053" s="6"/>
      <c r="O1053" s="6"/>
      <c r="P1053" s="6"/>
      <c r="Q1053" s="6"/>
      <c r="R1053" s="6"/>
      <c r="S1053" s="6"/>
      <c r="T1053" s="6"/>
    </row>
    <row r="1054" spans="12:20" ht="12.75">
      <c r="L1054" s="6"/>
      <c r="M1054" s="6"/>
      <c r="N1054" s="6"/>
      <c r="O1054" s="6"/>
      <c r="P1054" s="6"/>
      <c r="Q1054" s="6"/>
      <c r="R1054" s="6"/>
      <c r="S1054" s="6"/>
      <c r="T1054" s="6"/>
    </row>
    <row r="1055" spans="12:20" ht="12.75">
      <c r="L1055" s="6"/>
      <c r="M1055" s="6"/>
      <c r="N1055" s="6"/>
      <c r="O1055" s="6"/>
      <c r="P1055" s="6"/>
      <c r="Q1055" s="6"/>
      <c r="R1055" s="6"/>
      <c r="S1055" s="6"/>
      <c r="T1055" s="6"/>
    </row>
    <row r="1056" spans="12:20" ht="12.75">
      <c r="L1056" s="6"/>
      <c r="M1056" s="6"/>
      <c r="N1056" s="6"/>
      <c r="O1056" s="6"/>
      <c r="P1056" s="6"/>
      <c r="Q1056" s="6"/>
      <c r="R1056" s="6"/>
      <c r="S1056" s="6"/>
      <c r="T1056" s="6"/>
    </row>
    <row r="1057" spans="12:20" ht="12.75">
      <c r="L1057" s="6"/>
      <c r="M1057" s="6"/>
      <c r="N1057" s="6"/>
      <c r="O1057" s="6"/>
      <c r="P1057" s="6"/>
      <c r="Q1057" s="6"/>
      <c r="R1057" s="6"/>
      <c r="S1057" s="6"/>
      <c r="T1057" s="6"/>
    </row>
    <row r="1058" spans="12:20" ht="12.75">
      <c r="L1058" s="6"/>
      <c r="M1058" s="6"/>
      <c r="N1058" s="6"/>
      <c r="O1058" s="6"/>
      <c r="P1058" s="6"/>
      <c r="Q1058" s="6"/>
      <c r="R1058" s="6"/>
      <c r="S1058" s="6"/>
      <c r="T1058" s="6"/>
    </row>
    <row r="1059" spans="12:20" ht="12.75">
      <c r="L1059" s="6"/>
      <c r="M1059" s="6"/>
      <c r="N1059" s="6"/>
      <c r="O1059" s="6"/>
      <c r="P1059" s="6"/>
      <c r="Q1059" s="6"/>
      <c r="R1059" s="6"/>
      <c r="S1059" s="6"/>
      <c r="T1059" s="6"/>
    </row>
    <row r="1060" spans="12:20" ht="12.75">
      <c r="L1060" s="6"/>
      <c r="M1060" s="6"/>
      <c r="N1060" s="6"/>
      <c r="O1060" s="6"/>
      <c r="P1060" s="6"/>
      <c r="Q1060" s="6"/>
      <c r="R1060" s="6"/>
      <c r="S1060" s="6"/>
      <c r="T1060" s="6"/>
    </row>
    <row r="1061" spans="12:20" ht="12.75">
      <c r="L1061" s="6"/>
      <c r="M1061" s="6"/>
      <c r="N1061" s="6"/>
      <c r="O1061" s="6"/>
      <c r="P1061" s="6"/>
      <c r="Q1061" s="6"/>
      <c r="R1061" s="6"/>
      <c r="S1061" s="6"/>
      <c r="T1061" s="6"/>
    </row>
    <row r="1062" spans="12:20" ht="12.75">
      <c r="L1062" s="6"/>
      <c r="M1062" s="6"/>
      <c r="N1062" s="6"/>
      <c r="O1062" s="6"/>
      <c r="P1062" s="6"/>
      <c r="Q1062" s="6"/>
      <c r="R1062" s="6"/>
      <c r="S1062" s="6"/>
      <c r="T1062" s="6"/>
    </row>
    <row r="1063" spans="12:20" ht="12.75">
      <c r="L1063" s="6"/>
      <c r="M1063" s="6"/>
      <c r="N1063" s="6"/>
      <c r="O1063" s="6"/>
      <c r="P1063" s="6"/>
      <c r="Q1063" s="6"/>
      <c r="R1063" s="6"/>
      <c r="S1063" s="6"/>
      <c r="T1063" s="6"/>
    </row>
    <row r="1064" spans="12:20" ht="12.75">
      <c r="L1064" s="6"/>
      <c r="M1064" s="6"/>
      <c r="N1064" s="6"/>
      <c r="O1064" s="6"/>
      <c r="P1064" s="6"/>
      <c r="Q1064" s="6"/>
      <c r="R1064" s="6"/>
      <c r="S1064" s="6"/>
      <c r="T1064" s="6"/>
    </row>
    <row r="1065" spans="12:20" ht="12.75">
      <c r="L1065" s="6"/>
      <c r="M1065" s="6"/>
      <c r="N1065" s="6"/>
      <c r="O1065" s="6"/>
      <c r="P1065" s="6"/>
      <c r="Q1065" s="6"/>
      <c r="R1065" s="6"/>
      <c r="S1065" s="6"/>
      <c r="T1065" s="6"/>
    </row>
    <row r="1066" spans="12:20" ht="12.75">
      <c r="L1066" s="6"/>
      <c r="M1066" s="6"/>
      <c r="N1066" s="6"/>
      <c r="O1066" s="6"/>
      <c r="P1066" s="6"/>
      <c r="Q1066" s="6"/>
      <c r="R1066" s="6"/>
      <c r="S1066" s="6"/>
      <c r="T1066" s="6"/>
    </row>
    <row r="1067" spans="12:20" ht="12.75">
      <c r="L1067" s="6"/>
      <c r="M1067" s="6"/>
      <c r="N1067" s="6"/>
      <c r="O1067" s="6"/>
      <c r="P1067" s="6"/>
      <c r="Q1067" s="6"/>
      <c r="R1067" s="6"/>
      <c r="S1067" s="6"/>
      <c r="T1067" s="6"/>
    </row>
    <row r="1068" spans="12:20" ht="12.75">
      <c r="L1068" s="6"/>
      <c r="M1068" s="6"/>
      <c r="N1068" s="6"/>
      <c r="O1068" s="6"/>
      <c r="P1068" s="6"/>
      <c r="Q1068" s="6"/>
      <c r="R1068" s="6"/>
      <c r="S1068" s="6"/>
      <c r="T1068" s="6"/>
    </row>
    <row r="1069" spans="12:20" ht="12.75">
      <c r="L1069" s="6"/>
      <c r="M1069" s="6"/>
      <c r="N1069" s="6"/>
      <c r="O1069" s="6"/>
      <c r="P1069" s="6"/>
      <c r="Q1069" s="6"/>
      <c r="R1069" s="6"/>
      <c r="S1069" s="6"/>
      <c r="T1069" s="6"/>
    </row>
    <row r="1070" spans="12:20" ht="12.75">
      <c r="L1070" s="6"/>
      <c r="M1070" s="6"/>
      <c r="N1070" s="6"/>
      <c r="O1070" s="6"/>
      <c r="P1070" s="6"/>
      <c r="Q1070" s="6"/>
      <c r="R1070" s="6"/>
      <c r="S1070" s="6"/>
      <c r="T1070" s="6"/>
    </row>
    <row r="1071" spans="12:20" ht="12.75">
      <c r="L1071" s="6"/>
      <c r="M1071" s="6"/>
      <c r="N1071" s="6"/>
      <c r="O1071" s="6"/>
      <c r="P1071" s="6"/>
      <c r="Q1071" s="6"/>
      <c r="R1071" s="6"/>
      <c r="S1071" s="6"/>
      <c r="T1071" s="6"/>
    </row>
    <row r="1072" spans="12:20" ht="12.75">
      <c r="L1072" s="6"/>
      <c r="M1072" s="6"/>
      <c r="N1072" s="6"/>
      <c r="O1072" s="6"/>
      <c r="P1072" s="6"/>
      <c r="Q1072" s="6"/>
      <c r="R1072" s="6"/>
      <c r="S1072" s="6"/>
      <c r="T1072" s="6"/>
    </row>
    <row r="1073" spans="12:20" ht="12.75">
      <c r="L1073" s="6"/>
      <c r="M1073" s="6"/>
      <c r="N1073" s="6"/>
      <c r="O1073" s="6"/>
      <c r="P1073" s="6"/>
      <c r="Q1073" s="6"/>
      <c r="R1073" s="6"/>
      <c r="S1073" s="6"/>
      <c r="T1073" s="6"/>
    </row>
    <row r="1074" spans="12:20" ht="12.75">
      <c r="L1074" s="6"/>
      <c r="M1074" s="6"/>
      <c r="N1074" s="6"/>
      <c r="O1074" s="6"/>
      <c r="P1074" s="6"/>
      <c r="Q1074" s="6"/>
      <c r="R1074" s="6"/>
      <c r="S1074" s="6"/>
      <c r="T1074" s="6"/>
    </row>
    <row r="1075" spans="12:20" ht="12.75">
      <c r="L1075" s="6"/>
      <c r="M1075" s="6"/>
      <c r="N1075" s="6"/>
      <c r="O1075" s="6"/>
      <c r="P1075" s="6"/>
      <c r="Q1075" s="6"/>
      <c r="R1075" s="6"/>
      <c r="S1075" s="6"/>
      <c r="T1075" s="6"/>
    </row>
    <row r="1076" spans="12:20" ht="12.75">
      <c r="L1076" s="6"/>
      <c r="M1076" s="6"/>
      <c r="N1076" s="6"/>
      <c r="O1076" s="6"/>
      <c r="P1076" s="6"/>
      <c r="Q1076" s="6"/>
      <c r="R1076" s="6"/>
      <c r="S1076" s="6"/>
      <c r="T1076" s="6"/>
    </row>
    <row r="1077" spans="12:20" ht="12.75">
      <c r="L1077" s="6"/>
      <c r="M1077" s="6"/>
      <c r="N1077" s="6"/>
      <c r="O1077" s="6"/>
      <c r="P1077" s="6"/>
      <c r="Q1077" s="6"/>
      <c r="R1077" s="6"/>
      <c r="S1077" s="6"/>
      <c r="T1077" s="6"/>
    </row>
    <row r="1078" spans="12:20" ht="12.75">
      <c r="L1078" s="6"/>
      <c r="M1078" s="6"/>
      <c r="N1078" s="6"/>
      <c r="O1078" s="6"/>
      <c r="P1078" s="6"/>
      <c r="Q1078" s="6"/>
      <c r="R1078" s="6"/>
      <c r="S1078" s="6"/>
      <c r="T1078" s="6"/>
    </row>
    <row r="1079" spans="12:20" ht="12.75">
      <c r="L1079" s="6"/>
      <c r="M1079" s="6"/>
      <c r="N1079" s="6"/>
      <c r="O1079" s="6"/>
      <c r="P1079" s="6"/>
      <c r="Q1079" s="6"/>
      <c r="R1079" s="6"/>
      <c r="S1079" s="6"/>
      <c r="T1079" s="6"/>
    </row>
    <row r="1080" spans="12:20" ht="12.75">
      <c r="L1080" s="6"/>
      <c r="M1080" s="6"/>
      <c r="N1080" s="6"/>
      <c r="O1080" s="6"/>
      <c r="P1080" s="6"/>
      <c r="Q1080" s="6"/>
      <c r="R1080" s="6"/>
      <c r="S1080" s="6"/>
      <c r="T1080" s="6"/>
    </row>
    <row r="1081" spans="12:20" ht="12.75">
      <c r="L1081" s="6"/>
      <c r="M1081" s="6"/>
      <c r="N1081" s="6"/>
      <c r="O1081" s="6"/>
      <c r="P1081" s="6"/>
      <c r="Q1081" s="6"/>
      <c r="R1081" s="6"/>
      <c r="S1081" s="6"/>
      <c r="T1081" s="6"/>
    </row>
    <row r="1082" spans="12:20" ht="12.75">
      <c r="L1082" s="6"/>
      <c r="M1082" s="6"/>
      <c r="N1082" s="6"/>
      <c r="O1082" s="6"/>
      <c r="P1082" s="6"/>
      <c r="Q1082" s="6"/>
      <c r="R1082" s="6"/>
      <c r="S1082" s="6"/>
      <c r="T1082" s="6"/>
    </row>
    <row r="1083" spans="12:20" ht="12.75">
      <c r="L1083" s="6"/>
      <c r="M1083" s="6"/>
      <c r="N1083" s="6"/>
      <c r="O1083" s="6"/>
      <c r="P1083" s="6"/>
      <c r="Q1083" s="6"/>
      <c r="R1083" s="6"/>
      <c r="S1083" s="6"/>
      <c r="T1083" s="6"/>
    </row>
    <row r="1084" spans="12:20" ht="12.75">
      <c r="L1084" s="6"/>
      <c r="M1084" s="6"/>
      <c r="N1084" s="6"/>
      <c r="O1084" s="6"/>
      <c r="P1084" s="6"/>
      <c r="Q1084" s="6"/>
      <c r="R1084" s="6"/>
      <c r="S1084" s="6"/>
      <c r="T1084" s="6"/>
    </row>
    <row r="1085" spans="12:20" ht="12.75">
      <c r="L1085" s="6"/>
      <c r="M1085" s="6"/>
      <c r="N1085" s="6"/>
      <c r="O1085" s="6"/>
      <c r="P1085" s="6"/>
      <c r="Q1085" s="6"/>
      <c r="R1085" s="6"/>
      <c r="S1085" s="6"/>
      <c r="T1085" s="6"/>
    </row>
    <row r="1086" spans="12:20" ht="12.75">
      <c r="L1086" s="6"/>
      <c r="M1086" s="6"/>
      <c r="N1086" s="6"/>
      <c r="O1086" s="6"/>
      <c r="P1086" s="6"/>
      <c r="Q1086" s="6"/>
      <c r="R1086" s="6"/>
      <c r="S1086" s="6"/>
      <c r="T1086" s="6"/>
    </row>
    <row r="1087" spans="12:20" ht="12.75">
      <c r="L1087" s="6"/>
      <c r="M1087" s="6"/>
      <c r="N1087" s="6"/>
      <c r="O1087" s="6"/>
      <c r="P1087" s="6"/>
      <c r="Q1087" s="6"/>
      <c r="R1087" s="6"/>
      <c r="S1087" s="6"/>
      <c r="T1087" s="6"/>
    </row>
    <row r="1088" spans="12:20" ht="12.75">
      <c r="L1088" s="6"/>
      <c r="M1088" s="6"/>
      <c r="N1088" s="6"/>
      <c r="O1088" s="6"/>
      <c r="P1088" s="6"/>
      <c r="Q1088" s="6"/>
      <c r="R1088" s="6"/>
      <c r="S1088" s="6"/>
      <c r="T1088" s="6"/>
    </row>
    <row r="1089" spans="12:20" ht="12.75">
      <c r="L1089" s="6"/>
      <c r="M1089" s="6"/>
      <c r="N1089" s="6"/>
      <c r="O1089" s="6"/>
      <c r="P1089" s="6"/>
      <c r="Q1089" s="6"/>
      <c r="R1089" s="6"/>
      <c r="S1089" s="6"/>
      <c r="T1089" s="6"/>
    </row>
    <row r="1090" spans="12:20" ht="12.75">
      <c r="L1090" s="6"/>
      <c r="M1090" s="6"/>
      <c r="N1090" s="6"/>
      <c r="O1090" s="6"/>
      <c r="P1090" s="6"/>
      <c r="Q1090" s="6"/>
      <c r="R1090" s="6"/>
      <c r="S1090" s="6"/>
      <c r="T1090" s="6"/>
    </row>
    <row r="1091" spans="12:20" ht="12.75">
      <c r="L1091" s="6"/>
      <c r="M1091" s="6"/>
      <c r="N1091" s="6"/>
      <c r="O1091" s="6"/>
      <c r="P1091" s="6"/>
      <c r="Q1091" s="6"/>
      <c r="R1091" s="6"/>
      <c r="S1091" s="6"/>
      <c r="T1091" s="6"/>
    </row>
    <row r="1092" spans="12:20" ht="12.75">
      <c r="L1092" s="6"/>
      <c r="M1092" s="6"/>
      <c r="N1092" s="6"/>
      <c r="O1092" s="6"/>
      <c r="P1092" s="6"/>
      <c r="Q1092" s="6"/>
      <c r="R1092" s="6"/>
      <c r="S1092" s="6"/>
      <c r="T1092" s="6"/>
    </row>
    <row r="1093" spans="12:20" ht="12.75">
      <c r="L1093" s="6"/>
      <c r="M1093" s="6"/>
      <c r="N1093" s="6"/>
      <c r="O1093" s="6"/>
      <c r="P1093" s="6"/>
      <c r="Q1093" s="6"/>
      <c r="R1093" s="6"/>
      <c r="S1093" s="6"/>
      <c r="T1093" s="6"/>
    </row>
    <row r="1094" spans="12:20" ht="12.75">
      <c r="L1094" s="6"/>
      <c r="M1094" s="6"/>
      <c r="N1094" s="6"/>
      <c r="O1094" s="6"/>
      <c r="P1094" s="6"/>
      <c r="Q1094" s="6"/>
      <c r="R1094" s="6"/>
      <c r="S1094" s="6"/>
      <c r="T1094" s="6"/>
    </row>
    <row r="1095" spans="12:20" ht="12.75">
      <c r="L1095" s="6"/>
      <c r="M1095" s="6"/>
      <c r="N1095" s="6"/>
      <c r="O1095" s="6"/>
      <c r="P1095" s="6"/>
      <c r="Q1095" s="6"/>
      <c r="R1095" s="6"/>
      <c r="S1095" s="6"/>
      <c r="T1095" s="6"/>
    </row>
    <row r="1096" spans="12:20" ht="12.75">
      <c r="L1096" s="6"/>
      <c r="M1096" s="6"/>
      <c r="N1096" s="6"/>
      <c r="O1096" s="6"/>
      <c r="P1096" s="6"/>
      <c r="Q1096" s="6"/>
      <c r="R1096" s="6"/>
      <c r="S1096" s="6"/>
      <c r="T1096" s="6"/>
    </row>
    <row r="1097" spans="12:20" ht="12.75">
      <c r="L1097" s="6"/>
      <c r="M1097" s="6"/>
      <c r="N1097" s="6"/>
      <c r="O1097" s="6"/>
      <c r="P1097" s="6"/>
      <c r="Q1097" s="6"/>
      <c r="R1097" s="6"/>
      <c r="S1097" s="6"/>
      <c r="T1097" s="6"/>
    </row>
    <row r="1098" spans="12:20" ht="12.75">
      <c r="L1098" s="6"/>
      <c r="M1098" s="6"/>
      <c r="N1098" s="6"/>
      <c r="O1098" s="6"/>
      <c r="P1098" s="6"/>
      <c r="Q1098" s="6"/>
      <c r="R1098" s="6"/>
      <c r="S1098" s="6"/>
      <c r="T1098" s="6"/>
    </row>
    <row r="1099" spans="12:20" ht="12.75">
      <c r="L1099" s="6"/>
      <c r="M1099" s="6"/>
      <c r="N1099" s="6"/>
      <c r="O1099" s="6"/>
      <c r="P1099" s="6"/>
      <c r="Q1099" s="6"/>
      <c r="R1099" s="6"/>
      <c r="S1099" s="6"/>
      <c r="T1099" s="6"/>
    </row>
    <row r="1100" spans="12:20" ht="12.75">
      <c r="L1100" s="6"/>
      <c r="M1100" s="6"/>
      <c r="N1100" s="6"/>
      <c r="O1100" s="6"/>
      <c r="P1100" s="6"/>
      <c r="Q1100" s="6"/>
      <c r="R1100" s="6"/>
      <c r="S1100" s="6"/>
      <c r="T1100" s="6"/>
    </row>
    <row r="1101" spans="12:20" ht="12.75">
      <c r="L1101" s="6"/>
      <c r="M1101" s="6"/>
      <c r="N1101" s="6"/>
      <c r="O1101" s="6"/>
      <c r="P1101" s="6"/>
      <c r="Q1101" s="6"/>
      <c r="R1101" s="6"/>
      <c r="S1101" s="6"/>
      <c r="T1101" s="6"/>
    </row>
    <row r="1102" spans="12:20" ht="12.75">
      <c r="L1102" s="6"/>
      <c r="M1102" s="6"/>
      <c r="N1102" s="6"/>
      <c r="O1102" s="6"/>
      <c r="P1102" s="6"/>
      <c r="Q1102" s="6"/>
      <c r="R1102" s="6"/>
      <c r="S1102" s="6"/>
      <c r="T1102" s="6"/>
    </row>
    <row r="1103" spans="12:20" ht="12.75">
      <c r="L1103" s="6"/>
      <c r="M1103" s="6"/>
      <c r="N1103" s="6"/>
      <c r="O1103" s="6"/>
      <c r="P1103" s="6"/>
      <c r="Q1103" s="6"/>
      <c r="R1103" s="6"/>
      <c r="S1103" s="6"/>
      <c r="T1103" s="6"/>
    </row>
    <row r="1104" spans="12:20" ht="12.75">
      <c r="L1104" s="6"/>
      <c r="M1104" s="6"/>
      <c r="N1104" s="6"/>
      <c r="O1104" s="6"/>
      <c r="P1104" s="6"/>
      <c r="Q1104" s="6"/>
      <c r="R1104" s="6"/>
      <c r="S1104" s="6"/>
      <c r="T1104" s="6"/>
    </row>
    <row r="1105" spans="12:20" ht="12.75">
      <c r="L1105" s="6"/>
      <c r="M1105" s="6"/>
      <c r="N1105" s="6"/>
      <c r="O1105" s="6"/>
      <c r="P1105" s="6"/>
      <c r="Q1105" s="6"/>
      <c r="R1105" s="6"/>
      <c r="S1105" s="6"/>
      <c r="T1105" s="6"/>
    </row>
    <row r="1106" spans="12:20" ht="12.75">
      <c r="L1106" s="6"/>
      <c r="M1106" s="6"/>
      <c r="N1106" s="6"/>
      <c r="O1106" s="6"/>
      <c r="P1106" s="6"/>
      <c r="Q1106" s="6"/>
      <c r="R1106" s="6"/>
      <c r="S1106" s="6"/>
      <c r="T1106" s="6"/>
    </row>
    <row r="1107" spans="12:20" ht="12.75">
      <c r="L1107" s="6"/>
      <c r="M1107" s="6"/>
      <c r="N1107" s="6"/>
      <c r="O1107" s="6"/>
      <c r="P1107" s="6"/>
      <c r="Q1107" s="6"/>
      <c r="R1107" s="6"/>
      <c r="S1107" s="6"/>
      <c r="T1107" s="6"/>
    </row>
    <row r="1108" spans="12:20" ht="12.75">
      <c r="L1108" s="6"/>
      <c r="M1108" s="6"/>
      <c r="N1108" s="6"/>
      <c r="O1108" s="6"/>
      <c r="P1108" s="6"/>
      <c r="Q1108" s="6"/>
      <c r="R1108" s="6"/>
      <c r="S1108" s="6"/>
      <c r="T1108" s="6"/>
    </row>
    <row r="1109" spans="12:20" ht="12.75">
      <c r="L1109" s="6"/>
      <c r="M1109" s="6"/>
      <c r="N1109" s="6"/>
      <c r="O1109" s="6"/>
      <c r="P1109" s="6"/>
      <c r="Q1109" s="6"/>
      <c r="R1109" s="6"/>
      <c r="S1109" s="6"/>
      <c r="T1109" s="6"/>
    </row>
    <row r="1110" spans="12:20" ht="12.75">
      <c r="L1110" s="6"/>
      <c r="M1110" s="6"/>
      <c r="N1110" s="6"/>
      <c r="O1110" s="6"/>
      <c r="P1110" s="6"/>
      <c r="Q1110" s="6"/>
      <c r="R1110" s="6"/>
      <c r="S1110" s="6"/>
      <c r="T1110" s="6"/>
    </row>
    <row r="1111" spans="12:20" ht="12.75">
      <c r="L1111" s="6"/>
      <c r="M1111" s="6"/>
      <c r="N1111" s="6"/>
      <c r="O1111" s="6"/>
      <c r="P1111" s="6"/>
      <c r="Q1111" s="6"/>
      <c r="R1111" s="6"/>
      <c r="S1111" s="6"/>
      <c r="T1111" s="6"/>
    </row>
    <row r="1112" spans="12:20" ht="12.75">
      <c r="L1112" s="6"/>
      <c r="M1112" s="6"/>
      <c r="N1112" s="6"/>
      <c r="O1112" s="6"/>
      <c r="P1112" s="6"/>
      <c r="Q1112" s="6"/>
      <c r="R1112" s="6"/>
      <c r="S1112" s="6"/>
      <c r="T1112" s="6"/>
    </row>
    <row r="1113" spans="12:20" ht="12.75">
      <c r="L1113" s="6"/>
      <c r="M1113" s="6"/>
      <c r="N1113" s="6"/>
      <c r="O1113" s="6"/>
      <c r="P1113" s="6"/>
      <c r="Q1113" s="6"/>
      <c r="R1113" s="6"/>
      <c r="S1113" s="6"/>
      <c r="T1113" s="6"/>
    </row>
    <row r="1114" spans="12:20" ht="12.75">
      <c r="L1114" s="6"/>
      <c r="M1114" s="6"/>
      <c r="N1114" s="6"/>
      <c r="O1114" s="6"/>
      <c r="P1114" s="6"/>
      <c r="Q1114" s="6"/>
      <c r="R1114" s="6"/>
      <c r="S1114" s="6"/>
      <c r="T1114" s="6"/>
    </row>
    <row r="1115" spans="12:20" ht="12.75">
      <c r="L1115" s="6"/>
      <c r="M1115" s="6"/>
      <c r="N1115" s="6"/>
      <c r="O1115" s="6"/>
      <c r="P1115" s="6"/>
      <c r="Q1115" s="6"/>
      <c r="R1115" s="6"/>
      <c r="S1115" s="6"/>
      <c r="T1115" s="6"/>
    </row>
    <row r="1116" spans="12:20" ht="12.75">
      <c r="L1116" s="6"/>
      <c r="M1116" s="6"/>
      <c r="N1116" s="6"/>
      <c r="O1116" s="6"/>
      <c r="P1116" s="6"/>
      <c r="Q1116" s="6"/>
      <c r="R1116" s="6"/>
      <c r="S1116" s="6"/>
      <c r="T1116" s="6"/>
    </row>
    <row r="1117" spans="12:20" ht="12.75">
      <c r="L1117" s="6"/>
      <c r="M1117" s="6"/>
      <c r="N1117" s="6"/>
      <c r="O1117" s="6"/>
      <c r="P1117" s="6"/>
      <c r="Q1117" s="6"/>
      <c r="R1117" s="6"/>
      <c r="S1117" s="6"/>
      <c r="T1117" s="6"/>
    </row>
    <row r="1118" spans="12:20" ht="12.75">
      <c r="L1118" s="6"/>
      <c r="M1118" s="6"/>
      <c r="N1118" s="6"/>
      <c r="O1118" s="6"/>
      <c r="P1118" s="6"/>
      <c r="Q1118" s="6"/>
      <c r="R1118" s="6"/>
      <c r="S1118" s="6"/>
      <c r="T1118" s="6"/>
    </row>
    <row r="1119" spans="12:20" ht="12.75">
      <c r="L1119" s="6"/>
      <c r="M1119" s="6"/>
      <c r="N1119" s="6"/>
      <c r="O1119" s="6"/>
      <c r="P1119" s="6"/>
      <c r="Q1119" s="6"/>
      <c r="R1119" s="6"/>
      <c r="S1119" s="6"/>
      <c r="T1119" s="6"/>
    </row>
    <row r="1120" spans="12:20" ht="12.75">
      <c r="L1120" s="6"/>
      <c r="M1120" s="6"/>
      <c r="N1120" s="6"/>
      <c r="O1120" s="6"/>
      <c r="P1120" s="6"/>
      <c r="Q1120" s="6"/>
      <c r="R1120" s="6"/>
      <c r="S1120" s="6"/>
      <c r="T1120" s="6"/>
    </row>
    <row r="1121" spans="12:20" ht="12.75">
      <c r="L1121" s="6"/>
      <c r="M1121" s="6"/>
      <c r="N1121" s="6"/>
      <c r="O1121" s="6"/>
      <c r="P1121" s="6"/>
      <c r="Q1121" s="6"/>
      <c r="R1121" s="6"/>
      <c r="S1121" s="6"/>
      <c r="T1121" s="6"/>
    </row>
    <row r="1122" spans="12:20" ht="12.75">
      <c r="L1122" s="6"/>
      <c r="M1122" s="6"/>
      <c r="N1122" s="6"/>
      <c r="O1122" s="6"/>
      <c r="P1122" s="6"/>
      <c r="Q1122" s="6"/>
      <c r="R1122" s="6"/>
      <c r="S1122" s="6"/>
      <c r="T1122" s="6"/>
    </row>
    <row r="1123" spans="12:20" ht="12.75">
      <c r="L1123" s="6"/>
      <c r="M1123" s="6"/>
      <c r="N1123" s="6"/>
      <c r="O1123" s="6"/>
      <c r="P1123" s="6"/>
      <c r="Q1123" s="6"/>
      <c r="R1123" s="6"/>
      <c r="S1123" s="6"/>
      <c r="T1123" s="6"/>
    </row>
    <row r="1124" spans="12:20" ht="12.75">
      <c r="L1124" s="6"/>
      <c r="M1124" s="6"/>
      <c r="N1124" s="6"/>
      <c r="O1124" s="6"/>
      <c r="P1124" s="6"/>
      <c r="Q1124" s="6"/>
      <c r="R1124" s="6"/>
      <c r="S1124" s="6"/>
      <c r="T1124" s="6"/>
    </row>
    <row r="1125" spans="12:20" ht="12.75">
      <c r="L1125" s="6"/>
      <c r="M1125" s="6"/>
      <c r="N1125" s="6"/>
      <c r="O1125" s="6"/>
      <c r="P1125" s="6"/>
      <c r="Q1125" s="6"/>
      <c r="R1125" s="6"/>
      <c r="S1125" s="6"/>
      <c r="T1125" s="6"/>
    </row>
    <row r="1126" spans="12:20" ht="12.75">
      <c r="L1126" s="6"/>
      <c r="M1126" s="6"/>
      <c r="N1126" s="6"/>
      <c r="O1126" s="6"/>
      <c r="P1126" s="6"/>
      <c r="Q1126" s="6"/>
      <c r="R1126" s="6"/>
      <c r="S1126" s="6"/>
      <c r="T1126" s="6"/>
    </row>
    <row r="1127" spans="12:20" ht="12.75">
      <c r="L1127" s="6"/>
      <c r="M1127" s="6"/>
      <c r="N1127" s="6"/>
      <c r="O1127" s="6"/>
      <c r="P1127" s="6"/>
      <c r="Q1127" s="6"/>
      <c r="R1127" s="6"/>
      <c r="S1127" s="6"/>
      <c r="T1127" s="6"/>
    </row>
    <row r="1128" spans="12:20" ht="12.75">
      <c r="L1128" s="6"/>
      <c r="M1128" s="6"/>
      <c r="N1128" s="6"/>
      <c r="O1128" s="6"/>
      <c r="P1128" s="6"/>
      <c r="Q1128" s="6"/>
      <c r="R1128" s="6"/>
      <c r="S1128" s="6"/>
      <c r="T1128" s="6"/>
    </row>
    <row r="1129" spans="12:20" ht="12.75">
      <c r="L1129" s="6"/>
      <c r="M1129" s="6"/>
      <c r="N1129" s="6"/>
      <c r="O1129" s="6"/>
      <c r="P1129" s="6"/>
      <c r="Q1129" s="6"/>
      <c r="R1129" s="6"/>
      <c r="S1129" s="6"/>
      <c r="T1129" s="6"/>
    </row>
    <row r="1130" spans="12:20" ht="12.75">
      <c r="L1130" s="6"/>
      <c r="M1130" s="6"/>
      <c r="N1130" s="6"/>
      <c r="O1130" s="6"/>
      <c r="P1130" s="6"/>
      <c r="Q1130" s="6"/>
      <c r="R1130" s="6"/>
      <c r="S1130" s="6"/>
      <c r="T1130" s="6"/>
    </row>
    <row r="1131" spans="12:20" ht="12.75">
      <c r="L1131" s="6"/>
      <c r="M1131" s="6"/>
      <c r="N1131" s="6"/>
      <c r="O1131" s="6"/>
      <c r="P1131" s="6"/>
      <c r="Q1131" s="6"/>
      <c r="R1131" s="6"/>
      <c r="S1131" s="6"/>
      <c r="T1131" s="6"/>
    </row>
    <row r="1132" spans="12:20" ht="12.75">
      <c r="L1132" s="6"/>
      <c r="M1132" s="6"/>
      <c r="N1132" s="6"/>
      <c r="O1132" s="6"/>
      <c r="P1132" s="6"/>
      <c r="Q1132" s="6"/>
      <c r="R1132" s="6"/>
      <c r="S1132" s="6"/>
      <c r="T1132" s="6"/>
    </row>
    <row r="1133" spans="12:20" ht="12.75">
      <c r="L1133" s="6"/>
      <c r="M1133" s="6"/>
      <c r="N1133" s="6"/>
      <c r="O1133" s="6"/>
      <c r="P1133" s="6"/>
      <c r="Q1133" s="6"/>
      <c r="R1133" s="6"/>
      <c r="S1133" s="6"/>
      <c r="T1133" s="6"/>
    </row>
    <row r="1134" spans="12:20" ht="12.75">
      <c r="L1134" s="6"/>
      <c r="M1134" s="6"/>
      <c r="N1134" s="6"/>
      <c r="O1134" s="6"/>
      <c r="P1134" s="6"/>
      <c r="Q1134" s="6"/>
      <c r="R1134" s="6"/>
      <c r="S1134" s="6"/>
      <c r="T1134" s="6"/>
    </row>
    <row r="1135" spans="12:20" ht="12.75">
      <c r="L1135" s="6"/>
      <c r="M1135" s="6"/>
      <c r="N1135" s="6"/>
      <c r="O1135" s="6"/>
      <c r="P1135" s="6"/>
      <c r="Q1135" s="6"/>
      <c r="R1135" s="6"/>
      <c r="S1135" s="6"/>
      <c r="T1135" s="6"/>
    </row>
    <row r="1136" spans="12:20" ht="12.75">
      <c r="L1136" s="6"/>
      <c r="M1136" s="6"/>
      <c r="N1136" s="6"/>
      <c r="O1136" s="6"/>
      <c r="P1136" s="6"/>
      <c r="Q1136" s="6"/>
      <c r="R1136" s="6"/>
      <c r="S1136" s="6"/>
      <c r="T1136" s="6"/>
    </row>
    <row r="1137" spans="12:20" ht="12.75">
      <c r="L1137" s="6"/>
      <c r="M1137" s="6"/>
      <c r="N1137" s="6"/>
      <c r="O1137" s="6"/>
      <c r="P1137" s="6"/>
      <c r="Q1137" s="6"/>
      <c r="R1137" s="6"/>
      <c r="S1137" s="6"/>
      <c r="T1137" s="6"/>
    </row>
    <row r="1138" spans="12:20" ht="12.75">
      <c r="L1138" s="6"/>
      <c r="M1138" s="6"/>
      <c r="N1138" s="6"/>
      <c r="O1138" s="6"/>
      <c r="P1138" s="6"/>
      <c r="Q1138" s="6"/>
      <c r="R1138" s="6"/>
      <c r="S1138" s="6"/>
      <c r="T1138" s="6"/>
    </row>
    <row r="1139" spans="12:20" ht="12.75">
      <c r="L1139" s="6"/>
      <c r="M1139" s="6"/>
      <c r="N1139" s="6"/>
      <c r="O1139" s="6"/>
      <c r="P1139" s="6"/>
      <c r="Q1139" s="6"/>
      <c r="R1139" s="6"/>
      <c r="S1139" s="6"/>
      <c r="T1139" s="6"/>
    </row>
    <row r="1140" spans="12:20" ht="12.75">
      <c r="L1140" s="6"/>
      <c r="M1140" s="6"/>
      <c r="N1140" s="6"/>
      <c r="O1140" s="6"/>
      <c r="P1140" s="6"/>
      <c r="Q1140" s="6"/>
      <c r="R1140" s="6"/>
      <c r="S1140" s="6"/>
      <c r="T1140" s="6"/>
    </row>
    <row r="1141" spans="12:20" ht="12.75">
      <c r="L1141" s="6"/>
      <c r="M1141" s="6"/>
      <c r="N1141" s="6"/>
      <c r="O1141" s="6"/>
      <c r="P1141" s="6"/>
      <c r="Q1141" s="6"/>
      <c r="R1141" s="6"/>
      <c r="S1141" s="6"/>
      <c r="T1141" s="6"/>
    </row>
    <row r="1142" spans="12:20" ht="12.75">
      <c r="L1142" s="6"/>
      <c r="M1142" s="6"/>
      <c r="N1142" s="6"/>
      <c r="O1142" s="6"/>
      <c r="P1142" s="6"/>
      <c r="Q1142" s="6"/>
      <c r="R1142" s="6"/>
      <c r="S1142" s="6"/>
      <c r="T1142" s="6"/>
    </row>
    <row r="1143" spans="12:20" ht="12.75">
      <c r="L1143" s="6"/>
      <c r="M1143" s="6"/>
      <c r="N1143" s="6"/>
      <c r="O1143" s="6"/>
      <c r="P1143" s="6"/>
      <c r="Q1143" s="6"/>
      <c r="R1143" s="6"/>
      <c r="S1143" s="6"/>
      <c r="T1143" s="6"/>
    </row>
    <row r="1144" spans="12:20" ht="12.75">
      <c r="L1144" s="6"/>
      <c r="M1144" s="6"/>
      <c r="N1144" s="6"/>
      <c r="O1144" s="6"/>
      <c r="P1144" s="6"/>
      <c r="Q1144" s="6"/>
      <c r="R1144" s="6"/>
      <c r="S1144" s="6"/>
      <c r="T1144" s="6"/>
    </row>
    <row r="1145" spans="12:20" ht="12.75">
      <c r="L1145" s="6"/>
      <c r="M1145" s="6"/>
      <c r="N1145" s="6"/>
      <c r="O1145" s="6"/>
      <c r="P1145" s="6"/>
      <c r="Q1145" s="6"/>
      <c r="R1145" s="6"/>
      <c r="S1145" s="6"/>
      <c r="T1145" s="6"/>
    </row>
    <row r="1146" spans="12:20" ht="12.75">
      <c r="L1146" s="6"/>
      <c r="M1146" s="6"/>
      <c r="N1146" s="6"/>
      <c r="O1146" s="6"/>
      <c r="P1146" s="6"/>
      <c r="Q1146" s="6"/>
      <c r="R1146" s="6"/>
      <c r="S1146" s="6"/>
      <c r="T1146" s="6"/>
    </row>
    <row r="1147" spans="12:20" ht="12.75">
      <c r="L1147" s="6"/>
      <c r="M1147" s="6"/>
      <c r="N1147" s="6"/>
      <c r="O1147" s="6"/>
      <c r="P1147" s="6"/>
      <c r="Q1147" s="6"/>
      <c r="R1147" s="6"/>
      <c r="S1147" s="6"/>
      <c r="T1147" s="6"/>
    </row>
    <row r="1148" spans="12:20" ht="12.75">
      <c r="L1148" s="6"/>
      <c r="M1148" s="6"/>
      <c r="N1148" s="6"/>
      <c r="O1148" s="6"/>
      <c r="P1148" s="6"/>
      <c r="Q1148" s="6"/>
      <c r="R1148" s="6"/>
      <c r="S1148" s="6"/>
      <c r="T1148" s="6"/>
    </row>
    <row r="1149" spans="12:20" ht="12.75">
      <c r="L1149" s="6"/>
      <c r="M1149" s="6"/>
      <c r="N1149" s="6"/>
      <c r="O1149" s="6"/>
      <c r="P1149" s="6"/>
      <c r="Q1149" s="6"/>
      <c r="R1149" s="6"/>
      <c r="S1149" s="6"/>
      <c r="T1149" s="6"/>
    </row>
    <row r="1150" spans="12:20" ht="12.75">
      <c r="L1150" s="6"/>
      <c r="M1150" s="6"/>
      <c r="N1150" s="6"/>
      <c r="O1150" s="6"/>
      <c r="P1150" s="6"/>
      <c r="Q1150" s="6"/>
      <c r="R1150" s="6"/>
      <c r="S1150" s="6"/>
      <c r="T1150" s="6"/>
    </row>
    <row r="1151" spans="12:20" ht="12.75">
      <c r="L1151" s="6"/>
      <c r="M1151" s="6"/>
      <c r="N1151" s="6"/>
      <c r="O1151" s="6"/>
      <c r="P1151" s="6"/>
      <c r="Q1151" s="6"/>
      <c r="R1151" s="6"/>
      <c r="S1151" s="6"/>
      <c r="T1151" s="6"/>
    </row>
    <row r="1152" spans="12:20" ht="12.75">
      <c r="L1152" s="6"/>
      <c r="M1152" s="6"/>
      <c r="N1152" s="6"/>
      <c r="O1152" s="6"/>
      <c r="P1152" s="6"/>
      <c r="Q1152" s="6"/>
      <c r="R1152" s="6"/>
      <c r="S1152" s="6"/>
      <c r="T1152" s="6"/>
    </row>
    <row r="1153" spans="12:20" ht="12.75">
      <c r="L1153" s="6"/>
      <c r="M1153" s="6"/>
      <c r="N1153" s="6"/>
      <c r="O1153" s="6"/>
      <c r="P1153" s="6"/>
      <c r="Q1153" s="6"/>
      <c r="R1153" s="6"/>
      <c r="S1153" s="6"/>
      <c r="T1153" s="6"/>
    </row>
    <row r="1154" spans="12:20" ht="12.75">
      <c r="L1154" s="6"/>
      <c r="M1154" s="6"/>
      <c r="N1154" s="6"/>
      <c r="O1154" s="6"/>
      <c r="P1154" s="6"/>
      <c r="Q1154" s="6"/>
      <c r="R1154" s="6"/>
      <c r="S1154" s="6"/>
      <c r="T1154" s="6"/>
    </row>
    <row r="1155" spans="12:20" ht="12.75">
      <c r="L1155" s="6"/>
      <c r="M1155" s="6"/>
      <c r="N1155" s="6"/>
      <c r="O1155" s="6"/>
      <c r="P1155" s="6"/>
      <c r="Q1155" s="6"/>
      <c r="R1155" s="6"/>
      <c r="S1155" s="6"/>
      <c r="T1155" s="6"/>
    </row>
    <row r="1156" spans="12:20" ht="12.75">
      <c r="L1156" s="6"/>
      <c r="M1156" s="6"/>
      <c r="N1156" s="6"/>
      <c r="O1156" s="6"/>
      <c r="P1156" s="6"/>
      <c r="Q1156" s="6"/>
      <c r="R1156" s="6"/>
      <c r="S1156" s="6"/>
      <c r="T1156" s="6"/>
    </row>
    <row r="1157" spans="12:20" ht="12.75">
      <c r="L1157" s="6"/>
      <c r="M1157" s="6"/>
      <c r="N1157" s="6"/>
      <c r="O1157" s="6"/>
      <c r="P1157" s="6"/>
      <c r="Q1157" s="6"/>
      <c r="R1157" s="6"/>
      <c r="S1157" s="6"/>
      <c r="T1157" s="6"/>
    </row>
    <row r="1158" spans="12:20" ht="12.75">
      <c r="L1158" s="6"/>
      <c r="M1158" s="6"/>
      <c r="N1158" s="6"/>
      <c r="O1158" s="6"/>
      <c r="P1158" s="6"/>
      <c r="Q1158" s="6"/>
      <c r="R1158" s="6"/>
      <c r="S1158" s="6"/>
      <c r="T1158" s="6"/>
    </row>
    <row r="1159" spans="12:20" ht="12.75">
      <c r="L1159" s="6"/>
      <c r="M1159" s="6"/>
      <c r="N1159" s="6"/>
      <c r="O1159" s="6"/>
      <c r="P1159" s="6"/>
      <c r="Q1159" s="6"/>
      <c r="R1159" s="6"/>
      <c r="S1159" s="6"/>
      <c r="T1159" s="6"/>
    </row>
    <row r="1160" spans="12:20" ht="12.75">
      <c r="L1160" s="6"/>
      <c r="M1160" s="6"/>
      <c r="N1160" s="6"/>
      <c r="O1160" s="6"/>
      <c r="P1160" s="6"/>
      <c r="Q1160" s="6"/>
      <c r="R1160" s="6"/>
      <c r="S1160" s="6"/>
      <c r="T1160" s="6"/>
    </row>
    <row r="1161" spans="12:20" ht="12.75">
      <c r="L1161" s="6"/>
      <c r="M1161" s="6"/>
      <c r="N1161" s="6"/>
      <c r="O1161" s="6"/>
      <c r="P1161" s="6"/>
      <c r="Q1161" s="6"/>
      <c r="R1161" s="6"/>
      <c r="S1161" s="6"/>
      <c r="T1161" s="6"/>
    </row>
    <row r="1162" spans="12:20" ht="12.75">
      <c r="L1162" s="6"/>
      <c r="M1162" s="6"/>
      <c r="N1162" s="6"/>
      <c r="O1162" s="6"/>
      <c r="P1162" s="6"/>
      <c r="Q1162" s="6"/>
      <c r="R1162" s="6"/>
      <c r="S1162" s="6"/>
      <c r="T1162" s="6"/>
    </row>
    <row r="1163" spans="12:20" ht="12.75">
      <c r="L1163" s="6"/>
      <c r="M1163" s="6"/>
      <c r="N1163" s="6"/>
      <c r="O1163" s="6"/>
      <c r="P1163" s="6"/>
      <c r="Q1163" s="6"/>
      <c r="R1163" s="6"/>
      <c r="S1163" s="6"/>
      <c r="T1163" s="6"/>
    </row>
    <row r="1164" spans="12:20" ht="12.75">
      <c r="L1164" s="6"/>
      <c r="M1164" s="6"/>
      <c r="N1164" s="6"/>
      <c r="O1164" s="6"/>
      <c r="P1164" s="6"/>
      <c r="Q1164" s="6"/>
      <c r="R1164" s="6"/>
      <c r="S1164" s="6"/>
      <c r="T1164" s="6"/>
    </row>
    <row r="1165" spans="12:20" ht="12.75">
      <c r="L1165" s="6"/>
      <c r="M1165" s="6"/>
      <c r="N1165" s="6"/>
      <c r="O1165" s="6"/>
      <c r="P1165" s="6"/>
      <c r="Q1165" s="6"/>
      <c r="R1165" s="6"/>
      <c r="S1165" s="6"/>
      <c r="T1165" s="6"/>
    </row>
    <row r="1166" spans="12:20" ht="12.75">
      <c r="L1166" s="6"/>
      <c r="M1166" s="6"/>
      <c r="N1166" s="6"/>
      <c r="O1166" s="6"/>
      <c r="P1166" s="6"/>
      <c r="Q1166" s="6"/>
      <c r="R1166" s="6"/>
      <c r="S1166" s="6"/>
      <c r="T1166" s="6"/>
    </row>
    <row r="1167" spans="12:20" ht="12.75">
      <c r="L1167" s="6"/>
      <c r="M1167" s="6"/>
      <c r="N1167" s="6"/>
      <c r="O1167" s="6"/>
      <c r="P1167" s="6"/>
      <c r="Q1167" s="6"/>
      <c r="R1167" s="6"/>
      <c r="S1167" s="6"/>
      <c r="T1167" s="6"/>
    </row>
    <row r="1168" spans="12:20" ht="12.75">
      <c r="L1168" s="6"/>
      <c r="M1168" s="6"/>
      <c r="N1168" s="6"/>
      <c r="O1168" s="6"/>
      <c r="P1168" s="6"/>
      <c r="Q1168" s="6"/>
      <c r="R1168" s="6"/>
      <c r="S1168" s="6"/>
      <c r="T1168" s="6"/>
    </row>
    <row r="1169" spans="12:20" ht="12.75">
      <c r="L1169" s="6"/>
      <c r="M1169" s="6"/>
      <c r="N1169" s="6"/>
      <c r="O1169" s="6"/>
      <c r="P1169" s="6"/>
      <c r="Q1169" s="6"/>
      <c r="R1169" s="6"/>
      <c r="S1169" s="6"/>
      <c r="T1169" s="6"/>
    </row>
    <row r="1170" spans="12:20" ht="12.75">
      <c r="L1170" s="6"/>
      <c r="M1170" s="6"/>
      <c r="N1170" s="6"/>
      <c r="O1170" s="6"/>
      <c r="P1170" s="6"/>
      <c r="Q1170" s="6"/>
      <c r="R1170" s="6"/>
      <c r="S1170" s="6"/>
      <c r="T1170" s="6"/>
    </row>
    <row r="1171" spans="12:20" ht="12.75">
      <c r="L1171" s="6"/>
      <c r="M1171" s="6"/>
      <c r="N1171" s="6"/>
      <c r="O1171" s="6"/>
      <c r="P1171" s="6"/>
      <c r="Q1171" s="6"/>
      <c r="R1171" s="6"/>
      <c r="S1171" s="6"/>
      <c r="T1171" s="6"/>
    </row>
    <row r="1172" spans="12:20" ht="12.75">
      <c r="L1172" s="6"/>
      <c r="M1172" s="6"/>
      <c r="N1172" s="6"/>
      <c r="O1172" s="6"/>
      <c r="P1172" s="6"/>
      <c r="Q1172" s="6"/>
      <c r="R1172" s="6"/>
      <c r="S1172" s="6"/>
      <c r="T1172" s="6"/>
    </row>
    <row r="1173" spans="12:20" ht="12.75">
      <c r="L1173" s="6"/>
      <c r="M1173" s="6"/>
      <c r="N1173" s="6"/>
      <c r="O1173" s="6"/>
      <c r="P1173" s="6"/>
      <c r="Q1173" s="6"/>
      <c r="R1173" s="6"/>
      <c r="S1173" s="6"/>
      <c r="T1173" s="6"/>
    </row>
    <row r="1174" spans="12:20" ht="12.75">
      <c r="L1174" s="6"/>
      <c r="M1174" s="6"/>
      <c r="N1174" s="6"/>
      <c r="O1174" s="6"/>
      <c r="P1174" s="6"/>
      <c r="Q1174" s="6"/>
      <c r="R1174" s="6"/>
      <c r="S1174" s="6"/>
      <c r="T1174" s="6"/>
    </row>
    <row r="1175" spans="12:20" ht="12.75">
      <c r="L1175" s="6"/>
      <c r="M1175" s="6"/>
      <c r="N1175" s="6"/>
      <c r="O1175" s="6"/>
      <c r="P1175" s="6"/>
      <c r="Q1175" s="6"/>
      <c r="R1175" s="6"/>
      <c r="S1175" s="6"/>
      <c r="T1175" s="6"/>
    </row>
    <row r="1176" spans="12:20" ht="12.75">
      <c r="L1176" s="6"/>
      <c r="M1176" s="6"/>
      <c r="N1176" s="6"/>
      <c r="O1176" s="6"/>
      <c r="P1176" s="6"/>
      <c r="Q1176" s="6"/>
      <c r="R1176" s="6"/>
      <c r="S1176" s="6"/>
      <c r="T1176" s="6"/>
    </row>
    <row r="1177" spans="12:20" ht="12.75">
      <c r="L1177" s="6"/>
      <c r="M1177" s="6"/>
      <c r="N1177" s="6"/>
      <c r="O1177" s="6"/>
      <c r="P1177" s="6"/>
      <c r="Q1177" s="6"/>
      <c r="R1177" s="6"/>
      <c r="S1177" s="6"/>
      <c r="T1177" s="6"/>
    </row>
    <row r="1178" spans="12:20" ht="12.75">
      <c r="L1178" s="6"/>
      <c r="M1178" s="6"/>
      <c r="N1178" s="6"/>
      <c r="O1178" s="6"/>
      <c r="P1178" s="6"/>
      <c r="Q1178" s="6"/>
      <c r="R1178" s="6"/>
      <c r="S1178" s="6"/>
      <c r="T1178" s="6"/>
    </row>
    <row r="1179" spans="12:20" ht="12.75">
      <c r="L1179" s="6"/>
      <c r="M1179" s="6"/>
      <c r="N1179" s="6"/>
      <c r="O1179" s="6"/>
      <c r="P1179" s="6"/>
      <c r="Q1179" s="6"/>
      <c r="R1179" s="6"/>
      <c r="S1179" s="6"/>
      <c r="T1179" s="6"/>
    </row>
    <row r="1180" spans="12:20" ht="12.75">
      <c r="L1180" s="6"/>
      <c r="M1180" s="6"/>
      <c r="N1180" s="6"/>
      <c r="O1180" s="6"/>
      <c r="P1180" s="6"/>
      <c r="Q1180" s="6"/>
      <c r="R1180" s="6"/>
      <c r="S1180" s="6"/>
      <c r="T1180" s="6"/>
    </row>
    <row r="1181" spans="12:20" ht="12.75">
      <c r="L1181" s="6"/>
      <c r="M1181" s="6"/>
      <c r="N1181" s="6"/>
      <c r="O1181" s="6"/>
      <c r="P1181" s="6"/>
      <c r="Q1181" s="6"/>
      <c r="R1181" s="6"/>
      <c r="S1181" s="6"/>
      <c r="T1181" s="6"/>
    </row>
    <row r="1182" spans="12:20" ht="12.75">
      <c r="L1182" s="6"/>
      <c r="M1182" s="6"/>
      <c r="N1182" s="6"/>
      <c r="O1182" s="6"/>
      <c r="P1182" s="6"/>
      <c r="Q1182" s="6"/>
      <c r="R1182" s="6"/>
      <c r="S1182" s="6"/>
      <c r="T1182" s="6"/>
    </row>
    <row r="1183" spans="12:20" ht="12.75">
      <c r="L1183" s="6"/>
      <c r="M1183" s="6"/>
      <c r="N1183" s="6"/>
      <c r="O1183" s="6"/>
      <c r="P1183" s="6"/>
      <c r="Q1183" s="6"/>
      <c r="R1183" s="6"/>
      <c r="S1183" s="6"/>
      <c r="T1183" s="6"/>
    </row>
    <row r="1184" spans="12:20" ht="12.75">
      <c r="L1184" s="6"/>
      <c r="M1184" s="6"/>
      <c r="N1184" s="6"/>
      <c r="O1184" s="6"/>
      <c r="P1184" s="6"/>
      <c r="Q1184" s="6"/>
      <c r="R1184" s="6"/>
      <c r="S1184" s="6"/>
      <c r="T1184" s="6"/>
    </row>
    <row r="1185" spans="12:20" ht="12.75">
      <c r="L1185" s="6"/>
      <c r="M1185" s="6"/>
      <c r="N1185" s="6"/>
      <c r="O1185" s="6"/>
      <c r="P1185" s="6"/>
      <c r="Q1185" s="6"/>
      <c r="R1185" s="6"/>
      <c r="S1185" s="6"/>
      <c r="T1185" s="6"/>
    </row>
    <row r="1186" spans="12:20" ht="12.75">
      <c r="L1186" s="6"/>
      <c r="M1186" s="6"/>
      <c r="N1186" s="6"/>
      <c r="O1186" s="6"/>
      <c r="P1186" s="6"/>
      <c r="Q1186" s="6"/>
      <c r="R1186" s="6"/>
      <c r="S1186" s="6"/>
      <c r="T1186" s="6"/>
    </row>
    <row r="1187" spans="12:20" ht="12.75">
      <c r="L1187" s="6"/>
      <c r="M1187" s="6"/>
      <c r="N1187" s="6"/>
      <c r="O1187" s="6"/>
      <c r="P1187" s="6"/>
      <c r="Q1187" s="6"/>
      <c r="R1187" s="6"/>
      <c r="S1187" s="6"/>
      <c r="T1187" s="6"/>
    </row>
    <row r="1188" spans="12:20" ht="12.75">
      <c r="L1188" s="6"/>
      <c r="M1188" s="6"/>
      <c r="N1188" s="6"/>
      <c r="O1188" s="6"/>
      <c r="P1188" s="6"/>
      <c r="Q1188" s="6"/>
      <c r="R1188" s="6"/>
      <c r="S1188" s="6"/>
      <c r="T1188" s="6"/>
    </row>
    <row r="1189" spans="12:20" ht="12.75">
      <c r="L1189" s="6"/>
      <c r="M1189" s="6"/>
      <c r="N1189" s="6"/>
      <c r="O1189" s="6"/>
      <c r="P1189" s="6"/>
      <c r="Q1189" s="6"/>
      <c r="R1189" s="6"/>
      <c r="S1189" s="6"/>
      <c r="T1189" s="6"/>
    </row>
    <row r="1190" spans="12:20" ht="12.75">
      <c r="L1190" s="6"/>
      <c r="M1190" s="6"/>
      <c r="N1190" s="6"/>
      <c r="O1190" s="6"/>
      <c r="P1190" s="6"/>
      <c r="Q1190" s="6"/>
      <c r="R1190" s="6"/>
      <c r="S1190" s="6"/>
      <c r="T1190" s="6"/>
    </row>
    <row r="1191" spans="12:20" ht="12.75">
      <c r="L1191" s="6"/>
      <c r="M1191" s="6"/>
      <c r="N1191" s="6"/>
      <c r="O1191" s="6"/>
      <c r="P1191" s="6"/>
      <c r="Q1191" s="6"/>
      <c r="R1191" s="6"/>
      <c r="S1191" s="6"/>
      <c r="T1191" s="6"/>
    </row>
    <row r="1192" spans="12:20" ht="12.75">
      <c r="L1192" s="6"/>
      <c r="M1192" s="6"/>
      <c r="N1192" s="6"/>
      <c r="O1192" s="6"/>
      <c r="P1192" s="6"/>
      <c r="Q1192" s="6"/>
      <c r="R1192" s="6"/>
      <c r="S1192" s="6"/>
      <c r="T1192" s="6"/>
    </row>
    <row r="1193" spans="12:20" ht="12.75">
      <c r="L1193" s="6"/>
      <c r="M1193" s="6"/>
      <c r="N1193" s="6"/>
      <c r="O1193" s="6"/>
      <c r="P1193" s="6"/>
      <c r="Q1193" s="6"/>
      <c r="R1193" s="6"/>
      <c r="S1193" s="6"/>
      <c r="T1193" s="6"/>
    </row>
    <row r="1194" spans="12:20" ht="12.75">
      <c r="L1194" s="6"/>
      <c r="M1194" s="6"/>
      <c r="N1194" s="6"/>
      <c r="O1194" s="6"/>
      <c r="P1194" s="6"/>
      <c r="Q1194" s="6"/>
      <c r="R1194" s="6"/>
      <c r="S1194" s="6"/>
      <c r="T1194" s="6"/>
    </row>
    <row r="1195" spans="12:20" ht="12.75">
      <c r="L1195" s="6"/>
      <c r="M1195" s="6"/>
      <c r="N1195" s="6"/>
      <c r="O1195" s="6"/>
      <c r="P1195" s="6"/>
      <c r="Q1195" s="6"/>
      <c r="R1195" s="6"/>
      <c r="S1195" s="6"/>
      <c r="T1195" s="6"/>
    </row>
    <row r="1196" spans="12:20" ht="12.75">
      <c r="L1196" s="6"/>
      <c r="M1196" s="6"/>
      <c r="N1196" s="6"/>
      <c r="O1196" s="6"/>
      <c r="P1196" s="6"/>
      <c r="Q1196" s="6"/>
      <c r="R1196" s="6"/>
      <c r="S1196" s="6"/>
      <c r="T1196" s="6"/>
    </row>
    <row r="1197" spans="12:20" ht="12.75">
      <c r="L1197" s="6"/>
      <c r="M1197" s="6"/>
      <c r="N1197" s="6"/>
      <c r="O1197" s="6"/>
      <c r="P1197" s="6"/>
      <c r="Q1197" s="6"/>
      <c r="R1197" s="6"/>
      <c r="S1197" s="6"/>
      <c r="T1197" s="6"/>
    </row>
    <row r="1198" spans="12:20" ht="12.75">
      <c r="L1198" s="6"/>
      <c r="M1198" s="6"/>
      <c r="N1198" s="6"/>
      <c r="O1198" s="6"/>
      <c r="P1198" s="6"/>
      <c r="Q1198" s="6"/>
      <c r="R1198" s="6"/>
      <c r="S1198" s="6"/>
      <c r="T1198" s="6"/>
    </row>
    <row r="1199" spans="12:20" ht="12.75">
      <c r="L1199" s="6"/>
      <c r="M1199" s="6"/>
      <c r="N1199" s="6"/>
      <c r="O1199" s="6"/>
      <c r="P1199" s="6"/>
      <c r="Q1199" s="6"/>
      <c r="R1199" s="6"/>
      <c r="S1199" s="6"/>
      <c r="T1199" s="6"/>
    </row>
    <row r="1200" spans="12:20" ht="12.75">
      <c r="L1200" s="6"/>
      <c r="M1200" s="6"/>
      <c r="N1200" s="6"/>
      <c r="O1200" s="6"/>
      <c r="P1200" s="6"/>
      <c r="Q1200" s="6"/>
      <c r="R1200" s="6"/>
      <c r="S1200" s="6"/>
      <c r="T1200" s="6"/>
    </row>
    <row r="1201" spans="12:20" ht="12.75">
      <c r="L1201" s="6"/>
      <c r="M1201" s="6"/>
      <c r="N1201" s="6"/>
      <c r="O1201" s="6"/>
      <c r="P1201" s="6"/>
      <c r="Q1201" s="6"/>
      <c r="R1201" s="6"/>
      <c r="S1201" s="6"/>
      <c r="T1201" s="6"/>
    </row>
    <row r="1202" spans="12:20" ht="12.75">
      <c r="L1202" s="6"/>
      <c r="M1202" s="6"/>
      <c r="N1202" s="6"/>
      <c r="O1202" s="6"/>
      <c r="P1202" s="6"/>
      <c r="Q1202" s="6"/>
      <c r="R1202" s="6"/>
      <c r="S1202" s="6"/>
      <c r="T1202" s="6"/>
    </row>
    <row r="1203" spans="12:20" ht="12.75">
      <c r="L1203" s="6"/>
      <c r="M1203" s="6"/>
      <c r="N1203" s="6"/>
      <c r="O1203" s="6"/>
      <c r="P1203" s="6"/>
      <c r="Q1203" s="6"/>
      <c r="R1203" s="6"/>
      <c r="S1203" s="6"/>
      <c r="T1203" s="6"/>
    </row>
    <row r="1204" spans="12:20" ht="12.75">
      <c r="L1204" s="6"/>
      <c r="M1204" s="6"/>
      <c r="N1204" s="6"/>
      <c r="O1204" s="6"/>
      <c r="P1204" s="6"/>
      <c r="Q1204" s="6"/>
      <c r="R1204" s="6"/>
      <c r="S1204" s="6"/>
      <c r="T1204" s="6"/>
    </row>
    <row r="1205" spans="12:20" ht="12.75">
      <c r="L1205" s="6"/>
      <c r="M1205" s="6"/>
      <c r="N1205" s="6"/>
      <c r="O1205" s="6"/>
      <c r="P1205" s="6"/>
      <c r="Q1205" s="6"/>
      <c r="R1205" s="6"/>
      <c r="S1205" s="6"/>
      <c r="T1205" s="6"/>
    </row>
    <row r="1206" spans="12:20" ht="12.75">
      <c r="L1206" s="6"/>
      <c r="M1206" s="6"/>
      <c r="N1206" s="6"/>
      <c r="O1206" s="6"/>
      <c r="P1206" s="6"/>
      <c r="Q1206" s="6"/>
      <c r="R1206" s="6"/>
      <c r="S1206" s="6"/>
      <c r="T1206" s="6"/>
    </row>
    <row r="1207" spans="12:20" ht="12.75">
      <c r="L1207" s="6"/>
      <c r="M1207" s="6"/>
      <c r="N1207" s="6"/>
      <c r="O1207" s="6"/>
      <c r="P1207" s="6"/>
      <c r="Q1207" s="6"/>
      <c r="R1207" s="6"/>
      <c r="S1207" s="6"/>
      <c r="T1207" s="6"/>
    </row>
    <row r="1208" spans="12:20" ht="12.75">
      <c r="L1208" s="6"/>
      <c r="M1208" s="6"/>
      <c r="N1208" s="6"/>
      <c r="O1208" s="6"/>
      <c r="P1208" s="6"/>
      <c r="Q1208" s="6"/>
      <c r="R1208" s="6"/>
      <c r="S1208" s="6"/>
      <c r="T1208" s="6"/>
    </row>
    <row r="1209" spans="12:20" ht="12.75">
      <c r="L1209" s="6"/>
      <c r="M1209" s="6"/>
      <c r="N1209" s="6"/>
      <c r="O1209" s="6"/>
      <c r="P1209" s="6"/>
      <c r="Q1209" s="6"/>
      <c r="R1209" s="6"/>
      <c r="S1209" s="6"/>
      <c r="T1209" s="6"/>
    </row>
    <row r="1210" spans="12:20" ht="12.75">
      <c r="L1210" s="6"/>
      <c r="M1210" s="6"/>
      <c r="N1210" s="6"/>
      <c r="O1210" s="6"/>
      <c r="P1210" s="6"/>
      <c r="Q1210" s="6"/>
      <c r="R1210" s="6"/>
      <c r="S1210" s="6"/>
      <c r="T1210" s="6"/>
    </row>
    <row r="1211" spans="12:20" ht="12.75">
      <c r="L1211" s="6"/>
      <c r="M1211" s="6"/>
      <c r="N1211" s="6"/>
      <c r="O1211" s="6"/>
      <c r="P1211" s="6"/>
      <c r="Q1211" s="6"/>
      <c r="R1211" s="6"/>
      <c r="S1211" s="6"/>
      <c r="T1211" s="6"/>
    </row>
    <row r="1212" spans="12:20" ht="12.75">
      <c r="L1212" s="6"/>
      <c r="M1212" s="6"/>
      <c r="N1212" s="6"/>
      <c r="O1212" s="6"/>
      <c r="P1212" s="6"/>
      <c r="Q1212" s="6"/>
      <c r="R1212" s="6"/>
      <c r="S1212" s="6"/>
      <c r="T1212" s="6"/>
    </row>
    <row r="1213" spans="12:20" ht="12.75">
      <c r="L1213" s="6"/>
      <c r="M1213" s="6"/>
      <c r="N1213" s="6"/>
      <c r="O1213" s="6"/>
      <c r="P1213" s="6"/>
      <c r="Q1213" s="6"/>
      <c r="R1213" s="6"/>
      <c r="S1213" s="6"/>
      <c r="T1213" s="6"/>
    </row>
    <row r="1214" spans="12:20" ht="12.75">
      <c r="L1214" s="6"/>
      <c r="M1214" s="6"/>
      <c r="N1214" s="6"/>
      <c r="O1214" s="6"/>
      <c r="P1214" s="6"/>
      <c r="Q1214" s="6"/>
      <c r="R1214" s="6"/>
      <c r="S1214" s="6"/>
      <c r="T1214" s="6"/>
    </row>
    <row r="1215" spans="12:20" ht="12.75">
      <c r="L1215" s="6"/>
      <c r="M1215" s="6"/>
      <c r="N1215" s="6"/>
      <c r="O1215" s="6"/>
      <c r="P1215" s="6"/>
      <c r="Q1215" s="6"/>
      <c r="R1215" s="6"/>
      <c r="S1215" s="6"/>
      <c r="T1215" s="6"/>
    </row>
    <row r="1216" spans="12:20" ht="12.75">
      <c r="L1216" s="6"/>
      <c r="M1216" s="6"/>
      <c r="N1216" s="6"/>
      <c r="O1216" s="6"/>
      <c r="P1216" s="6"/>
      <c r="Q1216" s="6"/>
      <c r="R1216" s="6"/>
      <c r="S1216" s="6"/>
      <c r="T1216" s="6"/>
    </row>
    <row r="1217" spans="12:20" ht="12.75">
      <c r="L1217" s="6"/>
      <c r="M1217" s="6"/>
      <c r="N1217" s="6"/>
      <c r="O1217" s="6"/>
      <c r="P1217" s="6"/>
      <c r="Q1217" s="6"/>
      <c r="R1217" s="6"/>
      <c r="S1217" s="6"/>
      <c r="T1217" s="6"/>
    </row>
    <row r="1218" spans="12:20" ht="12.75">
      <c r="L1218" s="6"/>
      <c r="M1218" s="6"/>
      <c r="N1218" s="6"/>
      <c r="O1218" s="6"/>
      <c r="P1218" s="6"/>
      <c r="Q1218" s="6"/>
      <c r="R1218" s="6"/>
      <c r="S1218" s="6"/>
      <c r="T1218" s="6"/>
    </row>
    <row r="1219" spans="12:20" ht="12.75">
      <c r="L1219" s="6"/>
      <c r="M1219" s="6"/>
      <c r="N1219" s="6"/>
      <c r="O1219" s="6"/>
      <c r="P1219" s="6"/>
      <c r="Q1219" s="6"/>
      <c r="R1219" s="6"/>
      <c r="S1219" s="6"/>
      <c r="T1219" s="6"/>
    </row>
    <row r="1220" spans="12:20" ht="12.75">
      <c r="L1220" s="6"/>
      <c r="M1220" s="6"/>
      <c r="N1220" s="6"/>
      <c r="O1220" s="6"/>
      <c r="P1220" s="6"/>
      <c r="Q1220" s="6"/>
      <c r="R1220" s="6"/>
      <c r="S1220" s="6"/>
      <c r="T1220" s="6"/>
    </row>
    <row r="1221" spans="12:20" ht="12.75">
      <c r="L1221" s="6"/>
      <c r="M1221" s="6"/>
      <c r="N1221" s="6"/>
      <c r="O1221" s="6"/>
      <c r="P1221" s="6"/>
      <c r="Q1221" s="6"/>
      <c r="R1221" s="6"/>
      <c r="S1221" s="6"/>
      <c r="T1221" s="6"/>
    </row>
    <row r="1222" spans="12:20" ht="12.75">
      <c r="L1222" s="6"/>
      <c r="M1222" s="6"/>
      <c r="N1222" s="6"/>
      <c r="O1222" s="6"/>
      <c r="P1222" s="6"/>
      <c r="Q1222" s="6"/>
      <c r="R1222" s="6"/>
      <c r="S1222" s="6"/>
      <c r="T1222" s="6"/>
    </row>
    <row r="1223" spans="12:20" ht="12.75">
      <c r="L1223" s="6"/>
      <c r="M1223" s="6"/>
      <c r="N1223" s="6"/>
      <c r="O1223" s="6"/>
      <c r="P1223" s="6"/>
      <c r="Q1223" s="6"/>
      <c r="R1223" s="6"/>
      <c r="S1223" s="6"/>
      <c r="T1223" s="6"/>
    </row>
    <row r="1224" spans="12:20" ht="12.75">
      <c r="L1224" s="6"/>
      <c r="M1224" s="6"/>
      <c r="N1224" s="6"/>
      <c r="O1224" s="6"/>
      <c r="P1224" s="6"/>
      <c r="Q1224" s="6"/>
      <c r="R1224" s="6"/>
      <c r="S1224" s="6"/>
      <c r="T1224" s="6"/>
    </row>
    <row r="1225" spans="12:20" ht="12.75">
      <c r="L1225" s="6"/>
      <c r="M1225" s="6"/>
      <c r="N1225" s="6"/>
      <c r="O1225" s="6"/>
      <c r="P1225" s="6"/>
      <c r="Q1225" s="6"/>
      <c r="R1225" s="6"/>
      <c r="S1225" s="6"/>
      <c r="T1225" s="6"/>
    </row>
    <row r="1226" spans="12:20" ht="12.75">
      <c r="L1226" s="6"/>
      <c r="M1226" s="6"/>
      <c r="N1226" s="6"/>
      <c r="O1226" s="6"/>
      <c r="P1226" s="6"/>
      <c r="Q1226" s="6"/>
      <c r="R1226" s="6"/>
      <c r="S1226" s="6"/>
      <c r="T1226" s="6"/>
    </row>
    <row r="1227" spans="12:20" ht="12.75">
      <c r="L1227" s="6"/>
      <c r="M1227" s="6"/>
      <c r="N1227" s="6"/>
      <c r="O1227" s="6"/>
      <c r="P1227" s="6"/>
      <c r="Q1227" s="6"/>
      <c r="R1227" s="6"/>
      <c r="S1227" s="6"/>
      <c r="T1227" s="6"/>
    </row>
    <row r="1228" spans="12:20" ht="12.75">
      <c r="L1228" s="6"/>
      <c r="M1228" s="6"/>
      <c r="N1228" s="6"/>
      <c r="O1228" s="6"/>
      <c r="P1228" s="6"/>
      <c r="Q1228" s="6"/>
      <c r="R1228" s="6"/>
      <c r="S1228" s="6"/>
      <c r="T1228" s="6"/>
    </row>
    <row r="1229" spans="12:20" ht="12.75">
      <c r="L1229" s="6"/>
      <c r="M1229" s="6"/>
      <c r="N1229" s="6"/>
      <c r="O1229" s="6"/>
      <c r="P1229" s="6"/>
      <c r="Q1229" s="6"/>
      <c r="R1229" s="6"/>
      <c r="S1229" s="6"/>
      <c r="T1229" s="6"/>
    </row>
    <row r="1230" spans="12:20" ht="12.75">
      <c r="L1230" s="6"/>
      <c r="M1230" s="6"/>
      <c r="N1230" s="6"/>
      <c r="O1230" s="6"/>
      <c r="P1230" s="6"/>
      <c r="Q1230" s="6"/>
      <c r="R1230" s="6"/>
      <c r="S1230" s="6"/>
      <c r="T1230" s="6"/>
    </row>
    <row r="1231" spans="12:20" ht="12.75">
      <c r="L1231" s="6"/>
      <c r="M1231" s="6"/>
      <c r="N1231" s="6"/>
      <c r="O1231" s="6"/>
      <c r="P1231" s="6"/>
      <c r="Q1231" s="6"/>
      <c r="R1231" s="6"/>
      <c r="S1231" s="6"/>
      <c r="T1231" s="6"/>
    </row>
    <row r="1232" spans="12:20" ht="12.75">
      <c r="L1232" s="6"/>
      <c r="M1232" s="6"/>
      <c r="N1232" s="6"/>
      <c r="O1232" s="6"/>
      <c r="P1232" s="6"/>
      <c r="Q1232" s="6"/>
      <c r="R1232" s="6"/>
      <c r="S1232" s="6"/>
      <c r="T1232" s="6"/>
    </row>
    <row r="1233" spans="12:20" ht="12.75">
      <c r="L1233" s="6"/>
      <c r="M1233" s="6"/>
      <c r="N1233" s="6"/>
      <c r="O1233" s="6"/>
      <c r="P1233" s="6"/>
      <c r="Q1233" s="6"/>
      <c r="R1233" s="6"/>
      <c r="S1233" s="6"/>
      <c r="T1233" s="6"/>
    </row>
    <row r="1234" spans="12:20" ht="12.75">
      <c r="L1234" s="6"/>
      <c r="M1234" s="6"/>
      <c r="N1234" s="6"/>
      <c r="O1234" s="6"/>
      <c r="P1234" s="6"/>
      <c r="Q1234" s="6"/>
      <c r="R1234" s="6"/>
      <c r="S1234" s="6"/>
      <c r="T1234" s="6"/>
    </row>
    <row r="1235" spans="12:20" ht="12.75">
      <c r="L1235" s="6"/>
      <c r="M1235" s="6"/>
      <c r="N1235" s="6"/>
      <c r="O1235" s="6"/>
      <c r="P1235" s="6"/>
      <c r="Q1235" s="6"/>
      <c r="R1235" s="6"/>
      <c r="S1235" s="6"/>
      <c r="T1235" s="6"/>
    </row>
    <row r="1236" spans="12:20" ht="12.75">
      <c r="L1236" s="6"/>
      <c r="M1236" s="6"/>
      <c r="N1236" s="6"/>
      <c r="O1236" s="6"/>
      <c r="P1236" s="6"/>
      <c r="Q1236" s="6"/>
      <c r="R1236" s="6"/>
      <c r="S1236" s="6"/>
      <c r="T1236" s="6"/>
    </row>
    <row r="1237" spans="12:20" ht="12.75">
      <c r="L1237" s="6"/>
      <c r="M1237" s="6"/>
      <c r="N1237" s="6"/>
      <c r="O1237" s="6"/>
      <c r="P1237" s="6"/>
      <c r="Q1237" s="6"/>
      <c r="R1237" s="6"/>
      <c r="S1237" s="6"/>
      <c r="T1237" s="6"/>
    </row>
    <row r="1238" spans="12:20" ht="12.75">
      <c r="L1238" s="6"/>
      <c r="M1238" s="6"/>
      <c r="N1238" s="6"/>
      <c r="O1238" s="6"/>
      <c r="P1238" s="6"/>
      <c r="Q1238" s="6"/>
      <c r="R1238" s="6"/>
      <c r="S1238" s="6"/>
      <c r="T1238" s="6"/>
    </row>
    <row r="1239" spans="12:20" ht="12.75">
      <c r="L1239" s="6"/>
      <c r="M1239" s="6"/>
      <c r="N1239" s="6"/>
      <c r="O1239" s="6"/>
      <c r="P1239" s="6"/>
      <c r="Q1239" s="6"/>
      <c r="R1239" s="6"/>
      <c r="S1239" s="6"/>
      <c r="T1239" s="6"/>
    </row>
    <row r="1240" spans="12:20" ht="12.75">
      <c r="L1240" s="6"/>
      <c r="M1240" s="6"/>
      <c r="N1240" s="6"/>
      <c r="O1240" s="6"/>
      <c r="P1240" s="6"/>
      <c r="Q1240" s="6"/>
      <c r="R1240" s="6"/>
      <c r="S1240" s="6"/>
      <c r="T1240" s="6"/>
    </row>
    <row r="1241" spans="12:20" ht="12.75">
      <c r="L1241" s="6"/>
      <c r="M1241" s="6"/>
      <c r="N1241" s="6"/>
      <c r="O1241" s="6"/>
      <c r="P1241" s="6"/>
      <c r="Q1241" s="6"/>
      <c r="R1241" s="6"/>
      <c r="S1241" s="6"/>
      <c r="T1241" s="6"/>
    </row>
    <row r="1242" spans="12:20" ht="12.75">
      <c r="L1242" s="6"/>
      <c r="M1242" s="6"/>
      <c r="N1242" s="6"/>
      <c r="O1242" s="6"/>
      <c r="P1242" s="6"/>
      <c r="Q1242" s="6"/>
      <c r="R1242" s="6"/>
      <c r="S1242" s="6"/>
      <c r="T1242" s="6"/>
    </row>
    <row r="1243" spans="12:20" ht="12.75">
      <c r="L1243" s="6"/>
      <c r="M1243" s="6"/>
      <c r="N1243" s="6"/>
      <c r="O1243" s="6"/>
      <c r="P1243" s="6"/>
      <c r="Q1243" s="6"/>
      <c r="R1243" s="6"/>
      <c r="S1243" s="6"/>
      <c r="T1243" s="6"/>
    </row>
    <row r="1244" spans="12:20" ht="12.75">
      <c r="L1244" s="6"/>
      <c r="M1244" s="6"/>
      <c r="N1244" s="6"/>
      <c r="O1244" s="6"/>
      <c r="P1244" s="6"/>
      <c r="Q1244" s="6"/>
      <c r="R1244" s="6"/>
      <c r="S1244" s="6"/>
      <c r="T1244" s="6"/>
    </row>
    <row r="1245" spans="12:20" ht="12.75">
      <c r="L1245" s="6"/>
      <c r="M1245" s="6"/>
      <c r="N1245" s="6"/>
      <c r="O1245" s="6"/>
      <c r="P1245" s="6"/>
      <c r="Q1245" s="6"/>
      <c r="R1245" s="6"/>
      <c r="S1245" s="6"/>
      <c r="T1245" s="6"/>
    </row>
    <row r="1246" spans="12:20" ht="12.75">
      <c r="L1246" s="6"/>
      <c r="M1246" s="6"/>
      <c r="N1246" s="6"/>
      <c r="O1246" s="6"/>
      <c r="P1246" s="6"/>
      <c r="Q1246" s="6"/>
      <c r="R1246" s="6"/>
      <c r="S1246" s="6"/>
      <c r="T1246" s="6"/>
    </row>
    <row r="1247" spans="12:20" ht="12.75">
      <c r="L1247" s="6"/>
      <c r="M1247" s="6"/>
      <c r="N1247" s="6"/>
      <c r="O1247" s="6"/>
      <c r="P1247" s="6"/>
      <c r="Q1247" s="6"/>
      <c r="R1247" s="6"/>
      <c r="S1247" s="6"/>
      <c r="T1247" s="6"/>
    </row>
    <row r="1248" spans="12:20" ht="12.75">
      <c r="L1248" s="6"/>
      <c r="M1248" s="6"/>
      <c r="N1248" s="6"/>
      <c r="O1248" s="6"/>
      <c r="P1248" s="6"/>
      <c r="Q1248" s="6"/>
      <c r="R1248" s="6"/>
      <c r="S1248" s="6"/>
      <c r="T1248" s="6"/>
    </row>
    <row r="1249" spans="12:20" ht="12.75">
      <c r="L1249" s="6"/>
      <c r="M1249" s="6"/>
      <c r="N1249" s="6"/>
      <c r="O1249" s="6"/>
      <c r="P1249" s="6"/>
      <c r="Q1249" s="6"/>
      <c r="R1249" s="6"/>
      <c r="S1249" s="6"/>
      <c r="T1249" s="6"/>
    </row>
    <row r="1250" spans="12:20" ht="12.75">
      <c r="L1250" s="6"/>
      <c r="M1250" s="6"/>
      <c r="N1250" s="6"/>
      <c r="O1250" s="6"/>
      <c r="P1250" s="6"/>
      <c r="Q1250" s="6"/>
      <c r="R1250" s="6"/>
      <c r="S1250" s="6"/>
      <c r="T1250" s="6"/>
    </row>
    <row r="1251" spans="12:20" ht="12.75">
      <c r="L1251" s="6"/>
      <c r="M1251" s="6"/>
      <c r="N1251" s="6"/>
      <c r="O1251" s="6"/>
      <c r="P1251" s="6"/>
      <c r="Q1251" s="6"/>
      <c r="R1251" s="6"/>
      <c r="S1251" s="6"/>
      <c r="T1251" s="6"/>
    </row>
    <row r="1252" spans="12:20" ht="12.75">
      <c r="L1252" s="6"/>
      <c r="M1252" s="6"/>
      <c r="N1252" s="6"/>
      <c r="O1252" s="6"/>
      <c r="P1252" s="6"/>
      <c r="Q1252" s="6"/>
      <c r="R1252" s="6"/>
      <c r="S1252" s="6"/>
      <c r="T1252" s="6"/>
    </row>
    <row r="1253" spans="12:20" ht="12.75">
      <c r="L1253" s="6"/>
      <c r="M1253" s="6"/>
      <c r="N1253" s="6"/>
      <c r="O1253" s="6"/>
      <c r="P1253" s="6"/>
      <c r="Q1253" s="6"/>
      <c r="R1253" s="6"/>
      <c r="S1253" s="6"/>
      <c r="T1253" s="6"/>
    </row>
    <row r="1254" spans="12:20" ht="12.75">
      <c r="L1254" s="6"/>
      <c r="M1254" s="6"/>
      <c r="N1254" s="6"/>
      <c r="O1254" s="6"/>
      <c r="P1254" s="6"/>
      <c r="Q1254" s="6"/>
      <c r="R1254" s="6"/>
      <c r="S1254" s="6"/>
      <c r="T1254" s="6"/>
    </row>
    <row r="1255" spans="12:20" ht="12.75">
      <c r="L1255" s="6"/>
      <c r="M1255" s="6"/>
      <c r="N1255" s="6"/>
      <c r="O1255" s="6"/>
      <c r="P1255" s="6"/>
      <c r="Q1255" s="6"/>
      <c r="R1255" s="6"/>
      <c r="S1255" s="6"/>
      <c r="T1255" s="6"/>
    </row>
    <row r="1256" spans="12:20" ht="12.75">
      <c r="L1256" s="6"/>
      <c r="M1256" s="6"/>
      <c r="N1256" s="6"/>
      <c r="O1256" s="6"/>
      <c r="P1256" s="6"/>
      <c r="Q1256" s="6"/>
      <c r="R1256" s="6"/>
      <c r="S1256" s="6"/>
      <c r="T1256" s="6"/>
    </row>
    <row r="1257" spans="12:20" ht="12.75">
      <c r="L1257" s="6"/>
      <c r="M1257" s="6"/>
      <c r="N1257" s="6"/>
      <c r="O1257" s="6"/>
      <c r="P1257" s="6"/>
      <c r="Q1257" s="6"/>
      <c r="R1257" s="6"/>
      <c r="S1257" s="6"/>
      <c r="T1257" s="6"/>
    </row>
    <row r="1258" spans="12:20" ht="12.75">
      <c r="L1258" s="6"/>
      <c r="M1258" s="6"/>
      <c r="N1258" s="6"/>
      <c r="O1258" s="6"/>
      <c r="P1258" s="6"/>
      <c r="Q1258" s="6"/>
      <c r="R1258" s="6"/>
      <c r="S1258" s="6"/>
      <c r="T1258" s="6"/>
    </row>
    <row r="1259" spans="12:20" ht="12.75">
      <c r="L1259" s="6"/>
      <c r="M1259" s="6"/>
      <c r="N1259" s="6"/>
      <c r="O1259" s="6"/>
      <c r="P1259" s="6"/>
      <c r="Q1259" s="6"/>
      <c r="R1259" s="6"/>
      <c r="S1259" s="6"/>
      <c r="T1259" s="6"/>
    </row>
    <row r="1260" spans="12:20" ht="12.75">
      <c r="L1260" s="6"/>
      <c r="M1260" s="6"/>
      <c r="N1260" s="6"/>
      <c r="O1260" s="6"/>
      <c r="P1260" s="6"/>
      <c r="Q1260" s="6"/>
      <c r="R1260" s="6"/>
      <c r="S1260" s="6"/>
      <c r="T1260" s="6"/>
    </row>
    <row r="1261" spans="12:20" ht="12.75">
      <c r="L1261" s="6"/>
      <c r="M1261" s="6"/>
      <c r="N1261" s="6"/>
      <c r="O1261" s="6"/>
      <c r="P1261" s="6"/>
      <c r="Q1261" s="6"/>
      <c r="R1261" s="6"/>
      <c r="S1261" s="6"/>
      <c r="T1261" s="6"/>
    </row>
    <row r="1262" spans="12:20" ht="12.75">
      <c r="L1262" s="6"/>
      <c r="M1262" s="6"/>
      <c r="N1262" s="6"/>
      <c r="O1262" s="6"/>
      <c r="P1262" s="6"/>
      <c r="Q1262" s="6"/>
      <c r="R1262" s="6"/>
      <c r="S1262" s="6"/>
      <c r="T1262" s="6"/>
    </row>
    <row r="1263" spans="12:20" ht="12.75">
      <c r="L1263" s="6"/>
      <c r="M1263" s="6"/>
      <c r="N1263" s="6"/>
      <c r="O1263" s="6"/>
      <c r="P1263" s="6"/>
      <c r="Q1263" s="6"/>
      <c r="R1263" s="6"/>
      <c r="S1263" s="6"/>
      <c r="T1263" s="6"/>
    </row>
    <row r="1264" spans="12:20" ht="12.75">
      <c r="L1264" s="6"/>
      <c r="M1264" s="6"/>
      <c r="N1264" s="6"/>
      <c r="O1264" s="6"/>
      <c r="P1264" s="6"/>
      <c r="Q1264" s="6"/>
      <c r="R1264" s="6"/>
      <c r="S1264" s="6"/>
      <c r="T1264" s="6"/>
    </row>
    <row r="1265" spans="12:20" ht="12.75">
      <c r="L1265" s="6"/>
      <c r="M1265" s="6"/>
      <c r="N1265" s="6"/>
      <c r="O1265" s="6"/>
      <c r="P1265" s="6"/>
      <c r="Q1265" s="6"/>
      <c r="R1265" s="6"/>
      <c r="S1265" s="6"/>
      <c r="T1265" s="6"/>
    </row>
    <row r="1266" spans="12:20" ht="12.75">
      <c r="L1266" s="6"/>
      <c r="M1266" s="6"/>
      <c r="N1266" s="6"/>
      <c r="O1266" s="6"/>
      <c r="P1266" s="6"/>
      <c r="Q1266" s="6"/>
      <c r="R1266" s="6"/>
      <c r="S1266" s="6"/>
      <c r="T1266" s="6"/>
    </row>
    <row r="1267" spans="12:20" ht="12.75">
      <c r="L1267" s="6"/>
      <c r="M1267" s="6"/>
      <c r="N1267" s="6"/>
      <c r="O1267" s="6"/>
      <c r="P1267" s="6"/>
      <c r="Q1267" s="6"/>
      <c r="R1267" s="6"/>
      <c r="S1267" s="6"/>
      <c r="T1267" s="6"/>
    </row>
    <row r="1268" spans="12:20" ht="12.75">
      <c r="L1268" s="6"/>
      <c r="M1268" s="6"/>
      <c r="N1268" s="6"/>
      <c r="O1268" s="6"/>
      <c r="P1268" s="6"/>
      <c r="Q1268" s="6"/>
      <c r="R1268" s="6"/>
      <c r="S1268" s="6"/>
      <c r="T1268" s="6"/>
    </row>
    <row r="1269" spans="12:20" ht="12.75">
      <c r="L1269" s="6"/>
      <c r="M1269" s="6"/>
      <c r="N1269" s="6"/>
      <c r="O1269" s="6"/>
      <c r="P1269" s="6"/>
      <c r="Q1269" s="6"/>
      <c r="R1269" s="6"/>
      <c r="S1269" s="6"/>
      <c r="T1269" s="6"/>
    </row>
    <row r="1270" spans="12:20" ht="12.75">
      <c r="L1270" s="6"/>
      <c r="M1270" s="6"/>
      <c r="N1270" s="6"/>
      <c r="O1270" s="6"/>
      <c r="P1270" s="6"/>
      <c r="Q1270" s="6"/>
      <c r="R1270" s="6"/>
      <c r="S1270" s="6"/>
      <c r="T1270" s="6"/>
    </row>
    <row r="1271" spans="12:20" ht="12.75">
      <c r="L1271" s="6"/>
      <c r="M1271" s="6"/>
      <c r="N1271" s="6"/>
      <c r="O1271" s="6"/>
      <c r="P1271" s="6"/>
      <c r="Q1271" s="6"/>
      <c r="R1271" s="6"/>
      <c r="S1271" s="6"/>
      <c r="T1271" s="6"/>
    </row>
    <row r="1272" spans="12:20" ht="12.75">
      <c r="L1272" s="6"/>
      <c r="M1272" s="6"/>
      <c r="N1272" s="6"/>
      <c r="O1272" s="6"/>
      <c r="P1272" s="6"/>
      <c r="Q1272" s="6"/>
      <c r="R1272" s="6"/>
      <c r="S1272" s="6"/>
      <c r="T1272" s="6"/>
    </row>
    <row r="1273" spans="12:20" ht="12.75">
      <c r="L1273" s="6"/>
      <c r="M1273" s="6"/>
      <c r="N1273" s="6"/>
      <c r="O1273" s="6"/>
      <c r="P1273" s="6"/>
      <c r="Q1273" s="6"/>
      <c r="R1273" s="6"/>
      <c r="S1273" s="6"/>
      <c r="T1273" s="6"/>
    </row>
    <row r="1274" spans="12:20" ht="12.75">
      <c r="L1274" s="6"/>
      <c r="M1274" s="6"/>
      <c r="N1274" s="6"/>
      <c r="O1274" s="6"/>
      <c r="P1274" s="6"/>
      <c r="Q1274" s="6"/>
      <c r="R1274" s="6"/>
      <c r="S1274" s="6"/>
      <c r="T1274" s="6"/>
    </row>
    <row r="1275" spans="12:20" ht="12.75">
      <c r="L1275" s="6"/>
      <c r="M1275" s="6"/>
      <c r="N1275" s="6"/>
      <c r="O1275" s="6"/>
      <c r="P1275" s="6"/>
      <c r="Q1275" s="6"/>
      <c r="R1275" s="6"/>
      <c r="S1275" s="6"/>
      <c r="T1275" s="6"/>
    </row>
    <row r="1276" spans="12:20" ht="12.75">
      <c r="L1276" s="6"/>
      <c r="M1276" s="6"/>
      <c r="N1276" s="6"/>
      <c r="O1276" s="6"/>
      <c r="P1276" s="6"/>
      <c r="Q1276" s="6"/>
      <c r="R1276" s="6"/>
      <c r="S1276" s="6"/>
      <c r="T1276" s="6"/>
    </row>
    <row r="1277" spans="12:20" ht="12.75">
      <c r="L1277" s="6"/>
      <c r="M1277" s="6"/>
      <c r="N1277" s="6"/>
      <c r="O1277" s="6"/>
      <c r="P1277" s="6"/>
      <c r="Q1277" s="6"/>
      <c r="R1277" s="6"/>
      <c r="S1277" s="6"/>
      <c r="T1277" s="6"/>
    </row>
    <row r="1278" spans="12:20" ht="12.75">
      <c r="L1278" s="6"/>
      <c r="M1278" s="6"/>
      <c r="N1278" s="6"/>
      <c r="O1278" s="6"/>
      <c r="P1278" s="6"/>
      <c r="Q1278" s="6"/>
      <c r="R1278" s="6"/>
      <c r="S1278" s="6"/>
      <c r="T1278" s="6"/>
    </row>
    <row r="1279" spans="12:20" ht="12.75">
      <c r="L1279" s="6"/>
      <c r="M1279" s="6"/>
      <c r="N1279" s="6"/>
      <c r="O1279" s="6"/>
      <c r="P1279" s="6"/>
      <c r="Q1279" s="6"/>
      <c r="R1279" s="6"/>
      <c r="S1279" s="6"/>
      <c r="T1279" s="6"/>
    </row>
    <row r="1280" spans="12:20" ht="12.75">
      <c r="L1280" s="6"/>
      <c r="M1280" s="6"/>
      <c r="N1280" s="6"/>
      <c r="O1280" s="6"/>
      <c r="P1280" s="6"/>
      <c r="Q1280" s="6"/>
      <c r="R1280" s="6"/>
      <c r="S1280" s="6"/>
      <c r="T1280" s="6"/>
    </row>
    <row r="1281" spans="12:20" ht="12.75">
      <c r="L1281" s="6"/>
      <c r="M1281" s="6"/>
      <c r="N1281" s="6"/>
      <c r="O1281" s="6"/>
      <c r="P1281" s="6"/>
      <c r="Q1281" s="6"/>
      <c r="R1281" s="6"/>
      <c r="S1281" s="6"/>
      <c r="T1281" s="6"/>
    </row>
    <row r="1282" spans="12:20" ht="12.75">
      <c r="L1282" s="6"/>
      <c r="M1282" s="6"/>
      <c r="N1282" s="6"/>
      <c r="O1282" s="6"/>
      <c r="P1282" s="6"/>
      <c r="Q1282" s="6"/>
      <c r="R1282" s="6"/>
      <c r="S1282" s="6"/>
      <c r="T1282" s="6"/>
    </row>
    <row r="1283" spans="12:20" ht="12.75">
      <c r="L1283" s="6"/>
      <c r="M1283" s="6"/>
      <c r="N1283" s="6"/>
      <c r="O1283" s="6"/>
      <c r="P1283" s="6"/>
      <c r="Q1283" s="6"/>
      <c r="R1283" s="6"/>
      <c r="S1283" s="6"/>
      <c r="T1283" s="6"/>
    </row>
    <row r="1284" spans="12:20" ht="12.75">
      <c r="L1284" s="6"/>
      <c r="M1284" s="6"/>
      <c r="N1284" s="6"/>
      <c r="O1284" s="6"/>
      <c r="P1284" s="6"/>
      <c r="Q1284" s="6"/>
      <c r="R1284" s="6"/>
      <c r="S1284" s="6"/>
      <c r="T1284" s="6"/>
    </row>
    <row r="1285" spans="12:20" ht="12.75">
      <c r="L1285" s="6"/>
      <c r="M1285" s="6"/>
      <c r="N1285" s="6"/>
      <c r="O1285" s="6"/>
      <c r="P1285" s="6"/>
      <c r="Q1285" s="6"/>
      <c r="R1285" s="6"/>
      <c r="S1285" s="6"/>
      <c r="T1285" s="6"/>
    </row>
    <row r="1286" spans="12:20" ht="12.75">
      <c r="L1286" s="6"/>
      <c r="M1286" s="6"/>
      <c r="N1286" s="6"/>
      <c r="O1286" s="6"/>
      <c r="P1286" s="6"/>
      <c r="Q1286" s="6"/>
      <c r="R1286" s="6"/>
      <c r="S1286" s="6"/>
      <c r="T1286" s="6"/>
    </row>
    <row r="1287" spans="12:20" ht="12.75">
      <c r="L1287" s="6"/>
      <c r="M1287" s="6"/>
      <c r="N1287" s="6"/>
      <c r="O1287" s="6"/>
      <c r="P1287" s="6"/>
      <c r="Q1287" s="6"/>
      <c r="R1287" s="6"/>
      <c r="S1287" s="6"/>
      <c r="T1287" s="6"/>
    </row>
    <row r="1288" spans="12:20" ht="12.75">
      <c r="L1288" s="6"/>
      <c r="M1288" s="6"/>
      <c r="N1288" s="6"/>
      <c r="O1288" s="6"/>
      <c r="P1288" s="6"/>
      <c r="Q1288" s="6"/>
      <c r="R1288" s="6"/>
      <c r="S1288" s="6"/>
      <c r="T1288" s="6"/>
    </row>
    <row r="1289" spans="12:20" ht="12.75">
      <c r="L1289" s="6"/>
      <c r="M1289" s="6"/>
      <c r="N1289" s="6"/>
      <c r="O1289" s="6"/>
      <c r="P1289" s="6"/>
      <c r="Q1289" s="6"/>
      <c r="R1289" s="6"/>
      <c r="S1289" s="6"/>
      <c r="T1289" s="6"/>
    </row>
    <row r="1290" spans="12:20" ht="12.75">
      <c r="L1290" s="6"/>
      <c r="M1290" s="6"/>
      <c r="N1290" s="6"/>
      <c r="O1290" s="6"/>
      <c r="P1290" s="6"/>
      <c r="Q1290" s="6"/>
      <c r="R1290" s="6"/>
      <c r="S1290" s="6"/>
      <c r="T1290" s="6"/>
    </row>
    <row r="1291" spans="12:20" ht="12.75">
      <c r="L1291" s="6"/>
      <c r="M1291" s="6"/>
      <c r="N1291" s="6"/>
      <c r="O1291" s="6"/>
      <c r="P1291" s="6"/>
      <c r="Q1291" s="6"/>
      <c r="R1291" s="6"/>
      <c r="S1291" s="6"/>
      <c r="T1291" s="6"/>
    </row>
    <row r="1292" spans="12:20" ht="12.75">
      <c r="L1292" s="6"/>
      <c r="M1292" s="6"/>
      <c r="N1292" s="6"/>
      <c r="O1292" s="6"/>
      <c r="P1292" s="6"/>
      <c r="Q1292" s="6"/>
      <c r="R1292" s="6"/>
      <c r="S1292" s="6"/>
      <c r="T1292" s="6"/>
    </row>
    <row r="1293" spans="12:20" ht="12.75">
      <c r="L1293" s="6"/>
      <c r="M1293" s="6"/>
      <c r="N1293" s="6"/>
      <c r="O1293" s="6"/>
      <c r="P1293" s="6"/>
      <c r="Q1293" s="6"/>
      <c r="R1293" s="6"/>
      <c r="S1293" s="6"/>
      <c r="T1293" s="6"/>
    </row>
    <row r="1294" spans="12:20" ht="12.75">
      <c r="L1294" s="6"/>
      <c r="M1294" s="6"/>
      <c r="N1294" s="6"/>
      <c r="O1294" s="6"/>
      <c r="P1294" s="6"/>
      <c r="Q1294" s="6"/>
      <c r="R1294" s="6"/>
      <c r="S1294" s="6"/>
      <c r="T1294" s="6"/>
    </row>
    <row r="1295" spans="12:20" ht="12.75">
      <c r="L1295" s="6"/>
      <c r="M1295" s="6"/>
      <c r="N1295" s="6"/>
      <c r="O1295" s="6"/>
      <c r="P1295" s="6"/>
      <c r="Q1295" s="6"/>
      <c r="R1295" s="6"/>
      <c r="S1295" s="6"/>
      <c r="T1295" s="6"/>
    </row>
    <row r="1296" spans="12:20" ht="12.75">
      <c r="L1296" s="6"/>
      <c r="M1296" s="6"/>
      <c r="N1296" s="6"/>
      <c r="O1296" s="6"/>
      <c r="P1296" s="6"/>
      <c r="Q1296" s="6"/>
      <c r="R1296" s="6"/>
      <c r="S1296" s="6"/>
      <c r="T1296" s="6"/>
    </row>
    <row r="1297" spans="12:20" ht="12.75">
      <c r="L1297" s="6"/>
      <c r="M1297" s="6"/>
      <c r="N1297" s="6"/>
      <c r="O1297" s="6"/>
      <c r="P1297" s="6"/>
      <c r="Q1297" s="6"/>
      <c r="R1297" s="6"/>
      <c r="S1297" s="6"/>
      <c r="T1297" s="6"/>
    </row>
    <row r="1298" spans="12:20" ht="12.75">
      <c r="L1298" s="6"/>
      <c r="M1298" s="6"/>
      <c r="N1298" s="6"/>
      <c r="O1298" s="6"/>
      <c r="P1298" s="6"/>
      <c r="Q1298" s="6"/>
      <c r="R1298" s="6"/>
      <c r="S1298" s="6"/>
      <c r="T1298" s="6"/>
    </row>
    <row r="1299" spans="12:20" ht="12.75">
      <c r="L1299" s="6"/>
      <c r="M1299" s="6"/>
      <c r="N1299" s="6"/>
      <c r="O1299" s="6"/>
      <c r="P1299" s="6"/>
      <c r="Q1299" s="6"/>
      <c r="R1299" s="6"/>
      <c r="S1299" s="6"/>
      <c r="T1299" s="6"/>
    </row>
    <row r="1300" spans="12:20" ht="12.75">
      <c r="L1300" s="6"/>
      <c r="M1300" s="6"/>
      <c r="N1300" s="6"/>
      <c r="O1300" s="6"/>
      <c r="P1300" s="6"/>
      <c r="Q1300" s="6"/>
      <c r="R1300" s="6"/>
      <c r="S1300" s="6"/>
      <c r="T1300" s="6"/>
    </row>
    <row r="1301" spans="12:20" ht="12.75">
      <c r="L1301" s="6"/>
      <c r="M1301" s="6"/>
      <c r="N1301" s="6"/>
      <c r="O1301" s="6"/>
      <c r="P1301" s="6"/>
      <c r="Q1301" s="6"/>
      <c r="R1301" s="6"/>
      <c r="S1301" s="6"/>
      <c r="T1301" s="6"/>
    </row>
    <row r="1302" spans="12:20" ht="12.75">
      <c r="L1302" s="6"/>
      <c r="M1302" s="6"/>
      <c r="N1302" s="6"/>
      <c r="O1302" s="6"/>
      <c r="P1302" s="6"/>
      <c r="Q1302" s="6"/>
      <c r="R1302" s="6"/>
      <c r="S1302" s="6"/>
      <c r="T1302" s="6"/>
    </row>
    <row r="1303" spans="12:20" ht="12.75">
      <c r="L1303" s="6"/>
      <c r="M1303" s="6"/>
      <c r="N1303" s="6"/>
      <c r="O1303" s="6"/>
      <c r="P1303" s="6"/>
      <c r="Q1303" s="6"/>
      <c r="R1303" s="6"/>
      <c r="S1303" s="6"/>
      <c r="T1303" s="6"/>
    </row>
    <row r="1304" spans="12:20" ht="12.75">
      <c r="L1304" s="6"/>
      <c r="M1304" s="6"/>
      <c r="N1304" s="6"/>
      <c r="O1304" s="6"/>
      <c r="P1304" s="6"/>
      <c r="Q1304" s="6"/>
      <c r="R1304" s="6"/>
      <c r="S1304" s="6"/>
      <c r="T1304" s="6"/>
    </row>
    <row r="1305" spans="12:20" ht="12.75">
      <c r="L1305" s="6"/>
      <c r="M1305" s="6"/>
      <c r="N1305" s="6"/>
      <c r="O1305" s="6"/>
      <c r="P1305" s="6"/>
      <c r="Q1305" s="6"/>
      <c r="R1305" s="6"/>
      <c r="S1305" s="6"/>
      <c r="T1305" s="6"/>
    </row>
    <row r="1306" spans="12:20" ht="12.75">
      <c r="L1306" s="6"/>
      <c r="M1306" s="6"/>
      <c r="N1306" s="6"/>
      <c r="O1306" s="6"/>
      <c r="P1306" s="6"/>
      <c r="Q1306" s="6"/>
      <c r="R1306" s="6"/>
      <c r="S1306" s="6"/>
      <c r="T1306" s="6"/>
    </row>
    <row r="1307" spans="12:20" ht="12.75">
      <c r="L1307" s="6"/>
      <c r="M1307" s="6"/>
      <c r="N1307" s="6"/>
      <c r="O1307" s="6"/>
      <c r="P1307" s="6"/>
      <c r="Q1307" s="6"/>
      <c r="R1307" s="6"/>
      <c r="S1307" s="6"/>
      <c r="T1307" s="6"/>
    </row>
    <row r="1308" spans="12:20" ht="12.75">
      <c r="L1308" s="6"/>
      <c r="M1308" s="6"/>
      <c r="N1308" s="6"/>
      <c r="O1308" s="6"/>
      <c r="P1308" s="6"/>
      <c r="Q1308" s="6"/>
      <c r="R1308" s="6"/>
      <c r="S1308" s="6"/>
      <c r="T1308" s="6"/>
    </row>
    <row r="1309" spans="12:20" ht="12.75">
      <c r="L1309" s="6"/>
      <c r="M1309" s="6"/>
      <c r="N1309" s="6"/>
      <c r="O1309" s="6"/>
      <c r="P1309" s="6"/>
      <c r="Q1309" s="6"/>
      <c r="R1309" s="6"/>
      <c r="S1309" s="6"/>
      <c r="T1309" s="6"/>
    </row>
    <row r="1310" spans="12:20" ht="12.75">
      <c r="L1310" s="6"/>
      <c r="M1310" s="6"/>
      <c r="N1310" s="6"/>
      <c r="O1310" s="6"/>
      <c r="P1310" s="6"/>
      <c r="Q1310" s="6"/>
      <c r="R1310" s="6"/>
      <c r="S1310" s="6"/>
      <c r="T1310" s="6"/>
    </row>
    <row r="1311" spans="12:20" ht="12.75">
      <c r="L1311" s="6"/>
      <c r="M1311" s="6"/>
      <c r="N1311" s="6"/>
      <c r="O1311" s="6"/>
      <c r="P1311" s="6"/>
      <c r="Q1311" s="6"/>
      <c r="R1311" s="6"/>
      <c r="S1311" s="6"/>
      <c r="T1311" s="6"/>
    </row>
    <row r="1312" spans="12:20" ht="12.75">
      <c r="L1312" s="6"/>
      <c r="M1312" s="6"/>
      <c r="N1312" s="6"/>
      <c r="O1312" s="6"/>
      <c r="P1312" s="6"/>
      <c r="Q1312" s="6"/>
      <c r="R1312" s="6"/>
      <c r="S1312" s="6"/>
      <c r="T1312" s="6"/>
    </row>
    <row r="1313" spans="12:20" ht="12.75">
      <c r="L1313" s="6"/>
      <c r="M1313" s="6"/>
      <c r="N1313" s="6"/>
      <c r="O1313" s="6"/>
      <c r="P1313" s="6"/>
      <c r="Q1313" s="6"/>
      <c r="R1313" s="6"/>
      <c r="S1313" s="6"/>
      <c r="T1313" s="6"/>
    </row>
    <row r="1314" spans="12:20" ht="12.75">
      <c r="L1314" s="6"/>
      <c r="M1314" s="6"/>
      <c r="N1314" s="6"/>
      <c r="O1314" s="6"/>
      <c r="P1314" s="6"/>
      <c r="Q1314" s="6"/>
      <c r="R1314" s="6"/>
      <c r="S1314" s="6"/>
      <c r="T1314" s="6"/>
    </row>
    <row r="1315" spans="12:20" ht="12.75">
      <c r="L1315" s="6"/>
      <c r="M1315" s="6"/>
      <c r="N1315" s="6"/>
      <c r="O1315" s="6"/>
      <c r="P1315" s="6"/>
      <c r="Q1315" s="6"/>
      <c r="R1315" s="6"/>
      <c r="S1315" s="6"/>
      <c r="T1315" s="6"/>
    </row>
    <row r="1316" spans="12:20" ht="12.75">
      <c r="L1316" s="6"/>
      <c r="M1316" s="6"/>
      <c r="N1316" s="6"/>
      <c r="O1316" s="6"/>
      <c r="P1316" s="6"/>
      <c r="Q1316" s="6"/>
      <c r="R1316" s="6"/>
      <c r="S1316" s="6"/>
      <c r="T1316" s="6"/>
    </row>
    <row r="1317" spans="12:20" ht="12.75">
      <c r="L1317" s="6"/>
      <c r="M1317" s="6"/>
      <c r="N1317" s="6"/>
      <c r="O1317" s="6"/>
      <c r="P1317" s="6"/>
      <c r="Q1317" s="6"/>
      <c r="R1317" s="6"/>
      <c r="S1317" s="6"/>
      <c r="T1317" s="6"/>
    </row>
    <row r="1318" spans="12:20" ht="12.75">
      <c r="L1318" s="6"/>
      <c r="M1318" s="6"/>
      <c r="N1318" s="6"/>
      <c r="O1318" s="6"/>
      <c r="P1318" s="6"/>
      <c r="Q1318" s="6"/>
      <c r="R1318" s="6"/>
      <c r="S1318" s="6"/>
      <c r="T1318" s="6"/>
    </row>
    <row r="1319" spans="12:20" ht="12.75">
      <c r="L1319" s="6"/>
      <c r="M1319" s="6"/>
      <c r="N1319" s="6"/>
      <c r="O1319" s="6"/>
      <c r="P1319" s="6"/>
      <c r="Q1319" s="6"/>
      <c r="R1319" s="6"/>
      <c r="S1319" s="6"/>
      <c r="T1319" s="6"/>
    </row>
    <row r="1320" spans="12:20" ht="12.75">
      <c r="L1320" s="6"/>
      <c r="M1320" s="6"/>
      <c r="N1320" s="6"/>
      <c r="O1320" s="6"/>
      <c r="P1320" s="6"/>
      <c r="Q1320" s="6"/>
      <c r="R1320" s="6"/>
      <c r="S1320" s="6"/>
      <c r="T1320" s="6"/>
    </row>
    <row r="1321" spans="12:20" ht="12.75">
      <c r="L1321" s="6"/>
      <c r="M1321" s="6"/>
      <c r="N1321" s="6"/>
      <c r="O1321" s="6"/>
      <c r="P1321" s="6"/>
      <c r="Q1321" s="6"/>
      <c r="R1321" s="6"/>
      <c r="S1321" s="6"/>
      <c r="T1321" s="6"/>
    </row>
    <row r="1322" spans="12:20" ht="12.75">
      <c r="L1322" s="6"/>
      <c r="M1322" s="6"/>
      <c r="N1322" s="6"/>
      <c r="O1322" s="6"/>
      <c r="P1322" s="6"/>
      <c r="Q1322" s="6"/>
      <c r="R1322" s="6"/>
      <c r="S1322" s="6"/>
      <c r="T1322" s="6"/>
    </row>
    <row r="1323" spans="12:20" ht="12.75">
      <c r="L1323" s="6"/>
      <c r="M1323" s="6"/>
      <c r="N1323" s="6"/>
      <c r="O1323" s="6"/>
      <c r="P1323" s="6"/>
      <c r="Q1323" s="6"/>
      <c r="R1323" s="6"/>
      <c r="S1323" s="6"/>
      <c r="T1323" s="6"/>
    </row>
    <row r="1324" spans="12:20" ht="12.75">
      <c r="L1324" s="6"/>
      <c r="M1324" s="6"/>
      <c r="N1324" s="6"/>
      <c r="O1324" s="6"/>
      <c r="P1324" s="6"/>
      <c r="Q1324" s="6"/>
      <c r="R1324" s="6"/>
      <c r="S1324" s="6"/>
      <c r="T1324" s="6"/>
    </row>
    <row r="1325" spans="12:20" ht="12.75">
      <c r="L1325" s="6"/>
      <c r="M1325" s="6"/>
      <c r="N1325" s="6"/>
      <c r="O1325" s="6"/>
      <c r="P1325" s="6"/>
      <c r="Q1325" s="6"/>
      <c r="R1325" s="6"/>
      <c r="S1325" s="6"/>
      <c r="T1325" s="6"/>
    </row>
    <row r="1326" spans="12:20" ht="12.75">
      <c r="L1326" s="6"/>
      <c r="M1326" s="6"/>
      <c r="N1326" s="6"/>
      <c r="O1326" s="6"/>
      <c r="P1326" s="6"/>
      <c r="Q1326" s="6"/>
      <c r="R1326" s="6"/>
      <c r="S1326" s="6"/>
      <c r="T1326" s="6"/>
    </row>
    <row r="1327" spans="12:20" ht="12.75">
      <c r="L1327" s="6"/>
      <c r="M1327" s="6"/>
      <c r="N1327" s="6"/>
      <c r="O1327" s="6"/>
      <c r="P1327" s="6"/>
      <c r="Q1327" s="6"/>
      <c r="R1327" s="6"/>
      <c r="S1327" s="6"/>
      <c r="T1327" s="6"/>
    </row>
    <row r="1328" spans="12:20" ht="12.75">
      <c r="L1328" s="6"/>
      <c r="M1328" s="6"/>
      <c r="N1328" s="6"/>
      <c r="O1328" s="6"/>
      <c r="P1328" s="6"/>
      <c r="Q1328" s="6"/>
      <c r="R1328" s="6"/>
      <c r="S1328" s="6"/>
      <c r="T1328" s="6"/>
    </row>
    <row r="1329" spans="12:20" ht="12.75">
      <c r="L1329" s="6"/>
      <c r="M1329" s="6"/>
      <c r="N1329" s="6"/>
      <c r="O1329" s="6"/>
      <c r="P1329" s="6"/>
      <c r="Q1329" s="6"/>
      <c r="R1329" s="6"/>
      <c r="S1329" s="6"/>
      <c r="T1329" s="6"/>
    </row>
    <row r="1330" spans="12:20" ht="12.75">
      <c r="L1330" s="6"/>
      <c r="M1330" s="6"/>
      <c r="N1330" s="6"/>
      <c r="O1330" s="6"/>
      <c r="P1330" s="6"/>
      <c r="Q1330" s="6"/>
      <c r="R1330" s="6"/>
      <c r="S1330" s="6"/>
      <c r="T1330" s="6"/>
    </row>
    <row r="1331" spans="12:20" ht="12.75">
      <c r="L1331" s="6"/>
      <c r="M1331" s="6"/>
      <c r="N1331" s="6"/>
      <c r="O1331" s="6"/>
      <c r="P1331" s="6"/>
      <c r="Q1331" s="6"/>
      <c r="R1331" s="6"/>
      <c r="S1331" s="6"/>
      <c r="T1331" s="6"/>
    </row>
    <row r="1332" spans="12:20" ht="12.75">
      <c r="L1332" s="6"/>
      <c r="M1332" s="6"/>
      <c r="N1332" s="6"/>
      <c r="O1332" s="6"/>
      <c r="P1332" s="6"/>
      <c r="Q1332" s="6"/>
      <c r="R1332" s="6"/>
      <c r="S1332" s="6"/>
      <c r="T1332" s="6"/>
    </row>
    <row r="1333" spans="12:20" ht="12.75">
      <c r="L1333" s="6"/>
      <c r="M1333" s="6"/>
      <c r="N1333" s="6"/>
      <c r="O1333" s="6"/>
      <c r="P1333" s="6"/>
      <c r="Q1333" s="6"/>
      <c r="R1333" s="6"/>
      <c r="S1333" s="6"/>
      <c r="T1333" s="6"/>
    </row>
    <row r="1334" spans="12:20" ht="12.75">
      <c r="L1334" s="6"/>
      <c r="M1334" s="6"/>
      <c r="N1334" s="6"/>
      <c r="O1334" s="6"/>
      <c r="P1334" s="6"/>
      <c r="Q1334" s="6"/>
      <c r="R1334" s="6"/>
      <c r="S1334" s="6"/>
      <c r="T1334" s="6"/>
    </row>
    <row r="1335" spans="12:20" ht="12.75">
      <c r="L1335" s="6"/>
      <c r="M1335" s="6"/>
      <c r="N1335" s="6"/>
      <c r="O1335" s="6"/>
      <c r="P1335" s="6"/>
      <c r="Q1335" s="6"/>
      <c r="R1335" s="6"/>
      <c r="S1335" s="6"/>
      <c r="T1335" s="6"/>
    </row>
    <row r="1336" spans="12:20" ht="12.75">
      <c r="L1336" s="6"/>
      <c r="M1336" s="6"/>
      <c r="N1336" s="6"/>
      <c r="O1336" s="6"/>
      <c r="P1336" s="6"/>
      <c r="Q1336" s="6"/>
      <c r="R1336" s="6"/>
      <c r="S1336" s="6"/>
      <c r="T1336" s="6"/>
    </row>
    <row r="1337" spans="12:20" ht="12.75">
      <c r="L1337" s="6"/>
      <c r="M1337" s="6"/>
      <c r="N1337" s="6"/>
      <c r="O1337" s="6"/>
      <c r="P1337" s="6"/>
      <c r="Q1337" s="6"/>
      <c r="R1337" s="6"/>
      <c r="S1337" s="6"/>
      <c r="T1337" s="6"/>
    </row>
    <row r="1338" spans="12:20" ht="12.75">
      <c r="L1338" s="6"/>
      <c r="M1338" s="6"/>
      <c r="N1338" s="6"/>
      <c r="O1338" s="6"/>
      <c r="P1338" s="6"/>
      <c r="Q1338" s="6"/>
      <c r="R1338" s="6"/>
      <c r="S1338" s="6"/>
      <c r="T1338" s="6"/>
    </row>
    <row r="1339" spans="12:20" ht="12.75">
      <c r="L1339" s="6"/>
      <c r="M1339" s="6"/>
      <c r="N1339" s="6"/>
      <c r="O1339" s="6"/>
      <c r="P1339" s="6"/>
      <c r="Q1339" s="6"/>
      <c r="R1339" s="6"/>
      <c r="S1339" s="6"/>
      <c r="T1339" s="6"/>
    </row>
    <row r="1340" spans="12:20" ht="12.75">
      <c r="L1340" s="6"/>
      <c r="M1340" s="6"/>
      <c r="N1340" s="6"/>
      <c r="O1340" s="6"/>
      <c r="P1340" s="6"/>
      <c r="Q1340" s="6"/>
      <c r="R1340" s="6"/>
      <c r="S1340" s="6"/>
      <c r="T1340" s="6"/>
    </row>
    <row r="1341" spans="12:20" ht="12.75">
      <c r="L1341" s="6"/>
      <c r="M1341" s="6"/>
      <c r="N1341" s="6"/>
      <c r="O1341" s="6"/>
      <c r="P1341" s="6"/>
      <c r="Q1341" s="6"/>
      <c r="R1341" s="6"/>
      <c r="S1341" s="6"/>
      <c r="T1341" s="6"/>
    </row>
    <row r="1342" spans="12:20" ht="12.75">
      <c r="L1342" s="6"/>
      <c r="M1342" s="6"/>
      <c r="N1342" s="6"/>
      <c r="O1342" s="6"/>
      <c r="P1342" s="6"/>
      <c r="Q1342" s="6"/>
      <c r="R1342" s="6"/>
      <c r="S1342" s="6"/>
      <c r="T1342" s="6"/>
    </row>
    <row r="1343" spans="12:20" ht="12.75">
      <c r="L1343" s="6"/>
      <c r="M1343" s="6"/>
      <c r="N1343" s="6"/>
      <c r="O1343" s="6"/>
      <c r="P1343" s="6"/>
      <c r="Q1343" s="6"/>
      <c r="R1343" s="6"/>
      <c r="S1343" s="6"/>
      <c r="T1343" s="6"/>
    </row>
    <row r="1344" spans="12:20" ht="12.75">
      <c r="L1344" s="6"/>
      <c r="M1344" s="6"/>
      <c r="N1344" s="6"/>
      <c r="O1344" s="6"/>
      <c r="P1344" s="6"/>
      <c r="Q1344" s="6"/>
      <c r="R1344" s="6"/>
      <c r="S1344" s="6"/>
      <c r="T1344" s="6"/>
    </row>
    <row r="1345" spans="12:20" ht="12.75">
      <c r="L1345" s="6"/>
      <c r="M1345" s="6"/>
      <c r="N1345" s="6"/>
      <c r="O1345" s="6"/>
      <c r="P1345" s="6"/>
      <c r="Q1345" s="6"/>
      <c r="R1345" s="6"/>
      <c r="S1345" s="6"/>
      <c r="T1345" s="6"/>
    </row>
    <row r="1346" spans="12:20" ht="12.75">
      <c r="L1346" s="6"/>
      <c r="M1346" s="6"/>
      <c r="N1346" s="6"/>
      <c r="O1346" s="6"/>
      <c r="P1346" s="6"/>
      <c r="Q1346" s="6"/>
      <c r="R1346" s="6"/>
      <c r="S1346" s="6"/>
      <c r="T1346" s="6"/>
    </row>
    <row r="1347" spans="12:20" ht="12.75">
      <c r="L1347" s="6"/>
      <c r="M1347" s="6"/>
      <c r="N1347" s="6"/>
      <c r="O1347" s="6"/>
      <c r="P1347" s="6"/>
      <c r="Q1347" s="6"/>
      <c r="R1347" s="6"/>
      <c r="S1347" s="6"/>
      <c r="T1347" s="6"/>
    </row>
    <row r="1348" spans="12:20" ht="12.75">
      <c r="L1348" s="6"/>
      <c r="M1348" s="6"/>
      <c r="N1348" s="6"/>
      <c r="O1348" s="6"/>
      <c r="P1348" s="6"/>
      <c r="Q1348" s="6"/>
      <c r="R1348" s="6"/>
      <c r="S1348" s="6"/>
      <c r="T1348" s="6"/>
    </row>
    <row r="1349" spans="12:20" ht="12.75">
      <c r="L1349" s="6"/>
      <c r="M1349" s="6"/>
      <c r="N1349" s="6"/>
      <c r="O1349" s="6"/>
      <c r="P1349" s="6"/>
      <c r="Q1349" s="6"/>
      <c r="R1349" s="6"/>
      <c r="S1349" s="6"/>
      <c r="T1349" s="6"/>
    </row>
    <row r="1350" spans="12:20" ht="12.75">
      <c r="L1350" s="6"/>
      <c r="M1350" s="6"/>
      <c r="N1350" s="6"/>
      <c r="O1350" s="6"/>
      <c r="P1350" s="6"/>
      <c r="Q1350" s="6"/>
      <c r="R1350" s="6"/>
      <c r="S1350" s="6"/>
      <c r="T1350" s="6"/>
    </row>
    <row r="1351" spans="12:20" ht="12.75">
      <c r="L1351" s="6"/>
      <c r="M1351" s="6"/>
      <c r="N1351" s="6"/>
      <c r="O1351" s="6"/>
      <c r="P1351" s="6"/>
      <c r="Q1351" s="6"/>
      <c r="R1351" s="6"/>
      <c r="S1351" s="6"/>
      <c r="T1351" s="6"/>
    </row>
    <row r="1352" spans="12:20" ht="12.75">
      <c r="L1352" s="6"/>
      <c r="M1352" s="6"/>
      <c r="N1352" s="6"/>
      <c r="O1352" s="6"/>
      <c r="P1352" s="6"/>
      <c r="Q1352" s="6"/>
      <c r="R1352" s="6"/>
      <c r="S1352" s="6"/>
      <c r="T1352" s="6"/>
    </row>
    <row r="1353" spans="12:20" ht="12.75">
      <c r="L1353" s="6"/>
      <c r="M1353" s="6"/>
      <c r="N1353" s="6"/>
      <c r="O1353" s="6"/>
      <c r="P1353" s="6"/>
      <c r="Q1353" s="6"/>
      <c r="R1353" s="6"/>
      <c r="S1353" s="6"/>
      <c r="T1353" s="6"/>
    </row>
    <row r="1354" spans="12:20" ht="12.75">
      <c r="L1354" s="6"/>
      <c r="M1354" s="6"/>
      <c r="N1354" s="6"/>
      <c r="O1354" s="6"/>
      <c r="P1354" s="6"/>
      <c r="Q1354" s="6"/>
      <c r="R1354" s="6"/>
      <c r="S1354" s="6"/>
      <c r="T1354" s="6"/>
    </row>
    <row r="1355" spans="12:20" ht="12.75">
      <c r="L1355" s="6"/>
      <c r="M1355" s="6"/>
      <c r="N1355" s="6"/>
      <c r="O1355" s="6"/>
      <c r="P1355" s="6"/>
      <c r="Q1355" s="6"/>
      <c r="R1355" s="6"/>
      <c r="S1355" s="6"/>
      <c r="T1355" s="6"/>
    </row>
    <row r="1356" spans="12:20" ht="12.75">
      <c r="L1356" s="6"/>
      <c r="M1356" s="6"/>
      <c r="N1356" s="6"/>
      <c r="O1356" s="6"/>
      <c r="P1356" s="6"/>
      <c r="Q1356" s="6"/>
      <c r="R1356" s="6"/>
      <c r="S1356" s="6"/>
      <c r="T1356" s="6"/>
    </row>
    <row r="1357" spans="12:20" ht="12.75">
      <c r="L1357" s="6"/>
      <c r="M1357" s="6"/>
      <c r="N1357" s="6"/>
      <c r="O1357" s="6"/>
      <c r="P1357" s="6"/>
      <c r="Q1357" s="6"/>
      <c r="R1357" s="6"/>
      <c r="S1357" s="6"/>
      <c r="T1357" s="6"/>
    </row>
    <row r="1358" spans="12:20" ht="12.75">
      <c r="L1358" s="6"/>
      <c r="M1358" s="6"/>
      <c r="N1358" s="6"/>
      <c r="O1358" s="6"/>
      <c r="P1358" s="6"/>
      <c r="Q1358" s="6"/>
      <c r="R1358" s="6"/>
      <c r="S1358" s="6"/>
      <c r="T1358" s="6"/>
    </row>
    <row r="1359" spans="12:20" ht="12.75">
      <c r="L1359" s="6"/>
      <c r="M1359" s="6"/>
      <c r="N1359" s="6"/>
      <c r="O1359" s="6"/>
      <c r="P1359" s="6"/>
      <c r="Q1359" s="6"/>
      <c r="R1359" s="6"/>
      <c r="S1359" s="6"/>
      <c r="T1359" s="6"/>
    </row>
    <row r="1360" spans="12:20" ht="12.75">
      <c r="L1360" s="6"/>
      <c r="M1360" s="6"/>
      <c r="N1360" s="6"/>
      <c r="O1360" s="6"/>
      <c r="P1360" s="6"/>
      <c r="Q1360" s="6"/>
      <c r="R1360" s="6"/>
      <c r="S1360" s="6"/>
      <c r="T1360" s="6"/>
    </row>
    <row r="1361" spans="12:20" ht="12.75">
      <c r="L1361" s="6"/>
      <c r="M1361" s="6"/>
      <c r="N1361" s="6"/>
      <c r="O1361" s="6"/>
      <c r="P1361" s="6"/>
      <c r="Q1361" s="6"/>
      <c r="R1361" s="6"/>
      <c r="S1361" s="6"/>
      <c r="T1361" s="6"/>
    </row>
    <row r="1362" spans="12:20" ht="12.75">
      <c r="L1362" s="6"/>
      <c r="M1362" s="6"/>
      <c r="N1362" s="6"/>
      <c r="O1362" s="6"/>
      <c r="P1362" s="6"/>
      <c r="Q1362" s="6"/>
      <c r="R1362" s="6"/>
      <c r="S1362" s="6"/>
      <c r="T1362" s="6"/>
    </row>
    <row r="1363" spans="12:20" ht="12.75">
      <c r="L1363" s="6"/>
      <c r="M1363" s="6"/>
      <c r="N1363" s="6"/>
      <c r="O1363" s="6"/>
      <c r="P1363" s="6"/>
      <c r="Q1363" s="6"/>
      <c r="R1363" s="6"/>
      <c r="S1363" s="6"/>
      <c r="T1363" s="6"/>
    </row>
    <row r="1364" spans="12:20" ht="12.75">
      <c r="L1364" s="6"/>
      <c r="M1364" s="6"/>
      <c r="N1364" s="6"/>
      <c r="O1364" s="6"/>
      <c r="P1364" s="6"/>
      <c r="Q1364" s="6"/>
      <c r="R1364" s="6"/>
      <c r="S1364" s="6"/>
      <c r="T1364" s="6"/>
    </row>
    <row r="1365" spans="12:20" ht="12.75">
      <c r="L1365" s="6"/>
      <c r="M1365" s="6"/>
      <c r="N1365" s="6"/>
      <c r="O1365" s="6"/>
      <c r="P1365" s="6"/>
      <c r="Q1365" s="6"/>
      <c r="R1365" s="6"/>
      <c r="S1365" s="6"/>
      <c r="T1365" s="6"/>
    </row>
    <row r="1366" spans="12:20" ht="12.75">
      <c r="L1366" s="6"/>
      <c r="M1366" s="6"/>
      <c r="N1366" s="6"/>
      <c r="O1366" s="6"/>
      <c r="P1366" s="6"/>
      <c r="Q1366" s="6"/>
      <c r="R1366" s="6"/>
      <c r="S1366" s="6"/>
      <c r="T1366" s="6"/>
    </row>
    <row r="1367" spans="12:20" ht="12.75">
      <c r="L1367" s="6"/>
      <c r="M1367" s="6"/>
      <c r="N1367" s="6"/>
      <c r="O1367" s="6"/>
      <c r="P1367" s="6"/>
      <c r="Q1367" s="6"/>
      <c r="R1367" s="6"/>
      <c r="S1367" s="6"/>
      <c r="T1367" s="6"/>
    </row>
    <row r="1368" spans="12:20" ht="12.75">
      <c r="L1368" s="6"/>
      <c r="M1368" s="6"/>
      <c r="N1368" s="6"/>
      <c r="O1368" s="6"/>
      <c r="P1368" s="6"/>
      <c r="Q1368" s="6"/>
      <c r="R1368" s="6"/>
      <c r="S1368" s="6"/>
      <c r="T1368" s="6"/>
    </row>
    <row r="1369" spans="12:20" ht="12.75">
      <c r="L1369" s="6"/>
      <c r="M1369" s="6"/>
      <c r="N1369" s="6"/>
      <c r="O1369" s="6"/>
      <c r="P1369" s="6"/>
      <c r="Q1369" s="6"/>
      <c r="R1369" s="6"/>
      <c r="S1369" s="6"/>
      <c r="T1369" s="6"/>
    </row>
    <row r="1370" spans="12:20" ht="12.75">
      <c r="L1370" s="6"/>
      <c r="M1370" s="6"/>
      <c r="N1370" s="6"/>
      <c r="O1370" s="6"/>
      <c r="P1370" s="6"/>
      <c r="Q1370" s="6"/>
      <c r="R1370" s="6"/>
      <c r="S1370" s="6"/>
      <c r="T1370" s="6"/>
    </row>
    <row r="1371" spans="12:20" ht="12.75">
      <c r="L1371" s="6"/>
      <c r="M1371" s="6"/>
      <c r="N1371" s="6"/>
      <c r="O1371" s="6"/>
      <c r="P1371" s="6"/>
      <c r="Q1371" s="6"/>
      <c r="R1371" s="6"/>
      <c r="S1371" s="6"/>
      <c r="T1371" s="6"/>
    </row>
    <row r="1372" spans="12:20" ht="12.75">
      <c r="L1372" s="6"/>
      <c r="M1372" s="6"/>
      <c r="N1372" s="6"/>
      <c r="O1372" s="6"/>
      <c r="P1372" s="6"/>
      <c r="Q1372" s="6"/>
      <c r="R1372" s="6"/>
      <c r="S1372" s="6"/>
      <c r="T1372" s="6"/>
    </row>
    <row r="1373" spans="12:20" ht="12.75">
      <c r="L1373" s="6"/>
      <c r="M1373" s="6"/>
      <c r="N1373" s="6"/>
      <c r="O1373" s="6"/>
      <c r="P1373" s="6"/>
      <c r="Q1373" s="6"/>
      <c r="R1373" s="6"/>
      <c r="S1373" s="6"/>
      <c r="T1373" s="6"/>
    </row>
    <row r="1374" spans="12:20" ht="12.75">
      <c r="L1374" s="6"/>
      <c r="M1374" s="6"/>
      <c r="N1374" s="6"/>
      <c r="O1374" s="6"/>
      <c r="P1374" s="6"/>
      <c r="Q1374" s="6"/>
      <c r="R1374" s="6"/>
      <c r="S1374" s="6"/>
      <c r="T1374" s="6"/>
    </row>
    <row r="1375" spans="12:20" ht="12.75">
      <c r="L1375" s="6"/>
      <c r="M1375" s="6"/>
      <c r="N1375" s="6"/>
      <c r="O1375" s="6"/>
      <c r="P1375" s="6"/>
      <c r="Q1375" s="6"/>
      <c r="R1375" s="6"/>
      <c r="S1375" s="6"/>
      <c r="T1375" s="6"/>
    </row>
    <row r="1376" spans="12:20" ht="12.75">
      <c r="L1376" s="6"/>
      <c r="M1376" s="6"/>
      <c r="N1376" s="6"/>
      <c r="O1376" s="6"/>
      <c r="P1376" s="6"/>
      <c r="Q1376" s="6"/>
      <c r="R1376" s="6"/>
      <c r="S1376" s="6"/>
      <c r="T1376" s="6"/>
    </row>
    <row r="1377" spans="12:20" ht="12.75">
      <c r="L1377" s="6"/>
      <c r="M1377" s="6"/>
      <c r="N1377" s="6"/>
      <c r="O1377" s="6"/>
      <c r="P1377" s="6"/>
      <c r="Q1377" s="6"/>
      <c r="R1377" s="6"/>
      <c r="S1377" s="6"/>
      <c r="T1377" s="6"/>
    </row>
    <row r="1378" spans="12:20" ht="12.75">
      <c r="L1378" s="6"/>
      <c r="M1378" s="6"/>
      <c r="N1378" s="6"/>
      <c r="O1378" s="6"/>
      <c r="P1378" s="6"/>
      <c r="Q1378" s="6"/>
      <c r="R1378" s="6"/>
      <c r="S1378" s="6"/>
      <c r="T1378" s="6"/>
    </row>
    <row r="1379" spans="12:20" ht="12.75">
      <c r="L1379" s="6"/>
      <c r="M1379" s="6"/>
      <c r="N1379" s="6"/>
      <c r="O1379" s="6"/>
      <c r="P1379" s="6"/>
      <c r="Q1379" s="6"/>
      <c r="R1379" s="6"/>
      <c r="S1379" s="6"/>
      <c r="T1379" s="6"/>
    </row>
    <row r="1380" spans="12:20" ht="12.75">
      <c r="L1380" s="6"/>
      <c r="M1380" s="6"/>
      <c r="N1380" s="6"/>
      <c r="O1380" s="6"/>
      <c r="P1380" s="6"/>
      <c r="Q1380" s="6"/>
      <c r="R1380" s="6"/>
      <c r="S1380" s="6"/>
      <c r="T1380" s="6"/>
    </row>
    <row r="1381" spans="12:20" ht="12.75">
      <c r="L1381" s="6"/>
      <c r="M1381" s="6"/>
      <c r="N1381" s="6"/>
      <c r="O1381" s="6"/>
      <c r="P1381" s="6"/>
      <c r="Q1381" s="6"/>
      <c r="R1381" s="6"/>
      <c r="S1381" s="6"/>
      <c r="T1381" s="6"/>
    </row>
    <row r="1382" spans="12:20" ht="12.75">
      <c r="L1382" s="6"/>
      <c r="M1382" s="6"/>
      <c r="N1382" s="6"/>
      <c r="O1382" s="6"/>
      <c r="P1382" s="6"/>
      <c r="Q1382" s="6"/>
      <c r="R1382" s="6"/>
      <c r="S1382" s="6"/>
      <c r="T1382" s="6"/>
    </row>
    <row r="1383" spans="12:20" ht="12.75">
      <c r="L1383" s="6"/>
      <c r="M1383" s="6"/>
      <c r="N1383" s="6"/>
      <c r="O1383" s="6"/>
      <c r="P1383" s="6"/>
      <c r="Q1383" s="6"/>
      <c r="R1383" s="6"/>
      <c r="S1383" s="6"/>
      <c r="T1383" s="6"/>
    </row>
    <row r="1384" spans="12:20" ht="12.75">
      <c r="L1384" s="6"/>
      <c r="M1384" s="6"/>
      <c r="N1384" s="6"/>
      <c r="O1384" s="6"/>
      <c r="P1384" s="6"/>
      <c r="Q1384" s="6"/>
      <c r="R1384" s="6"/>
      <c r="S1384" s="6"/>
      <c r="T1384" s="6"/>
    </row>
    <row r="1385" spans="12:20" ht="12.75">
      <c r="L1385" s="6"/>
      <c r="M1385" s="6"/>
      <c r="N1385" s="6"/>
      <c r="O1385" s="6"/>
      <c r="P1385" s="6"/>
      <c r="Q1385" s="6"/>
      <c r="R1385" s="6"/>
      <c r="S1385" s="6"/>
      <c r="T1385" s="6"/>
    </row>
    <row r="1386" spans="12:20" ht="12.75">
      <c r="L1386" s="6"/>
      <c r="M1386" s="6"/>
      <c r="N1386" s="6"/>
      <c r="O1386" s="6"/>
      <c r="P1386" s="6"/>
      <c r="Q1386" s="6"/>
      <c r="R1386" s="6"/>
      <c r="S1386" s="6"/>
      <c r="T1386" s="6"/>
    </row>
    <row r="1387" spans="12:20" ht="12.75">
      <c r="L1387" s="6"/>
      <c r="M1387" s="6"/>
      <c r="N1387" s="6"/>
      <c r="O1387" s="6"/>
      <c r="P1387" s="6"/>
      <c r="Q1387" s="6"/>
      <c r="R1387" s="6"/>
      <c r="S1387" s="6"/>
      <c r="T1387" s="6"/>
    </row>
    <row r="1388" spans="12:20" ht="12.75">
      <c r="L1388" s="6"/>
      <c r="M1388" s="6"/>
      <c r="N1388" s="6"/>
      <c r="O1388" s="6"/>
      <c r="P1388" s="6"/>
      <c r="Q1388" s="6"/>
      <c r="R1388" s="6"/>
      <c r="S1388" s="6"/>
      <c r="T1388" s="6"/>
    </row>
    <row r="1389" spans="12:20" ht="12.75">
      <c r="L1389" s="6"/>
      <c r="M1389" s="6"/>
      <c r="N1389" s="6"/>
      <c r="O1389" s="6"/>
      <c r="P1389" s="6"/>
      <c r="Q1389" s="6"/>
      <c r="R1389" s="6"/>
      <c r="S1389" s="6"/>
      <c r="T1389" s="6"/>
    </row>
    <row r="1390" spans="12:20" ht="12.75">
      <c r="L1390" s="6"/>
      <c r="M1390" s="6"/>
      <c r="N1390" s="6"/>
      <c r="O1390" s="6"/>
      <c r="P1390" s="6"/>
      <c r="Q1390" s="6"/>
      <c r="R1390" s="6"/>
      <c r="S1390" s="6"/>
      <c r="T1390" s="6"/>
    </row>
    <row r="1391" spans="12:20" ht="12.75">
      <c r="L1391" s="6"/>
      <c r="M1391" s="6"/>
      <c r="N1391" s="6"/>
      <c r="O1391" s="6"/>
      <c r="P1391" s="6"/>
      <c r="Q1391" s="6"/>
      <c r="R1391" s="6"/>
      <c r="S1391" s="6"/>
      <c r="T1391" s="6"/>
    </row>
    <row r="1392" spans="12:20" ht="12.75">
      <c r="L1392" s="6"/>
      <c r="M1392" s="6"/>
      <c r="N1392" s="6"/>
      <c r="O1392" s="6"/>
      <c r="P1392" s="6"/>
      <c r="Q1392" s="6"/>
      <c r="R1392" s="6"/>
      <c r="S1392" s="6"/>
      <c r="T1392" s="6"/>
    </row>
    <row r="1393" spans="12:20" ht="12.75">
      <c r="L1393" s="6"/>
      <c r="M1393" s="6"/>
      <c r="N1393" s="6"/>
      <c r="O1393" s="6"/>
      <c r="P1393" s="6"/>
      <c r="Q1393" s="6"/>
      <c r="R1393" s="6"/>
      <c r="S1393" s="6"/>
      <c r="T1393" s="6"/>
    </row>
    <row r="1394" spans="12:20" ht="12.75">
      <c r="L1394" s="6"/>
      <c r="M1394" s="6"/>
      <c r="N1394" s="6"/>
      <c r="O1394" s="6"/>
      <c r="P1394" s="6"/>
      <c r="Q1394" s="6"/>
      <c r="R1394" s="6"/>
      <c r="S1394" s="6"/>
      <c r="T1394" s="6"/>
    </row>
    <row r="1395" spans="12:20" ht="12.75">
      <c r="L1395" s="6"/>
      <c r="M1395" s="6"/>
      <c r="N1395" s="6"/>
      <c r="O1395" s="6"/>
      <c r="P1395" s="6"/>
      <c r="Q1395" s="6"/>
      <c r="R1395" s="6"/>
      <c r="S1395" s="6"/>
      <c r="T1395" s="6"/>
    </row>
    <row r="1396" spans="12:20" ht="12.75">
      <c r="L1396" s="6"/>
      <c r="M1396" s="6"/>
      <c r="N1396" s="6"/>
      <c r="O1396" s="6"/>
      <c r="P1396" s="6"/>
      <c r="Q1396" s="6"/>
      <c r="R1396" s="6"/>
      <c r="S1396" s="6"/>
      <c r="T1396" s="6"/>
    </row>
    <row r="1397" spans="12:20" ht="12.75">
      <c r="L1397" s="6"/>
      <c r="M1397" s="6"/>
      <c r="N1397" s="6"/>
      <c r="O1397" s="6"/>
      <c r="P1397" s="6"/>
      <c r="Q1397" s="6"/>
      <c r="R1397" s="6"/>
      <c r="S1397" s="6"/>
      <c r="T1397" s="6"/>
    </row>
    <row r="1398" spans="12:20" ht="12.75">
      <c r="L1398" s="6"/>
      <c r="M1398" s="6"/>
      <c r="N1398" s="6"/>
      <c r="O1398" s="6"/>
      <c r="P1398" s="6"/>
      <c r="Q1398" s="6"/>
      <c r="R1398" s="6"/>
      <c r="S1398" s="6"/>
      <c r="T1398" s="6"/>
    </row>
    <row r="1399" spans="12:20" ht="12.75">
      <c r="L1399" s="6"/>
      <c r="M1399" s="6"/>
      <c r="N1399" s="6"/>
      <c r="O1399" s="6"/>
      <c r="P1399" s="6"/>
      <c r="Q1399" s="6"/>
      <c r="R1399" s="6"/>
      <c r="S1399" s="6"/>
      <c r="T1399" s="6"/>
    </row>
    <row r="1400" spans="12:20" ht="12.75">
      <c r="L1400" s="6"/>
      <c r="M1400" s="6"/>
      <c r="N1400" s="6"/>
      <c r="O1400" s="6"/>
      <c r="P1400" s="6"/>
      <c r="Q1400" s="6"/>
      <c r="R1400" s="6"/>
      <c r="S1400" s="6"/>
      <c r="T1400" s="6"/>
    </row>
    <row r="1401" spans="12:20" ht="12.75">
      <c r="L1401" s="6"/>
      <c r="M1401" s="6"/>
      <c r="N1401" s="6"/>
      <c r="O1401" s="6"/>
      <c r="P1401" s="6"/>
      <c r="Q1401" s="6"/>
      <c r="R1401" s="6"/>
      <c r="S1401" s="6"/>
      <c r="T1401" s="6"/>
    </row>
    <row r="1402" spans="12:20" ht="12.75">
      <c r="L1402" s="6"/>
      <c r="M1402" s="6"/>
      <c r="N1402" s="6"/>
      <c r="O1402" s="6"/>
      <c r="P1402" s="6"/>
      <c r="Q1402" s="6"/>
      <c r="R1402" s="6"/>
      <c r="S1402" s="6"/>
      <c r="T1402" s="6"/>
    </row>
    <row r="1403" spans="12:20" ht="12.75">
      <c r="L1403" s="6"/>
      <c r="M1403" s="6"/>
      <c r="N1403" s="6"/>
      <c r="O1403" s="6"/>
      <c r="P1403" s="6"/>
      <c r="Q1403" s="6"/>
      <c r="R1403" s="6"/>
      <c r="S1403" s="6"/>
      <c r="T1403" s="6"/>
    </row>
    <row r="1404" spans="12:20" ht="12.75">
      <c r="L1404" s="6"/>
      <c r="M1404" s="6"/>
      <c r="N1404" s="6"/>
      <c r="O1404" s="6"/>
      <c r="P1404" s="6"/>
      <c r="Q1404" s="6"/>
      <c r="R1404" s="6"/>
      <c r="S1404" s="6"/>
      <c r="T1404" s="6"/>
    </row>
    <row r="1405" spans="12:20" ht="12.75">
      <c r="L1405" s="6"/>
      <c r="M1405" s="6"/>
      <c r="N1405" s="6"/>
      <c r="O1405" s="6"/>
      <c r="P1405" s="6"/>
      <c r="Q1405" s="6"/>
      <c r="R1405" s="6"/>
      <c r="S1405" s="6"/>
      <c r="T1405" s="6"/>
    </row>
    <row r="1406" spans="12:20" ht="12.75">
      <c r="L1406" s="6"/>
      <c r="M1406" s="6"/>
      <c r="N1406" s="6"/>
      <c r="O1406" s="6"/>
      <c r="P1406" s="6"/>
      <c r="Q1406" s="6"/>
      <c r="R1406" s="6"/>
      <c r="S1406" s="6"/>
      <c r="T1406" s="6"/>
    </row>
    <row r="1407" spans="12:20" ht="12.75">
      <c r="L1407" s="6"/>
      <c r="M1407" s="6"/>
      <c r="N1407" s="6"/>
      <c r="O1407" s="6"/>
      <c r="P1407" s="6"/>
      <c r="Q1407" s="6"/>
      <c r="R1407" s="6"/>
      <c r="S1407" s="6"/>
      <c r="T1407" s="6"/>
    </row>
    <row r="1408" spans="12:20" ht="12.75">
      <c r="L1408" s="6"/>
      <c r="M1408" s="6"/>
      <c r="N1408" s="6"/>
      <c r="O1408" s="6"/>
      <c r="P1408" s="6"/>
      <c r="Q1408" s="6"/>
      <c r="R1408" s="6"/>
      <c r="S1408" s="6"/>
      <c r="T1408" s="6"/>
    </row>
    <row r="1409" spans="12:20" ht="12.75">
      <c r="L1409" s="6"/>
      <c r="M1409" s="6"/>
      <c r="N1409" s="6"/>
      <c r="O1409" s="6"/>
      <c r="P1409" s="6"/>
      <c r="Q1409" s="6"/>
      <c r="R1409" s="6"/>
      <c r="S1409" s="6"/>
      <c r="T1409" s="6"/>
    </row>
    <row r="1410" spans="12:20" ht="12.75">
      <c r="L1410" s="6"/>
      <c r="M1410" s="6"/>
      <c r="N1410" s="6"/>
      <c r="O1410" s="6"/>
      <c r="P1410" s="6"/>
      <c r="Q1410" s="6"/>
      <c r="R1410" s="6"/>
      <c r="S1410" s="6"/>
      <c r="T1410" s="6"/>
    </row>
    <row r="1411" spans="12:20" ht="12.75">
      <c r="L1411" s="6"/>
      <c r="M1411" s="6"/>
      <c r="N1411" s="6"/>
      <c r="O1411" s="6"/>
      <c r="P1411" s="6"/>
      <c r="Q1411" s="6"/>
      <c r="R1411" s="6"/>
      <c r="S1411" s="6"/>
      <c r="T1411" s="6"/>
    </row>
    <row r="1412" spans="12:20" ht="12.75">
      <c r="L1412" s="6"/>
      <c r="M1412" s="6"/>
      <c r="N1412" s="6"/>
      <c r="O1412" s="6"/>
      <c r="P1412" s="6"/>
      <c r="Q1412" s="6"/>
      <c r="R1412" s="6"/>
      <c r="S1412" s="6"/>
      <c r="T1412" s="6"/>
    </row>
    <row r="1413" spans="12:20" ht="12.75">
      <c r="L1413" s="6"/>
      <c r="M1413" s="6"/>
      <c r="N1413" s="6"/>
      <c r="O1413" s="6"/>
      <c r="P1413" s="6"/>
      <c r="Q1413" s="6"/>
      <c r="R1413" s="6"/>
      <c r="S1413" s="6"/>
      <c r="T1413" s="6"/>
    </row>
    <row r="1414" spans="12:20" ht="12.75">
      <c r="L1414" s="6"/>
      <c r="M1414" s="6"/>
      <c r="N1414" s="6"/>
      <c r="O1414" s="6"/>
      <c r="P1414" s="6"/>
      <c r="Q1414" s="6"/>
      <c r="R1414" s="6"/>
      <c r="S1414" s="6"/>
      <c r="T1414" s="6"/>
    </row>
    <row r="1415" spans="12:20" ht="12.75">
      <c r="L1415" s="6"/>
      <c r="M1415" s="6"/>
      <c r="N1415" s="6"/>
      <c r="O1415" s="6"/>
      <c r="P1415" s="6"/>
      <c r="Q1415" s="6"/>
      <c r="R1415" s="6"/>
      <c r="S1415" s="6"/>
      <c r="T1415" s="6"/>
    </row>
    <row r="1416" spans="12:20" ht="12.75">
      <c r="L1416" s="6"/>
      <c r="M1416" s="6"/>
      <c r="N1416" s="6"/>
      <c r="O1416" s="6"/>
      <c r="P1416" s="6"/>
      <c r="Q1416" s="6"/>
      <c r="R1416" s="6"/>
      <c r="S1416" s="6"/>
      <c r="T1416" s="6"/>
    </row>
    <row r="1417" spans="12:20" ht="12.75">
      <c r="L1417" s="6"/>
      <c r="M1417" s="6"/>
      <c r="N1417" s="6"/>
      <c r="O1417" s="6"/>
      <c r="P1417" s="6"/>
      <c r="Q1417" s="6"/>
      <c r="R1417" s="6"/>
      <c r="S1417" s="6"/>
      <c r="T1417" s="6"/>
    </row>
    <row r="1418" spans="12:20" ht="12.75">
      <c r="L1418" s="6"/>
      <c r="M1418" s="6"/>
      <c r="N1418" s="6"/>
      <c r="O1418" s="6"/>
      <c r="P1418" s="6"/>
      <c r="Q1418" s="6"/>
      <c r="R1418" s="6"/>
      <c r="S1418" s="6"/>
      <c r="T1418" s="6"/>
    </row>
    <row r="1419" spans="12:20" ht="12.75">
      <c r="L1419" s="6"/>
      <c r="M1419" s="6"/>
      <c r="N1419" s="6"/>
      <c r="O1419" s="6"/>
      <c r="P1419" s="6"/>
      <c r="Q1419" s="6"/>
      <c r="R1419" s="6"/>
      <c r="S1419" s="6"/>
      <c r="T1419" s="6"/>
    </row>
    <row r="1420" spans="12:20" ht="12.75">
      <c r="L1420" s="6"/>
      <c r="M1420" s="6"/>
      <c r="N1420" s="6"/>
      <c r="O1420" s="6"/>
      <c r="P1420" s="6"/>
      <c r="Q1420" s="6"/>
      <c r="R1420" s="6"/>
      <c r="S1420" s="6"/>
      <c r="T1420" s="6"/>
    </row>
    <row r="1421" spans="12:20" ht="12.75">
      <c r="L1421" s="6"/>
      <c r="M1421" s="6"/>
      <c r="N1421" s="6"/>
      <c r="O1421" s="6"/>
      <c r="P1421" s="6"/>
      <c r="Q1421" s="6"/>
      <c r="R1421" s="6"/>
      <c r="S1421" s="6"/>
      <c r="T1421" s="6"/>
    </row>
    <row r="1422" spans="12:20" ht="12.75">
      <c r="L1422" s="6"/>
      <c r="M1422" s="6"/>
      <c r="N1422" s="6"/>
      <c r="O1422" s="6"/>
      <c r="P1422" s="6"/>
      <c r="Q1422" s="6"/>
      <c r="R1422" s="6"/>
      <c r="S1422" s="6"/>
      <c r="T1422" s="6"/>
    </row>
    <row r="1423" spans="12:20" ht="12.75">
      <c r="L1423" s="6"/>
      <c r="M1423" s="6"/>
      <c r="N1423" s="6"/>
      <c r="O1423" s="6"/>
      <c r="P1423" s="6"/>
      <c r="Q1423" s="6"/>
      <c r="R1423" s="6"/>
      <c r="S1423" s="6"/>
      <c r="T1423" s="6"/>
    </row>
    <row r="1424" spans="12:20" ht="12.75">
      <c r="L1424" s="6"/>
      <c r="M1424" s="6"/>
      <c r="N1424" s="6"/>
      <c r="O1424" s="6"/>
      <c r="P1424" s="6"/>
      <c r="Q1424" s="6"/>
      <c r="R1424" s="6"/>
      <c r="S1424" s="6"/>
      <c r="T1424" s="6"/>
    </row>
    <row r="1425" spans="12:20" ht="12.75">
      <c r="L1425" s="6"/>
      <c r="M1425" s="6"/>
      <c r="N1425" s="6"/>
      <c r="O1425" s="6"/>
      <c r="P1425" s="6"/>
      <c r="Q1425" s="6"/>
      <c r="R1425" s="6"/>
      <c r="S1425" s="6"/>
      <c r="T1425" s="6"/>
    </row>
    <row r="1426" spans="12:20" ht="12.75">
      <c r="L1426" s="6"/>
      <c r="M1426" s="6"/>
      <c r="N1426" s="6"/>
      <c r="O1426" s="6"/>
      <c r="P1426" s="6"/>
      <c r="Q1426" s="6"/>
      <c r="R1426" s="6"/>
      <c r="S1426" s="6"/>
      <c r="T1426" s="6"/>
    </row>
    <row r="1427" spans="12:20" ht="12.75">
      <c r="L1427" s="6"/>
      <c r="M1427" s="6"/>
      <c r="N1427" s="6"/>
      <c r="O1427" s="6"/>
      <c r="P1427" s="6"/>
      <c r="Q1427" s="6"/>
      <c r="R1427" s="6"/>
      <c r="S1427" s="6"/>
      <c r="T1427" s="6"/>
    </row>
    <row r="1428" spans="12:20" ht="12.75">
      <c r="L1428" s="6"/>
      <c r="M1428" s="6"/>
      <c r="N1428" s="6"/>
      <c r="O1428" s="6"/>
      <c r="P1428" s="6"/>
      <c r="Q1428" s="6"/>
      <c r="R1428" s="6"/>
      <c r="S1428" s="6"/>
      <c r="T1428" s="6"/>
    </row>
    <row r="1429" spans="12:20" ht="12.75">
      <c r="L1429" s="6"/>
      <c r="M1429" s="6"/>
      <c r="N1429" s="6"/>
      <c r="O1429" s="6"/>
      <c r="P1429" s="6"/>
      <c r="Q1429" s="6"/>
      <c r="R1429" s="6"/>
      <c r="S1429" s="6"/>
      <c r="T1429" s="6"/>
    </row>
    <row r="1430" spans="12:20" ht="12.75">
      <c r="L1430" s="6"/>
      <c r="M1430" s="6"/>
      <c r="N1430" s="6"/>
      <c r="O1430" s="6"/>
      <c r="P1430" s="6"/>
      <c r="Q1430" s="6"/>
      <c r="R1430" s="6"/>
      <c r="S1430" s="6"/>
      <c r="T1430" s="6"/>
    </row>
    <row r="1431" spans="12:20" ht="12.75">
      <c r="L1431" s="6"/>
      <c r="M1431" s="6"/>
      <c r="N1431" s="6"/>
      <c r="O1431" s="6"/>
      <c r="P1431" s="6"/>
      <c r="Q1431" s="6"/>
      <c r="R1431" s="6"/>
      <c r="S1431" s="6"/>
      <c r="T1431" s="6"/>
    </row>
    <row r="1432" spans="12:20" ht="12.75">
      <c r="L1432" s="6"/>
      <c r="M1432" s="6"/>
      <c r="N1432" s="6"/>
      <c r="O1432" s="6"/>
      <c r="P1432" s="6"/>
      <c r="Q1432" s="6"/>
      <c r="R1432" s="6"/>
      <c r="S1432" s="6"/>
      <c r="T1432" s="6"/>
    </row>
    <row r="1433" spans="12:20" ht="12.75">
      <c r="L1433" s="6"/>
      <c r="M1433" s="6"/>
      <c r="N1433" s="6"/>
      <c r="O1433" s="6"/>
      <c r="P1433" s="6"/>
      <c r="Q1433" s="6"/>
      <c r="R1433" s="6"/>
      <c r="S1433" s="6"/>
      <c r="T1433" s="6"/>
    </row>
    <row r="1434" spans="12:20" ht="12.75">
      <c r="L1434" s="6"/>
      <c r="M1434" s="6"/>
      <c r="N1434" s="6"/>
      <c r="O1434" s="6"/>
      <c r="P1434" s="6"/>
      <c r="Q1434" s="6"/>
      <c r="R1434" s="6"/>
      <c r="S1434" s="6"/>
      <c r="T1434" s="6"/>
    </row>
    <row r="1435" spans="12:20" ht="12.75">
      <c r="L1435" s="6"/>
      <c r="M1435" s="6"/>
      <c r="N1435" s="6"/>
      <c r="O1435" s="6"/>
      <c r="P1435" s="6"/>
      <c r="Q1435" s="6"/>
      <c r="R1435" s="6"/>
      <c r="S1435" s="6"/>
      <c r="T1435" s="6"/>
    </row>
    <row r="1436" spans="12:20" ht="12.75">
      <c r="L1436" s="6"/>
      <c r="M1436" s="6"/>
      <c r="N1436" s="6"/>
      <c r="O1436" s="6"/>
      <c r="P1436" s="6"/>
      <c r="Q1436" s="6"/>
      <c r="R1436" s="6"/>
      <c r="S1436" s="6"/>
      <c r="T1436" s="6"/>
    </row>
    <row r="1437" spans="12:20" ht="12.75">
      <c r="L1437" s="6"/>
      <c r="M1437" s="6"/>
      <c r="N1437" s="6"/>
      <c r="O1437" s="6"/>
      <c r="P1437" s="6"/>
      <c r="Q1437" s="6"/>
      <c r="R1437" s="6"/>
      <c r="S1437" s="6"/>
      <c r="T1437" s="6"/>
    </row>
  </sheetData>
  <sheetProtection/>
  <mergeCells count="590">
    <mergeCell ref="A38:C39"/>
    <mergeCell ref="G38:G39"/>
    <mergeCell ref="A40:C41"/>
    <mergeCell ref="F154:F157"/>
    <mergeCell ref="F133:F136"/>
    <mergeCell ref="A14:C14"/>
    <mergeCell ref="A15:C15"/>
    <mergeCell ref="A16:C16"/>
    <mergeCell ref="A19:C19"/>
    <mergeCell ref="A53:C53"/>
    <mergeCell ref="AB199:AB200"/>
    <mergeCell ref="T194:T198"/>
    <mergeCell ref="A42:C42"/>
    <mergeCell ref="G40:G42"/>
    <mergeCell ref="A43:C43"/>
    <mergeCell ref="AB189:AB193"/>
    <mergeCell ref="Y187:Y188"/>
    <mergeCell ref="AB187:AB188"/>
    <mergeCell ref="S189:S193"/>
    <mergeCell ref="V190:V191"/>
    <mergeCell ref="U419:U420"/>
    <mergeCell ref="F172:F175"/>
    <mergeCell ref="F272:F275"/>
    <mergeCell ref="F248:F251"/>
    <mergeCell ref="F220:F223"/>
    <mergeCell ref="R199:R200"/>
    <mergeCell ref="I185:I186"/>
    <mergeCell ref="L190:L191"/>
    <mergeCell ref="Y403:Y404"/>
    <mergeCell ref="I385:I386"/>
    <mergeCell ref="P187:P188"/>
    <mergeCell ref="I189:I193"/>
    <mergeCell ref="J190:J191"/>
    <mergeCell ref="AB403:AB404"/>
    <mergeCell ref="X201:X202"/>
    <mergeCell ref="AB201:AB202"/>
    <mergeCell ref="AA201:AA202"/>
    <mergeCell ref="I201:I202"/>
    <mergeCell ref="AB418:AB420"/>
    <mergeCell ref="Z418:Z420"/>
    <mergeCell ref="L391:L392"/>
    <mergeCell ref="Q385:Q386"/>
    <mergeCell ref="U385:U386"/>
    <mergeCell ref="U391:U392"/>
    <mergeCell ref="L416:L417"/>
    <mergeCell ref="L419:L420"/>
    <mergeCell ref="O416:O417"/>
    <mergeCell ref="Z398:Z402"/>
    <mergeCell ref="AB178:AB182"/>
    <mergeCell ref="F87:F90"/>
    <mergeCell ref="A254:C254"/>
    <mergeCell ref="AB150:AB151"/>
    <mergeCell ref="AB152:AB153"/>
    <mergeCell ref="Y152:Y153"/>
    <mergeCell ref="P152:P153"/>
    <mergeCell ref="I150:I151"/>
    <mergeCell ref="I152:I153"/>
    <mergeCell ref="T189:T193"/>
    <mergeCell ref="AB194:AB198"/>
    <mergeCell ref="I199:I200"/>
    <mergeCell ref="I178:I182"/>
    <mergeCell ref="K179:K180"/>
    <mergeCell ref="P185:P186"/>
    <mergeCell ref="Y185:Y186"/>
    <mergeCell ref="AB185:AB186"/>
    <mergeCell ref="K195:K196"/>
    <mergeCell ref="L195:L196"/>
    <mergeCell ref="V179:V180"/>
    <mergeCell ref="I183:I184"/>
    <mergeCell ref="W183:W184"/>
    <mergeCell ref="O421:O422"/>
    <mergeCell ref="I416:I417"/>
    <mergeCell ref="J416:J417"/>
    <mergeCell ref="K416:K417"/>
    <mergeCell ref="I418:I420"/>
    <mergeCell ref="J419:J420"/>
    <mergeCell ref="I398:I402"/>
    <mergeCell ref="Q189:Q193"/>
    <mergeCell ref="K419:K420"/>
    <mergeCell ref="AB421:AB422"/>
    <mergeCell ref="F428:F431"/>
    <mergeCell ref="F410:F413"/>
    <mergeCell ref="F373:F376"/>
    <mergeCell ref="U416:U417"/>
    <mergeCell ref="Z416:Z417"/>
    <mergeCell ref="AB416:AB417"/>
    <mergeCell ref="P418:P420"/>
    <mergeCell ref="X418:X420"/>
    <mergeCell ref="I403:I404"/>
    <mergeCell ref="P403:P404"/>
    <mergeCell ref="I393:I397"/>
    <mergeCell ref="J394:J395"/>
    <mergeCell ref="K394:K395"/>
    <mergeCell ref="L394:L395"/>
    <mergeCell ref="J399:J400"/>
    <mergeCell ref="K399:K400"/>
    <mergeCell ref="L399:L400"/>
    <mergeCell ref="O398:O402"/>
    <mergeCell ref="AB393:AB397"/>
    <mergeCell ref="Q393:Q397"/>
    <mergeCell ref="O393:O397"/>
    <mergeCell ref="U394:U395"/>
    <mergeCell ref="Y393:Y397"/>
    <mergeCell ref="AA398:AA402"/>
    <mergeCell ref="AB398:AB402"/>
    <mergeCell ref="X398:X402"/>
    <mergeCell ref="Q398:Q402"/>
    <mergeCell ref="V399:V400"/>
    <mergeCell ref="W358:W361"/>
    <mergeCell ref="K385:K386"/>
    <mergeCell ref="J391:J392"/>
    <mergeCell ref="K391:K392"/>
    <mergeCell ref="AB390:AB392"/>
    <mergeCell ref="AB385:AB386"/>
    <mergeCell ref="J385:J386"/>
    <mergeCell ref="K365:K366"/>
    <mergeCell ref="AB358:AB361"/>
    <mergeCell ref="AB364:AB366"/>
    <mergeCell ref="O358:O361"/>
    <mergeCell ref="Q358:Q361"/>
    <mergeCell ref="U358:U359"/>
    <mergeCell ref="AB362:AB363"/>
    <mergeCell ref="L358:L359"/>
    <mergeCell ref="L360:L361"/>
    <mergeCell ref="U365:U366"/>
    <mergeCell ref="L385:L386"/>
    <mergeCell ref="I380:I381"/>
    <mergeCell ref="O380:O381"/>
    <mergeCell ref="Y380:Y381"/>
    <mergeCell ref="AB380:AB381"/>
    <mergeCell ref="L365:L366"/>
    <mergeCell ref="I364:I366"/>
    <mergeCell ref="P382:P384"/>
    <mergeCell ref="U382:U383"/>
    <mergeCell ref="U355:U356"/>
    <mergeCell ref="U360:U361"/>
    <mergeCell ref="I355:I357"/>
    <mergeCell ref="J365:J366"/>
    <mergeCell ref="Y382:Y384"/>
    <mergeCell ref="AB382:AB384"/>
    <mergeCell ref="I382:I384"/>
    <mergeCell ref="J382:J383"/>
    <mergeCell ref="K382:K383"/>
    <mergeCell ref="L382:L383"/>
    <mergeCell ref="I362:I363"/>
    <mergeCell ref="J358:J359"/>
    <mergeCell ref="K358:K359"/>
    <mergeCell ref="J360:J361"/>
    <mergeCell ref="K360:K361"/>
    <mergeCell ref="J355:J356"/>
    <mergeCell ref="K355:K356"/>
    <mergeCell ref="AA358:AA361"/>
    <mergeCell ref="W355:W357"/>
    <mergeCell ref="AB355:AB357"/>
    <mergeCell ref="Y353:Y354"/>
    <mergeCell ref="AB353:AB354"/>
    <mergeCell ref="I353:I354"/>
    <mergeCell ref="O353:O354"/>
    <mergeCell ref="L355:L356"/>
    <mergeCell ref="Q355:Q357"/>
    <mergeCell ref="P355:P357"/>
    <mergeCell ref="I340:I341"/>
    <mergeCell ref="Y340:Y341"/>
    <mergeCell ref="AB340:AB341"/>
    <mergeCell ref="Z340:Z341"/>
    <mergeCell ref="I337:I339"/>
    <mergeCell ref="J338:J339"/>
    <mergeCell ref="P340:P341"/>
    <mergeCell ref="W337:W339"/>
    <mergeCell ref="AA337:AA339"/>
    <mergeCell ref="J333:J334"/>
    <mergeCell ref="K333:K334"/>
    <mergeCell ref="L333:L334"/>
    <mergeCell ref="Q332:Q336"/>
    <mergeCell ref="T332:T336"/>
    <mergeCell ref="V333:V334"/>
    <mergeCell ref="U338:U339"/>
    <mergeCell ref="K305:K306"/>
    <mergeCell ref="L305:L306"/>
    <mergeCell ref="U305:U306"/>
    <mergeCell ref="L324:L325"/>
    <mergeCell ref="Q320:Q325"/>
    <mergeCell ref="U324:U325"/>
    <mergeCell ref="U320:U321"/>
    <mergeCell ref="AB332:AB336"/>
    <mergeCell ref="K338:K339"/>
    <mergeCell ref="L338:L339"/>
    <mergeCell ref="Q337:Q339"/>
    <mergeCell ref="Q326:Q331"/>
    <mergeCell ref="U326:U327"/>
    <mergeCell ref="AB337:AB339"/>
    <mergeCell ref="K326:K327"/>
    <mergeCell ref="W332:W336"/>
    <mergeCell ref="T337:T339"/>
    <mergeCell ref="K303:K304"/>
    <mergeCell ref="L303:L304"/>
    <mergeCell ref="AB326:AB331"/>
    <mergeCell ref="Y326:Y331"/>
    <mergeCell ref="P307:P312"/>
    <mergeCell ref="U307:U308"/>
    <mergeCell ref="U310:U311"/>
    <mergeCell ref="Z313:Z317"/>
    <mergeCell ref="AB313:AB317"/>
    <mergeCell ref="Q307:Q312"/>
    <mergeCell ref="AB299:AB306"/>
    <mergeCell ref="U301:U302"/>
    <mergeCell ref="Q278:Q281"/>
    <mergeCell ref="Z282:Z285"/>
    <mergeCell ref="Y278:Y281"/>
    <mergeCell ref="AB278:AB281"/>
    <mergeCell ref="AB286:AB290"/>
    <mergeCell ref="Z286:Z290"/>
    <mergeCell ref="AB291:AB298"/>
    <mergeCell ref="U303:U304"/>
    <mergeCell ref="J326:J327"/>
    <mergeCell ref="L326:L327"/>
    <mergeCell ref="Q286:Q290"/>
    <mergeCell ref="V287:V288"/>
    <mergeCell ref="Y286:Y290"/>
    <mergeCell ref="J287:J288"/>
    <mergeCell ref="K287:K288"/>
    <mergeCell ref="L287:L288"/>
    <mergeCell ref="J295:J296"/>
    <mergeCell ref="J303:J304"/>
    <mergeCell ref="J305:J306"/>
    <mergeCell ref="Z291:Z298"/>
    <mergeCell ref="K291:K292"/>
    <mergeCell ref="U291:U292"/>
    <mergeCell ref="U293:U294"/>
    <mergeCell ref="U295:U296"/>
    <mergeCell ref="U297:U298"/>
    <mergeCell ref="Z299:Z306"/>
    <mergeCell ref="K299:K300"/>
    <mergeCell ref="U299:U300"/>
    <mergeCell ref="P262:P265"/>
    <mergeCell ref="I259:I261"/>
    <mergeCell ref="J260:J261"/>
    <mergeCell ref="K260:K261"/>
    <mergeCell ref="J299:J300"/>
    <mergeCell ref="J301:J302"/>
    <mergeCell ref="L299:L300"/>
    <mergeCell ref="K301:K302"/>
    <mergeCell ref="L301:L302"/>
    <mergeCell ref="I286:I290"/>
    <mergeCell ref="Y259:Y261"/>
    <mergeCell ref="L260:L261"/>
    <mergeCell ref="P259:P261"/>
    <mergeCell ref="U260:U261"/>
    <mergeCell ref="T201:T202"/>
    <mergeCell ref="I256:I258"/>
    <mergeCell ref="K257:K258"/>
    <mergeCell ref="J257:J258"/>
    <mergeCell ref="L257:L258"/>
    <mergeCell ref="P256:P258"/>
    <mergeCell ref="U257:U258"/>
    <mergeCell ref="AB233:AB237"/>
    <mergeCell ref="Y230:Y232"/>
    <mergeCell ref="AB230:AB232"/>
    <mergeCell ref="U208:U209"/>
    <mergeCell ref="U212:U213"/>
    <mergeCell ref="AB208:AB213"/>
    <mergeCell ref="V233:V234"/>
    <mergeCell ref="W233:W237"/>
    <mergeCell ref="Z233:Z237"/>
    <mergeCell ref="AB238:AB239"/>
    <mergeCell ref="Y240:Y243"/>
    <mergeCell ref="AB240:AB243"/>
    <mergeCell ref="Y238:Y239"/>
    <mergeCell ref="S238:S239"/>
    <mergeCell ref="W238:W239"/>
    <mergeCell ref="AB203:AB207"/>
    <mergeCell ref="AB163:AB164"/>
    <mergeCell ref="AB160:AB162"/>
    <mergeCell ref="Z160:Z162"/>
    <mergeCell ref="AB165:AB166"/>
    <mergeCell ref="K233:K234"/>
    <mergeCell ref="L233:L234"/>
    <mergeCell ref="Q233:Q237"/>
    <mergeCell ref="R233:R237"/>
    <mergeCell ref="W189:W193"/>
    <mergeCell ref="K161:K162"/>
    <mergeCell ref="Z148:Z149"/>
    <mergeCell ref="AB148:AB149"/>
    <mergeCell ref="AB146:AB147"/>
    <mergeCell ref="Y148:Y149"/>
    <mergeCell ref="Y150:Y151"/>
    <mergeCell ref="L161:L162"/>
    <mergeCell ref="O160:O162"/>
    <mergeCell ref="U161:U162"/>
    <mergeCell ref="P150:P151"/>
    <mergeCell ref="T208:T213"/>
    <mergeCell ref="W178:W182"/>
    <mergeCell ref="AB183:AB184"/>
    <mergeCell ref="W194:W198"/>
    <mergeCell ref="Z163:Z164"/>
    <mergeCell ref="J161:J162"/>
    <mergeCell ref="Y165:Y166"/>
    <mergeCell ref="S178:S182"/>
    <mergeCell ref="T178:T182"/>
    <mergeCell ref="S183:S184"/>
    <mergeCell ref="V195:V196"/>
    <mergeCell ref="Q199:Q200"/>
    <mergeCell ref="S194:S198"/>
    <mergeCell ref="P201:P202"/>
    <mergeCell ref="Q201:Q202"/>
    <mergeCell ref="W201:W202"/>
    <mergeCell ref="S199:S200"/>
    <mergeCell ref="W199:W200"/>
    <mergeCell ref="Q194:Q198"/>
    <mergeCell ref="Q203:Q207"/>
    <mergeCell ref="T203:T207"/>
    <mergeCell ref="S203:S207"/>
    <mergeCell ref="L204:L205"/>
    <mergeCell ref="L231:L232"/>
    <mergeCell ref="W208:W213"/>
    <mergeCell ref="V204:V205"/>
    <mergeCell ref="W203:W207"/>
    <mergeCell ref="U231:U232"/>
    <mergeCell ref="Q208:Q213"/>
    <mergeCell ref="AB142:AB143"/>
    <mergeCell ref="O144:O145"/>
    <mergeCell ref="Y144:Y145"/>
    <mergeCell ref="Y146:Y147"/>
    <mergeCell ref="Z142:Z143"/>
    <mergeCell ref="Z146:Z147"/>
    <mergeCell ref="AB144:AB145"/>
    <mergeCell ref="I117:I120"/>
    <mergeCell ref="I121:I122"/>
    <mergeCell ref="I100:I104"/>
    <mergeCell ref="I142:I143"/>
    <mergeCell ref="A434:C434"/>
    <mergeCell ref="A435:C435"/>
    <mergeCell ref="I123:I128"/>
    <mergeCell ref="I105:I109"/>
    <mergeCell ref="I110:I112"/>
    <mergeCell ref="I113:I116"/>
    <mergeCell ref="I146:I147"/>
    <mergeCell ref="I332:I336"/>
    <mergeCell ref="I358:I361"/>
    <mergeCell ref="I390:I392"/>
    <mergeCell ref="I421:I422"/>
    <mergeCell ref="I240:I243"/>
    <mergeCell ref="I238:I239"/>
    <mergeCell ref="I307:I312"/>
    <mergeCell ref="I313:I317"/>
    <mergeCell ref="I262:I265"/>
    <mergeCell ref="I320:I325"/>
    <mergeCell ref="I299:I306"/>
    <mergeCell ref="I291:I298"/>
    <mergeCell ref="J110:J111"/>
    <mergeCell ref="J100:J101"/>
    <mergeCell ref="J106:J107"/>
    <mergeCell ref="I165:I166"/>
    <mergeCell ref="J291:J292"/>
    <mergeCell ref="I208:I213"/>
    <mergeCell ref="I187:I188"/>
    <mergeCell ref="Q117:Q120"/>
    <mergeCell ref="S233:S237"/>
    <mergeCell ref="K124:K125"/>
    <mergeCell ref="J124:J125"/>
    <mergeCell ref="L124:L125"/>
    <mergeCell ref="Q113:Q116"/>
    <mergeCell ref="O121:O122"/>
    <mergeCell ref="K212:K213"/>
    <mergeCell ref="L208:L209"/>
    <mergeCell ref="L212:L213"/>
    <mergeCell ref="O230:O232"/>
    <mergeCell ref="K204:K205"/>
    <mergeCell ref="K208:K209"/>
    <mergeCell ref="J231:J232"/>
    <mergeCell ref="K231:K232"/>
    <mergeCell ref="L179:L180"/>
    <mergeCell ref="J208:J209"/>
    <mergeCell ref="J212:J213"/>
    <mergeCell ref="J179:J180"/>
    <mergeCell ref="K190:K191"/>
    <mergeCell ref="R208:R213"/>
    <mergeCell ref="K142:K143"/>
    <mergeCell ref="J142:J143"/>
    <mergeCell ref="L142:L143"/>
    <mergeCell ref="A436:C436"/>
    <mergeCell ref="I203:I207"/>
    <mergeCell ref="J204:J205"/>
    <mergeCell ref="I144:I145"/>
    <mergeCell ref="I160:I162"/>
    <mergeCell ref="I163:I164"/>
    <mergeCell ref="I282:I285"/>
    <mergeCell ref="I194:I198"/>
    <mergeCell ref="J195:J196"/>
    <mergeCell ref="I266:I271"/>
    <mergeCell ref="J266:J267"/>
    <mergeCell ref="I230:I232"/>
    <mergeCell ref="I233:I237"/>
    <mergeCell ref="J233:J234"/>
    <mergeCell ref="I278:I281"/>
    <mergeCell ref="I148:I149"/>
    <mergeCell ref="I326:I331"/>
    <mergeCell ref="W65:W66"/>
    <mergeCell ref="V67:V68"/>
    <mergeCell ref="O95:O99"/>
    <mergeCell ref="J95:J96"/>
    <mergeCell ref="I72:I78"/>
    <mergeCell ref="I95:I99"/>
    <mergeCell ref="U65:U66"/>
    <mergeCell ref="J67:J68"/>
    <mergeCell ref="K67:K68"/>
    <mergeCell ref="I65:I66"/>
    <mergeCell ref="J65:J66"/>
    <mergeCell ref="K65:K66"/>
    <mergeCell ref="L95:L96"/>
    <mergeCell ref="L97:L98"/>
    <mergeCell ref="L67:L68"/>
    <mergeCell ref="L65:L66"/>
    <mergeCell ref="L72:L73"/>
    <mergeCell ref="L77:L78"/>
    <mergeCell ref="P95:P99"/>
    <mergeCell ref="J72:J73"/>
    <mergeCell ref="K72:K73"/>
    <mergeCell ref="J77:J78"/>
    <mergeCell ref="K77:K78"/>
    <mergeCell ref="K95:K96"/>
    <mergeCell ref="J97:J98"/>
    <mergeCell ref="K97:K98"/>
    <mergeCell ref="W72:W78"/>
    <mergeCell ref="AB72:AB78"/>
    <mergeCell ref="S67:S71"/>
    <mergeCell ref="T67:T71"/>
    <mergeCell ref="W67:W71"/>
    <mergeCell ref="U95:U96"/>
    <mergeCell ref="Y95:Y99"/>
    <mergeCell ref="AB95:AB99"/>
    <mergeCell ref="Z95:Z99"/>
    <mergeCell ref="U97:U98"/>
    <mergeCell ref="L55:L56"/>
    <mergeCell ref="L59:L60"/>
    <mergeCell ref="U55:U56"/>
    <mergeCell ref="W55:W58"/>
    <mergeCell ref="V59:V60"/>
    <mergeCell ref="W59:W62"/>
    <mergeCell ref="AB55:AB58"/>
    <mergeCell ref="AB65:AB66"/>
    <mergeCell ref="AB59:AB62"/>
    <mergeCell ref="S72:S78"/>
    <mergeCell ref="V72:V73"/>
    <mergeCell ref="U77:U78"/>
    <mergeCell ref="S59:S62"/>
    <mergeCell ref="T55:T58"/>
    <mergeCell ref="AB67:AB71"/>
    <mergeCell ref="T72:T78"/>
    <mergeCell ref="I52:K52"/>
    <mergeCell ref="I55:I58"/>
    <mergeCell ref="I59:I62"/>
    <mergeCell ref="K59:K60"/>
    <mergeCell ref="J59:J60"/>
    <mergeCell ref="J55:J56"/>
    <mergeCell ref="K55:K56"/>
    <mergeCell ref="I67:I71"/>
    <mergeCell ref="R65:R66"/>
    <mergeCell ref="Y113:Y116"/>
    <mergeCell ref="Z113:Z116"/>
    <mergeCell ref="AB113:AB116"/>
    <mergeCell ref="Z100:Z104"/>
    <mergeCell ref="Q105:Q109"/>
    <mergeCell ref="AB110:AB112"/>
    <mergeCell ref="U110:U111"/>
    <mergeCell ref="K110:K111"/>
    <mergeCell ref="L110:L111"/>
    <mergeCell ref="O110:O112"/>
    <mergeCell ref="AB100:AB104"/>
    <mergeCell ref="Y110:Y112"/>
    <mergeCell ref="Z110:Z112"/>
    <mergeCell ref="V100:V101"/>
    <mergeCell ref="W100:W104"/>
    <mergeCell ref="AB105:AB109"/>
    <mergeCell ref="V106:V107"/>
    <mergeCell ref="W105:W109"/>
    <mergeCell ref="K100:K101"/>
    <mergeCell ref="L100:L101"/>
    <mergeCell ref="K106:K107"/>
    <mergeCell ref="L106:L107"/>
    <mergeCell ref="Q100:Q104"/>
    <mergeCell ref="T100:T104"/>
    <mergeCell ref="R100:R104"/>
    <mergeCell ref="R105:R109"/>
    <mergeCell ref="S105:S109"/>
    <mergeCell ref="Z105:Z109"/>
    <mergeCell ref="J269:J270"/>
    <mergeCell ref="K269:K270"/>
    <mergeCell ref="L266:L267"/>
    <mergeCell ref="L269:L270"/>
    <mergeCell ref="Q266:Q271"/>
    <mergeCell ref="Q240:Q243"/>
    <mergeCell ref="K266:K267"/>
    <mergeCell ref="J263:J264"/>
    <mergeCell ref="K263:K264"/>
    <mergeCell ref="L263:L264"/>
    <mergeCell ref="Y117:Y120"/>
    <mergeCell ref="Z117:Z120"/>
    <mergeCell ref="AB117:AB120"/>
    <mergeCell ref="Z121:Z122"/>
    <mergeCell ref="AB121:AB122"/>
    <mergeCell ref="Q123:Q128"/>
    <mergeCell ref="AB123:AB128"/>
    <mergeCell ref="S123:S128"/>
    <mergeCell ref="T123:T128"/>
    <mergeCell ref="Y121:Y122"/>
    <mergeCell ref="V124:V125"/>
    <mergeCell ref="W123:W128"/>
    <mergeCell ref="O142:O143"/>
    <mergeCell ref="U142:U143"/>
    <mergeCell ref="O163:O164"/>
    <mergeCell ref="O165:O166"/>
    <mergeCell ref="L297:L298"/>
    <mergeCell ref="Z165:Z166"/>
    <mergeCell ref="J307:J308"/>
    <mergeCell ref="K307:K308"/>
    <mergeCell ref="J310:J311"/>
    <mergeCell ref="K310:K311"/>
    <mergeCell ref="L307:L308"/>
    <mergeCell ref="L310:L311"/>
    <mergeCell ref="Q299:Q306"/>
    <mergeCell ref="U266:U267"/>
    <mergeCell ref="J293:J294"/>
    <mergeCell ref="K293:K294"/>
    <mergeCell ref="Q291:Q298"/>
    <mergeCell ref="K295:K296"/>
    <mergeCell ref="J297:J298"/>
    <mergeCell ref="K297:K298"/>
    <mergeCell ref="L291:L292"/>
    <mergeCell ref="L293:L294"/>
    <mergeCell ref="L295:L296"/>
    <mergeCell ref="Y320:Y325"/>
    <mergeCell ref="Z320:Z325"/>
    <mergeCell ref="AB320:AB325"/>
    <mergeCell ref="K320:K321"/>
    <mergeCell ref="K324:K325"/>
    <mergeCell ref="Z307:Z312"/>
    <mergeCell ref="AB307:AB312"/>
    <mergeCell ref="Y307:Y312"/>
    <mergeCell ref="U316:U317"/>
    <mergeCell ref="Y313:Y317"/>
    <mergeCell ref="P238:P239"/>
    <mergeCell ref="U263:U264"/>
    <mergeCell ref="Y262:Y265"/>
    <mergeCell ref="Z262:Z265"/>
    <mergeCell ref="AB262:AB265"/>
    <mergeCell ref="AB259:AB261"/>
    <mergeCell ref="Z259:Z261"/>
    <mergeCell ref="AB256:AB258"/>
    <mergeCell ref="Z240:Z243"/>
    <mergeCell ref="Y256:Y258"/>
    <mergeCell ref="U269:U270"/>
    <mergeCell ref="AB266:AB270"/>
    <mergeCell ref="Q282:Q285"/>
    <mergeCell ref="Y282:Y285"/>
    <mergeCell ref="AB282:AB285"/>
    <mergeCell ref="J316:J317"/>
    <mergeCell ref="K316:K317"/>
    <mergeCell ref="L316:L317"/>
    <mergeCell ref="O313:O317"/>
    <mergeCell ref="Q313:Q317"/>
    <mergeCell ref="J320:J321"/>
    <mergeCell ref="J324:J325"/>
    <mergeCell ref="L320:L321"/>
    <mergeCell ref="A2:C2"/>
    <mergeCell ref="A3:C6"/>
    <mergeCell ref="A7:C7"/>
    <mergeCell ref="A8:C8"/>
    <mergeCell ref="A36:C36"/>
    <mergeCell ref="A37:C37"/>
    <mergeCell ref="A10:C11"/>
    <mergeCell ref="G36:G37"/>
    <mergeCell ref="A9:C9"/>
    <mergeCell ref="A13:C13"/>
    <mergeCell ref="A20:C20"/>
    <mergeCell ref="A33:C33"/>
    <mergeCell ref="A35:C35"/>
    <mergeCell ref="A29:C30"/>
    <mergeCell ref="A34:C34"/>
    <mergeCell ref="G3:G9"/>
    <mergeCell ref="G10:G14"/>
    <mergeCell ref="G17:G22"/>
    <mergeCell ref="G25:G35"/>
    <mergeCell ref="A21:C21"/>
    <mergeCell ref="A22:C22"/>
    <mergeCell ref="A23:C23"/>
    <mergeCell ref="A17:C18"/>
    <mergeCell ref="A25:C28"/>
    <mergeCell ref="A31:C32"/>
    <mergeCell ref="A12:C12"/>
  </mergeCells>
  <printOptions/>
  <pageMargins left="0.75" right="0.75" top="1" bottom="1" header="0.4921259845" footer="0.4921259845"/>
  <pageSetup horizontalDpi="600" verticalDpi="600" orientation="portrait" paperSize="9" scale="81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 Ľubo</dc:creator>
  <cp:keywords/>
  <dc:description/>
  <cp:lastModifiedBy>Laka</cp:lastModifiedBy>
  <cp:lastPrinted>2018-04-10T16:48:32Z</cp:lastPrinted>
  <dcterms:created xsi:type="dcterms:W3CDTF">2007-11-28T20:25:25Z</dcterms:created>
  <dcterms:modified xsi:type="dcterms:W3CDTF">2018-04-10T16:57:58Z</dcterms:modified>
  <cp:category/>
  <cp:version/>
  <cp:contentType/>
  <cp:contentStatus/>
</cp:coreProperties>
</file>