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<sst xmlns="http://schemas.openxmlformats.org/spreadsheetml/2006/main" count="1188" uniqueCount="430">
  <si>
    <t>Výpusť umyvadlová , click/clack 5/4 chrom</t>
  </si>
  <si>
    <t>Doba výstavby:</t>
  </si>
  <si>
    <t>725219401R00</t>
  </si>
  <si>
    <t>Provedení izolace proti vlhkosti na ploše vodorovné, asfaltovými pásy přitavením</t>
  </si>
  <si>
    <t>Projektant</t>
  </si>
  <si>
    <t>_9_</t>
  </si>
  <si>
    <t>67</t>
  </si>
  <si>
    <t>Montáž zárubňe ocelové</t>
  </si>
  <si>
    <t>Základ 15%</t>
  </si>
  <si>
    <t>Malby</t>
  </si>
  <si>
    <t>Zárubeň ocelová HSE "R" 800x1970 L, P</t>
  </si>
  <si>
    <t>725825111RT1</t>
  </si>
  <si>
    <t>725860215R00</t>
  </si>
  <si>
    <t>55331221</t>
  </si>
  <si>
    <t>Základ 21%</t>
  </si>
  <si>
    <t>20</t>
  </si>
  <si>
    <t>55149002</t>
  </si>
  <si>
    <t>Dodávka</t>
  </si>
  <si>
    <t>NUS celkem z obj.</t>
  </si>
  <si>
    <t>725539102R00</t>
  </si>
  <si>
    <t>711</t>
  </si>
  <si>
    <t>Název stavby:</t>
  </si>
  <si>
    <t>163VD</t>
  </si>
  <si>
    <t>Ostatní materiál</t>
  </si>
  <si>
    <t>48</t>
  </si>
  <si>
    <t>29</t>
  </si>
  <si>
    <t>Č</t>
  </si>
  <si>
    <t>Poznámka:</t>
  </si>
  <si>
    <t>Lokalita:</t>
  </si>
  <si>
    <t>79</t>
  </si>
  <si>
    <t>Prahová lišta PL-2, l=800 mm</t>
  </si>
  <si>
    <t>71</t>
  </si>
  <si>
    <t>16</t>
  </si>
  <si>
    <t>PSV</t>
  </si>
  <si>
    <t>24</t>
  </si>
  <si>
    <t>Zrcadlo na vlepení do obkladu 120x60</t>
  </si>
  <si>
    <t>Bez pevné podl.</t>
  </si>
  <si>
    <t>Celkem</t>
  </si>
  <si>
    <t>Zařízení staveniště</t>
  </si>
  <si>
    <t>998011002R00</t>
  </si>
  <si>
    <t>766_</t>
  </si>
  <si>
    <t>RAKO serie extra - Betonico 45x45 cm šedá</t>
  </si>
  <si>
    <t>Montáž klozetových mís kombinovaných</t>
  </si>
  <si>
    <t>4</t>
  </si>
  <si>
    <t>94</t>
  </si>
  <si>
    <t>317120033RAB</t>
  </si>
  <si>
    <t>784195422R00</t>
  </si>
  <si>
    <t>60</t>
  </si>
  <si>
    <t>Základní rozpočtové náklady</t>
  </si>
  <si>
    <t>26</t>
  </si>
  <si>
    <t>Celkem bez DPH</t>
  </si>
  <si>
    <t>61160403</t>
  </si>
  <si>
    <t>721_</t>
  </si>
  <si>
    <t>_4_</t>
  </si>
  <si>
    <t>6</t>
  </si>
  <si>
    <t>Rozpočtové náklady v Kč</t>
  </si>
  <si>
    <t>631342823R00</t>
  </si>
  <si>
    <t>68</t>
  </si>
  <si>
    <t>81</t>
  </si>
  <si>
    <t>317120033RAD</t>
  </si>
  <si>
    <t>B</t>
  </si>
  <si>
    <t>Náklady na umístění stavby (NUS)</t>
  </si>
  <si>
    <t>Montáž elektr.ohřívačů, ostatní typy do  80 l</t>
  </si>
  <si>
    <t>Přesun hmot pro budovy zděné výšky do 6 m</t>
  </si>
  <si>
    <t>42</t>
  </si>
  <si>
    <t>Montáž tepelné izolace podlah na sucho, jednovrstvá polystyren tl. 100 mm</t>
  </si>
  <si>
    <t>Montáž</t>
  </si>
  <si>
    <t>Datum, razítko a podpis</t>
  </si>
  <si>
    <t>713111111RV4</t>
  </si>
  <si>
    <t>ZRN celkem</t>
  </si>
  <si>
    <t>Dveře vnitřní hladké 1kř. 60x197 bílé</t>
  </si>
  <si>
    <t>Nezařazeno</t>
  </si>
  <si>
    <t>sada</t>
  </si>
  <si>
    <t>342255024RT1</t>
  </si>
  <si>
    <t>69</t>
  </si>
  <si>
    <t>64286200</t>
  </si>
  <si>
    <t>Z99999_</t>
  </si>
  <si>
    <t>33</t>
  </si>
  <si>
    <t>DPH 15%</t>
  </si>
  <si>
    <t>78</t>
  </si>
  <si>
    <t>Krycí list slepého rozpočtu</t>
  </si>
  <si>
    <t>63</t>
  </si>
  <si>
    <t>KD Hradiště</t>
  </si>
  <si>
    <t>_78_</t>
  </si>
  <si>
    <t>783_</t>
  </si>
  <si>
    <t>Stěny a příčky</t>
  </si>
  <si>
    <t>Demontáž pisoáru</t>
  </si>
  <si>
    <t>783423330R00</t>
  </si>
  <si>
    <t>Dveřní kování PREMIO</t>
  </si>
  <si>
    <t>25</t>
  </si>
  <si>
    <t>kus</t>
  </si>
  <si>
    <t>725290010RA0</t>
  </si>
  <si>
    <t>Dodávky</t>
  </si>
  <si>
    <t>soustava</t>
  </si>
  <si>
    <t>Ostatní mat.</t>
  </si>
  <si>
    <t>Ostatní náklady</t>
  </si>
  <si>
    <t>Cenová</t>
  </si>
  <si>
    <t>735139008R00</t>
  </si>
  <si>
    <t>64286208</t>
  </si>
  <si>
    <t>HSV prac</t>
  </si>
  <si>
    <t>Osoušeč rukou, štěrbinový Sanela automat, montáž</t>
  </si>
  <si>
    <t>767_</t>
  </si>
  <si>
    <t>13</t>
  </si>
  <si>
    <t>Baterie umyvadlová stojánková Novaservis Metalia</t>
  </si>
  <si>
    <t>100VD_</t>
  </si>
  <si>
    <t>"M"</t>
  </si>
  <si>
    <t>Konstrukce doplňkové stavební (zámečnické)</t>
  </si>
  <si>
    <t>305VD_</t>
  </si>
  <si>
    <t>54914633</t>
  </si>
  <si>
    <t>Montáž výztužné sítě (perlinky) do stěrky</t>
  </si>
  <si>
    <t>Cena/MJ</t>
  </si>
  <si>
    <t>Konec výstavby:</t>
  </si>
  <si>
    <t>Kód</t>
  </si>
  <si>
    <t>S</t>
  </si>
  <si>
    <t>43</t>
  </si>
  <si>
    <t>Zárubeň ocelová HSE "R" 600x1970 L, P</t>
  </si>
  <si>
    <t>Předstěna SDK,tl.55mm,1xoc.kce C,1xRBI 12,5mm,izol</t>
  </si>
  <si>
    <t>Montáž baterie stojánkové</t>
  </si>
  <si>
    <t>611100017RA0</t>
  </si>
  <si>
    <t>725534222R00</t>
  </si>
  <si>
    <t>621481211RT2</t>
  </si>
  <si>
    <t>Split dělící stěna pisoár vč. nerezových úchytů 400x600x6mm bílá</t>
  </si>
  <si>
    <t>soubor</t>
  </si>
  <si>
    <t>MJ</t>
  </si>
  <si>
    <t>45</t>
  </si>
  <si>
    <t>40</t>
  </si>
  <si>
    <t>Doplňkové náklady</t>
  </si>
  <si>
    <t>Sedátko klozetové DEEP duroplastové</t>
  </si>
  <si>
    <t>Zednické přípomoce po elektro a vodoinstalacích, obezdění splachovače</t>
  </si>
  <si>
    <t>Trubní vedení vnitřní</t>
  </si>
  <si>
    <t>PSV prac</t>
  </si>
  <si>
    <t>HSV</t>
  </si>
  <si>
    <t>Poplatek za uložení suti - komunální odpad, skupina odpadu 170802</t>
  </si>
  <si>
    <t>Příčky z desek Ytong tl. 100 mm</t>
  </si>
  <si>
    <t>9</t>
  </si>
  <si>
    <t>Malba Primalex Polar, barva, bez penetrace, 2 x</t>
  </si>
  <si>
    <t>15</t>
  </si>
  <si>
    <t>553310501</t>
  </si>
  <si>
    <t>Potrubí KG svodné (ležaté) v podlaze, D 110 x 3,2 mm</t>
  </si>
  <si>
    <t>ISWORK</t>
  </si>
  <si>
    <t>Celkem včetně DPH</t>
  </si>
  <si>
    <t>_72_</t>
  </si>
  <si>
    <t>Základ 0%</t>
  </si>
  <si>
    <t>55331220</t>
  </si>
  <si>
    <t>Bourání zdiva z cihel pálených na MVC, ručně</t>
  </si>
  <si>
    <t>S_</t>
  </si>
  <si>
    <t>766</t>
  </si>
  <si>
    <t>Prahová lišta PL-2, l=600 mm</t>
  </si>
  <si>
    <t>52</t>
  </si>
  <si>
    <t>416023133R00</t>
  </si>
  <si>
    <t>51</t>
  </si>
  <si>
    <t>Přesuny sutí</t>
  </si>
  <si>
    <t>Penetrace podkladu BASF, 1x</t>
  </si>
  <si>
    <t>Mont prac</t>
  </si>
  <si>
    <t>_3_</t>
  </si>
  <si>
    <t>Obklady (keramické)</t>
  </si>
  <si>
    <t>44</t>
  </si>
  <si>
    <t>62_</t>
  </si>
  <si>
    <t>Štuk vnitřní i vnější Salith, ručně</t>
  </si>
  <si>
    <t>23</t>
  </si>
  <si>
    <t>210200321R00</t>
  </si>
  <si>
    <t>725_</t>
  </si>
  <si>
    <t>781_</t>
  </si>
  <si>
    <t>767</t>
  </si>
  <si>
    <t>Bourání lehčených mazanin tl. 10 cm, nad 4 m2</t>
  </si>
  <si>
    <t>725835813RT0</t>
  </si>
  <si>
    <t>Nátěr ostatních stavebních konstrukcí, zárubeň bílá</t>
  </si>
  <si>
    <t>59</t>
  </si>
  <si>
    <t>Likvidace odpadu a stavebních hmot</t>
  </si>
  <si>
    <t>Mazanina z polystyrenbetonu tl. 10 cm, 0,5 MPa</t>
  </si>
  <si>
    <t>t</t>
  </si>
  <si>
    <t> </t>
  </si>
  <si>
    <t>53</t>
  </si>
  <si>
    <t>Tento položkový rozpočet je informativního charakteru, konečná cena díla bude upřesněna dle termínu realizace výstavby a bude se odvíjet od aktuální hladiny cen materiálů.
Položkový rozpočet dále nezahrnuje případné změny v průběhu realizace stavby, tyto změny budou případně sepsány jako dodatek položkového rozpočtu a budou podepsány objednatelem/zhotovitelem.</t>
  </si>
  <si>
    <t>Konstrukce truhlářské</t>
  </si>
  <si>
    <t>965081812RT2</t>
  </si>
  <si>
    <t>Revize a tlakové zkoušky</t>
  </si>
  <si>
    <t>JKSO:</t>
  </si>
  <si>
    <t>64</t>
  </si>
  <si>
    <t>Klozet kombi.JIKA DEEP vodor. odpad, boční napouštění</t>
  </si>
  <si>
    <t>965041341RT4</t>
  </si>
  <si>
    <t>Montáž pisoáru na šrouby, včetně připojení</t>
  </si>
  <si>
    <t>Příčky z desek Ytong tl. 150 mm</t>
  </si>
  <si>
    <t>Odstranění násypu tl. do 20 cm, plocha nad 2 m2</t>
  </si>
  <si>
    <t>77</t>
  </si>
  <si>
    <t>DN celkem</t>
  </si>
  <si>
    <t>_73_</t>
  </si>
  <si>
    <t>Umyvadlo Jika 55x42 cm</t>
  </si>
  <si>
    <t>GROUPCODE</t>
  </si>
  <si>
    <t>979990110R00</t>
  </si>
  <si>
    <t>597623052</t>
  </si>
  <si>
    <t>0</t>
  </si>
  <si>
    <t>Provozní vlivy</t>
  </si>
  <si>
    <t>Pomocné lešení, lehké do výšky 2 m</t>
  </si>
  <si>
    <t>5</t>
  </si>
  <si>
    <t>Druh stavby:</t>
  </si>
  <si>
    <t>784</t>
  </si>
  <si>
    <t>96</t>
  </si>
  <si>
    <t>429148043</t>
  </si>
  <si>
    <t>Zpracováno dne:</t>
  </si>
  <si>
    <t>Upevnění doplňků koupelny</t>
  </si>
  <si>
    <t>1260VD</t>
  </si>
  <si>
    <t>735_</t>
  </si>
  <si>
    <t>728</t>
  </si>
  <si>
    <t>783</t>
  </si>
  <si>
    <t>Sada upevňovací pro umyvadla a umývátka</t>
  </si>
  <si>
    <t>RTS II / 2021</t>
  </si>
  <si>
    <t>Bourání dlažeb terac.,čedič. tl.do 30 mm, pl. nad 4 m2</t>
  </si>
  <si>
    <t>553310500</t>
  </si>
  <si>
    <t>711212001RS3</t>
  </si>
  <si>
    <t>941955003R00</t>
  </si>
  <si>
    <t>Šrouby upevňovací k urinálu GOLEM</t>
  </si>
  <si>
    <t>10</t>
  </si>
  <si>
    <t>58</t>
  </si>
  <si>
    <t>781475111RU2</t>
  </si>
  <si>
    <t>36</t>
  </si>
  <si>
    <t>Ventilátor do koupelny VENTS 125 MATL TURBO</t>
  </si>
  <si>
    <t>14</t>
  </si>
  <si>
    <t>31</t>
  </si>
  <si>
    <t>Zařizovací předměty</t>
  </si>
  <si>
    <t>728114111R00</t>
  </si>
  <si>
    <t>_77_</t>
  </si>
  <si>
    <t>Množství</t>
  </si>
  <si>
    <t>64215364</t>
  </si>
  <si>
    <t>38</t>
  </si>
  <si>
    <t>631312711RT6</t>
  </si>
  <si>
    <t>713121111RV5</t>
  </si>
  <si>
    <t>Překlad nenosný Ytong</t>
  </si>
  <si>
    <t>631362021R00</t>
  </si>
  <si>
    <t>Budovy občanské výstavby</t>
  </si>
  <si>
    <t>767822201R00</t>
  </si>
  <si>
    <t>Typ skupiny</t>
  </si>
  <si>
    <t>73</t>
  </si>
  <si>
    <t>Podhledy SDK, profily Rigistil, 1x deska RBI 12,5</t>
  </si>
  <si>
    <t>725860261R00</t>
  </si>
  <si>
    <t>721100011RA0</t>
  </si>
  <si>
    <t>61_</t>
  </si>
  <si>
    <t>Obklad vnitřní stěn keram. do 60x60, včetně tmele a spár. hmot</t>
  </si>
  <si>
    <t>115VD</t>
  </si>
  <si>
    <t>56</t>
  </si>
  <si>
    <t>19</t>
  </si>
  <si>
    <t>Rozvody vodovodní</t>
  </si>
  <si>
    <t>C</t>
  </si>
  <si>
    <t>Náklady (Kč)</t>
  </si>
  <si>
    <t>721</t>
  </si>
  <si>
    <t>WC sada Sanela, nerez matný</t>
  </si>
  <si>
    <t>39</t>
  </si>
  <si>
    <t>30</t>
  </si>
  <si>
    <t>Dveře vnitřní hladké 1kř. 70x197 bílé</t>
  </si>
  <si>
    <t>IČO/DIČ:</t>
  </si>
  <si>
    <t>H01</t>
  </si>
  <si>
    <t>Ostatní</t>
  </si>
  <si>
    <t>55</t>
  </si>
  <si>
    <t>Zpracoval:</t>
  </si>
  <si>
    <t>Prahová lišta PL-2, l=700 mm</t>
  </si>
  <si>
    <t>Pisoár keram. SLP19RS Golem JIKA</t>
  </si>
  <si>
    <t>76</t>
  </si>
  <si>
    <t>Demontáž klozetu včetně splachovací nádrže</t>
  </si>
  <si>
    <t>61160401</t>
  </si>
  <si>
    <t>Zhotovitel</t>
  </si>
  <si>
    <t>Montáž tepelné izolace stropů vrchem kladené, volně Isover UNI tl. 150 mm</t>
  </si>
  <si>
    <t>Dveře vnitřní hladké 1kř. 80x197 bílé</t>
  </si>
  <si>
    <t>2</t>
  </si>
  <si>
    <t>105VD</t>
  </si>
  <si>
    <t>Projektant:</t>
  </si>
  <si>
    <t>ORN celkem</t>
  </si>
  <si>
    <t/>
  </si>
  <si>
    <t>711111011RZ1</t>
  </si>
  <si>
    <t>17</t>
  </si>
  <si>
    <t>347013123R00</t>
  </si>
  <si>
    <t>64251334</t>
  </si>
  <si>
    <t>Lešení a stavební výtahy</t>
  </si>
  <si>
    <t>Montáž otopných těles</t>
  </si>
  <si>
    <t>21</t>
  </si>
  <si>
    <t>34_</t>
  </si>
  <si>
    <t>642328604</t>
  </si>
  <si>
    <t>Úprava povrchů vnitřní</t>
  </si>
  <si>
    <t>Práce přesčas</t>
  </si>
  <si>
    <t>31_</t>
  </si>
  <si>
    <t>41_</t>
  </si>
  <si>
    <t>61</t>
  </si>
  <si>
    <t>64286206</t>
  </si>
  <si>
    <t>553310502</t>
  </si>
  <si>
    <t>12</t>
  </si>
  <si>
    <t>725139102R00</t>
  </si>
  <si>
    <t>Kulturní památka</t>
  </si>
  <si>
    <t>Stropy a stropní konstrukce (pro pozemní stavby)</t>
  </si>
  <si>
    <t>Bourání konstrukcí</t>
  </si>
  <si>
    <t>Otopná tělesa</t>
  </si>
  <si>
    <t>DPH 21%</t>
  </si>
  <si>
    <t>711141559RY2</t>
  </si>
  <si>
    <t>5511376912</t>
  </si>
  <si>
    <t>Elektromontáže</t>
  </si>
  <si>
    <t>771575118R00</t>
  </si>
  <si>
    <t>_</t>
  </si>
  <si>
    <t>Montáž dveří, oc. zárubeň, kyvné 1kř. š. do 1 m</t>
  </si>
  <si>
    <t>ORN celkem z obj.</t>
  </si>
  <si>
    <t>100VD</t>
  </si>
  <si>
    <t>49</t>
  </si>
  <si>
    <t>72</t>
  </si>
  <si>
    <t>713_</t>
  </si>
  <si>
    <t>Přesuny</t>
  </si>
  <si>
    <t>MAT</t>
  </si>
  <si>
    <t>725119305R00</t>
  </si>
  <si>
    <t>484517338</t>
  </si>
  <si>
    <t>Ventil rohový Schell 3/8*1/2</t>
  </si>
  <si>
    <t>70</t>
  </si>
  <si>
    <t>8</t>
  </si>
  <si>
    <t>Celkem:</t>
  </si>
  <si>
    <t>Mimostav. doprava</t>
  </si>
  <si>
    <t>Nátěry</t>
  </si>
  <si>
    <t>18</t>
  </si>
  <si>
    <t>DN celkem z obj.</t>
  </si>
  <si>
    <t>46</t>
  </si>
  <si>
    <t>781</t>
  </si>
  <si>
    <t>728_</t>
  </si>
  <si>
    <t>713</t>
  </si>
  <si>
    <t>_76_</t>
  </si>
  <si>
    <t>Úprava povrchů vnější</t>
  </si>
  <si>
    <t>50</t>
  </si>
  <si>
    <t>Rekonstrukce toalet</t>
  </si>
  <si>
    <t>11</t>
  </si>
  <si>
    <t>RTS II / 2022</t>
  </si>
  <si>
    <t>32</t>
  </si>
  <si>
    <t>Objednatel:</t>
  </si>
  <si>
    <t>766664121R00</t>
  </si>
  <si>
    <t>342255028RT1</t>
  </si>
  <si>
    <t>PSV mat</t>
  </si>
  <si>
    <t>Izolace tepelné</t>
  </si>
  <si>
    <t>965082933RT1</t>
  </si>
  <si>
    <t>Znojmo-Hradiště</t>
  </si>
  <si>
    <t>725814102R00</t>
  </si>
  <si>
    <t>Držák toaletního papíru nerez SLZN 26</t>
  </si>
  <si>
    <t>3</t>
  </si>
  <si>
    <t>711_</t>
  </si>
  <si>
    <t>_1_</t>
  </si>
  <si>
    <t>Zhotovitel:</t>
  </si>
  <si>
    <t>Podlahy z dlaždic</t>
  </si>
  <si>
    <t>96_</t>
  </si>
  <si>
    <t>784_</t>
  </si>
  <si>
    <t>35</t>
  </si>
  <si>
    <t>Začátek výstavby:</t>
  </si>
  <si>
    <t>A</t>
  </si>
  <si>
    <t>725290020RA0</t>
  </si>
  <si>
    <t>Mont mat</t>
  </si>
  <si>
    <t>55149001</t>
  </si>
  <si>
    <t>Slepý stavební rozpočet</t>
  </si>
  <si>
    <t>615290319</t>
  </si>
  <si>
    <t>Výztuž mazanin svařovanou sítí z drátů Kari</t>
  </si>
  <si>
    <t>63_</t>
  </si>
  <si>
    <t>Elektroinstalace kompletní, včetně rozvodny, ABB Tango</t>
  </si>
  <si>
    <t>75</t>
  </si>
  <si>
    <t>54</t>
  </si>
  <si>
    <t xml:space="preserve"> </t>
  </si>
  <si>
    <t>Stavební přípomoce</t>
  </si>
  <si>
    <t>Montáž VZT potrubí plastového kruhového do d 100 mm</t>
  </si>
  <si>
    <t>784221101RT1</t>
  </si>
  <si>
    <t>163VD_</t>
  </si>
  <si>
    <t>Penetrace podkladu univerzální Primalex</t>
  </si>
  <si>
    <t>Objednatel</t>
  </si>
  <si>
    <t>57</t>
  </si>
  <si>
    <t>305VD</t>
  </si>
  <si>
    <t>(Kč)</t>
  </si>
  <si>
    <t>22</t>
  </si>
  <si>
    <t>725829503R00</t>
  </si>
  <si>
    <t>Územní vlivy</t>
  </si>
  <si>
    <t>Zdi podpěrné a volné</t>
  </si>
  <si>
    <t>Izolace proti vodě a vlhkosti, hydroizolační povlak - nátěr</t>
  </si>
  <si>
    <t>m3</t>
  </si>
  <si>
    <t>725</t>
  </si>
  <si>
    <t>_6_</t>
  </si>
  <si>
    <t>Datum:</t>
  </si>
  <si>
    <t>27</t>
  </si>
  <si>
    <t>37</t>
  </si>
  <si>
    <t>80</t>
  </si>
  <si>
    <t>m2</t>
  </si>
  <si>
    <t>41</t>
  </si>
  <si>
    <t>Montáž umyvadel na šrouby do zdiva</t>
  </si>
  <si>
    <t>Přesun hmot a sutí</t>
  </si>
  <si>
    <t>NUS z rozpočtu</t>
  </si>
  <si>
    <t>1</t>
  </si>
  <si>
    <t>7</t>
  </si>
  <si>
    <t>Rozměry</t>
  </si>
  <si>
    <t>725290030RA0</t>
  </si>
  <si>
    <t>74</t>
  </si>
  <si>
    <t>Položek:</t>
  </si>
  <si>
    <t>NUS celkem</t>
  </si>
  <si>
    <t>Podlahy a podlahové konstrukce</t>
  </si>
  <si>
    <t>WORK</t>
  </si>
  <si>
    <t>Výlevka závěsná MIRA s plastovou mřížkou, montáž</t>
  </si>
  <si>
    <t>Mazanina betonová tl. 6 cm strojně hlazená, s polypropylénovými vlákny 0,6 kg / m3</t>
  </si>
  <si>
    <t>H01_</t>
  </si>
  <si>
    <t>55331222</t>
  </si>
  <si>
    <t>771_</t>
  </si>
  <si>
    <t>47</t>
  </si>
  <si>
    <t>Ohřívač elek. zásob. závěsný Dražice do 50 l</t>
  </si>
  <si>
    <t>735</t>
  </si>
  <si>
    <t>725019103R00</t>
  </si>
  <si>
    <t>Obklad Villeroy Boch 30x60 cm, melrose</t>
  </si>
  <si>
    <t>HSV mat</t>
  </si>
  <si>
    <t>66</t>
  </si>
  <si>
    <t>551674020</t>
  </si>
  <si>
    <t>Svítidlo Led stropní, zapuštěné Eglo 205mm</t>
  </si>
  <si>
    <t>Vzduchotechnika</t>
  </si>
  <si>
    <t>Provedení izolace proti vlhkosti na ploše vodorovné, 1x nátěrem asfaltovou suspenzí</t>
  </si>
  <si>
    <t>784231101R00</t>
  </si>
  <si>
    <t>Sifon umyvadlový, mosazný EASY 5/4 chrom</t>
  </si>
  <si>
    <t>61160402</t>
  </si>
  <si>
    <t>Zárubeň ocelová HSE "R" 700x1970 L, P</t>
  </si>
  <si>
    <t>Radiátor koupelnový  olejový 1000w, hliníkový, bílý</t>
  </si>
  <si>
    <t>115VD_</t>
  </si>
  <si>
    <t>725900952R00</t>
  </si>
  <si>
    <t>Zkrácený popis</t>
  </si>
  <si>
    <t>28</t>
  </si>
  <si>
    <t>_Z_</t>
  </si>
  <si>
    <t>962032231R00</t>
  </si>
  <si>
    <t>771</t>
  </si>
  <si>
    <t>CELK</t>
  </si>
  <si>
    <t>94_</t>
  </si>
  <si>
    <t>65</t>
  </si>
  <si>
    <t>59761005</t>
  </si>
  <si>
    <t>34</t>
  </si>
  <si>
    <t>62</t>
  </si>
  <si>
    <t>_71_</t>
  </si>
  <si>
    <t>Sada upevňovací pro klozety a bidety DEEP</t>
  </si>
  <si>
    <t>Izolace proti vodě</t>
  </si>
  <si>
    <t>Demontáž umyvadla včetně baterie a konzol</t>
  </si>
  <si>
    <t>Montáž podlah keram. do 60x60, včetně tmele a spár. hmot</t>
  </si>
  <si>
    <t>Vnitřní kanalizace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</si>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</sst>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i/>
      <sz val="8"/>
      <color indexed="8"/>
      <name val="Arial"/>
      <family val="0"/>
    </font>
    <font>
      <b/>
      <sz val="2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i/>
      <sz val="8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4" fontId="47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right" vertical="center"/>
      <protection/>
    </xf>
    <xf numFmtId="4" fontId="45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8" fillId="33" borderId="13" xfId="0" applyNumberFormat="1" applyFont="1" applyFill="1" applyBorder="1" applyAlignment="1" applyProtection="1">
      <alignment horizontal="righ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4" fontId="47" fillId="33" borderId="16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righ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center" vertical="center"/>
      <protection/>
    </xf>
    <xf numFmtId="4" fontId="46" fillId="0" borderId="17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0" fontId="48" fillId="0" borderId="18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50" fillId="33" borderId="19" xfId="0" applyNumberFormat="1" applyFont="1" applyFill="1" applyBorder="1" applyAlignment="1" applyProtection="1">
      <alignment horizontal="center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21" xfId="0" applyNumberFormat="1" applyFont="1" applyFill="1" applyBorder="1" applyAlignment="1" applyProtection="1">
      <alignment horizontal="center" vertical="center"/>
      <protection/>
    </xf>
    <xf numFmtId="0" fontId="46" fillId="33" borderId="14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33" borderId="14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center" vertical="center"/>
      <protection/>
    </xf>
    <xf numFmtId="0" fontId="48" fillId="0" borderId="24" xfId="0" applyNumberFormat="1" applyFont="1" applyFill="1" applyBorder="1" applyAlignment="1" applyProtection="1">
      <alignment horizontal="center" vertical="center"/>
      <protection/>
    </xf>
    <xf numFmtId="0" fontId="48" fillId="0" borderId="25" xfId="0" applyNumberFormat="1" applyFont="1" applyFill="1" applyBorder="1" applyAlignment="1" applyProtection="1">
      <alignment horizontal="center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8" fillId="33" borderId="13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right" vertical="center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50" fillId="33" borderId="16" xfId="0" applyNumberFormat="1" applyFont="1" applyFill="1" applyBorder="1" applyAlignment="1" applyProtection="1">
      <alignment horizontal="center" vertical="center"/>
      <protection/>
    </xf>
    <xf numFmtId="4" fontId="45" fillId="0" borderId="25" xfId="0" applyNumberFormat="1" applyFont="1" applyFill="1" applyBorder="1" applyAlignment="1" applyProtection="1">
      <alignment horizontal="righ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27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28" xfId="0" applyNumberFormat="1" applyFont="1" applyFill="1" applyBorder="1" applyAlignment="1" applyProtection="1">
      <alignment horizontal="left" vertical="center" wrapText="1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1" fontId="46" fillId="0" borderId="13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0" xfId="0" applyNumberFormat="1" applyFont="1" applyFill="1" applyBorder="1" applyAlignment="1" applyProtection="1">
      <alignment horizontal="left" vertical="center"/>
      <protection/>
    </xf>
    <xf numFmtId="0" fontId="53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31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17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30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33" borderId="31" xfId="0" applyNumberFormat="1" applyFont="1" applyFill="1" applyBorder="1" applyAlignment="1" applyProtection="1">
      <alignment horizontal="left" vertical="center"/>
      <protection/>
    </xf>
    <xf numFmtId="0" fontId="47" fillId="33" borderId="30" xfId="0" applyNumberFormat="1" applyFont="1" applyFill="1" applyBorder="1" applyAlignment="1" applyProtection="1">
      <alignment horizontal="left" vertical="center"/>
      <protection/>
    </xf>
    <xf numFmtId="0" fontId="47" fillId="33" borderId="12" xfId="0" applyNumberFormat="1" applyFont="1" applyFill="1" applyBorder="1" applyAlignment="1" applyProtection="1">
      <alignment horizontal="left" vertical="center"/>
      <protection/>
    </xf>
    <xf numFmtId="0" fontId="47" fillId="33" borderId="17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34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lef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21" xfId="0" applyNumberFormat="1" applyFont="1" applyFill="1" applyBorder="1" applyAlignment="1" applyProtection="1">
      <alignment horizontal="lef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/>
    </xf>
    <xf numFmtId="0" fontId="48" fillId="0" borderId="37" xfId="0" applyNumberFormat="1" applyFont="1" applyFill="1" applyBorder="1" applyAlignment="1" applyProtection="1">
      <alignment horizontal="center" vertical="center"/>
      <protection/>
    </xf>
    <xf numFmtId="0" fontId="48" fillId="0" borderId="38" xfId="0" applyNumberFormat="1" applyFont="1" applyFill="1" applyBorder="1" applyAlignment="1" applyProtection="1">
      <alignment horizontal="center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F40" sqref="F40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48" t="s">
        <v>80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50" t="s">
        <v>21</v>
      </c>
      <c r="B2" s="51"/>
      <c r="C2" s="59" t="str">
        <f>'Stavební rozpočet'!C2</f>
        <v>KD Hradiště</v>
      </c>
      <c r="D2" s="60"/>
      <c r="E2" s="57" t="s">
        <v>324</v>
      </c>
      <c r="F2" s="57" t="str">
        <f>'Stavební rozpočet'!J2</f>
        <v> </v>
      </c>
      <c r="G2" s="51"/>
      <c r="H2" s="57" t="s">
        <v>249</v>
      </c>
      <c r="I2" s="62" t="s">
        <v>266</v>
      </c>
    </row>
    <row r="3" spans="1:9" ht="15" customHeight="1">
      <c r="A3" s="52"/>
      <c r="B3" s="53"/>
      <c r="C3" s="61"/>
      <c r="D3" s="61"/>
      <c r="E3" s="53"/>
      <c r="F3" s="53"/>
      <c r="G3" s="53"/>
      <c r="H3" s="53"/>
      <c r="I3" s="63"/>
    </row>
    <row r="4" spans="1:9" ht="15" customHeight="1">
      <c r="A4" s="54" t="s">
        <v>195</v>
      </c>
      <c r="B4" s="53"/>
      <c r="C4" s="58" t="str">
        <f>'Stavební rozpočet'!C4</f>
        <v>Rekonstrukce toalet</v>
      </c>
      <c r="D4" s="53"/>
      <c r="E4" s="58" t="s">
        <v>264</v>
      </c>
      <c r="F4" s="58" t="str">
        <f>'Stavební rozpočet'!J4</f>
        <v> </v>
      </c>
      <c r="G4" s="53"/>
      <c r="H4" s="58" t="s">
        <v>249</v>
      </c>
      <c r="I4" s="63" t="s">
        <v>266</v>
      </c>
    </row>
    <row r="5" spans="1:9" ht="15" customHeight="1">
      <c r="A5" s="52"/>
      <c r="B5" s="53"/>
      <c r="C5" s="53"/>
      <c r="D5" s="53"/>
      <c r="E5" s="53"/>
      <c r="F5" s="53"/>
      <c r="G5" s="53"/>
      <c r="H5" s="53"/>
      <c r="I5" s="63"/>
    </row>
    <row r="6" spans="1:9" ht="15" customHeight="1">
      <c r="A6" s="54" t="s">
        <v>28</v>
      </c>
      <c r="B6" s="53"/>
      <c r="C6" s="58" t="str">
        <f>'Stavební rozpočet'!C6</f>
        <v>Znojmo-Hradiště</v>
      </c>
      <c r="D6" s="53"/>
      <c r="E6" s="58" t="s">
        <v>336</v>
      </c>
      <c r="F6" s="58"/>
      <c r="G6" s="53"/>
      <c r="H6" s="58" t="s">
        <v>249</v>
      </c>
      <c r="I6" s="63"/>
    </row>
    <row r="7" spans="1:9" ht="15" customHeight="1">
      <c r="A7" s="52"/>
      <c r="B7" s="53"/>
      <c r="C7" s="53"/>
      <c r="D7" s="53"/>
      <c r="E7" s="53"/>
      <c r="F7" s="53"/>
      <c r="G7" s="53"/>
      <c r="H7" s="53"/>
      <c r="I7" s="63"/>
    </row>
    <row r="8" spans="1:9" ht="15" customHeight="1">
      <c r="A8" s="54" t="s">
        <v>341</v>
      </c>
      <c r="B8" s="53"/>
      <c r="C8" s="58"/>
      <c r="D8" s="53"/>
      <c r="E8" s="58" t="s">
        <v>111</v>
      </c>
      <c r="F8" s="58" t="str">
        <f>'Stavební rozpočet'!G6</f>
        <v> </v>
      </c>
      <c r="G8" s="53"/>
      <c r="H8" s="53" t="s">
        <v>385</v>
      </c>
      <c r="I8" s="64"/>
    </row>
    <row r="9" spans="1:9" ht="15" customHeight="1">
      <c r="A9" s="52"/>
      <c r="B9" s="53"/>
      <c r="C9" s="53"/>
      <c r="D9" s="53"/>
      <c r="E9" s="53"/>
      <c r="F9" s="53"/>
      <c r="G9" s="53"/>
      <c r="H9" s="53"/>
      <c r="I9" s="63"/>
    </row>
    <row r="10" spans="1:9" ht="15" customHeight="1">
      <c r="A10" s="54" t="s">
        <v>177</v>
      </c>
      <c r="B10" s="53"/>
      <c r="C10" s="58" t="str">
        <f>'Stavební rozpočet'!C8</f>
        <v> </v>
      </c>
      <c r="D10" s="53"/>
      <c r="E10" s="58" t="s">
        <v>253</v>
      </c>
      <c r="F10" s="58"/>
      <c r="G10" s="53"/>
      <c r="H10" s="53" t="s">
        <v>371</v>
      </c>
      <c r="I10" s="65"/>
    </row>
    <row r="11" spans="1:9" ht="15" customHeight="1">
      <c r="A11" s="55"/>
      <c r="B11" s="56"/>
      <c r="C11" s="56"/>
      <c r="D11" s="56"/>
      <c r="E11" s="56"/>
      <c r="F11" s="56"/>
      <c r="G11" s="56"/>
      <c r="H11" s="56"/>
      <c r="I11" s="66"/>
    </row>
    <row r="12" spans="1:9" ht="22.5" customHeight="1">
      <c r="A12" s="67" t="s">
        <v>55</v>
      </c>
      <c r="B12" s="67"/>
      <c r="C12" s="67"/>
      <c r="D12" s="67"/>
      <c r="E12" s="67"/>
      <c r="F12" s="67"/>
      <c r="G12" s="67"/>
      <c r="H12" s="67"/>
      <c r="I12" s="67"/>
    </row>
    <row r="13" spans="1:9" ht="26.25" customHeight="1">
      <c r="A13" s="27" t="s">
        <v>342</v>
      </c>
      <c r="B13" s="68" t="s">
        <v>48</v>
      </c>
      <c r="C13" s="69"/>
      <c r="D13" s="43" t="s">
        <v>60</v>
      </c>
      <c r="E13" s="68" t="s">
        <v>126</v>
      </c>
      <c r="F13" s="69"/>
      <c r="G13" s="43" t="s">
        <v>242</v>
      </c>
      <c r="H13" s="68" t="s">
        <v>61</v>
      </c>
      <c r="I13" s="69"/>
    </row>
    <row r="14" spans="1:9" ht="15" customHeight="1">
      <c r="A14" s="32" t="s">
        <v>131</v>
      </c>
      <c r="B14" s="1" t="s">
        <v>92</v>
      </c>
      <c r="C14" s="26">
        <f>SUM('Stavební rozpočet'!AB12:AB120)</f>
        <v>0</v>
      </c>
      <c r="D14" s="76" t="s">
        <v>277</v>
      </c>
      <c r="E14" s="77"/>
      <c r="F14" s="26">
        <v>0</v>
      </c>
      <c r="G14" s="76" t="s">
        <v>38</v>
      </c>
      <c r="H14" s="77"/>
      <c r="I14" s="8" t="s">
        <v>191</v>
      </c>
    </row>
    <row r="15" spans="1:9" ht="15" customHeight="1">
      <c r="A15" s="47" t="s">
        <v>266</v>
      </c>
      <c r="B15" s="1" t="s">
        <v>66</v>
      </c>
      <c r="C15" s="26">
        <f>SUM('Stavební rozpočet'!AC12:AC120)</f>
        <v>0</v>
      </c>
      <c r="D15" s="76" t="s">
        <v>36</v>
      </c>
      <c r="E15" s="77"/>
      <c r="F15" s="26">
        <v>0</v>
      </c>
      <c r="G15" s="76" t="s">
        <v>309</v>
      </c>
      <c r="H15" s="77"/>
      <c r="I15" s="8" t="s">
        <v>191</v>
      </c>
    </row>
    <row r="16" spans="1:9" ht="15" customHeight="1">
      <c r="A16" s="32" t="s">
        <v>33</v>
      </c>
      <c r="B16" s="1" t="s">
        <v>92</v>
      </c>
      <c r="C16" s="26">
        <f>SUM('Stavební rozpočet'!AD12:AD120)</f>
        <v>0</v>
      </c>
      <c r="D16" s="76" t="s">
        <v>285</v>
      </c>
      <c r="E16" s="77"/>
      <c r="F16" s="26">
        <v>0</v>
      </c>
      <c r="G16" s="76" t="s">
        <v>365</v>
      </c>
      <c r="H16" s="77"/>
      <c r="I16" s="8" t="s">
        <v>191</v>
      </c>
    </row>
    <row r="17" spans="1:9" ht="15" customHeight="1">
      <c r="A17" s="47" t="s">
        <v>266</v>
      </c>
      <c r="B17" s="1" t="s">
        <v>66</v>
      </c>
      <c r="C17" s="26">
        <f>SUM('Stavební rozpočet'!AE12:AE120)</f>
        <v>0</v>
      </c>
      <c r="D17" s="76" t="s">
        <v>266</v>
      </c>
      <c r="E17" s="77"/>
      <c r="F17" s="8" t="s">
        <v>266</v>
      </c>
      <c r="G17" s="76" t="s">
        <v>192</v>
      </c>
      <c r="H17" s="77"/>
      <c r="I17" s="8" t="s">
        <v>191</v>
      </c>
    </row>
    <row r="18" spans="1:9" ht="15" customHeight="1">
      <c r="A18" s="32" t="s">
        <v>105</v>
      </c>
      <c r="B18" s="1" t="s">
        <v>92</v>
      </c>
      <c r="C18" s="26">
        <f>SUM('Stavební rozpočet'!AF12:AF120)</f>
        <v>0</v>
      </c>
      <c r="D18" s="76" t="s">
        <v>266</v>
      </c>
      <c r="E18" s="77"/>
      <c r="F18" s="8" t="s">
        <v>266</v>
      </c>
      <c r="G18" s="76" t="s">
        <v>251</v>
      </c>
      <c r="H18" s="77"/>
      <c r="I18" s="8" t="s">
        <v>191</v>
      </c>
    </row>
    <row r="19" spans="1:9" ht="15" customHeight="1">
      <c r="A19" s="47" t="s">
        <v>266</v>
      </c>
      <c r="B19" s="1" t="s">
        <v>66</v>
      </c>
      <c r="C19" s="26">
        <f>SUM('Stavební rozpočet'!AG12:AG120)</f>
        <v>0</v>
      </c>
      <c r="D19" s="76" t="s">
        <v>266</v>
      </c>
      <c r="E19" s="77"/>
      <c r="F19" s="8" t="s">
        <v>266</v>
      </c>
      <c r="G19" s="76" t="s">
        <v>379</v>
      </c>
      <c r="H19" s="77"/>
      <c r="I19" s="8" t="s">
        <v>191</v>
      </c>
    </row>
    <row r="20" spans="1:9" ht="15" customHeight="1">
      <c r="A20" s="70" t="s">
        <v>23</v>
      </c>
      <c r="B20" s="71"/>
      <c r="C20" s="26">
        <f>SUM('Stavební rozpočet'!AH12:AH120)</f>
        <v>0</v>
      </c>
      <c r="D20" s="76" t="s">
        <v>266</v>
      </c>
      <c r="E20" s="77"/>
      <c r="F20" s="8" t="s">
        <v>266</v>
      </c>
      <c r="G20" s="76" t="s">
        <v>266</v>
      </c>
      <c r="H20" s="77"/>
      <c r="I20" s="8" t="s">
        <v>266</v>
      </c>
    </row>
    <row r="21" spans="1:9" ht="15" customHeight="1">
      <c r="A21" s="72" t="s">
        <v>378</v>
      </c>
      <c r="B21" s="73"/>
      <c r="C21" s="9">
        <f>SUM('Stavební rozpočet'!Z12:Z120)</f>
        <v>0</v>
      </c>
      <c r="D21" s="78" t="s">
        <v>266</v>
      </c>
      <c r="E21" s="79"/>
      <c r="F21" s="41" t="s">
        <v>266</v>
      </c>
      <c r="G21" s="78" t="s">
        <v>266</v>
      </c>
      <c r="H21" s="79"/>
      <c r="I21" s="41" t="s">
        <v>266</v>
      </c>
    </row>
    <row r="22" spans="1:9" ht="16.5" customHeight="1">
      <c r="A22" s="74" t="s">
        <v>69</v>
      </c>
      <c r="B22" s="75"/>
      <c r="C22" s="38">
        <f>SUM(C14:C21)</f>
        <v>0</v>
      </c>
      <c r="D22" s="80" t="s">
        <v>185</v>
      </c>
      <c r="E22" s="75"/>
      <c r="F22" s="38">
        <f>SUM(F14:F21)</f>
        <v>0</v>
      </c>
      <c r="G22" s="80" t="s">
        <v>386</v>
      </c>
      <c r="H22" s="75"/>
      <c r="I22" s="38">
        <f>SUM(I14:I21)</f>
        <v>0</v>
      </c>
    </row>
    <row r="23" spans="4:9" ht="15" customHeight="1">
      <c r="D23" s="70" t="s">
        <v>312</v>
      </c>
      <c r="E23" s="71"/>
      <c r="F23" s="44">
        <v>0</v>
      </c>
      <c r="G23" s="81" t="s">
        <v>18</v>
      </c>
      <c r="H23" s="71"/>
      <c r="I23" s="26">
        <v>0</v>
      </c>
    </row>
    <row r="24" spans="7:8" ht="15" customHeight="1">
      <c r="G24" s="70" t="s">
        <v>265</v>
      </c>
      <c r="H24" s="71"/>
    </row>
    <row r="25" spans="7:9" ht="15" customHeight="1">
      <c r="G25" s="70" t="s">
        <v>296</v>
      </c>
      <c r="H25" s="71"/>
      <c r="I25" s="38">
        <v>0</v>
      </c>
    </row>
    <row r="27" spans="1:3" ht="15" customHeight="1">
      <c r="A27" s="82" t="s">
        <v>142</v>
      </c>
      <c r="B27" s="83"/>
      <c r="C27" s="13">
        <f>SUM('Stavební rozpočet'!AJ12:AJ120)</f>
        <v>0</v>
      </c>
    </row>
    <row r="28" spans="1:9" ht="15" customHeight="1">
      <c r="A28" s="84" t="s">
        <v>8</v>
      </c>
      <c r="B28" s="85"/>
      <c r="C28" s="3">
        <f>SUM('Stavební rozpočet'!AK12:AK120)</f>
        <v>0</v>
      </c>
      <c r="D28" s="83" t="s">
        <v>78</v>
      </c>
      <c r="E28" s="83"/>
      <c r="F28" s="13">
        <f>ROUND(C28*(15/100),2)</f>
        <v>0</v>
      </c>
      <c r="G28" s="83" t="s">
        <v>50</v>
      </c>
      <c r="H28" s="83"/>
      <c r="I28" s="13">
        <f>SUM(C27:C29)</f>
        <v>0</v>
      </c>
    </row>
    <row r="29" spans="1:9" ht="15" customHeight="1">
      <c r="A29" s="84" t="s">
        <v>14</v>
      </c>
      <c r="B29" s="85"/>
      <c r="C29" s="3">
        <f>SUM('Stavební rozpočet'!AL12:AL120)+(F22+I22+F23+I23+I24+I25)</f>
        <v>0</v>
      </c>
      <c r="D29" s="85" t="s">
        <v>289</v>
      </c>
      <c r="E29" s="85"/>
      <c r="F29" s="3">
        <f>ROUND(C29*(21/100),2)</f>
        <v>0</v>
      </c>
      <c r="G29" s="85" t="s">
        <v>140</v>
      </c>
      <c r="H29" s="85"/>
      <c r="I29" s="3">
        <f>SUM(F28:F29)+I28</f>
        <v>0</v>
      </c>
    </row>
    <row r="31" spans="1:9" ht="15" customHeight="1">
      <c r="A31" s="86" t="s">
        <v>4</v>
      </c>
      <c r="B31" s="87"/>
      <c r="C31" s="88"/>
      <c r="D31" s="87" t="s">
        <v>359</v>
      </c>
      <c r="E31" s="87"/>
      <c r="F31" s="88"/>
      <c r="G31" s="87" t="s">
        <v>259</v>
      </c>
      <c r="H31" s="87"/>
      <c r="I31" s="88"/>
    </row>
    <row r="32" spans="1:9" ht="15" customHeight="1">
      <c r="A32" s="89" t="s">
        <v>266</v>
      </c>
      <c r="B32" s="78"/>
      <c r="C32" s="90"/>
      <c r="D32" s="78" t="s">
        <v>266</v>
      </c>
      <c r="E32" s="78"/>
      <c r="F32" s="90"/>
      <c r="G32" s="78" t="s">
        <v>266</v>
      </c>
      <c r="H32" s="78"/>
      <c r="I32" s="90"/>
    </row>
    <row r="33" spans="1:9" ht="15" customHeight="1">
      <c r="A33" s="89" t="s">
        <v>266</v>
      </c>
      <c r="B33" s="78"/>
      <c r="C33" s="90"/>
      <c r="D33" s="78" t="s">
        <v>266</v>
      </c>
      <c r="E33" s="78"/>
      <c r="F33" s="90"/>
      <c r="G33" s="78" t="s">
        <v>266</v>
      </c>
      <c r="H33" s="78"/>
      <c r="I33" s="90"/>
    </row>
    <row r="34" spans="1:9" ht="15" customHeight="1">
      <c r="A34" s="89" t="s">
        <v>266</v>
      </c>
      <c r="B34" s="78"/>
      <c r="C34" s="90"/>
      <c r="D34" s="78" t="s">
        <v>266</v>
      </c>
      <c r="E34" s="78"/>
      <c r="F34" s="90"/>
      <c r="G34" s="78" t="s">
        <v>266</v>
      </c>
      <c r="H34" s="78"/>
      <c r="I34" s="90"/>
    </row>
    <row r="35" spans="1:9" ht="15" customHeight="1">
      <c r="A35" s="91" t="s">
        <v>67</v>
      </c>
      <c r="B35" s="92"/>
      <c r="C35" s="93"/>
      <c r="D35" s="92" t="s">
        <v>67</v>
      </c>
      <c r="E35" s="92"/>
      <c r="F35" s="93"/>
      <c r="G35" s="92" t="s">
        <v>67</v>
      </c>
      <c r="H35" s="92"/>
      <c r="I35" s="93"/>
    </row>
    <row r="36" ht="15" customHeight="1">
      <c r="A36" s="22" t="s">
        <v>27</v>
      </c>
    </row>
    <row r="37" spans="1:9" ht="63" customHeight="1">
      <c r="A37" s="58" t="s">
        <v>429</v>
      </c>
      <c r="B37" s="53"/>
      <c r="C37" s="53"/>
      <c r="D37" s="53"/>
      <c r="E37" s="53"/>
      <c r="F37" s="53"/>
      <c r="G37" s="53"/>
      <c r="H37" s="53"/>
      <c r="I37" s="53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3"/>
  <sheetViews>
    <sheetView showOutlineSymbols="0" zoomScalePageLayoutView="0" workbookViewId="0" topLeftCell="A1">
      <pane ySplit="11" topLeftCell="A12" activePane="bottomLeft" state="frozen"/>
      <selection pane="topLeft" activeCell="A123" sqref="A123:M123"/>
      <selection pane="bottomLeft" activeCell="J2" sqref="J2:M3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80.33203125" style="0" customWidth="1"/>
    <col min="5" max="6" width="14.16015625" style="0" customWidth="1"/>
    <col min="7" max="7" width="7.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74" width="14.16015625" style="0" hidden="1" customWidth="1"/>
  </cols>
  <sheetData>
    <row r="1" spans="1:13" ht="54.75" customHeight="1">
      <c r="A1" s="49" t="s">
        <v>346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50" t="s">
        <v>21</v>
      </c>
      <c r="B2" s="51"/>
      <c r="C2" s="59" t="s">
        <v>82</v>
      </c>
      <c r="D2" s="60"/>
      <c r="E2" s="51" t="s">
        <v>1</v>
      </c>
      <c r="F2" s="51"/>
      <c r="G2" s="51" t="s">
        <v>353</v>
      </c>
      <c r="H2" s="51"/>
      <c r="I2" s="57" t="s">
        <v>324</v>
      </c>
      <c r="J2" s="51" t="s">
        <v>171</v>
      </c>
      <c r="K2" s="51"/>
      <c r="L2" s="51"/>
      <c r="M2" s="62"/>
    </row>
    <row r="3" spans="1:13" ht="15" customHeight="1">
      <c r="A3" s="52"/>
      <c r="B3" s="53"/>
      <c r="C3" s="61"/>
      <c r="D3" s="61"/>
      <c r="E3" s="53"/>
      <c r="F3" s="53"/>
      <c r="G3" s="53"/>
      <c r="H3" s="53"/>
      <c r="I3" s="53"/>
      <c r="J3" s="53"/>
      <c r="K3" s="53"/>
      <c r="L3" s="53"/>
      <c r="M3" s="63"/>
    </row>
    <row r="4" spans="1:13" ht="15" customHeight="1">
      <c r="A4" s="54" t="s">
        <v>195</v>
      </c>
      <c r="B4" s="53"/>
      <c r="C4" s="58" t="s">
        <v>320</v>
      </c>
      <c r="D4" s="53"/>
      <c r="E4" s="53" t="s">
        <v>341</v>
      </c>
      <c r="F4" s="53"/>
      <c r="G4" s="53"/>
      <c r="H4" s="53"/>
      <c r="I4" s="58" t="s">
        <v>264</v>
      </c>
      <c r="J4" s="53" t="s">
        <v>171</v>
      </c>
      <c r="K4" s="53"/>
      <c r="L4" s="53"/>
      <c r="M4" s="63"/>
    </row>
    <row r="5" spans="1:13" ht="1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63"/>
    </row>
    <row r="6" spans="1:13" ht="15" customHeight="1">
      <c r="A6" s="54" t="s">
        <v>28</v>
      </c>
      <c r="B6" s="53"/>
      <c r="C6" s="58" t="s">
        <v>330</v>
      </c>
      <c r="D6" s="53"/>
      <c r="E6" s="53" t="s">
        <v>111</v>
      </c>
      <c r="F6" s="53"/>
      <c r="G6" s="53" t="s">
        <v>353</v>
      </c>
      <c r="H6" s="53"/>
      <c r="I6" s="58" t="s">
        <v>336</v>
      </c>
      <c r="J6" s="58"/>
      <c r="K6" s="53"/>
      <c r="L6" s="53"/>
      <c r="M6" s="63"/>
    </row>
    <row r="7" spans="1:13" ht="1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63"/>
    </row>
    <row r="8" spans="1:13" ht="15" customHeight="1">
      <c r="A8" s="54" t="s">
        <v>177</v>
      </c>
      <c r="B8" s="53"/>
      <c r="C8" s="58" t="s">
        <v>353</v>
      </c>
      <c r="D8" s="53"/>
      <c r="E8" s="53" t="s">
        <v>199</v>
      </c>
      <c r="F8" s="53"/>
      <c r="G8" s="53"/>
      <c r="H8" s="53"/>
      <c r="I8" s="58" t="s">
        <v>253</v>
      </c>
      <c r="J8" s="58"/>
      <c r="K8" s="53"/>
      <c r="L8" s="53"/>
      <c r="M8" s="63"/>
    </row>
    <row r="9" spans="1:13" ht="1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63"/>
    </row>
    <row r="10" spans="1:64" ht="15" customHeight="1">
      <c r="A10" s="28" t="s">
        <v>26</v>
      </c>
      <c r="B10" s="12" t="s">
        <v>112</v>
      </c>
      <c r="C10" s="94" t="s">
        <v>412</v>
      </c>
      <c r="D10" s="94"/>
      <c r="E10" s="94"/>
      <c r="F10" s="95"/>
      <c r="G10" s="12" t="s">
        <v>123</v>
      </c>
      <c r="H10" s="42" t="s">
        <v>222</v>
      </c>
      <c r="I10" s="35" t="s">
        <v>110</v>
      </c>
      <c r="J10" s="98" t="s">
        <v>243</v>
      </c>
      <c r="K10" s="99"/>
      <c r="L10" s="100"/>
      <c r="M10" s="36" t="s">
        <v>96</v>
      </c>
      <c r="BK10" s="7" t="s">
        <v>139</v>
      </c>
      <c r="BL10" s="18" t="s">
        <v>188</v>
      </c>
    </row>
    <row r="11" spans="1:62" ht="15" customHeight="1">
      <c r="A11" s="2" t="s">
        <v>353</v>
      </c>
      <c r="B11" s="40" t="s">
        <v>353</v>
      </c>
      <c r="C11" s="96" t="s">
        <v>382</v>
      </c>
      <c r="D11" s="96"/>
      <c r="E11" s="96"/>
      <c r="F11" s="97"/>
      <c r="G11" s="40" t="s">
        <v>353</v>
      </c>
      <c r="H11" s="40" t="s">
        <v>353</v>
      </c>
      <c r="I11" s="30" t="s">
        <v>362</v>
      </c>
      <c r="J11" s="20" t="s">
        <v>17</v>
      </c>
      <c r="K11" s="37" t="s">
        <v>66</v>
      </c>
      <c r="L11" s="24" t="s">
        <v>37</v>
      </c>
      <c r="M11" s="24" t="s">
        <v>93</v>
      </c>
      <c r="Z11" s="7" t="s">
        <v>301</v>
      </c>
      <c r="AA11" s="7" t="s">
        <v>231</v>
      </c>
      <c r="AB11" s="7" t="s">
        <v>399</v>
      </c>
      <c r="AC11" s="7" t="s">
        <v>99</v>
      </c>
      <c r="AD11" s="7" t="s">
        <v>327</v>
      </c>
      <c r="AE11" s="7" t="s">
        <v>130</v>
      </c>
      <c r="AF11" s="7" t="s">
        <v>344</v>
      </c>
      <c r="AG11" s="7" t="s">
        <v>153</v>
      </c>
      <c r="AH11" s="7" t="s">
        <v>94</v>
      </c>
      <c r="BH11" s="7" t="s">
        <v>302</v>
      </c>
      <c r="BI11" s="7" t="s">
        <v>388</v>
      </c>
      <c r="BJ11" s="7" t="s">
        <v>417</v>
      </c>
    </row>
    <row r="12" spans="1:13" ht="15" customHeight="1">
      <c r="A12" s="34" t="s">
        <v>266</v>
      </c>
      <c r="B12" s="6" t="s">
        <v>266</v>
      </c>
      <c r="C12" s="101" t="s">
        <v>71</v>
      </c>
      <c r="D12" s="101"/>
      <c r="E12" s="101"/>
      <c r="F12" s="101"/>
      <c r="G12" s="19" t="s">
        <v>353</v>
      </c>
      <c r="H12" s="19" t="s">
        <v>353</v>
      </c>
      <c r="I12" s="19" t="s">
        <v>353</v>
      </c>
      <c r="J12" s="45">
        <f>J13+J18+J20+J23+J27+J29+J31+J33+J37+J41+J44+J46+J74+J76+J78+J80+J82+J84+J86+J88+J92+J94+J96+J99+J101+J104+J106</f>
        <v>0</v>
      </c>
      <c r="K12" s="45">
        <f>K13+K18+K20+K23+K27+K29+K31+K33+K37+K41+K44+K46+K74+K76+K78+K80+K82+K84+K86+K88+K92+K94+K96+K99+K101+K104+K106</f>
        <v>0</v>
      </c>
      <c r="L12" s="45">
        <f>L13+L18+L20+L23+L27+L29+L31+L33+L37+L41+L44+L46+L74+L76+L78+L80+L82+L84+L86+L88+L92+L94+L96+L99+L101+L104+L106</f>
        <v>0</v>
      </c>
      <c r="M12" s="11" t="s">
        <v>266</v>
      </c>
    </row>
    <row r="13" spans="1:47" ht="15" customHeight="1">
      <c r="A13" s="31" t="s">
        <v>266</v>
      </c>
      <c r="B13" s="16" t="s">
        <v>197</v>
      </c>
      <c r="C13" s="101" t="s">
        <v>287</v>
      </c>
      <c r="D13" s="101"/>
      <c r="E13" s="101"/>
      <c r="F13" s="101"/>
      <c r="G13" s="46" t="s">
        <v>353</v>
      </c>
      <c r="H13" s="46" t="s">
        <v>353</v>
      </c>
      <c r="I13" s="46" t="s">
        <v>353</v>
      </c>
      <c r="J13" s="23">
        <f>SUM(J14:J17)</f>
        <v>0</v>
      </c>
      <c r="K13" s="23">
        <f>SUM(K14:K17)</f>
        <v>0</v>
      </c>
      <c r="L13" s="23">
        <f>SUM(L14:L17)</f>
        <v>0</v>
      </c>
      <c r="M13" s="39" t="s">
        <v>266</v>
      </c>
      <c r="AI13" s="7" t="s">
        <v>266</v>
      </c>
      <c r="AS13" s="23">
        <f>SUM(AJ14:AJ17)</f>
        <v>0</v>
      </c>
      <c r="AT13" s="23">
        <f>SUM(AK14:AK17)</f>
        <v>0</v>
      </c>
      <c r="AU13" s="23">
        <f>SUM(AL14:AL17)</f>
        <v>0</v>
      </c>
    </row>
    <row r="14" spans="1:64" ht="15" customHeight="1">
      <c r="A14" s="10" t="s">
        <v>380</v>
      </c>
      <c r="B14" s="4" t="s">
        <v>415</v>
      </c>
      <c r="C14" s="53" t="s">
        <v>144</v>
      </c>
      <c r="D14" s="53"/>
      <c r="E14" s="53"/>
      <c r="F14" s="53"/>
      <c r="G14" s="4" t="s">
        <v>375</v>
      </c>
      <c r="H14" s="17">
        <v>40.5</v>
      </c>
      <c r="I14" s="17">
        <v>0</v>
      </c>
      <c r="J14" s="17">
        <f>H14*AO14</f>
        <v>0</v>
      </c>
      <c r="K14" s="17">
        <f>H14*AP14</f>
        <v>0</v>
      </c>
      <c r="L14" s="17">
        <f>H14*I14</f>
        <v>0</v>
      </c>
      <c r="M14" s="25" t="s">
        <v>206</v>
      </c>
      <c r="Z14" s="17">
        <f>IF(AQ14="5",BJ14,0)</f>
        <v>0</v>
      </c>
      <c r="AB14" s="17">
        <f>IF(AQ14="1",BH14,0)</f>
        <v>0</v>
      </c>
      <c r="AC14" s="17">
        <f>IF(AQ14="1",BI14,0)</f>
        <v>0</v>
      </c>
      <c r="AD14" s="17">
        <f>IF(AQ14="7",BH14,0)</f>
        <v>0</v>
      </c>
      <c r="AE14" s="17">
        <f>IF(AQ14="7",BI14,0)</f>
        <v>0</v>
      </c>
      <c r="AF14" s="17">
        <f>IF(AQ14="2",BH14,0)</f>
        <v>0</v>
      </c>
      <c r="AG14" s="17">
        <f>IF(AQ14="2",BI14,0)</f>
        <v>0</v>
      </c>
      <c r="AH14" s="17">
        <f>IF(AQ14="0",BJ14,0)</f>
        <v>0</v>
      </c>
      <c r="AI14" s="7" t="s">
        <v>266</v>
      </c>
      <c r="AJ14" s="17">
        <f>IF(AN14=0,L14,0)</f>
        <v>0</v>
      </c>
      <c r="AK14" s="17">
        <f>IF(AN14=15,L14,0)</f>
        <v>0</v>
      </c>
      <c r="AL14" s="17">
        <f>IF(AN14=21,L14,0)</f>
        <v>0</v>
      </c>
      <c r="AN14" s="17">
        <v>21</v>
      </c>
      <c r="AO14" s="17">
        <f>I14*0.0408481576200669</f>
        <v>0</v>
      </c>
      <c r="AP14" s="17">
        <f>I14*(1-0.0408481576200669)</f>
        <v>0</v>
      </c>
      <c r="AQ14" s="14" t="s">
        <v>380</v>
      </c>
      <c r="AV14" s="17">
        <f>AW14+AX14</f>
        <v>0</v>
      </c>
      <c r="AW14" s="17">
        <f>H14*AO14</f>
        <v>0</v>
      </c>
      <c r="AX14" s="17">
        <f>H14*AP14</f>
        <v>0</v>
      </c>
      <c r="AY14" s="14" t="s">
        <v>338</v>
      </c>
      <c r="AZ14" s="14" t="s">
        <v>5</v>
      </c>
      <c r="BA14" s="7" t="s">
        <v>294</v>
      </c>
      <c r="BC14" s="17">
        <f>AW14+AX14</f>
        <v>0</v>
      </c>
      <c r="BD14" s="17">
        <f>I14/(100-BE14)*100</f>
        <v>0</v>
      </c>
      <c r="BE14" s="17">
        <v>0</v>
      </c>
      <c r="BF14" s="17">
        <f>14</f>
        <v>14</v>
      </c>
      <c r="BH14" s="17">
        <f>H14*AO14</f>
        <v>0</v>
      </c>
      <c r="BI14" s="17">
        <f>H14*AP14</f>
        <v>0</v>
      </c>
      <c r="BJ14" s="17">
        <f>H14*I14</f>
        <v>0</v>
      </c>
      <c r="BK14" s="17"/>
      <c r="BL14" s="17">
        <v>96</v>
      </c>
    </row>
    <row r="15" spans="1:64" ht="15" customHeight="1">
      <c r="A15" s="10" t="s">
        <v>262</v>
      </c>
      <c r="B15" s="4" t="s">
        <v>175</v>
      </c>
      <c r="C15" s="53" t="s">
        <v>207</v>
      </c>
      <c r="D15" s="53"/>
      <c r="E15" s="53"/>
      <c r="F15" s="53"/>
      <c r="G15" s="4" t="s">
        <v>375</v>
      </c>
      <c r="H15" s="17">
        <v>12.59</v>
      </c>
      <c r="I15" s="17">
        <v>0</v>
      </c>
      <c r="J15" s="17">
        <f>H15*AO15</f>
        <v>0</v>
      </c>
      <c r="K15" s="17">
        <f>H15*AP15</f>
        <v>0</v>
      </c>
      <c r="L15" s="17">
        <f>H15*I15</f>
        <v>0</v>
      </c>
      <c r="M15" s="25" t="s">
        <v>322</v>
      </c>
      <c r="Z15" s="17">
        <f>IF(AQ15="5",BJ15,0)</f>
        <v>0</v>
      </c>
      <c r="AB15" s="17">
        <f>IF(AQ15="1",BH15,0)</f>
        <v>0</v>
      </c>
      <c r="AC15" s="17">
        <f>IF(AQ15="1",BI15,0)</f>
        <v>0</v>
      </c>
      <c r="AD15" s="17">
        <f>IF(AQ15="7",BH15,0)</f>
        <v>0</v>
      </c>
      <c r="AE15" s="17">
        <f>IF(AQ15="7",BI15,0)</f>
        <v>0</v>
      </c>
      <c r="AF15" s="17">
        <f>IF(AQ15="2",BH15,0)</f>
        <v>0</v>
      </c>
      <c r="AG15" s="17">
        <f>IF(AQ15="2",BI15,0)</f>
        <v>0</v>
      </c>
      <c r="AH15" s="17">
        <f>IF(AQ15="0",BJ15,0)</f>
        <v>0</v>
      </c>
      <c r="AI15" s="7" t="s">
        <v>266</v>
      </c>
      <c r="AJ15" s="17">
        <f>IF(AN15=0,L15,0)</f>
        <v>0</v>
      </c>
      <c r="AK15" s="17">
        <f>IF(AN15=15,L15,0)</f>
        <v>0</v>
      </c>
      <c r="AL15" s="17">
        <f>IF(AN15=21,L15,0)</f>
        <v>0</v>
      </c>
      <c r="AN15" s="17">
        <v>21</v>
      </c>
      <c r="AO15" s="17">
        <f>I15*0</f>
        <v>0</v>
      </c>
      <c r="AP15" s="17">
        <f>I15*(1-0)</f>
        <v>0</v>
      </c>
      <c r="AQ15" s="14" t="s">
        <v>380</v>
      </c>
      <c r="AV15" s="17">
        <f>AW15+AX15</f>
        <v>0</v>
      </c>
      <c r="AW15" s="17">
        <f>H15*AO15</f>
        <v>0</v>
      </c>
      <c r="AX15" s="17">
        <f>H15*AP15</f>
        <v>0</v>
      </c>
      <c r="AY15" s="14" t="s">
        <v>338</v>
      </c>
      <c r="AZ15" s="14" t="s">
        <v>5</v>
      </c>
      <c r="BA15" s="7" t="s">
        <v>294</v>
      </c>
      <c r="BC15" s="17">
        <f>AW15+AX15</f>
        <v>0</v>
      </c>
      <c r="BD15" s="17">
        <f>I15/(100-BE15)*100</f>
        <v>0</v>
      </c>
      <c r="BE15" s="17">
        <v>0</v>
      </c>
      <c r="BF15" s="17">
        <f>15</f>
        <v>15</v>
      </c>
      <c r="BH15" s="17">
        <f>H15*AO15</f>
        <v>0</v>
      </c>
      <c r="BI15" s="17">
        <f>H15*AP15</f>
        <v>0</v>
      </c>
      <c r="BJ15" s="17">
        <f>H15*I15</f>
        <v>0</v>
      </c>
      <c r="BK15" s="17"/>
      <c r="BL15" s="17">
        <v>96</v>
      </c>
    </row>
    <row r="16" spans="1:64" ht="15" customHeight="1">
      <c r="A16" s="10" t="s">
        <v>333</v>
      </c>
      <c r="B16" s="4" t="s">
        <v>329</v>
      </c>
      <c r="C16" s="53" t="s">
        <v>183</v>
      </c>
      <c r="D16" s="53"/>
      <c r="E16" s="53"/>
      <c r="F16" s="53"/>
      <c r="G16" s="4" t="s">
        <v>368</v>
      </c>
      <c r="H16" s="17">
        <v>3.82</v>
      </c>
      <c r="I16" s="17">
        <v>0</v>
      </c>
      <c r="J16" s="17">
        <f>H16*AO16</f>
        <v>0</v>
      </c>
      <c r="K16" s="17">
        <f>H16*AP16</f>
        <v>0</v>
      </c>
      <c r="L16" s="17">
        <f>H16*I16</f>
        <v>0</v>
      </c>
      <c r="M16" s="25" t="s">
        <v>322</v>
      </c>
      <c r="Z16" s="17">
        <f>IF(AQ16="5",BJ16,0)</f>
        <v>0</v>
      </c>
      <c r="AB16" s="17">
        <f>IF(AQ16="1",BH16,0)</f>
        <v>0</v>
      </c>
      <c r="AC16" s="17">
        <f>IF(AQ16="1",BI16,0)</f>
        <v>0</v>
      </c>
      <c r="AD16" s="17">
        <f>IF(AQ16="7",BH16,0)</f>
        <v>0</v>
      </c>
      <c r="AE16" s="17">
        <f>IF(AQ16="7",BI16,0)</f>
        <v>0</v>
      </c>
      <c r="AF16" s="17">
        <f>IF(AQ16="2",BH16,0)</f>
        <v>0</v>
      </c>
      <c r="AG16" s="17">
        <f>IF(AQ16="2",BI16,0)</f>
        <v>0</v>
      </c>
      <c r="AH16" s="17">
        <f>IF(AQ16="0",BJ16,0)</f>
        <v>0</v>
      </c>
      <c r="AI16" s="7" t="s">
        <v>266</v>
      </c>
      <c r="AJ16" s="17">
        <f>IF(AN16=0,L16,0)</f>
        <v>0</v>
      </c>
      <c r="AK16" s="17">
        <f>IF(AN16=15,L16,0)</f>
        <v>0</v>
      </c>
      <c r="AL16" s="17">
        <f>IF(AN16=21,L16,0)</f>
        <v>0</v>
      </c>
      <c r="AN16" s="17">
        <v>21</v>
      </c>
      <c r="AO16" s="17">
        <f>I16*0</f>
        <v>0</v>
      </c>
      <c r="AP16" s="17">
        <f>I16*(1-0)</f>
        <v>0</v>
      </c>
      <c r="AQ16" s="14" t="s">
        <v>380</v>
      </c>
      <c r="AV16" s="17">
        <f>AW16+AX16</f>
        <v>0</v>
      </c>
      <c r="AW16" s="17">
        <f>H16*AO16</f>
        <v>0</v>
      </c>
      <c r="AX16" s="17">
        <f>H16*AP16</f>
        <v>0</v>
      </c>
      <c r="AY16" s="14" t="s">
        <v>338</v>
      </c>
      <c r="AZ16" s="14" t="s">
        <v>5</v>
      </c>
      <c r="BA16" s="7" t="s">
        <v>294</v>
      </c>
      <c r="BC16" s="17">
        <f>AW16+AX16</f>
        <v>0</v>
      </c>
      <c r="BD16" s="17">
        <f>I16/(100-BE16)*100</f>
        <v>0</v>
      </c>
      <c r="BE16" s="17">
        <v>0</v>
      </c>
      <c r="BF16" s="17">
        <f>16</f>
        <v>16</v>
      </c>
      <c r="BH16" s="17">
        <f>H16*AO16</f>
        <v>0</v>
      </c>
      <c r="BI16" s="17">
        <f>H16*AP16</f>
        <v>0</v>
      </c>
      <c r="BJ16" s="17">
        <f>H16*I16</f>
        <v>0</v>
      </c>
      <c r="BK16" s="17"/>
      <c r="BL16" s="17">
        <v>96</v>
      </c>
    </row>
    <row r="17" spans="1:64" ht="15" customHeight="1">
      <c r="A17" s="10" t="s">
        <v>43</v>
      </c>
      <c r="B17" s="4" t="s">
        <v>180</v>
      </c>
      <c r="C17" s="53" t="s">
        <v>164</v>
      </c>
      <c r="D17" s="53"/>
      <c r="E17" s="53"/>
      <c r="F17" s="53"/>
      <c r="G17" s="4" t="s">
        <v>375</v>
      </c>
      <c r="H17" s="17">
        <v>12.59</v>
      </c>
      <c r="I17" s="17">
        <v>0</v>
      </c>
      <c r="J17" s="17">
        <f>H17*AO17</f>
        <v>0</v>
      </c>
      <c r="K17" s="17">
        <f>H17*AP17</f>
        <v>0</v>
      </c>
      <c r="L17" s="17">
        <f>H17*I17</f>
        <v>0</v>
      </c>
      <c r="M17" s="25" t="s">
        <v>322</v>
      </c>
      <c r="Z17" s="17">
        <f>IF(AQ17="5",BJ17,0)</f>
        <v>0</v>
      </c>
      <c r="AB17" s="17">
        <f>IF(AQ17="1",BH17,0)</f>
        <v>0</v>
      </c>
      <c r="AC17" s="17">
        <f>IF(AQ17="1",BI17,0)</f>
        <v>0</v>
      </c>
      <c r="AD17" s="17">
        <f>IF(AQ17="7",BH17,0)</f>
        <v>0</v>
      </c>
      <c r="AE17" s="17">
        <f>IF(AQ17="7",BI17,0)</f>
        <v>0</v>
      </c>
      <c r="AF17" s="17">
        <f>IF(AQ17="2",BH17,0)</f>
        <v>0</v>
      </c>
      <c r="AG17" s="17">
        <f>IF(AQ17="2",BI17,0)</f>
        <v>0</v>
      </c>
      <c r="AH17" s="17">
        <f>IF(AQ17="0",BJ17,0)</f>
        <v>0</v>
      </c>
      <c r="AI17" s="7" t="s">
        <v>266</v>
      </c>
      <c r="AJ17" s="17">
        <f>IF(AN17=0,L17,0)</f>
        <v>0</v>
      </c>
      <c r="AK17" s="17">
        <f>IF(AN17=15,L17,0)</f>
        <v>0</v>
      </c>
      <c r="AL17" s="17">
        <f>IF(AN17=21,L17,0)</f>
        <v>0</v>
      </c>
      <c r="AN17" s="17">
        <v>21</v>
      </c>
      <c r="AO17" s="17">
        <f>I17*0</f>
        <v>0</v>
      </c>
      <c r="AP17" s="17">
        <f>I17*(1-0)</f>
        <v>0</v>
      </c>
      <c r="AQ17" s="14" t="s">
        <v>380</v>
      </c>
      <c r="AV17" s="17">
        <f>AW17+AX17</f>
        <v>0</v>
      </c>
      <c r="AW17" s="17">
        <f>H17*AO17</f>
        <v>0</v>
      </c>
      <c r="AX17" s="17">
        <f>H17*AP17</f>
        <v>0</v>
      </c>
      <c r="AY17" s="14" t="s">
        <v>338</v>
      </c>
      <c r="AZ17" s="14" t="s">
        <v>5</v>
      </c>
      <c r="BA17" s="7" t="s">
        <v>294</v>
      </c>
      <c r="BC17" s="17">
        <f>AW17+AX17</f>
        <v>0</v>
      </c>
      <c r="BD17" s="17">
        <f>I17/(100-BE17)*100</f>
        <v>0</v>
      </c>
      <c r="BE17" s="17">
        <v>0</v>
      </c>
      <c r="BF17" s="17">
        <f>17</f>
        <v>17</v>
      </c>
      <c r="BH17" s="17">
        <f>H17*AO17</f>
        <v>0</v>
      </c>
      <c r="BI17" s="17">
        <f>H17*AP17</f>
        <v>0</v>
      </c>
      <c r="BJ17" s="17">
        <f>H17*I17</f>
        <v>0</v>
      </c>
      <c r="BK17" s="17"/>
      <c r="BL17" s="17">
        <v>96</v>
      </c>
    </row>
    <row r="18" spans="1:47" ht="15" customHeight="1">
      <c r="A18" s="31" t="s">
        <v>266</v>
      </c>
      <c r="B18" s="16" t="s">
        <v>113</v>
      </c>
      <c r="C18" s="101" t="s">
        <v>151</v>
      </c>
      <c r="D18" s="101"/>
      <c r="E18" s="101"/>
      <c r="F18" s="101"/>
      <c r="G18" s="46" t="s">
        <v>353</v>
      </c>
      <c r="H18" s="46" t="s">
        <v>353</v>
      </c>
      <c r="I18" s="46" t="s">
        <v>353</v>
      </c>
      <c r="J18" s="23">
        <f>SUM(J19:J19)</f>
        <v>0</v>
      </c>
      <c r="K18" s="23">
        <f>SUM(K19:K19)</f>
        <v>0</v>
      </c>
      <c r="L18" s="23">
        <f>SUM(L19:L19)</f>
        <v>0</v>
      </c>
      <c r="M18" s="39" t="s">
        <v>266</v>
      </c>
      <c r="AI18" s="7" t="s">
        <v>266</v>
      </c>
      <c r="AS18" s="23">
        <f>SUM(AJ19:AJ19)</f>
        <v>0</v>
      </c>
      <c r="AT18" s="23">
        <f>SUM(AK19:AK19)</f>
        <v>0</v>
      </c>
      <c r="AU18" s="23">
        <f>SUM(AL19:AL19)</f>
        <v>0</v>
      </c>
    </row>
    <row r="19" spans="1:64" ht="15" customHeight="1">
      <c r="A19" s="10" t="s">
        <v>194</v>
      </c>
      <c r="B19" s="4" t="s">
        <v>189</v>
      </c>
      <c r="C19" s="53" t="s">
        <v>132</v>
      </c>
      <c r="D19" s="53"/>
      <c r="E19" s="53"/>
      <c r="F19" s="53"/>
      <c r="G19" s="4" t="s">
        <v>170</v>
      </c>
      <c r="H19" s="17">
        <v>5.2</v>
      </c>
      <c r="I19" s="17">
        <v>0</v>
      </c>
      <c r="J19" s="17">
        <f>H19*AO19</f>
        <v>0</v>
      </c>
      <c r="K19" s="17">
        <f>H19*AP19</f>
        <v>0</v>
      </c>
      <c r="L19" s="17">
        <f>H19*I19</f>
        <v>0</v>
      </c>
      <c r="M19" s="25" t="s">
        <v>206</v>
      </c>
      <c r="Z19" s="17">
        <f>IF(AQ19="5",BJ19,0)</f>
        <v>0</v>
      </c>
      <c r="AB19" s="17">
        <f>IF(AQ19="1",BH19,0)</f>
        <v>0</v>
      </c>
      <c r="AC19" s="17">
        <f>IF(AQ19="1",BI19,0)</f>
        <v>0</v>
      </c>
      <c r="AD19" s="17">
        <f>IF(AQ19="7",BH19,0)</f>
        <v>0</v>
      </c>
      <c r="AE19" s="17">
        <f>IF(AQ19="7",BI19,0)</f>
        <v>0</v>
      </c>
      <c r="AF19" s="17">
        <f>IF(AQ19="2",BH19,0)</f>
        <v>0</v>
      </c>
      <c r="AG19" s="17">
        <f>IF(AQ19="2",BI19,0)</f>
        <v>0</v>
      </c>
      <c r="AH19" s="17">
        <f>IF(AQ19="0",BJ19,0)</f>
        <v>0</v>
      </c>
      <c r="AI19" s="7" t="s">
        <v>266</v>
      </c>
      <c r="AJ19" s="17">
        <f>IF(AN19=0,L19,0)</f>
        <v>0</v>
      </c>
      <c r="AK19" s="17">
        <f>IF(AN19=15,L19,0)</f>
        <v>0</v>
      </c>
      <c r="AL19" s="17">
        <f>IF(AN19=21,L19,0)</f>
        <v>0</v>
      </c>
      <c r="AN19" s="17">
        <v>21</v>
      </c>
      <c r="AO19" s="17">
        <f>I19*0</f>
        <v>0</v>
      </c>
      <c r="AP19" s="17">
        <f>I19*(1-0)</f>
        <v>0</v>
      </c>
      <c r="AQ19" s="14" t="s">
        <v>194</v>
      </c>
      <c r="AV19" s="17">
        <f>AW19+AX19</f>
        <v>0</v>
      </c>
      <c r="AW19" s="17">
        <f>H19*AO19</f>
        <v>0</v>
      </c>
      <c r="AX19" s="17">
        <f>H19*AP19</f>
        <v>0</v>
      </c>
      <c r="AY19" s="14" t="s">
        <v>145</v>
      </c>
      <c r="AZ19" s="14" t="s">
        <v>5</v>
      </c>
      <c r="BA19" s="7" t="s">
        <v>294</v>
      </c>
      <c r="BC19" s="17">
        <f>AW19+AX19</f>
        <v>0</v>
      </c>
      <c r="BD19" s="17">
        <f>I19/(100-BE19)*100</f>
        <v>0</v>
      </c>
      <c r="BE19" s="17">
        <v>0</v>
      </c>
      <c r="BF19" s="17">
        <f>19</f>
        <v>19</v>
      </c>
      <c r="BH19" s="17">
        <f>H19*AO19</f>
        <v>0</v>
      </c>
      <c r="BI19" s="17">
        <f>H19*AP19</f>
        <v>0</v>
      </c>
      <c r="BJ19" s="17">
        <f>H19*I19</f>
        <v>0</v>
      </c>
      <c r="BK19" s="17"/>
      <c r="BL19" s="17"/>
    </row>
    <row r="20" spans="1:47" ht="15" customHeight="1">
      <c r="A20" s="31" t="s">
        <v>266</v>
      </c>
      <c r="B20" s="16" t="s">
        <v>218</v>
      </c>
      <c r="C20" s="101" t="s">
        <v>366</v>
      </c>
      <c r="D20" s="101"/>
      <c r="E20" s="101"/>
      <c r="F20" s="101"/>
      <c r="G20" s="46" t="s">
        <v>353</v>
      </c>
      <c r="H20" s="46" t="s">
        <v>353</v>
      </c>
      <c r="I20" s="46" t="s">
        <v>353</v>
      </c>
      <c r="J20" s="23">
        <f>SUM(J21:J22)</f>
        <v>0</v>
      </c>
      <c r="K20" s="23">
        <f>SUM(K21:K22)</f>
        <v>0</v>
      </c>
      <c r="L20" s="23">
        <f>SUM(L21:L22)</f>
        <v>0</v>
      </c>
      <c r="M20" s="39" t="s">
        <v>266</v>
      </c>
      <c r="AI20" s="7" t="s">
        <v>266</v>
      </c>
      <c r="AS20" s="23">
        <f>SUM(AJ21:AJ22)</f>
        <v>0</v>
      </c>
      <c r="AT20" s="23">
        <f>SUM(AK21:AK22)</f>
        <v>0</v>
      </c>
      <c r="AU20" s="23">
        <f>SUM(AL21:AL22)</f>
        <v>0</v>
      </c>
    </row>
    <row r="21" spans="1:64" ht="15" customHeight="1">
      <c r="A21" s="10" t="s">
        <v>54</v>
      </c>
      <c r="B21" s="4" t="s">
        <v>59</v>
      </c>
      <c r="C21" s="53" t="s">
        <v>227</v>
      </c>
      <c r="D21" s="53"/>
      <c r="E21" s="53"/>
      <c r="F21" s="53"/>
      <c r="G21" s="4" t="s">
        <v>90</v>
      </c>
      <c r="H21" s="17">
        <v>2</v>
      </c>
      <c r="I21" s="17">
        <v>0</v>
      </c>
      <c r="J21" s="17">
        <f>H21*AO21</f>
        <v>0</v>
      </c>
      <c r="K21" s="17">
        <f>H21*AP21</f>
        <v>0</v>
      </c>
      <c r="L21" s="17">
        <f>H21*I21</f>
        <v>0</v>
      </c>
      <c r="M21" s="25" t="s">
        <v>322</v>
      </c>
      <c r="Z21" s="17">
        <f>IF(AQ21="5",BJ21,0)</f>
        <v>0</v>
      </c>
      <c r="AB21" s="17">
        <f>IF(AQ21="1",BH21,0)</f>
        <v>0</v>
      </c>
      <c r="AC21" s="17">
        <f>IF(AQ21="1",BI21,0)</f>
        <v>0</v>
      </c>
      <c r="AD21" s="17">
        <f>IF(AQ21="7",BH21,0)</f>
        <v>0</v>
      </c>
      <c r="AE21" s="17">
        <f>IF(AQ21="7",BI21,0)</f>
        <v>0</v>
      </c>
      <c r="AF21" s="17">
        <f>IF(AQ21="2",BH21,0)</f>
        <v>0</v>
      </c>
      <c r="AG21" s="17">
        <f>IF(AQ21="2",BI21,0)</f>
        <v>0</v>
      </c>
      <c r="AH21" s="17">
        <f>IF(AQ21="0",BJ21,0)</f>
        <v>0</v>
      </c>
      <c r="AI21" s="7" t="s">
        <v>266</v>
      </c>
      <c r="AJ21" s="17">
        <f>IF(AN21=0,L21,0)</f>
        <v>0</v>
      </c>
      <c r="AK21" s="17">
        <f>IF(AN21=15,L21,0)</f>
        <v>0</v>
      </c>
      <c r="AL21" s="17">
        <f>IF(AN21=21,L21,0)</f>
        <v>0</v>
      </c>
      <c r="AN21" s="17">
        <v>21</v>
      </c>
      <c r="AO21" s="17">
        <f>I21*0.891154065216494</f>
        <v>0</v>
      </c>
      <c r="AP21" s="17">
        <f>I21*(1-0.891154065216494)</f>
        <v>0</v>
      </c>
      <c r="AQ21" s="14" t="s">
        <v>380</v>
      </c>
      <c r="AV21" s="17">
        <f>AW21+AX21</f>
        <v>0</v>
      </c>
      <c r="AW21" s="17">
        <f>H21*AO21</f>
        <v>0</v>
      </c>
      <c r="AX21" s="17">
        <f>H21*AP21</f>
        <v>0</v>
      </c>
      <c r="AY21" s="14" t="s">
        <v>278</v>
      </c>
      <c r="AZ21" s="14" t="s">
        <v>154</v>
      </c>
      <c r="BA21" s="7" t="s">
        <v>294</v>
      </c>
      <c r="BC21" s="17">
        <f>AW21+AX21</f>
        <v>0</v>
      </c>
      <c r="BD21" s="17">
        <f>I21/(100-BE21)*100</f>
        <v>0</v>
      </c>
      <c r="BE21" s="17">
        <v>0</v>
      </c>
      <c r="BF21" s="17">
        <f>21</f>
        <v>21</v>
      </c>
      <c r="BH21" s="17">
        <f>H21*AO21</f>
        <v>0</v>
      </c>
      <c r="BI21" s="17">
        <f>H21*AP21</f>
        <v>0</v>
      </c>
      <c r="BJ21" s="17">
        <f>H21*I21</f>
        <v>0</v>
      </c>
      <c r="BK21" s="17"/>
      <c r="BL21" s="17">
        <v>31</v>
      </c>
    </row>
    <row r="22" spans="1:64" ht="15" customHeight="1">
      <c r="A22" s="10" t="s">
        <v>381</v>
      </c>
      <c r="B22" s="4" t="s">
        <v>45</v>
      </c>
      <c r="C22" s="53" t="s">
        <v>227</v>
      </c>
      <c r="D22" s="53"/>
      <c r="E22" s="53"/>
      <c r="F22" s="53"/>
      <c r="G22" s="4" t="s">
        <v>90</v>
      </c>
      <c r="H22" s="17">
        <v>4</v>
      </c>
      <c r="I22" s="17">
        <v>0</v>
      </c>
      <c r="J22" s="17">
        <f>H22*AO22</f>
        <v>0</v>
      </c>
      <c r="K22" s="17">
        <f>H22*AP22</f>
        <v>0</v>
      </c>
      <c r="L22" s="17">
        <f>H22*I22</f>
        <v>0</v>
      </c>
      <c r="M22" s="25" t="s">
        <v>322</v>
      </c>
      <c r="Z22" s="17">
        <f>IF(AQ22="5",BJ22,0)</f>
        <v>0</v>
      </c>
      <c r="AB22" s="17">
        <f>IF(AQ22="1",BH22,0)</f>
        <v>0</v>
      </c>
      <c r="AC22" s="17">
        <f>IF(AQ22="1",BI22,0)</f>
        <v>0</v>
      </c>
      <c r="AD22" s="17">
        <f>IF(AQ22="7",BH22,0)</f>
        <v>0</v>
      </c>
      <c r="AE22" s="17">
        <f>IF(AQ22="7",BI22,0)</f>
        <v>0</v>
      </c>
      <c r="AF22" s="17">
        <f>IF(AQ22="2",BH22,0)</f>
        <v>0</v>
      </c>
      <c r="AG22" s="17">
        <f>IF(AQ22="2",BI22,0)</f>
        <v>0</v>
      </c>
      <c r="AH22" s="17">
        <f>IF(AQ22="0",BJ22,0)</f>
        <v>0</v>
      </c>
      <c r="AI22" s="7" t="s">
        <v>266</v>
      </c>
      <c r="AJ22" s="17">
        <f>IF(AN22=0,L22,0)</f>
        <v>0</v>
      </c>
      <c r="AK22" s="17">
        <f>IF(AN22=15,L22,0)</f>
        <v>0</v>
      </c>
      <c r="AL22" s="17">
        <f>IF(AN22=21,L22,0)</f>
        <v>0</v>
      </c>
      <c r="AN22" s="17">
        <v>21</v>
      </c>
      <c r="AO22" s="17">
        <f>I22*0.849099366490836</f>
        <v>0</v>
      </c>
      <c r="AP22" s="17">
        <f>I22*(1-0.849099366490836)</f>
        <v>0</v>
      </c>
      <c r="AQ22" s="14" t="s">
        <v>380</v>
      </c>
      <c r="AV22" s="17">
        <f>AW22+AX22</f>
        <v>0</v>
      </c>
      <c r="AW22" s="17">
        <f>H22*AO22</f>
        <v>0</v>
      </c>
      <c r="AX22" s="17">
        <f>H22*AP22</f>
        <v>0</v>
      </c>
      <c r="AY22" s="14" t="s">
        <v>278</v>
      </c>
      <c r="AZ22" s="14" t="s">
        <v>154</v>
      </c>
      <c r="BA22" s="7" t="s">
        <v>294</v>
      </c>
      <c r="BC22" s="17">
        <f>AW22+AX22</f>
        <v>0</v>
      </c>
      <c r="BD22" s="17">
        <f>I22/(100-BE22)*100</f>
        <v>0</v>
      </c>
      <c r="BE22" s="17">
        <v>0</v>
      </c>
      <c r="BF22" s="17">
        <f>22</f>
        <v>22</v>
      </c>
      <c r="BH22" s="17">
        <f>H22*AO22</f>
        <v>0</v>
      </c>
      <c r="BI22" s="17">
        <f>H22*AP22</f>
        <v>0</v>
      </c>
      <c r="BJ22" s="17">
        <f>H22*I22</f>
        <v>0</v>
      </c>
      <c r="BK22" s="17"/>
      <c r="BL22" s="17">
        <v>31</v>
      </c>
    </row>
    <row r="23" spans="1:47" ht="15" customHeight="1">
      <c r="A23" s="31" t="s">
        <v>266</v>
      </c>
      <c r="B23" s="16" t="s">
        <v>421</v>
      </c>
      <c r="C23" s="101" t="s">
        <v>85</v>
      </c>
      <c r="D23" s="101"/>
      <c r="E23" s="101"/>
      <c r="F23" s="101"/>
      <c r="G23" s="46" t="s">
        <v>353</v>
      </c>
      <c r="H23" s="46" t="s">
        <v>353</v>
      </c>
      <c r="I23" s="46" t="s">
        <v>353</v>
      </c>
      <c r="J23" s="23">
        <f>SUM(J24:J26)</f>
        <v>0</v>
      </c>
      <c r="K23" s="23">
        <f>SUM(K24:K26)</f>
        <v>0</v>
      </c>
      <c r="L23" s="23">
        <f>SUM(L24:L26)</f>
        <v>0</v>
      </c>
      <c r="M23" s="39" t="s">
        <v>266</v>
      </c>
      <c r="AI23" s="7" t="s">
        <v>266</v>
      </c>
      <c r="AS23" s="23">
        <f>SUM(AJ24:AJ26)</f>
        <v>0</v>
      </c>
      <c r="AT23" s="23">
        <f>SUM(AK24:AK26)</f>
        <v>0</v>
      </c>
      <c r="AU23" s="23">
        <f>SUM(AL24:AL26)</f>
        <v>0</v>
      </c>
    </row>
    <row r="24" spans="1:64" ht="15" customHeight="1">
      <c r="A24" s="10" t="s">
        <v>307</v>
      </c>
      <c r="B24" s="4" t="s">
        <v>326</v>
      </c>
      <c r="C24" s="53" t="s">
        <v>182</v>
      </c>
      <c r="D24" s="53"/>
      <c r="E24" s="53"/>
      <c r="F24" s="53"/>
      <c r="G24" s="4" t="s">
        <v>375</v>
      </c>
      <c r="H24" s="17">
        <v>12.3</v>
      </c>
      <c r="I24" s="17">
        <v>0</v>
      </c>
      <c r="J24" s="17">
        <f>H24*AO24</f>
        <v>0</v>
      </c>
      <c r="K24" s="17">
        <f>H24*AP24</f>
        <v>0</v>
      </c>
      <c r="L24" s="17">
        <f>H24*I24</f>
        <v>0</v>
      </c>
      <c r="M24" s="25" t="s">
        <v>322</v>
      </c>
      <c r="Z24" s="17">
        <f>IF(AQ24="5",BJ24,0)</f>
        <v>0</v>
      </c>
      <c r="AB24" s="17">
        <f>IF(AQ24="1",BH24,0)</f>
        <v>0</v>
      </c>
      <c r="AC24" s="17">
        <f>IF(AQ24="1",BI24,0)</f>
        <v>0</v>
      </c>
      <c r="AD24" s="17">
        <f>IF(AQ24="7",BH24,0)</f>
        <v>0</v>
      </c>
      <c r="AE24" s="17">
        <f>IF(AQ24="7",BI24,0)</f>
        <v>0</v>
      </c>
      <c r="AF24" s="17">
        <f>IF(AQ24="2",BH24,0)</f>
        <v>0</v>
      </c>
      <c r="AG24" s="17">
        <f>IF(AQ24="2",BI24,0)</f>
        <v>0</v>
      </c>
      <c r="AH24" s="17">
        <f>IF(AQ24="0",BJ24,0)</f>
        <v>0</v>
      </c>
      <c r="AI24" s="7" t="s">
        <v>266</v>
      </c>
      <c r="AJ24" s="17">
        <f>IF(AN24=0,L24,0)</f>
        <v>0</v>
      </c>
      <c r="AK24" s="17">
        <f>IF(AN24=15,L24,0)</f>
        <v>0</v>
      </c>
      <c r="AL24" s="17">
        <f>IF(AN24=21,L24,0)</f>
        <v>0</v>
      </c>
      <c r="AN24" s="17">
        <v>21</v>
      </c>
      <c r="AO24" s="17">
        <f>I24*0.752907487759589</f>
        <v>0</v>
      </c>
      <c r="AP24" s="17">
        <f>I24*(1-0.752907487759589)</f>
        <v>0</v>
      </c>
      <c r="AQ24" s="14" t="s">
        <v>380</v>
      </c>
      <c r="AV24" s="17">
        <f>AW24+AX24</f>
        <v>0</v>
      </c>
      <c r="AW24" s="17">
        <f>H24*AO24</f>
        <v>0</v>
      </c>
      <c r="AX24" s="17">
        <f>H24*AP24</f>
        <v>0</v>
      </c>
      <c r="AY24" s="14" t="s">
        <v>274</v>
      </c>
      <c r="AZ24" s="14" t="s">
        <v>154</v>
      </c>
      <c r="BA24" s="7" t="s">
        <v>294</v>
      </c>
      <c r="BC24" s="17">
        <f>AW24+AX24</f>
        <v>0</v>
      </c>
      <c r="BD24" s="17">
        <f>I24/(100-BE24)*100</f>
        <v>0</v>
      </c>
      <c r="BE24" s="17">
        <v>0</v>
      </c>
      <c r="BF24" s="17">
        <f>24</f>
        <v>24</v>
      </c>
      <c r="BH24" s="17">
        <f>H24*AO24</f>
        <v>0</v>
      </c>
      <c r="BI24" s="17">
        <f>H24*AP24</f>
        <v>0</v>
      </c>
      <c r="BJ24" s="17">
        <f>H24*I24</f>
        <v>0</v>
      </c>
      <c r="BK24" s="17"/>
      <c r="BL24" s="17">
        <v>34</v>
      </c>
    </row>
    <row r="25" spans="1:64" ht="15" customHeight="1">
      <c r="A25" s="10" t="s">
        <v>134</v>
      </c>
      <c r="B25" s="4" t="s">
        <v>73</v>
      </c>
      <c r="C25" s="53" t="s">
        <v>133</v>
      </c>
      <c r="D25" s="53"/>
      <c r="E25" s="53"/>
      <c r="F25" s="53"/>
      <c r="G25" s="4" t="s">
        <v>375</v>
      </c>
      <c r="H25" s="17">
        <v>16.37</v>
      </c>
      <c r="I25" s="17">
        <v>0</v>
      </c>
      <c r="J25" s="17">
        <f>H25*AO25</f>
        <v>0</v>
      </c>
      <c r="K25" s="17">
        <f>H25*AP25</f>
        <v>0</v>
      </c>
      <c r="L25" s="17">
        <f>H25*I25</f>
        <v>0</v>
      </c>
      <c r="M25" s="25" t="s">
        <v>322</v>
      </c>
      <c r="Z25" s="17">
        <f>IF(AQ25="5",BJ25,0)</f>
        <v>0</v>
      </c>
      <c r="AB25" s="17">
        <f>IF(AQ25="1",BH25,0)</f>
        <v>0</v>
      </c>
      <c r="AC25" s="17">
        <f>IF(AQ25="1",BI25,0)</f>
        <v>0</v>
      </c>
      <c r="AD25" s="17">
        <f>IF(AQ25="7",BH25,0)</f>
        <v>0</v>
      </c>
      <c r="AE25" s="17">
        <f>IF(AQ25="7",BI25,0)</f>
        <v>0</v>
      </c>
      <c r="AF25" s="17">
        <f>IF(AQ25="2",BH25,0)</f>
        <v>0</v>
      </c>
      <c r="AG25" s="17">
        <f>IF(AQ25="2",BI25,0)</f>
        <v>0</v>
      </c>
      <c r="AH25" s="17">
        <f>IF(AQ25="0",BJ25,0)</f>
        <v>0</v>
      </c>
      <c r="AI25" s="7" t="s">
        <v>266</v>
      </c>
      <c r="AJ25" s="17">
        <f>IF(AN25=0,L25,0)</f>
        <v>0</v>
      </c>
      <c r="AK25" s="17">
        <f>IF(AN25=15,L25,0)</f>
        <v>0</v>
      </c>
      <c r="AL25" s="17">
        <f>IF(AN25=21,L25,0)</f>
        <v>0</v>
      </c>
      <c r="AN25" s="17">
        <v>21</v>
      </c>
      <c r="AO25" s="17">
        <f>I25*0.678846326905698</f>
        <v>0</v>
      </c>
      <c r="AP25" s="17">
        <f>I25*(1-0.678846326905698)</f>
        <v>0</v>
      </c>
      <c r="AQ25" s="14" t="s">
        <v>380</v>
      </c>
      <c r="AV25" s="17">
        <f>AW25+AX25</f>
        <v>0</v>
      </c>
      <c r="AW25" s="17">
        <f>H25*AO25</f>
        <v>0</v>
      </c>
      <c r="AX25" s="17">
        <f>H25*AP25</f>
        <v>0</v>
      </c>
      <c r="AY25" s="14" t="s">
        <v>274</v>
      </c>
      <c r="AZ25" s="14" t="s">
        <v>154</v>
      </c>
      <c r="BA25" s="7" t="s">
        <v>294</v>
      </c>
      <c r="BC25" s="17">
        <f>AW25+AX25</f>
        <v>0</v>
      </c>
      <c r="BD25" s="17">
        <f>I25/(100-BE25)*100</f>
        <v>0</v>
      </c>
      <c r="BE25" s="17">
        <v>0</v>
      </c>
      <c r="BF25" s="17">
        <f>25</f>
        <v>25</v>
      </c>
      <c r="BH25" s="17">
        <f>H25*AO25</f>
        <v>0</v>
      </c>
      <c r="BI25" s="17">
        <f>H25*AP25</f>
        <v>0</v>
      </c>
      <c r="BJ25" s="17">
        <f>H25*I25</f>
        <v>0</v>
      </c>
      <c r="BK25" s="17"/>
      <c r="BL25" s="17">
        <v>34</v>
      </c>
    </row>
    <row r="26" spans="1:64" ht="15" customHeight="1">
      <c r="A26" s="10" t="s">
        <v>212</v>
      </c>
      <c r="B26" s="4" t="s">
        <v>269</v>
      </c>
      <c r="C26" s="53" t="s">
        <v>116</v>
      </c>
      <c r="D26" s="53"/>
      <c r="E26" s="53"/>
      <c r="F26" s="53"/>
      <c r="G26" s="4" t="s">
        <v>375</v>
      </c>
      <c r="H26" s="17">
        <v>26.85</v>
      </c>
      <c r="I26" s="17">
        <v>0</v>
      </c>
      <c r="J26" s="17">
        <f>H26*AO26</f>
        <v>0</v>
      </c>
      <c r="K26" s="17">
        <f>H26*AP26</f>
        <v>0</v>
      </c>
      <c r="L26" s="17">
        <f>H26*I26</f>
        <v>0</v>
      </c>
      <c r="M26" s="25" t="s">
        <v>322</v>
      </c>
      <c r="Z26" s="17">
        <f>IF(AQ26="5",BJ26,0)</f>
        <v>0</v>
      </c>
      <c r="AB26" s="17">
        <f>IF(AQ26="1",BH26,0)</f>
        <v>0</v>
      </c>
      <c r="AC26" s="17">
        <f>IF(AQ26="1",BI26,0)</f>
        <v>0</v>
      </c>
      <c r="AD26" s="17">
        <f>IF(AQ26="7",BH26,0)</f>
        <v>0</v>
      </c>
      <c r="AE26" s="17">
        <f>IF(AQ26="7",BI26,0)</f>
        <v>0</v>
      </c>
      <c r="AF26" s="17">
        <f>IF(AQ26="2",BH26,0)</f>
        <v>0</v>
      </c>
      <c r="AG26" s="17">
        <f>IF(AQ26="2",BI26,0)</f>
        <v>0</v>
      </c>
      <c r="AH26" s="17">
        <f>IF(AQ26="0",BJ26,0)</f>
        <v>0</v>
      </c>
      <c r="AI26" s="7" t="s">
        <v>266</v>
      </c>
      <c r="AJ26" s="17">
        <f>IF(AN26=0,L26,0)</f>
        <v>0</v>
      </c>
      <c r="AK26" s="17">
        <f>IF(AN26=15,L26,0)</f>
        <v>0</v>
      </c>
      <c r="AL26" s="17">
        <f>IF(AN26=21,L26,0)</f>
        <v>0</v>
      </c>
      <c r="AN26" s="17">
        <v>21</v>
      </c>
      <c r="AO26" s="17">
        <f>I26*0.494994815997927</f>
        <v>0</v>
      </c>
      <c r="AP26" s="17">
        <f>I26*(1-0.494994815997927)</f>
        <v>0</v>
      </c>
      <c r="AQ26" s="14" t="s">
        <v>380</v>
      </c>
      <c r="AV26" s="17">
        <f>AW26+AX26</f>
        <v>0</v>
      </c>
      <c r="AW26" s="17">
        <f>H26*AO26</f>
        <v>0</v>
      </c>
      <c r="AX26" s="17">
        <f>H26*AP26</f>
        <v>0</v>
      </c>
      <c r="AY26" s="14" t="s">
        <v>274</v>
      </c>
      <c r="AZ26" s="14" t="s">
        <v>154</v>
      </c>
      <c r="BA26" s="7" t="s">
        <v>294</v>
      </c>
      <c r="BC26" s="17">
        <f>AW26+AX26</f>
        <v>0</v>
      </c>
      <c r="BD26" s="17">
        <f>I26/(100-BE26)*100</f>
        <v>0</v>
      </c>
      <c r="BE26" s="17">
        <v>0</v>
      </c>
      <c r="BF26" s="17">
        <f>26</f>
        <v>26</v>
      </c>
      <c r="BH26" s="17">
        <f>H26*AO26</f>
        <v>0</v>
      </c>
      <c r="BI26" s="17">
        <f>H26*AP26</f>
        <v>0</v>
      </c>
      <c r="BJ26" s="17">
        <f>H26*I26</f>
        <v>0</v>
      </c>
      <c r="BK26" s="17"/>
      <c r="BL26" s="17">
        <v>34</v>
      </c>
    </row>
    <row r="27" spans="1:47" ht="15" customHeight="1">
      <c r="A27" s="31" t="s">
        <v>266</v>
      </c>
      <c r="B27" s="16" t="s">
        <v>376</v>
      </c>
      <c r="C27" s="101" t="s">
        <v>286</v>
      </c>
      <c r="D27" s="101"/>
      <c r="E27" s="101"/>
      <c r="F27" s="101"/>
      <c r="G27" s="46" t="s">
        <v>353</v>
      </c>
      <c r="H27" s="46" t="s">
        <v>353</v>
      </c>
      <c r="I27" s="46" t="s">
        <v>353</v>
      </c>
      <c r="J27" s="23">
        <f>SUM(J28:J28)</f>
        <v>0</v>
      </c>
      <c r="K27" s="23">
        <f>SUM(K28:K28)</f>
        <v>0</v>
      </c>
      <c r="L27" s="23">
        <f>SUM(L28:L28)</f>
        <v>0</v>
      </c>
      <c r="M27" s="39" t="s">
        <v>266</v>
      </c>
      <c r="AI27" s="7" t="s">
        <v>266</v>
      </c>
      <c r="AS27" s="23">
        <f>SUM(AJ28:AJ28)</f>
        <v>0</v>
      </c>
      <c r="AT27" s="23">
        <f>SUM(AK28:AK28)</f>
        <v>0</v>
      </c>
      <c r="AU27" s="23">
        <f>SUM(AL28:AL28)</f>
        <v>0</v>
      </c>
    </row>
    <row r="28" spans="1:64" ht="15" customHeight="1">
      <c r="A28" s="10" t="s">
        <v>321</v>
      </c>
      <c r="B28" s="4" t="s">
        <v>149</v>
      </c>
      <c r="C28" s="53" t="s">
        <v>233</v>
      </c>
      <c r="D28" s="53"/>
      <c r="E28" s="53"/>
      <c r="F28" s="53"/>
      <c r="G28" s="4" t="s">
        <v>375</v>
      </c>
      <c r="H28" s="17">
        <v>12.59</v>
      </c>
      <c r="I28" s="17">
        <v>0</v>
      </c>
      <c r="J28" s="17">
        <f>H28*AO28</f>
        <v>0</v>
      </c>
      <c r="K28" s="17">
        <f>H28*AP28</f>
        <v>0</v>
      </c>
      <c r="L28" s="17">
        <f>H28*I28</f>
        <v>0</v>
      </c>
      <c r="M28" s="25" t="s">
        <v>322</v>
      </c>
      <c r="Z28" s="17">
        <f>IF(AQ28="5",BJ28,0)</f>
        <v>0</v>
      </c>
      <c r="AB28" s="17">
        <f>IF(AQ28="1",BH28,0)</f>
        <v>0</v>
      </c>
      <c r="AC28" s="17">
        <f>IF(AQ28="1",BI28,0)</f>
        <v>0</v>
      </c>
      <c r="AD28" s="17">
        <f>IF(AQ28="7",BH28,0)</f>
        <v>0</v>
      </c>
      <c r="AE28" s="17">
        <f>IF(AQ28="7",BI28,0)</f>
        <v>0</v>
      </c>
      <c r="AF28" s="17">
        <f>IF(AQ28="2",BH28,0)</f>
        <v>0</v>
      </c>
      <c r="AG28" s="17">
        <f>IF(AQ28="2",BI28,0)</f>
        <v>0</v>
      </c>
      <c r="AH28" s="17">
        <f>IF(AQ28="0",BJ28,0)</f>
        <v>0</v>
      </c>
      <c r="AI28" s="7" t="s">
        <v>266</v>
      </c>
      <c r="AJ28" s="17">
        <f>IF(AN28=0,L28,0)</f>
        <v>0</v>
      </c>
      <c r="AK28" s="17">
        <f>IF(AN28=15,L28,0)</f>
        <v>0</v>
      </c>
      <c r="AL28" s="17">
        <f>IF(AN28=21,L28,0)</f>
        <v>0</v>
      </c>
      <c r="AN28" s="17">
        <v>21</v>
      </c>
      <c r="AO28" s="17">
        <f>I28*0.483413357707438</f>
        <v>0</v>
      </c>
      <c r="AP28" s="17">
        <f>I28*(1-0.483413357707438)</f>
        <v>0</v>
      </c>
      <c r="AQ28" s="14" t="s">
        <v>380</v>
      </c>
      <c r="AV28" s="17">
        <f>AW28+AX28</f>
        <v>0</v>
      </c>
      <c r="AW28" s="17">
        <f>H28*AO28</f>
        <v>0</v>
      </c>
      <c r="AX28" s="17">
        <f>H28*AP28</f>
        <v>0</v>
      </c>
      <c r="AY28" s="14" t="s">
        <v>279</v>
      </c>
      <c r="AZ28" s="14" t="s">
        <v>53</v>
      </c>
      <c r="BA28" s="7" t="s">
        <v>294</v>
      </c>
      <c r="BC28" s="17">
        <f>AW28+AX28</f>
        <v>0</v>
      </c>
      <c r="BD28" s="17">
        <f>I28/(100-BE28)*100</f>
        <v>0</v>
      </c>
      <c r="BE28" s="17">
        <v>0</v>
      </c>
      <c r="BF28" s="17">
        <f>28</f>
        <v>28</v>
      </c>
      <c r="BH28" s="17">
        <f>H28*AO28</f>
        <v>0</v>
      </c>
      <c r="BI28" s="17">
        <f>H28*AP28</f>
        <v>0</v>
      </c>
      <c r="BJ28" s="17">
        <f>H28*I28</f>
        <v>0</v>
      </c>
      <c r="BK28" s="17"/>
      <c r="BL28" s="17">
        <v>41</v>
      </c>
    </row>
    <row r="29" spans="1:47" ht="15" customHeight="1">
      <c r="A29" s="31" t="s">
        <v>266</v>
      </c>
      <c r="B29" s="16" t="s">
        <v>280</v>
      </c>
      <c r="C29" s="101" t="s">
        <v>276</v>
      </c>
      <c r="D29" s="101"/>
      <c r="E29" s="101"/>
      <c r="F29" s="101"/>
      <c r="G29" s="46" t="s">
        <v>353</v>
      </c>
      <c r="H29" s="46" t="s">
        <v>353</v>
      </c>
      <c r="I29" s="46" t="s">
        <v>353</v>
      </c>
      <c r="J29" s="23">
        <f>SUM(J30:J30)</f>
        <v>0</v>
      </c>
      <c r="K29" s="23">
        <f>SUM(K30:K30)</f>
        <v>0</v>
      </c>
      <c r="L29" s="23">
        <f>SUM(L30:L30)</f>
        <v>0</v>
      </c>
      <c r="M29" s="39" t="s">
        <v>266</v>
      </c>
      <c r="AI29" s="7" t="s">
        <v>266</v>
      </c>
      <c r="AS29" s="23">
        <f>SUM(AJ30:AJ30)</f>
        <v>0</v>
      </c>
      <c r="AT29" s="23">
        <f>SUM(AK30:AK30)</f>
        <v>0</v>
      </c>
      <c r="AU29" s="23">
        <f>SUM(AL30:AL30)</f>
        <v>0</v>
      </c>
    </row>
    <row r="30" spans="1:64" ht="15" customHeight="1">
      <c r="A30" s="10" t="s">
        <v>283</v>
      </c>
      <c r="B30" s="4" t="s">
        <v>118</v>
      </c>
      <c r="C30" s="53" t="s">
        <v>158</v>
      </c>
      <c r="D30" s="53"/>
      <c r="E30" s="53"/>
      <c r="F30" s="53"/>
      <c r="G30" s="4" t="s">
        <v>375</v>
      </c>
      <c r="H30" s="17">
        <v>46.8</v>
      </c>
      <c r="I30" s="17">
        <v>0</v>
      </c>
      <c r="J30" s="17">
        <f>H30*AO30</f>
        <v>0</v>
      </c>
      <c r="K30" s="17">
        <f>H30*AP30</f>
        <v>0</v>
      </c>
      <c r="L30" s="17">
        <f>H30*I30</f>
        <v>0</v>
      </c>
      <c r="M30" s="25" t="s">
        <v>206</v>
      </c>
      <c r="Z30" s="17">
        <f>IF(AQ30="5",BJ30,0)</f>
        <v>0</v>
      </c>
      <c r="AB30" s="17">
        <f>IF(AQ30="1",BH30,0)</f>
        <v>0</v>
      </c>
      <c r="AC30" s="17">
        <f>IF(AQ30="1",BI30,0)</f>
        <v>0</v>
      </c>
      <c r="AD30" s="17">
        <f>IF(AQ30="7",BH30,0)</f>
        <v>0</v>
      </c>
      <c r="AE30" s="17">
        <f>IF(AQ30="7",BI30,0)</f>
        <v>0</v>
      </c>
      <c r="AF30" s="17">
        <f>IF(AQ30="2",BH30,0)</f>
        <v>0</v>
      </c>
      <c r="AG30" s="17">
        <f>IF(AQ30="2",BI30,0)</f>
        <v>0</v>
      </c>
      <c r="AH30" s="17">
        <f>IF(AQ30="0",BJ30,0)</f>
        <v>0</v>
      </c>
      <c r="AI30" s="7" t="s">
        <v>266</v>
      </c>
      <c r="AJ30" s="17">
        <f>IF(AN30=0,L30,0)</f>
        <v>0</v>
      </c>
      <c r="AK30" s="17">
        <f>IF(AN30=15,L30,0)</f>
        <v>0</v>
      </c>
      <c r="AL30" s="17">
        <f>IF(AN30=21,L30,0)</f>
        <v>0</v>
      </c>
      <c r="AN30" s="17">
        <v>21</v>
      </c>
      <c r="AO30" s="17">
        <f>I30*0.111975151220523</f>
        <v>0</v>
      </c>
      <c r="AP30" s="17">
        <f>I30*(1-0.111975151220523)</f>
        <v>0</v>
      </c>
      <c r="AQ30" s="14" t="s">
        <v>380</v>
      </c>
      <c r="AV30" s="17">
        <f>AW30+AX30</f>
        <v>0</v>
      </c>
      <c r="AW30" s="17">
        <f>H30*AO30</f>
        <v>0</v>
      </c>
      <c r="AX30" s="17">
        <f>H30*AP30</f>
        <v>0</v>
      </c>
      <c r="AY30" s="14" t="s">
        <v>236</v>
      </c>
      <c r="AZ30" s="14" t="s">
        <v>370</v>
      </c>
      <c r="BA30" s="7" t="s">
        <v>294</v>
      </c>
      <c r="BC30" s="17">
        <f>AW30+AX30</f>
        <v>0</v>
      </c>
      <c r="BD30" s="17">
        <f>I30/(100-BE30)*100</f>
        <v>0</v>
      </c>
      <c r="BE30" s="17">
        <v>0</v>
      </c>
      <c r="BF30" s="17">
        <f>30</f>
        <v>30</v>
      </c>
      <c r="BH30" s="17">
        <f>H30*AO30</f>
        <v>0</v>
      </c>
      <c r="BI30" s="17">
        <f>H30*AP30</f>
        <v>0</v>
      </c>
      <c r="BJ30" s="17">
        <f>H30*I30</f>
        <v>0</v>
      </c>
      <c r="BK30" s="17"/>
      <c r="BL30" s="17">
        <v>61</v>
      </c>
    </row>
    <row r="31" spans="1:47" ht="15" customHeight="1">
      <c r="A31" s="31" t="s">
        <v>266</v>
      </c>
      <c r="B31" s="16" t="s">
        <v>422</v>
      </c>
      <c r="C31" s="101" t="s">
        <v>318</v>
      </c>
      <c r="D31" s="101"/>
      <c r="E31" s="101"/>
      <c r="F31" s="101"/>
      <c r="G31" s="46" t="s">
        <v>353</v>
      </c>
      <c r="H31" s="46" t="s">
        <v>353</v>
      </c>
      <c r="I31" s="46" t="s">
        <v>353</v>
      </c>
      <c r="J31" s="23">
        <f>SUM(J32:J32)</f>
        <v>0</v>
      </c>
      <c r="K31" s="23">
        <f>SUM(K32:K32)</f>
        <v>0</v>
      </c>
      <c r="L31" s="23">
        <f>SUM(L32:L32)</f>
        <v>0</v>
      </c>
      <c r="M31" s="39" t="s">
        <v>266</v>
      </c>
      <c r="AI31" s="7" t="s">
        <v>266</v>
      </c>
      <c r="AS31" s="23">
        <f>SUM(AJ32:AJ32)</f>
        <v>0</v>
      </c>
      <c r="AT31" s="23">
        <f>SUM(AK32:AK32)</f>
        <v>0</v>
      </c>
      <c r="AU31" s="23">
        <f>SUM(AL32:AL32)</f>
        <v>0</v>
      </c>
    </row>
    <row r="32" spans="1:64" ht="15" customHeight="1">
      <c r="A32" s="10" t="s">
        <v>102</v>
      </c>
      <c r="B32" s="4" t="s">
        <v>120</v>
      </c>
      <c r="C32" s="53" t="s">
        <v>109</v>
      </c>
      <c r="D32" s="53"/>
      <c r="E32" s="53"/>
      <c r="F32" s="53"/>
      <c r="G32" s="4" t="s">
        <v>375</v>
      </c>
      <c r="H32" s="17">
        <v>46.8</v>
      </c>
      <c r="I32" s="17">
        <v>0</v>
      </c>
      <c r="J32" s="17">
        <f>H32*AO32</f>
        <v>0</v>
      </c>
      <c r="K32" s="17">
        <f>H32*AP32</f>
        <v>0</v>
      </c>
      <c r="L32" s="17">
        <f>H32*I32</f>
        <v>0</v>
      </c>
      <c r="M32" s="25" t="s">
        <v>322</v>
      </c>
      <c r="Z32" s="17">
        <f>IF(AQ32="5",BJ32,0)</f>
        <v>0</v>
      </c>
      <c r="AB32" s="17">
        <f>IF(AQ32="1",BH32,0)</f>
        <v>0</v>
      </c>
      <c r="AC32" s="17">
        <f>IF(AQ32="1",BI32,0)</f>
        <v>0</v>
      </c>
      <c r="AD32" s="17">
        <f>IF(AQ32="7",BH32,0)</f>
        <v>0</v>
      </c>
      <c r="AE32" s="17">
        <f>IF(AQ32="7",BI32,0)</f>
        <v>0</v>
      </c>
      <c r="AF32" s="17">
        <f>IF(AQ32="2",BH32,0)</f>
        <v>0</v>
      </c>
      <c r="AG32" s="17">
        <f>IF(AQ32="2",BI32,0)</f>
        <v>0</v>
      </c>
      <c r="AH32" s="17">
        <f>IF(AQ32="0",BJ32,0)</f>
        <v>0</v>
      </c>
      <c r="AI32" s="7" t="s">
        <v>266</v>
      </c>
      <c r="AJ32" s="17">
        <f>IF(AN32=0,L32,0)</f>
        <v>0</v>
      </c>
      <c r="AK32" s="17">
        <f>IF(AN32=15,L32,0)</f>
        <v>0</v>
      </c>
      <c r="AL32" s="17">
        <f>IF(AN32=21,L32,0)</f>
        <v>0</v>
      </c>
      <c r="AN32" s="17">
        <v>21</v>
      </c>
      <c r="AO32" s="17">
        <f>I32*0.242804957649522</f>
        <v>0</v>
      </c>
      <c r="AP32" s="17">
        <f>I32*(1-0.242804957649522)</f>
        <v>0</v>
      </c>
      <c r="AQ32" s="14" t="s">
        <v>380</v>
      </c>
      <c r="AV32" s="17">
        <f>AW32+AX32</f>
        <v>0</v>
      </c>
      <c r="AW32" s="17">
        <f>H32*AO32</f>
        <v>0</v>
      </c>
      <c r="AX32" s="17">
        <f>H32*AP32</f>
        <v>0</v>
      </c>
      <c r="AY32" s="14" t="s">
        <v>157</v>
      </c>
      <c r="AZ32" s="14" t="s">
        <v>370</v>
      </c>
      <c r="BA32" s="7" t="s">
        <v>294</v>
      </c>
      <c r="BC32" s="17">
        <f>AW32+AX32</f>
        <v>0</v>
      </c>
      <c r="BD32" s="17">
        <f>I32/(100-BE32)*100</f>
        <v>0</v>
      </c>
      <c r="BE32" s="17">
        <v>0</v>
      </c>
      <c r="BF32" s="17">
        <f>32</f>
        <v>32</v>
      </c>
      <c r="BH32" s="17">
        <f>H32*AO32</f>
        <v>0</v>
      </c>
      <c r="BI32" s="17">
        <f>H32*AP32</f>
        <v>0</v>
      </c>
      <c r="BJ32" s="17">
        <f>H32*I32</f>
        <v>0</v>
      </c>
      <c r="BK32" s="17"/>
      <c r="BL32" s="17">
        <v>62</v>
      </c>
    </row>
    <row r="33" spans="1:47" ht="15" customHeight="1">
      <c r="A33" s="31" t="s">
        <v>266</v>
      </c>
      <c r="B33" s="16" t="s">
        <v>81</v>
      </c>
      <c r="C33" s="101" t="s">
        <v>387</v>
      </c>
      <c r="D33" s="101"/>
      <c r="E33" s="101"/>
      <c r="F33" s="101"/>
      <c r="G33" s="46" t="s">
        <v>353</v>
      </c>
      <c r="H33" s="46" t="s">
        <v>353</v>
      </c>
      <c r="I33" s="46" t="s">
        <v>353</v>
      </c>
      <c r="J33" s="23">
        <f>SUM(J34:J36)</f>
        <v>0</v>
      </c>
      <c r="K33" s="23">
        <f>SUM(K34:K36)</f>
        <v>0</v>
      </c>
      <c r="L33" s="23">
        <f>SUM(L34:L36)</f>
        <v>0</v>
      </c>
      <c r="M33" s="39" t="s">
        <v>266</v>
      </c>
      <c r="AI33" s="7" t="s">
        <v>266</v>
      </c>
      <c r="AS33" s="23">
        <f>SUM(AJ34:AJ36)</f>
        <v>0</v>
      </c>
      <c r="AT33" s="23">
        <f>SUM(AK34:AK36)</f>
        <v>0</v>
      </c>
      <c r="AU33" s="23">
        <f>SUM(AL34:AL36)</f>
        <v>0</v>
      </c>
    </row>
    <row r="34" spans="1:64" ht="15" customHeight="1">
      <c r="A34" s="10" t="s">
        <v>217</v>
      </c>
      <c r="B34" s="4" t="s">
        <v>56</v>
      </c>
      <c r="C34" s="53" t="s">
        <v>169</v>
      </c>
      <c r="D34" s="53"/>
      <c r="E34" s="53"/>
      <c r="F34" s="53"/>
      <c r="G34" s="4" t="s">
        <v>375</v>
      </c>
      <c r="H34" s="17">
        <v>12.59</v>
      </c>
      <c r="I34" s="17">
        <v>0</v>
      </c>
      <c r="J34" s="17">
        <f>H34*AO34</f>
        <v>0</v>
      </c>
      <c r="K34" s="17">
        <f>H34*AP34</f>
        <v>0</v>
      </c>
      <c r="L34" s="17">
        <f>H34*I34</f>
        <v>0</v>
      </c>
      <c r="M34" s="25" t="s">
        <v>322</v>
      </c>
      <c r="Z34" s="17">
        <f>IF(AQ34="5",BJ34,0)</f>
        <v>0</v>
      </c>
      <c r="AB34" s="17">
        <f>IF(AQ34="1",BH34,0)</f>
        <v>0</v>
      </c>
      <c r="AC34" s="17">
        <f>IF(AQ34="1",BI34,0)</f>
        <v>0</v>
      </c>
      <c r="AD34" s="17">
        <f>IF(AQ34="7",BH34,0)</f>
        <v>0</v>
      </c>
      <c r="AE34" s="17">
        <f>IF(AQ34="7",BI34,0)</f>
        <v>0</v>
      </c>
      <c r="AF34" s="17">
        <f>IF(AQ34="2",BH34,0)</f>
        <v>0</v>
      </c>
      <c r="AG34" s="17">
        <f>IF(AQ34="2",BI34,0)</f>
        <v>0</v>
      </c>
      <c r="AH34" s="17">
        <f>IF(AQ34="0",BJ34,0)</f>
        <v>0</v>
      </c>
      <c r="AI34" s="7" t="s">
        <v>266</v>
      </c>
      <c r="AJ34" s="17">
        <f>IF(AN34=0,L34,0)</f>
        <v>0</v>
      </c>
      <c r="AK34" s="17">
        <f>IF(AN34=15,L34,0)</f>
        <v>0</v>
      </c>
      <c r="AL34" s="17">
        <f>IF(AN34=21,L34,0)</f>
        <v>0</v>
      </c>
      <c r="AN34" s="17">
        <v>21</v>
      </c>
      <c r="AO34" s="17">
        <f>I34*0.578112770332886</f>
        <v>0</v>
      </c>
      <c r="AP34" s="17">
        <f>I34*(1-0.578112770332886)</f>
        <v>0</v>
      </c>
      <c r="AQ34" s="14" t="s">
        <v>380</v>
      </c>
      <c r="AV34" s="17">
        <f>AW34+AX34</f>
        <v>0</v>
      </c>
      <c r="AW34" s="17">
        <f>H34*AO34</f>
        <v>0</v>
      </c>
      <c r="AX34" s="17">
        <f>H34*AP34</f>
        <v>0</v>
      </c>
      <c r="AY34" s="14" t="s">
        <v>349</v>
      </c>
      <c r="AZ34" s="14" t="s">
        <v>370</v>
      </c>
      <c r="BA34" s="7" t="s">
        <v>294</v>
      </c>
      <c r="BC34" s="17">
        <f>AW34+AX34</f>
        <v>0</v>
      </c>
      <c r="BD34" s="17">
        <f>I34/(100-BE34)*100</f>
        <v>0</v>
      </c>
      <c r="BE34" s="17">
        <v>0</v>
      </c>
      <c r="BF34" s="17">
        <f>34</f>
        <v>34</v>
      </c>
      <c r="BH34" s="17">
        <f>H34*AO34</f>
        <v>0</v>
      </c>
      <c r="BI34" s="17">
        <f>H34*AP34</f>
        <v>0</v>
      </c>
      <c r="BJ34" s="17">
        <f>H34*I34</f>
        <v>0</v>
      </c>
      <c r="BK34" s="17"/>
      <c r="BL34" s="17">
        <v>63</v>
      </c>
    </row>
    <row r="35" spans="1:64" ht="15" customHeight="1">
      <c r="A35" s="10" t="s">
        <v>136</v>
      </c>
      <c r="B35" s="4" t="s">
        <v>225</v>
      </c>
      <c r="C35" s="53" t="s">
        <v>390</v>
      </c>
      <c r="D35" s="53"/>
      <c r="E35" s="53"/>
      <c r="F35" s="53"/>
      <c r="G35" s="4" t="s">
        <v>375</v>
      </c>
      <c r="H35" s="17">
        <v>12.59</v>
      </c>
      <c r="I35" s="17">
        <v>0</v>
      </c>
      <c r="J35" s="17">
        <f>H35*AO35</f>
        <v>0</v>
      </c>
      <c r="K35" s="17">
        <f>H35*AP35</f>
        <v>0</v>
      </c>
      <c r="L35" s="17">
        <f>H35*I35</f>
        <v>0</v>
      </c>
      <c r="M35" s="25" t="s">
        <v>206</v>
      </c>
      <c r="Z35" s="17">
        <f>IF(AQ35="5",BJ35,0)</f>
        <v>0</v>
      </c>
      <c r="AB35" s="17">
        <f>IF(AQ35="1",BH35,0)</f>
        <v>0</v>
      </c>
      <c r="AC35" s="17">
        <f>IF(AQ35="1",BI35,0)</f>
        <v>0</v>
      </c>
      <c r="AD35" s="17">
        <f>IF(AQ35="7",BH35,0)</f>
        <v>0</v>
      </c>
      <c r="AE35" s="17">
        <f>IF(AQ35="7",BI35,0)</f>
        <v>0</v>
      </c>
      <c r="AF35" s="17">
        <f>IF(AQ35="2",BH35,0)</f>
        <v>0</v>
      </c>
      <c r="AG35" s="17">
        <f>IF(AQ35="2",BI35,0)</f>
        <v>0</v>
      </c>
      <c r="AH35" s="17">
        <f>IF(AQ35="0",BJ35,0)</f>
        <v>0</v>
      </c>
      <c r="AI35" s="7" t="s">
        <v>266</v>
      </c>
      <c r="AJ35" s="17">
        <f>IF(AN35=0,L35,0)</f>
        <v>0</v>
      </c>
      <c r="AK35" s="17">
        <f>IF(AN35=15,L35,0)</f>
        <v>0</v>
      </c>
      <c r="AL35" s="17">
        <f>IF(AN35=21,L35,0)</f>
        <v>0</v>
      </c>
      <c r="AN35" s="17">
        <v>21</v>
      </c>
      <c r="AO35" s="17">
        <f>I35*0.679861251280828</f>
        <v>0</v>
      </c>
      <c r="AP35" s="17">
        <f>I35*(1-0.679861251280828)</f>
        <v>0</v>
      </c>
      <c r="AQ35" s="14" t="s">
        <v>380</v>
      </c>
      <c r="AV35" s="17">
        <f>AW35+AX35</f>
        <v>0</v>
      </c>
      <c r="AW35" s="17">
        <f>H35*AO35</f>
        <v>0</v>
      </c>
      <c r="AX35" s="17">
        <f>H35*AP35</f>
        <v>0</v>
      </c>
      <c r="AY35" s="14" t="s">
        <v>349</v>
      </c>
      <c r="AZ35" s="14" t="s">
        <v>370</v>
      </c>
      <c r="BA35" s="7" t="s">
        <v>294</v>
      </c>
      <c r="BC35" s="17">
        <f>AW35+AX35</f>
        <v>0</v>
      </c>
      <c r="BD35" s="17">
        <f>I35/(100-BE35)*100</f>
        <v>0</v>
      </c>
      <c r="BE35" s="17">
        <v>0</v>
      </c>
      <c r="BF35" s="17">
        <f>35</f>
        <v>35</v>
      </c>
      <c r="BH35" s="17">
        <f>H35*AO35</f>
        <v>0</v>
      </c>
      <c r="BI35" s="17">
        <f>H35*AP35</f>
        <v>0</v>
      </c>
      <c r="BJ35" s="17">
        <f>H35*I35</f>
        <v>0</v>
      </c>
      <c r="BK35" s="17"/>
      <c r="BL35" s="17">
        <v>63</v>
      </c>
    </row>
    <row r="36" spans="1:64" ht="15" customHeight="1">
      <c r="A36" s="10" t="s">
        <v>32</v>
      </c>
      <c r="B36" s="4" t="s">
        <v>228</v>
      </c>
      <c r="C36" s="53" t="s">
        <v>348</v>
      </c>
      <c r="D36" s="53"/>
      <c r="E36" s="53"/>
      <c r="F36" s="53"/>
      <c r="G36" s="4" t="s">
        <v>170</v>
      </c>
      <c r="H36" s="17">
        <v>0.1</v>
      </c>
      <c r="I36" s="17">
        <v>0</v>
      </c>
      <c r="J36" s="17">
        <f>H36*AO36</f>
        <v>0</v>
      </c>
      <c r="K36" s="17">
        <f>H36*AP36</f>
        <v>0</v>
      </c>
      <c r="L36" s="17">
        <f>H36*I36</f>
        <v>0</v>
      </c>
      <c r="M36" s="25" t="s">
        <v>322</v>
      </c>
      <c r="Z36" s="17">
        <f>IF(AQ36="5",BJ36,0)</f>
        <v>0</v>
      </c>
      <c r="AB36" s="17">
        <f>IF(AQ36="1",BH36,0)</f>
        <v>0</v>
      </c>
      <c r="AC36" s="17">
        <f>IF(AQ36="1",BI36,0)</f>
        <v>0</v>
      </c>
      <c r="AD36" s="17">
        <f>IF(AQ36="7",BH36,0)</f>
        <v>0</v>
      </c>
      <c r="AE36" s="17">
        <f>IF(AQ36="7",BI36,0)</f>
        <v>0</v>
      </c>
      <c r="AF36" s="17">
        <f>IF(AQ36="2",BH36,0)</f>
        <v>0</v>
      </c>
      <c r="AG36" s="17">
        <f>IF(AQ36="2",BI36,0)</f>
        <v>0</v>
      </c>
      <c r="AH36" s="17">
        <f>IF(AQ36="0",BJ36,0)</f>
        <v>0</v>
      </c>
      <c r="AI36" s="7" t="s">
        <v>266</v>
      </c>
      <c r="AJ36" s="17">
        <f>IF(AN36=0,L36,0)</f>
        <v>0</v>
      </c>
      <c r="AK36" s="17">
        <f>IF(AN36=15,L36,0)</f>
        <v>0</v>
      </c>
      <c r="AL36" s="17">
        <f>IF(AN36=21,L36,0)</f>
        <v>0</v>
      </c>
      <c r="AN36" s="17">
        <v>21</v>
      </c>
      <c r="AO36" s="17">
        <f>I36*0.88817260809743</f>
        <v>0</v>
      </c>
      <c r="AP36" s="17">
        <f>I36*(1-0.88817260809743)</f>
        <v>0</v>
      </c>
      <c r="AQ36" s="14" t="s">
        <v>380</v>
      </c>
      <c r="AV36" s="17">
        <f>AW36+AX36</f>
        <v>0</v>
      </c>
      <c r="AW36" s="17">
        <f>H36*AO36</f>
        <v>0</v>
      </c>
      <c r="AX36" s="17">
        <f>H36*AP36</f>
        <v>0</v>
      </c>
      <c r="AY36" s="14" t="s">
        <v>349</v>
      </c>
      <c r="AZ36" s="14" t="s">
        <v>370</v>
      </c>
      <c r="BA36" s="7" t="s">
        <v>294</v>
      </c>
      <c r="BC36" s="17">
        <f>AW36+AX36</f>
        <v>0</v>
      </c>
      <c r="BD36" s="17">
        <f>I36/(100-BE36)*100</f>
        <v>0</v>
      </c>
      <c r="BE36" s="17">
        <v>0</v>
      </c>
      <c r="BF36" s="17">
        <f>36</f>
        <v>36</v>
      </c>
      <c r="BH36" s="17">
        <f>H36*AO36</f>
        <v>0</v>
      </c>
      <c r="BI36" s="17">
        <f>H36*AP36</f>
        <v>0</v>
      </c>
      <c r="BJ36" s="17">
        <f>H36*I36</f>
        <v>0</v>
      </c>
      <c r="BK36" s="17"/>
      <c r="BL36" s="17">
        <v>63</v>
      </c>
    </row>
    <row r="37" spans="1:47" ht="15" customHeight="1">
      <c r="A37" s="31" t="s">
        <v>266</v>
      </c>
      <c r="B37" s="16" t="s">
        <v>20</v>
      </c>
      <c r="C37" s="101" t="s">
        <v>425</v>
      </c>
      <c r="D37" s="101"/>
      <c r="E37" s="101"/>
      <c r="F37" s="101"/>
      <c r="G37" s="46" t="s">
        <v>353</v>
      </c>
      <c r="H37" s="46" t="s">
        <v>353</v>
      </c>
      <c r="I37" s="46" t="s">
        <v>353</v>
      </c>
      <c r="J37" s="23">
        <f>SUM(J38:J40)</f>
        <v>0</v>
      </c>
      <c r="K37" s="23">
        <f>SUM(K38:K40)</f>
        <v>0</v>
      </c>
      <c r="L37" s="23">
        <f>SUM(L38:L40)</f>
        <v>0</v>
      </c>
      <c r="M37" s="39" t="s">
        <v>266</v>
      </c>
      <c r="AI37" s="7" t="s">
        <v>266</v>
      </c>
      <c r="AS37" s="23">
        <f>SUM(AJ38:AJ40)</f>
        <v>0</v>
      </c>
      <c r="AT37" s="23">
        <f>SUM(AK38:AK40)</f>
        <v>0</v>
      </c>
      <c r="AU37" s="23">
        <f>SUM(AL38:AL40)</f>
        <v>0</v>
      </c>
    </row>
    <row r="38" spans="1:64" ht="15" customHeight="1">
      <c r="A38" s="10" t="s">
        <v>268</v>
      </c>
      <c r="B38" s="4" t="s">
        <v>267</v>
      </c>
      <c r="C38" s="53" t="s">
        <v>404</v>
      </c>
      <c r="D38" s="53"/>
      <c r="E38" s="53"/>
      <c r="F38" s="53"/>
      <c r="G38" s="4" t="s">
        <v>375</v>
      </c>
      <c r="H38" s="17">
        <v>12.59</v>
      </c>
      <c r="I38" s="17">
        <v>0</v>
      </c>
      <c r="J38" s="17">
        <f>H38*AO38</f>
        <v>0</v>
      </c>
      <c r="K38" s="17">
        <f>H38*AP38</f>
        <v>0</v>
      </c>
      <c r="L38" s="17">
        <f>H38*I38</f>
        <v>0</v>
      </c>
      <c r="M38" s="25" t="s">
        <v>322</v>
      </c>
      <c r="Z38" s="17">
        <f>IF(AQ38="5",BJ38,0)</f>
        <v>0</v>
      </c>
      <c r="AB38" s="17">
        <f>IF(AQ38="1",BH38,0)</f>
        <v>0</v>
      </c>
      <c r="AC38" s="17">
        <f>IF(AQ38="1",BI38,0)</f>
        <v>0</v>
      </c>
      <c r="AD38" s="17">
        <f>IF(AQ38="7",BH38,0)</f>
        <v>0</v>
      </c>
      <c r="AE38" s="17">
        <f>IF(AQ38="7",BI38,0)</f>
        <v>0</v>
      </c>
      <c r="AF38" s="17">
        <f>IF(AQ38="2",BH38,0)</f>
        <v>0</v>
      </c>
      <c r="AG38" s="17">
        <f>IF(AQ38="2",BI38,0)</f>
        <v>0</v>
      </c>
      <c r="AH38" s="17">
        <f>IF(AQ38="0",BJ38,0)</f>
        <v>0</v>
      </c>
      <c r="AI38" s="7" t="s">
        <v>266</v>
      </c>
      <c r="AJ38" s="17">
        <f>IF(AN38=0,L38,0)</f>
        <v>0</v>
      </c>
      <c r="AK38" s="17">
        <f>IF(AN38=15,L38,0)</f>
        <v>0</v>
      </c>
      <c r="AL38" s="17">
        <f>IF(AN38=21,L38,0)</f>
        <v>0</v>
      </c>
      <c r="AN38" s="17">
        <v>21</v>
      </c>
      <c r="AO38" s="17">
        <f>I38*0.563000455483313</f>
        <v>0</v>
      </c>
      <c r="AP38" s="17">
        <f>I38*(1-0.563000455483313)</f>
        <v>0</v>
      </c>
      <c r="AQ38" s="14" t="s">
        <v>381</v>
      </c>
      <c r="AV38" s="17">
        <f>AW38+AX38</f>
        <v>0</v>
      </c>
      <c r="AW38" s="17">
        <f>H38*AO38</f>
        <v>0</v>
      </c>
      <c r="AX38" s="17">
        <f>H38*AP38</f>
        <v>0</v>
      </c>
      <c r="AY38" s="14" t="s">
        <v>334</v>
      </c>
      <c r="AZ38" s="14" t="s">
        <v>423</v>
      </c>
      <c r="BA38" s="7" t="s">
        <v>294</v>
      </c>
      <c r="BC38" s="17">
        <f>AW38+AX38</f>
        <v>0</v>
      </c>
      <c r="BD38" s="17">
        <f>I38/(100-BE38)*100</f>
        <v>0</v>
      </c>
      <c r="BE38" s="17">
        <v>0</v>
      </c>
      <c r="BF38" s="17">
        <f>38</f>
        <v>38</v>
      </c>
      <c r="BH38" s="17">
        <f>H38*AO38</f>
        <v>0</v>
      </c>
      <c r="BI38" s="17">
        <f>H38*AP38</f>
        <v>0</v>
      </c>
      <c r="BJ38" s="17">
        <f>H38*I38</f>
        <v>0</v>
      </c>
      <c r="BK38" s="17"/>
      <c r="BL38" s="17">
        <v>711</v>
      </c>
    </row>
    <row r="39" spans="1:64" ht="15" customHeight="1">
      <c r="A39" s="10" t="s">
        <v>311</v>
      </c>
      <c r="B39" s="4" t="s">
        <v>290</v>
      </c>
      <c r="C39" s="53" t="s">
        <v>3</v>
      </c>
      <c r="D39" s="53"/>
      <c r="E39" s="53"/>
      <c r="F39" s="53"/>
      <c r="G39" s="4" t="s">
        <v>375</v>
      </c>
      <c r="H39" s="17">
        <v>12.59</v>
      </c>
      <c r="I39" s="17">
        <v>0</v>
      </c>
      <c r="J39" s="17">
        <f>H39*AO39</f>
        <v>0</v>
      </c>
      <c r="K39" s="17">
        <f>H39*AP39</f>
        <v>0</v>
      </c>
      <c r="L39" s="17">
        <f>H39*I39</f>
        <v>0</v>
      </c>
      <c r="M39" s="25" t="s">
        <v>322</v>
      </c>
      <c r="Z39" s="17">
        <f>IF(AQ39="5",BJ39,0)</f>
        <v>0</v>
      </c>
      <c r="AB39" s="17">
        <f>IF(AQ39="1",BH39,0)</f>
        <v>0</v>
      </c>
      <c r="AC39" s="17">
        <f>IF(AQ39="1",BI39,0)</f>
        <v>0</v>
      </c>
      <c r="AD39" s="17">
        <f>IF(AQ39="7",BH39,0)</f>
        <v>0</v>
      </c>
      <c r="AE39" s="17">
        <f>IF(AQ39="7",BI39,0)</f>
        <v>0</v>
      </c>
      <c r="AF39" s="17">
        <f>IF(AQ39="2",BH39,0)</f>
        <v>0</v>
      </c>
      <c r="AG39" s="17">
        <f>IF(AQ39="2",BI39,0)</f>
        <v>0</v>
      </c>
      <c r="AH39" s="17">
        <f>IF(AQ39="0",BJ39,0)</f>
        <v>0</v>
      </c>
      <c r="AI39" s="7" t="s">
        <v>266</v>
      </c>
      <c r="AJ39" s="17">
        <f>IF(AN39=0,L39,0)</f>
        <v>0</v>
      </c>
      <c r="AK39" s="17">
        <f>IF(AN39=15,L39,0)</f>
        <v>0</v>
      </c>
      <c r="AL39" s="17">
        <f>IF(AN39=21,L39,0)</f>
        <v>0</v>
      </c>
      <c r="AN39" s="17">
        <v>21</v>
      </c>
      <c r="AO39" s="17">
        <f>I39*0.708686270627334</f>
        <v>0</v>
      </c>
      <c r="AP39" s="17">
        <f>I39*(1-0.708686270627334)</f>
        <v>0</v>
      </c>
      <c r="AQ39" s="14" t="s">
        <v>381</v>
      </c>
      <c r="AV39" s="17">
        <f>AW39+AX39</f>
        <v>0</v>
      </c>
      <c r="AW39" s="17">
        <f>H39*AO39</f>
        <v>0</v>
      </c>
      <c r="AX39" s="17">
        <f>H39*AP39</f>
        <v>0</v>
      </c>
      <c r="AY39" s="14" t="s">
        <v>334</v>
      </c>
      <c r="AZ39" s="14" t="s">
        <v>423</v>
      </c>
      <c r="BA39" s="7" t="s">
        <v>294</v>
      </c>
      <c r="BC39" s="17">
        <f>AW39+AX39</f>
        <v>0</v>
      </c>
      <c r="BD39" s="17">
        <f>I39/(100-BE39)*100</f>
        <v>0</v>
      </c>
      <c r="BE39" s="17">
        <v>0</v>
      </c>
      <c r="BF39" s="17">
        <f>39</f>
        <v>39</v>
      </c>
      <c r="BH39" s="17">
        <f>H39*AO39</f>
        <v>0</v>
      </c>
      <c r="BI39" s="17">
        <f>H39*AP39</f>
        <v>0</v>
      </c>
      <c r="BJ39" s="17">
        <f>H39*I39</f>
        <v>0</v>
      </c>
      <c r="BK39" s="17"/>
      <c r="BL39" s="17">
        <v>711</v>
      </c>
    </row>
    <row r="40" spans="1:64" ht="15" customHeight="1">
      <c r="A40" s="10" t="s">
        <v>240</v>
      </c>
      <c r="B40" s="4" t="s">
        <v>209</v>
      </c>
      <c r="C40" s="53" t="s">
        <v>367</v>
      </c>
      <c r="D40" s="53"/>
      <c r="E40" s="53"/>
      <c r="F40" s="53"/>
      <c r="G40" s="4" t="s">
        <v>375</v>
      </c>
      <c r="H40" s="17">
        <v>34.52</v>
      </c>
      <c r="I40" s="17">
        <v>0</v>
      </c>
      <c r="J40" s="17">
        <f>H40*AO40</f>
        <v>0</v>
      </c>
      <c r="K40" s="17">
        <f>H40*AP40</f>
        <v>0</v>
      </c>
      <c r="L40" s="17">
        <f>H40*I40</f>
        <v>0</v>
      </c>
      <c r="M40" s="25" t="s">
        <v>322</v>
      </c>
      <c r="Z40" s="17">
        <f>IF(AQ40="5",BJ40,0)</f>
        <v>0</v>
      </c>
      <c r="AB40" s="17">
        <f>IF(AQ40="1",BH40,0)</f>
        <v>0</v>
      </c>
      <c r="AC40" s="17">
        <f>IF(AQ40="1",BI40,0)</f>
        <v>0</v>
      </c>
      <c r="AD40" s="17">
        <f>IF(AQ40="7",BH40,0)</f>
        <v>0</v>
      </c>
      <c r="AE40" s="17">
        <f>IF(AQ40="7",BI40,0)</f>
        <v>0</v>
      </c>
      <c r="AF40" s="17">
        <f>IF(AQ40="2",BH40,0)</f>
        <v>0</v>
      </c>
      <c r="AG40" s="17">
        <f>IF(AQ40="2",BI40,0)</f>
        <v>0</v>
      </c>
      <c r="AH40" s="17">
        <f>IF(AQ40="0",BJ40,0)</f>
        <v>0</v>
      </c>
      <c r="AI40" s="7" t="s">
        <v>266</v>
      </c>
      <c r="AJ40" s="17">
        <f>IF(AN40=0,L40,0)</f>
        <v>0</v>
      </c>
      <c r="AK40" s="17">
        <f>IF(AN40=15,L40,0)</f>
        <v>0</v>
      </c>
      <c r="AL40" s="17">
        <f>IF(AN40=21,L40,0)</f>
        <v>0</v>
      </c>
      <c r="AN40" s="17">
        <v>21</v>
      </c>
      <c r="AO40" s="17">
        <f>I40*0.51531622259795</f>
        <v>0</v>
      </c>
      <c r="AP40" s="17">
        <f>I40*(1-0.51531622259795)</f>
        <v>0</v>
      </c>
      <c r="AQ40" s="14" t="s">
        <v>381</v>
      </c>
      <c r="AV40" s="17">
        <f>AW40+AX40</f>
        <v>0</v>
      </c>
      <c r="AW40" s="17">
        <f>H40*AO40</f>
        <v>0</v>
      </c>
      <c r="AX40" s="17">
        <f>H40*AP40</f>
        <v>0</v>
      </c>
      <c r="AY40" s="14" t="s">
        <v>334</v>
      </c>
      <c r="AZ40" s="14" t="s">
        <v>423</v>
      </c>
      <c r="BA40" s="7" t="s">
        <v>294</v>
      </c>
      <c r="BC40" s="17">
        <f>AW40+AX40</f>
        <v>0</v>
      </c>
      <c r="BD40" s="17">
        <f>I40/(100-BE40)*100</f>
        <v>0</v>
      </c>
      <c r="BE40" s="17">
        <v>0</v>
      </c>
      <c r="BF40" s="17">
        <f>40</f>
        <v>40</v>
      </c>
      <c r="BH40" s="17">
        <f>H40*AO40</f>
        <v>0</v>
      </c>
      <c r="BI40" s="17">
        <f>H40*AP40</f>
        <v>0</v>
      </c>
      <c r="BJ40" s="17">
        <f>H40*I40</f>
        <v>0</v>
      </c>
      <c r="BK40" s="17"/>
      <c r="BL40" s="17">
        <v>711</v>
      </c>
    </row>
    <row r="41" spans="1:47" ht="15" customHeight="1">
      <c r="A41" s="31" t="s">
        <v>266</v>
      </c>
      <c r="B41" s="16" t="s">
        <v>316</v>
      </c>
      <c r="C41" s="101" t="s">
        <v>328</v>
      </c>
      <c r="D41" s="101"/>
      <c r="E41" s="101"/>
      <c r="F41" s="101"/>
      <c r="G41" s="46" t="s">
        <v>353</v>
      </c>
      <c r="H41" s="46" t="s">
        <v>353</v>
      </c>
      <c r="I41" s="46" t="s">
        <v>353</v>
      </c>
      <c r="J41" s="23">
        <f>SUM(J42:J43)</f>
        <v>0</v>
      </c>
      <c r="K41" s="23">
        <f>SUM(K42:K43)</f>
        <v>0</v>
      </c>
      <c r="L41" s="23">
        <f>SUM(L42:L43)</f>
        <v>0</v>
      </c>
      <c r="M41" s="39" t="s">
        <v>266</v>
      </c>
      <c r="AI41" s="7" t="s">
        <v>266</v>
      </c>
      <c r="AS41" s="23">
        <f>SUM(AJ42:AJ43)</f>
        <v>0</v>
      </c>
      <c r="AT41" s="23">
        <f>SUM(AK42:AK43)</f>
        <v>0</v>
      </c>
      <c r="AU41" s="23">
        <f>SUM(AL42:AL43)</f>
        <v>0</v>
      </c>
    </row>
    <row r="42" spans="1:64" ht="15" customHeight="1">
      <c r="A42" s="10" t="s">
        <v>15</v>
      </c>
      <c r="B42" s="4" t="s">
        <v>226</v>
      </c>
      <c r="C42" s="53" t="s">
        <v>65</v>
      </c>
      <c r="D42" s="53"/>
      <c r="E42" s="53"/>
      <c r="F42" s="53"/>
      <c r="G42" s="4" t="s">
        <v>375</v>
      </c>
      <c r="H42" s="17">
        <v>12.59</v>
      </c>
      <c r="I42" s="17">
        <v>0</v>
      </c>
      <c r="J42" s="17">
        <f>H42*AO42</f>
        <v>0</v>
      </c>
      <c r="K42" s="17">
        <f>H42*AP42</f>
        <v>0</v>
      </c>
      <c r="L42" s="17">
        <f>H42*I42</f>
        <v>0</v>
      </c>
      <c r="M42" s="25" t="s">
        <v>322</v>
      </c>
      <c r="Z42" s="17">
        <f>IF(AQ42="5",BJ42,0)</f>
        <v>0</v>
      </c>
      <c r="AB42" s="17">
        <f>IF(AQ42="1",BH42,0)</f>
        <v>0</v>
      </c>
      <c r="AC42" s="17">
        <f>IF(AQ42="1",BI42,0)</f>
        <v>0</v>
      </c>
      <c r="AD42" s="17">
        <f>IF(AQ42="7",BH42,0)</f>
        <v>0</v>
      </c>
      <c r="AE42" s="17">
        <f>IF(AQ42="7",BI42,0)</f>
        <v>0</v>
      </c>
      <c r="AF42" s="17">
        <f>IF(AQ42="2",BH42,0)</f>
        <v>0</v>
      </c>
      <c r="AG42" s="17">
        <f>IF(AQ42="2",BI42,0)</f>
        <v>0</v>
      </c>
      <c r="AH42" s="17">
        <f>IF(AQ42="0",BJ42,0)</f>
        <v>0</v>
      </c>
      <c r="AI42" s="7" t="s">
        <v>266</v>
      </c>
      <c r="AJ42" s="17">
        <f>IF(AN42=0,L42,0)</f>
        <v>0</v>
      </c>
      <c r="AK42" s="17">
        <f>IF(AN42=15,L42,0)</f>
        <v>0</v>
      </c>
      <c r="AL42" s="17">
        <f>IF(AN42=21,L42,0)</f>
        <v>0</v>
      </c>
      <c r="AN42" s="17">
        <v>21</v>
      </c>
      <c r="AO42" s="17">
        <f>I42*0.895576973955399</f>
        <v>0</v>
      </c>
      <c r="AP42" s="17">
        <f>I42*(1-0.895576973955399)</f>
        <v>0</v>
      </c>
      <c r="AQ42" s="14" t="s">
        <v>381</v>
      </c>
      <c r="AV42" s="17">
        <f>AW42+AX42</f>
        <v>0</v>
      </c>
      <c r="AW42" s="17">
        <f>H42*AO42</f>
        <v>0</v>
      </c>
      <c r="AX42" s="17">
        <f>H42*AP42</f>
        <v>0</v>
      </c>
      <c r="AY42" s="14" t="s">
        <v>300</v>
      </c>
      <c r="AZ42" s="14" t="s">
        <v>423</v>
      </c>
      <c r="BA42" s="7" t="s">
        <v>294</v>
      </c>
      <c r="BC42" s="17">
        <f>AW42+AX42</f>
        <v>0</v>
      </c>
      <c r="BD42" s="17">
        <f>I42/(100-BE42)*100</f>
        <v>0</v>
      </c>
      <c r="BE42" s="17">
        <v>0</v>
      </c>
      <c r="BF42" s="17">
        <f>42</f>
        <v>42</v>
      </c>
      <c r="BH42" s="17">
        <f>H42*AO42</f>
        <v>0</v>
      </c>
      <c r="BI42" s="17">
        <f>H42*AP42</f>
        <v>0</v>
      </c>
      <c r="BJ42" s="17">
        <f>H42*I42</f>
        <v>0</v>
      </c>
      <c r="BK42" s="17"/>
      <c r="BL42" s="17">
        <v>713</v>
      </c>
    </row>
    <row r="43" spans="1:64" ht="15" customHeight="1">
      <c r="A43" s="10" t="s">
        <v>273</v>
      </c>
      <c r="B43" s="4" t="s">
        <v>68</v>
      </c>
      <c r="C43" s="53" t="s">
        <v>260</v>
      </c>
      <c r="D43" s="53"/>
      <c r="E43" s="53"/>
      <c r="F43" s="53"/>
      <c r="G43" s="4" t="s">
        <v>375</v>
      </c>
      <c r="H43" s="17">
        <v>12.59</v>
      </c>
      <c r="I43" s="17">
        <v>0</v>
      </c>
      <c r="J43" s="17">
        <f>H43*AO43</f>
        <v>0</v>
      </c>
      <c r="K43" s="17">
        <f>H43*AP43</f>
        <v>0</v>
      </c>
      <c r="L43" s="17">
        <f>H43*I43</f>
        <v>0</v>
      </c>
      <c r="M43" s="25" t="s">
        <v>322</v>
      </c>
      <c r="Z43" s="17">
        <f>IF(AQ43="5",BJ43,0)</f>
        <v>0</v>
      </c>
      <c r="AB43" s="17">
        <f>IF(AQ43="1",BH43,0)</f>
        <v>0</v>
      </c>
      <c r="AC43" s="17">
        <f>IF(AQ43="1",BI43,0)</f>
        <v>0</v>
      </c>
      <c r="AD43" s="17">
        <f>IF(AQ43="7",BH43,0)</f>
        <v>0</v>
      </c>
      <c r="AE43" s="17">
        <f>IF(AQ43="7",BI43,0)</f>
        <v>0</v>
      </c>
      <c r="AF43" s="17">
        <f>IF(AQ43="2",BH43,0)</f>
        <v>0</v>
      </c>
      <c r="AG43" s="17">
        <f>IF(AQ43="2",BI43,0)</f>
        <v>0</v>
      </c>
      <c r="AH43" s="17">
        <f>IF(AQ43="0",BJ43,0)</f>
        <v>0</v>
      </c>
      <c r="AI43" s="7" t="s">
        <v>266</v>
      </c>
      <c r="AJ43" s="17">
        <f>IF(AN43=0,L43,0)</f>
        <v>0</v>
      </c>
      <c r="AK43" s="17">
        <f>IF(AN43=15,L43,0)</f>
        <v>0</v>
      </c>
      <c r="AL43" s="17">
        <f>IF(AN43=21,L43,0)</f>
        <v>0</v>
      </c>
      <c r="AN43" s="17">
        <v>21</v>
      </c>
      <c r="AO43" s="17">
        <f>I43*0.913526273851597</f>
        <v>0</v>
      </c>
      <c r="AP43" s="17">
        <f>I43*(1-0.913526273851597)</f>
        <v>0</v>
      </c>
      <c r="AQ43" s="14" t="s">
        <v>381</v>
      </c>
      <c r="AV43" s="17">
        <f>AW43+AX43</f>
        <v>0</v>
      </c>
      <c r="AW43" s="17">
        <f>H43*AO43</f>
        <v>0</v>
      </c>
      <c r="AX43" s="17">
        <f>H43*AP43</f>
        <v>0</v>
      </c>
      <c r="AY43" s="14" t="s">
        <v>300</v>
      </c>
      <c r="AZ43" s="14" t="s">
        <v>423</v>
      </c>
      <c r="BA43" s="7" t="s">
        <v>294</v>
      </c>
      <c r="BC43" s="17">
        <f>AW43+AX43</f>
        <v>0</v>
      </c>
      <c r="BD43" s="17">
        <f>I43/(100-BE43)*100</f>
        <v>0</v>
      </c>
      <c r="BE43" s="17">
        <v>0</v>
      </c>
      <c r="BF43" s="17">
        <f>43</f>
        <v>43</v>
      </c>
      <c r="BH43" s="17">
        <f>H43*AO43</f>
        <v>0</v>
      </c>
      <c r="BI43" s="17">
        <f>H43*AP43</f>
        <v>0</v>
      </c>
      <c r="BJ43" s="17">
        <f>H43*I43</f>
        <v>0</v>
      </c>
      <c r="BK43" s="17"/>
      <c r="BL43" s="17">
        <v>713</v>
      </c>
    </row>
    <row r="44" spans="1:47" ht="15" customHeight="1">
      <c r="A44" s="31" t="s">
        <v>266</v>
      </c>
      <c r="B44" s="16" t="s">
        <v>244</v>
      </c>
      <c r="C44" s="101" t="s">
        <v>428</v>
      </c>
      <c r="D44" s="101"/>
      <c r="E44" s="101"/>
      <c r="F44" s="101"/>
      <c r="G44" s="46" t="s">
        <v>353</v>
      </c>
      <c r="H44" s="46" t="s">
        <v>353</v>
      </c>
      <c r="I44" s="46" t="s">
        <v>353</v>
      </c>
      <c r="J44" s="23">
        <f>SUM(J45:J45)</f>
        <v>0</v>
      </c>
      <c r="K44" s="23">
        <f>SUM(K45:K45)</f>
        <v>0</v>
      </c>
      <c r="L44" s="23">
        <f>SUM(L45:L45)</f>
        <v>0</v>
      </c>
      <c r="M44" s="39" t="s">
        <v>266</v>
      </c>
      <c r="AI44" s="7" t="s">
        <v>266</v>
      </c>
      <c r="AS44" s="23">
        <f>SUM(AJ45:AJ45)</f>
        <v>0</v>
      </c>
      <c r="AT44" s="23">
        <f>SUM(AK45:AK45)</f>
        <v>0</v>
      </c>
      <c r="AU44" s="23">
        <f>SUM(AL45:AL45)</f>
        <v>0</v>
      </c>
    </row>
    <row r="45" spans="1:64" ht="15" customHeight="1">
      <c r="A45" s="10" t="s">
        <v>363</v>
      </c>
      <c r="B45" s="4" t="s">
        <v>235</v>
      </c>
      <c r="C45" s="53" t="s">
        <v>138</v>
      </c>
      <c r="D45" s="53"/>
      <c r="E45" s="53"/>
      <c r="F45" s="53"/>
      <c r="G45" s="4" t="s">
        <v>122</v>
      </c>
      <c r="H45" s="17">
        <v>1</v>
      </c>
      <c r="I45" s="17">
        <v>0</v>
      </c>
      <c r="J45" s="17">
        <f>H45*AO45</f>
        <v>0</v>
      </c>
      <c r="K45" s="17">
        <f>H45*AP45</f>
        <v>0</v>
      </c>
      <c r="L45" s="17">
        <f>H45*I45</f>
        <v>0</v>
      </c>
      <c r="M45" s="25" t="s">
        <v>206</v>
      </c>
      <c r="Z45" s="17">
        <f>IF(AQ45="5",BJ45,0)</f>
        <v>0</v>
      </c>
      <c r="AB45" s="17">
        <f>IF(AQ45="1",BH45,0)</f>
        <v>0</v>
      </c>
      <c r="AC45" s="17">
        <f>IF(AQ45="1",BI45,0)</f>
        <v>0</v>
      </c>
      <c r="AD45" s="17">
        <f>IF(AQ45="7",BH45,0)</f>
        <v>0</v>
      </c>
      <c r="AE45" s="17">
        <f>IF(AQ45="7",BI45,0)</f>
        <v>0</v>
      </c>
      <c r="AF45" s="17">
        <f>IF(AQ45="2",BH45,0)</f>
        <v>0</v>
      </c>
      <c r="AG45" s="17">
        <f>IF(AQ45="2",BI45,0)</f>
        <v>0</v>
      </c>
      <c r="AH45" s="17">
        <f>IF(AQ45="0",BJ45,0)</f>
        <v>0</v>
      </c>
      <c r="AI45" s="7" t="s">
        <v>266</v>
      </c>
      <c r="AJ45" s="17">
        <f>IF(AN45=0,L45,0)</f>
        <v>0</v>
      </c>
      <c r="AK45" s="17">
        <f>IF(AN45=15,L45,0)</f>
        <v>0</v>
      </c>
      <c r="AL45" s="17">
        <f>IF(AN45=21,L45,0)</f>
        <v>0</v>
      </c>
      <c r="AN45" s="17">
        <v>21</v>
      </c>
      <c r="AO45" s="17">
        <f>I45*0.319539537837105</f>
        <v>0</v>
      </c>
      <c r="AP45" s="17">
        <f>I45*(1-0.319539537837105)</f>
        <v>0</v>
      </c>
      <c r="AQ45" s="14" t="s">
        <v>381</v>
      </c>
      <c r="AV45" s="17">
        <f>AW45+AX45</f>
        <v>0</v>
      </c>
      <c r="AW45" s="17">
        <f>H45*AO45</f>
        <v>0</v>
      </c>
      <c r="AX45" s="17">
        <f>H45*AP45</f>
        <v>0</v>
      </c>
      <c r="AY45" s="14" t="s">
        <v>52</v>
      </c>
      <c r="AZ45" s="14" t="s">
        <v>141</v>
      </c>
      <c r="BA45" s="7" t="s">
        <v>294</v>
      </c>
      <c r="BC45" s="17">
        <f>AW45+AX45</f>
        <v>0</v>
      </c>
      <c r="BD45" s="17">
        <f>I45/(100-BE45)*100</f>
        <v>0</v>
      </c>
      <c r="BE45" s="17">
        <v>0</v>
      </c>
      <c r="BF45" s="17">
        <f>45</f>
        <v>45</v>
      </c>
      <c r="BH45" s="17">
        <f>H45*AO45</f>
        <v>0</v>
      </c>
      <c r="BI45" s="17">
        <f>H45*AP45</f>
        <v>0</v>
      </c>
      <c r="BJ45" s="17">
        <f>H45*I45</f>
        <v>0</v>
      </c>
      <c r="BK45" s="17"/>
      <c r="BL45" s="17">
        <v>721</v>
      </c>
    </row>
    <row r="46" spans="1:47" ht="15" customHeight="1">
      <c r="A46" s="31" t="s">
        <v>266</v>
      </c>
      <c r="B46" s="16" t="s">
        <v>369</v>
      </c>
      <c r="C46" s="101" t="s">
        <v>219</v>
      </c>
      <c r="D46" s="101"/>
      <c r="E46" s="101"/>
      <c r="F46" s="101"/>
      <c r="G46" s="46" t="s">
        <v>353</v>
      </c>
      <c r="H46" s="46" t="s">
        <v>353</v>
      </c>
      <c r="I46" s="46" t="s">
        <v>353</v>
      </c>
      <c r="J46" s="23">
        <f>SUM(J47:J73)</f>
        <v>0</v>
      </c>
      <c r="K46" s="23">
        <f>SUM(K47:K73)</f>
        <v>0</v>
      </c>
      <c r="L46" s="23">
        <f>SUM(L47:L73)</f>
        <v>0</v>
      </c>
      <c r="M46" s="39" t="s">
        <v>266</v>
      </c>
      <c r="AI46" s="7" t="s">
        <v>266</v>
      </c>
      <c r="AS46" s="23">
        <f>SUM(AJ47:AJ73)</f>
        <v>0</v>
      </c>
      <c r="AT46" s="23">
        <f>SUM(AK47:AK73)</f>
        <v>0</v>
      </c>
      <c r="AU46" s="23">
        <f>SUM(AL47:AL73)</f>
        <v>0</v>
      </c>
    </row>
    <row r="47" spans="1:64" ht="15" customHeight="1">
      <c r="A47" s="10" t="s">
        <v>159</v>
      </c>
      <c r="B47" s="4" t="s">
        <v>331</v>
      </c>
      <c r="C47" s="53" t="s">
        <v>305</v>
      </c>
      <c r="D47" s="53"/>
      <c r="E47" s="53"/>
      <c r="F47" s="53"/>
      <c r="G47" s="4" t="s">
        <v>122</v>
      </c>
      <c r="H47" s="17">
        <v>4</v>
      </c>
      <c r="I47" s="17">
        <v>0</v>
      </c>
      <c r="J47" s="17">
        <f aca="true" t="shared" si="0" ref="J47:J73">H47*AO47</f>
        <v>0</v>
      </c>
      <c r="K47" s="17">
        <f aca="true" t="shared" si="1" ref="K47:K73">H47*AP47</f>
        <v>0</v>
      </c>
      <c r="L47" s="17">
        <f aca="true" t="shared" si="2" ref="L47:L73">H47*I47</f>
        <v>0</v>
      </c>
      <c r="M47" s="25" t="s">
        <v>322</v>
      </c>
      <c r="Z47" s="17">
        <f aca="true" t="shared" si="3" ref="Z47:Z73">IF(AQ47="5",BJ47,0)</f>
        <v>0</v>
      </c>
      <c r="AB47" s="17">
        <f aca="true" t="shared" si="4" ref="AB47:AB73">IF(AQ47="1",BH47,0)</f>
        <v>0</v>
      </c>
      <c r="AC47" s="17">
        <f aca="true" t="shared" si="5" ref="AC47:AC73">IF(AQ47="1",BI47,0)</f>
        <v>0</v>
      </c>
      <c r="AD47" s="17">
        <f aca="true" t="shared" si="6" ref="AD47:AD73">IF(AQ47="7",BH47,0)</f>
        <v>0</v>
      </c>
      <c r="AE47" s="17">
        <f aca="true" t="shared" si="7" ref="AE47:AE73">IF(AQ47="7",BI47,0)</f>
        <v>0</v>
      </c>
      <c r="AF47" s="17">
        <f aca="true" t="shared" si="8" ref="AF47:AF73">IF(AQ47="2",BH47,0)</f>
        <v>0</v>
      </c>
      <c r="AG47" s="17">
        <f aca="true" t="shared" si="9" ref="AG47:AG73">IF(AQ47="2",BI47,0)</f>
        <v>0</v>
      </c>
      <c r="AH47" s="17">
        <f aca="true" t="shared" si="10" ref="AH47:AH73">IF(AQ47="0",BJ47,0)</f>
        <v>0</v>
      </c>
      <c r="AI47" s="7" t="s">
        <v>266</v>
      </c>
      <c r="AJ47" s="17">
        <f aca="true" t="shared" si="11" ref="AJ47:AJ73">IF(AN47=0,L47,0)</f>
        <v>0</v>
      </c>
      <c r="AK47" s="17">
        <f aca="true" t="shared" si="12" ref="AK47:AK73">IF(AN47=15,L47,0)</f>
        <v>0</v>
      </c>
      <c r="AL47" s="17">
        <f aca="true" t="shared" si="13" ref="AL47:AL73">IF(AN47=21,L47,0)</f>
        <v>0</v>
      </c>
      <c r="AN47" s="17">
        <v>21</v>
      </c>
      <c r="AO47" s="17">
        <f>I47*0.79220265310362</f>
        <v>0</v>
      </c>
      <c r="AP47" s="17">
        <f>I47*(1-0.79220265310362)</f>
        <v>0</v>
      </c>
      <c r="AQ47" s="14" t="s">
        <v>381</v>
      </c>
      <c r="AV47" s="17">
        <f aca="true" t="shared" si="14" ref="AV47:AV73">AW47+AX47</f>
        <v>0</v>
      </c>
      <c r="AW47" s="17">
        <f aca="true" t="shared" si="15" ref="AW47:AW73">H47*AO47</f>
        <v>0</v>
      </c>
      <c r="AX47" s="17">
        <f aca="true" t="shared" si="16" ref="AX47:AX73">H47*AP47</f>
        <v>0</v>
      </c>
      <c r="AY47" s="14" t="s">
        <v>161</v>
      </c>
      <c r="AZ47" s="14" t="s">
        <v>141</v>
      </c>
      <c r="BA47" s="7" t="s">
        <v>294</v>
      </c>
      <c r="BC47" s="17">
        <f aca="true" t="shared" si="17" ref="BC47:BC73">AW47+AX47</f>
        <v>0</v>
      </c>
      <c r="BD47" s="17">
        <f aca="true" t="shared" si="18" ref="BD47:BD73">I47/(100-BE47)*100</f>
        <v>0</v>
      </c>
      <c r="BE47" s="17">
        <v>0</v>
      </c>
      <c r="BF47" s="17">
        <f>47</f>
        <v>47</v>
      </c>
      <c r="BH47" s="17">
        <f aca="true" t="shared" si="19" ref="BH47:BH73">H47*AO47</f>
        <v>0</v>
      </c>
      <c r="BI47" s="17">
        <f aca="true" t="shared" si="20" ref="BI47:BI73">H47*AP47</f>
        <v>0</v>
      </c>
      <c r="BJ47" s="17">
        <f aca="true" t="shared" si="21" ref="BJ47:BJ73">H47*I47</f>
        <v>0</v>
      </c>
      <c r="BK47" s="17"/>
      <c r="BL47" s="17">
        <v>725</v>
      </c>
    </row>
    <row r="48" spans="1:64" ht="15" customHeight="1">
      <c r="A48" s="10" t="s">
        <v>34</v>
      </c>
      <c r="B48" s="4" t="s">
        <v>12</v>
      </c>
      <c r="C48" s="53" t="s">
        <v>406</v>
      </c>
      <c r="D48" s="53"/>
      <c r="E48" s="53"/>
      <c r="F48" s="53"/>
      <c r="G48" s="4" t="s">
        <v>90</v>
      </c>
      <c r="H48" s="17">
        <v>2</v>
      </c>
      <c r="I48" s="17">
        <v>0</v>
      </c>
      <c r="J48" s="17">
        <f t="shared" si="0"/>
        <v>0</v>
      </c>
      <c r="K48" s="17">
        <f t="shared" si="1"/>
        <v>0</v>
      </c>
      <c r="L48" s="17">
        <f t="shared" si="2"/>
        <v>0</v>
      </c>
      <c r="M48" s="25" t="s">
        <v>322</v>
      </c>
      <c r="Z48" s="17">
        <f t="shared" si="3"/>
        <v>0</v>
      </c>
      <c r="AB48" s="17">
        <f t="shared" si="4"/>
        <v>0</v>
      </c>
      <c r="AC48" s="17">
        <f t="shared" si="5"/>
        <v>0</v>
      </c>
      <c r="AD48" s="17">
        <f t="shared" si="6"/>
        <v>0</v>
      </c>
      <c r="AE48" s="17">
        <f t="shared" si="7"/>
        <v>0</v>
      </c>
      <c r="AF48" s="17">
        <f t="shared" si="8"/>
        <v>0</v>
      </c>
      <c r="AG48" s="17">
        <f t="shared" si="9"/>
        <v>0</v>
      </c>
      <c r="AH48" s="17">
        <f t="shared" si="10"/>
        <v>0</v>
      </c>
      <c r="AI48" s="7" t="s">
        <v>266</v>
      </c>
      <c r="AJ48" s="17">
        <f t="shared" si="11"/>
        <v>0</v>
      </c>
      <c r="AK48" s="17">
        <f t="shared" si="12"/>
        <v>0</v>
      </c>
      <c r="AL48" s="17">
        <f t="shared" si="13"/>
        <v>0</v>
      </c>
      <c r="AN48" s="17">
        <v>21</v>
      </c>
      <c r="AO48" s="17">
        <f>I48*0.833290163403192</f>
        <v>0</v>
      </c>
      <c r="AP48" s="17">
        <f>I48*(1-0.833290163403192)</f>
        <v>0</v>
      </c>
      <c r="AQ48" s="14" t="s">
        <v>381</v>
      </c>
      <c r="AV48" s="17">
        <f t="shared" si="14"/>
        <v>0</v>
      </c>
      <c r="AW48" s="17">
        <f t="shared" si="15"/>
        <v>0</v>
      </c>
      <c r="AX48" s="17">
        <f t="shared" si="16"/>
        <v>0</v>
      </c>
      <c r="AY48" s="14" t="s">
        <v>161</v>
      </c>
      <c r="AZ48" s="14" t="s">
        <v>141</v>
      </c>
      <c r="BA48" s="7" t="s">
        <v>294</v>
      </c>
      <c r="BC48" s="17">
        <f t="shared" si="17"/>
        <v>0</v>
      </c>
      <c r="BD48" s="17">
        <f t="shared" si="18"/>
        <v>0</v>
      </c>
      <c r="BE48" s="17">
        <v>0</v>
      </c>
      <c r="BF48" s="17">
        <f>48</f>
        <v>48</v>
      </c>
      <c r="BH48" s="17">
        <f t="shared" si="19"/>
        <v>0</v>
      </c>
      <c r="BI48" s="17">
        <f t="shared" si="20"/>
        <v>0</v>
      </c>
      <c r="BJ48" s="17">
        <f t="shared" si="21"/>
        <v>0</v>
      </c>
      <c r="BK48" s="17"/>
      <c r="BL48" s="17">
        <v>725</v>
      </c>
    </row>
    <row r="49" spans="1:64" ht="15" customHeight="1">
      <c r="A49" s="10" t="s">
        <v>89</v>
      </c>
      <c r="B49" s="4" t="s">
        <v>11</v>
      </c>
      <c r="C49" s="53" t="s">
        <v>103</v>
      </c>
      <c r="D49" s="53"/>
      <c r="E49" s="53"/>
      <c r="F49" s="53"/>
      <c r="G49" s="4" t="s">
        <v>90</v>
      </c>
      <c r="H49" s="17">
        <v>2</v>
      </c>
      <c r="I49" s="17">
        <v>0</v>
      </c>
      <c r="J49" s="17">
        <f t="shared" si="0"/>
        <v>0</v>
      </c>
      <c r="K49" s="17">
        <f t="shared" si="1"/>
        <v>0</v>
      </c>
      <c r="L49" s="17">
        <f t="shared" si="2"/>
        <v>0</v>
      </c>
      <c r="M49" s="25" t="s">
        <v>322</v>
      </c>
      <c r="Z49" s="17">
        <f t="shared" si="3"/>
        <v>0</v>
      </c>
      <c r="AB49" s="17">
        <f t="shared" si="4"/>
        <v>0</v>
      </c>
      <c r="AC49" s="17">
        <f t="shared" si="5"/>
        <v>0</v>
      </c>
      <c r="AD49" s="17">
        <f t="shared" si="6"/>
        <v>0</v>
      </c>
      <c r="AE49" s="17">
        <f t="shared" si="7"/>
        <v>0</v>
      </c>
      <c r="AF49" s="17">
        <f t="shared" si="8"/>
        <v>0</v>
      </c>
      <c r="AG49" s="17">
        <f t="shared" si="9"/>
        <v>0</v>
      </c>
      <c r="AH49" s="17">
        <f t="shared" si="10"/>
        <v>0</v>
      </c>
      <c r="AI49" s="7" t="s">
        <v>266</v>
      </c>
      <c r="AJ49" s="17">
        <f t="shared" si="11"/>
        <v>0</v>
      </c>
      <c r="AK49" s="17">
        <f t="shared" si="12"/>
        <v>0</v>
      </c>
      <c r="AL49" s="17">
        <f t="shared" si="13"/>
        <v>0</v>
      </c>
      <c r="AN49" s="17">
        <v>21</v>
      </c>
      <c r="AO49" s="17">
        <f>I49*0.909029171871958</f>
        <v>0</v>
      </c>
      <c r="AP49" s="17">
        <f>I49*(1-0.909029171871958)</f>
        <v>0</v>
      </c>
      <c r="AQ49" s="14" t="s">
        <v>381</v>
      </c>
      <c r="AV49" s="17">
        <f t="shared" si="14"/>
        <v>0</v>
      </c>
      <c r="AW49" s="17">
        <f t="shared" si="15"/>
        <v>0</v>
      </c>
      <c r="AX49" s="17">
        <f t="shared" si="16"/>
        <v>0</v>
      </c>
      <c r="AY49" s="14" t="s">
        <v>161</v>
      </c>
      <c r="AZ49" s="14" t="s">
        <v>141</v>
      </c>
      <c r="BA49" s="7" t="s">
        <v>294</v>
      </c>
      <c r="BC49" s="17">
        <f t="shared" si="17"/>
        <v>0</v>
      </c>
      <c r="BD49" s="17">
        <f t="shared" si="18"/>
        <v>0</v>
      </c>
      <c r="BE49" s="17">
        <v>0</v>
      </c>
      <c r="BF49" s="17">
        <f>49</f>
        <v>49</v>
      </c>
      <c r="BH49" s="17">
        <f t="shared" si="19"/>
        <v>0</v>
      </c>
      <c r="BI49" s="17">
        <f t="shared" si="20"/>
        <v>0</v>
      </c>
      <c r="BJ49" s="17">
        <f t="shared" si="21"/>
        <v>0</v>
      </c>
      <c r="BK49" s="17"/>
      <c r="BL49" s="17">
        <v>725</v>
      </c>
    </row>
    <row r="50" spans="1:64" ht="15" customHeight="1">
      <c r="A50" s="10" t="s">
        <v>49</v>
      </c>
      <c r="B50" s="4" t="s">
        <v>234</v>
      </c>
      <c r="C50" s="53" t="s">
        <v>0</v>
      </c>
      <c r="D50" s="53"/>
      <c r="E50" s="53"/>
      <c r="F50" s="53"/>
      <c r="G50" s="4" t="s">
        <v>90</v>
      </c>
      <c r="H50" s="17">
        <v>2</v>
      </c>
      <c r="I50" s="17">
        <v>0</v>
      </c>
      <c r="J50" s="17">
        <f t="shared" si="0"/>
        <v>0</v>
      </c>
      <c r="K50" s="17">
        <f t="shared" si="1"/>
        <v>0</v>
      </c>
      <c r="L50" s="17">
        <f t="shared" si="2"/>
        <v>0</v>
      </c>
      <c r="M50" s="25" t="s">
        <v>322</v>
      </c>
      <c r="Z50" s="17">
        <f t="shared" si="3"/>
        <v>0</v>
      </c>
      <c r="AB50" s="17">
        <f t="shared" si="4"/>
        <v>0</v>
      </c>
      <c r="AC50" s="17">
        <f t="shared" si="5"/>
        <v>0</v>
      </c>
      <c r="AD50" s="17">
        <f t="shared" si="6"/>
        <v>0</v>
      </c>
      <c r="AE50" s="17">
        <f t="shared" si="7"/>
        <v>0</v>
      </c>
      <c r="AF50" s="17">
        <f t="shared" si="8"/>
        <v>0</v>
      </c>
      <c r="AG50" s="17">
        <f t="shared" si="9"/>
        <v>0</v>
      </c>
      <c r="AH50" s="17">
        <f t="shared" si="10"/>
        <v>0</v>
      </c>
      <c r="AI50" s="7" t="s">
        <v>266</v>
      </c>
      <c r="AJ50" s="17">
        <f t="shared" si="11"/>
        <v>0</v>
      </c>
      <c r="AK50" s="17">
        <f t="shared" si="12"/>
        <v>0</v>
      </c>
      <c r="AL50" s="17">
        <f t="shared" si="13"/>
        <v>0</v>
      </c>
      <c r="AN50" s="17">
        <v>21</v>
      </c>
      <c r="AO50" s="17">
        <f>I50*0.861821188084454</f>
        <v>0</v>
      </c>
      <c r="AP50" s="17">
        <f>I50*(1-0.861821188084454)</f>
        <v>0</v>
      </c>
      <c r="AQ50" s="14" t="s">
        <v>381</v>
      </c>
      <c r="AV50" s="17">
        <f t="shared" si="14"/>
        <v>0</v>
      </c>
      <c r="AW50" s="17">
        <f t="shared" si="15"/>
        <v>0</v>
      </c>
      <c r="AX50" s="17">
        <f t="shared" si="16"/>
        <v>0</v>
      </c>
      <c r="AY50" s="14" t="s">
        <v>161</v>
      </c>
      <c r="AZ50" s="14" t="s">
        <v>141</v>
      </c>
      <c r="BA50" s="7" t="s">
        <v>294</v>
      </c>
      <c r="BC50" s="17">
        <f t="shared" si="17"/>
        <v>0</v>
      </c>
      <c r="BD50" s="17">
        <f t="shared" si="18"/>
        <v>0</v>
      </c>
      <c r="BE50" s="17">
        <v>0</v>
      </c>
      <c r="BF50" s="17">
        <f>50</f>
        <v>50</v>
      </c>
      <c r="BH50" s="17">
        <f t="shared" si="19"/>
        <v>0</v>
      </c>
      <c r="BI50" s="17">
        <f t="shared" si="20"/>
        <v>0</v>
      </c>
      <c r="BJ50" s="17">
        <f t="shared" si="21"/>
        <v>0</v>
      </c>
      <c r="BK50" s="17"/>
      <c r="BL50" s="17">
        <v>725</v>
      </c>
    </row>
    <row r="51" spans="1:64" ht="15" customHeight="1">
      <c r="A51" s="10" t="s">
        <v>372</v>
      </c>
      <c r="B51" s="4" t="s">
        <v>165</v>
      </c>
      <c r="C51" s="53" t="s">
        <v>121</v>
      </c>
      <c r="D51" s="53"/>
      <c r="E51" s="53"/>
      <c r="F51" s="53"/>
      <c r="G51" s="4" t="s">
        <v>122</v>
      </c>
      <c r="H51" s="17">
        <v>1</v>
      </c>
      <c r="I51" s="17">
        <v>0</v>
      </c>
      <c r="J51" s="17">
        <f t="shared" si="0"/>
        <v>0</v>
      </c>
      <c r="K51" s="17">
        <f t="shared" si="1"/>
        <v>0</v>
      </c>
      <c r="L51" s="17">
        <f t="shared" si="2"/>
        <v>0</v>
      </c>
      <c r="M51" s="25" t="s">
        <v>322</v>
      </c>
      <c r="Z51" s="17">
        <f t="shared" si="3"/>
        <v>0</v>
      </c>
      <c r="AB51" s="17">
        <f t="shared" si="4"/>
        <v>0</v>
      </c>
      <c r="AC51" s="17">
        <f t="shared" si="5"/>
        <v>0</v>
      </c>
      <c r="AD51" s="17">
        <f t="shared" si="6"/>
        <v>0</v>
      </c>
      <c r="AE51" s="17">
        <f t="shared" si="7"/>
        <v>0</v>
      </c>
      <c r="AF51" s="17">
        <f t="shared" si="8"/>
        <v>0</v>
      </c>
      <c r="AG51" s="17">
        <f t="shared" si="9"/>
        <v>0</v>
      </c>
      <c r="AH51" s="17">
        <f t="shared" si="10"/>
        <v>0</v>
      </c>
      <c r="AI51" s="7" t="s">
        <v>266</v>
      </c>
      <c r="AJ51" s="17">
        <f t="shared" si="11"/>
        <v>0</v>
      </c>
      <c r="AK51" s="17">
        <f t="shared" si="12"/>
        <v>0</v>
      </c>
      <c r="AL51" s="17">
        <f t="shared" si="13"/>
        <v>0</v>
      </c>
      <c r="AN51" s="17">
        <v>21</v>
      </c>
      <c r="AO51" s="17">
        <f>I51*0.940895546583383</f>
        <v>0</v>
      </c>
      <c r="AP51" s="17">
        <f>I51*(1-0.940895546583383)</f>
        <v>0</v>
      </c>
      <c r="AQ51" s="14" t="s">
        <v>381</v>
      </c>
      <c r="AV51" s="17">
        <f t="shared" si="14"/>
        <v>0</v>
      </c>
      <c r="AW51" s="17">
        <f t="shared" si="15"/>
        <v>0</v>
      </c>
      <c r="AX51" s="17">
        <f t="shared" si="16"/>
        <v>0</v>
      </c>
      <c r="AY51" s="14" t="s">
        <v>161</v>
      </c>
      <c r="AZ51" s="14" t="s">
        <v>141</v>
      </c>
      <c r="BA51" s="7" t="s">
        <v>294</v>
      </c>
      <c r="BC51" s="17">
        <f t="shared" si="17"/>
        <v>0</v>
      </c>
      <c r="BD51" s="17">
        <f t="shared" si="18"/>
        <v>0</v>
      </c>
      <c r="BE51" s="17">
        <v>0</v>
      </c>
      <c r="BF51" s="17">
        <f>51</f>
        <v>51</v>
      </c>
      <c r="BH51" s="17">
        <f t="shared" si="19"/>
        <v>0</v>
      </c>
      <c r="BI51" s="17">
        <f t="shared" si="20"/>
        <v>0</v>
      </c>
      <c r="BJ51" s="17">
        <f t="shared" si="21"/>
        <v>0</v>
      </c>
      <c r="BK51" s="17"/>
      <c r="BL51" s="17">
        <v>725</v>
      </c>
    </row>
    <row r="52" spans="1:64" ht="15" customHeight="1">
      <c r="A52" s="10" t="s">
        <v>413</v>
      </c>
      <c r="B52" s="4" t="s">
        <v>397</v>
      </c>
      <c r="C52" s="53" t="s">
        <v>389</v>
      </c>
      <c r="D52" s="53"/>
      <c r="E52" s="53"/>
      <c r="F52" s="53"/>
      <c r="G52" s="4" t="s">
        <v>122</v>
      </c>
      <c r="H52" s="17">
        <v>1</v>
      </c>
      <c r="I52" s="17">
        <v>0</v>
      </c>
      <c r="J52" s="17">
        <f t="shared" si="0"/>
        <v>0</v>
      </c>
      <c r="K52" s="17">
        <f t="shared" si="1"/>
        <v>0</v>
      </c>
      <c r="L52" s="17">
        <f t="shared" si="2"/>
        <v>0</v>
      </c>
      <c r="M52" s="25" t="s">
        <v>322</v>
      </c>
      <c r="Z52" s="17">
        <f t="shared" si="3"/>
        <v>0</v>
      </c>
      <c r="AB52" s="17">
        <f t="shared" si="4"/>
        <v>0</v>
      </c>
      <c r="AC52" s="17">
        <f t="shared" si="5"/>
        <v>0</v>
      </c>
      <c r="AD52" s="17">
        <f t="shared" si="6"/>
        <v>0</v>
      </c>
      <c r="AE52" s="17">
        <f t="shared" si="7"/>
        <v>0</v>
      </c>
      <c r="AF52" s="17">
        <f t="shared" si="8"/>
        <v>0</v>
      </c>
      <c r="AG52" s="17">
        <f t="shared" si="9"/>
        <v>0</v>
      </c>
      <c r="AH52" s="17">
        <f t="shared" si="10"/>
        <v>0</v>
      </c>
      <c r="AI52" s="7" t="s">
        <v>266</v>
      </c>
      <c r="AJ52" s="17">
        <f t="shared" si="11"/>
        <v>0</v>
      </c>
      <c r="AK52" s="17">
        <f t="shared" si="12"/>
        <v>0</v>
      </c>
      <c r="AL52" s="17">
        <f t="shared" si="13"/>
        <v>0</v>
      </c>
      <c r="AN52" s="17">
        <v>21</v>
      </c>
      <c r="AO52" s="17">
        <f>I52*0.881704314720812</f>
        <v>0</v>
      </c>
      <c r="AP52" s="17">
        <f>I52*(1-0.881704314720812)</f>
        <v>0</v>
      </c>
      <c r="AQ52" s="14" t="s">
        <v>381</v>
      </c>
      <c r="AV52" s="17">
        <f t="shared" si="14"/>
        <v>0</v>
      </c>
      <c r="AW52" s="17">
        <f t="shared" si="15"/>
        <v>0</v>
      </c>
      <c r="AX52" s="17">
        <f t="shared" si="16"/>
        <v>0</v>
      </c>
      <c r="AY52" s="14" t="s">
        <v>161</v>
      </c>
      <c r="AZ52" s="14" t="s">
        <v>141</v>
      </c>
      <c r="BA52" s="7" t="s">
        <v>294</v>
      </c>
      <c r="BC52" s="17">
        <f t="shared" si="17"/>
        <v>0</v>
      </c>
      <c r="BD52" s="17">
        <f t="shared" si="18"/>
        <v>0</v>
      </c>
      <c r="BE52" s="17">
        <v>0</v>
      </c>
      <c r="BF52" s="17">
        <f>52</f>
        <v>52</v>
      </c>
      <c r="BH52" s="17">
        <f t="shared" si="19"/>
        <v>0</v>
      </c>
      <c r="BI52" s="17">
        <f t="shared" si="20"/>
        <v>0</v>
      </c>
      <c r="BJ52" s="17">
        <f t="shared" si="21"/>
        <v>0</v>
      </c>
      <c r="BK52" s="17"/>
      <c r="BL52" s="17">
        <v>725</v>
      </c>
    </row>
    <row r="53" spans="1:64" ht="15" customHeight="1">
      <c r="A53" s="10" t="s">
        <v>25</v>
      </c>
      <c r="B53" s="4" t="s">
        <v>401</v>
      </c>
      <c r="C53" s="53" t="s">
        <v>127</v>
      </c>
      <c r="D53" s="53"/>
      <c r="E53" s="53"/>
      <c r="F53" s="53"/>
      <c r="G53" s="4" t="s">
        <v>90</v>
      </c>
      <c r="H53" s="17">
        <v>3</v>
      </c>
      <c r="I53" s="17">
        <v>0</v>
      </c>
      <c r="J53" s="17">
        <f t="shared" si="0"/>
        <v>0</v>
      </c>
      <c r="K53" s="17">
        <f t="shared" si="1"/>
        <v>0</v>
      </c>
      <c r="L53" s="17">
        <f t="shared" si="2"/>
        <v>0</v>
      </c>
      <c r="M53" s="25" t="s">
        <v>322</v>
      </c>
      <c r="Z53" s="17">
        <f t="shared" si="3"/>
        <v>0</v>
      </c>
      <c r="AB53" s="17">
        <f t="shared" si="4"/>
        <v>0</v>
      </c>
      <c r="AC53" s="17">
        <f t="shared" si="5"/>
        <v>0</v>
      </c>
      <c r="AD53" s="17">
        <f t="shared" si="6"/>
        <v>0</v>
      </c>
      <c r="AE53" s="17">
        <f t="shared" si="7"/>
        <v>0</v>
      </c>
      <c r="AF53" s="17">
        <f t="shared" si="8"/>
        <v>0</v>
      </c>
      <c r="AG53" s="17">
        <f t="shared" si="9"/>
        <v>0</v>
      </c>
      <c r="AH53" s="17">
        <f t="shared" si="10"/>
        <v>0</v>
      </c>
      <c r="AI53" s="7" t="s">
        <v>266</v>
      </c>
      <c r="AJ53" s="17">
        <f t="shared" si="11"/>
        <v>0</v>
      </c>
      <c r="AK53" s="17">
        <f t="shared" si="12"/>
        <v>0</v>
      </c>
      <c r="AL53" s="17">
        <f t="shared" si="13"/>
        <v>0</v>
      </c>
      <c r="AN53" s="17">
        <v>21</v>
      </c>
      <c r="AO53" s="17">
        <f aca="true" t="shared" si="22" ref="AO53:AO63">I53*1</f>
        <v>0</v>
      </c>
      <c r="AP53" s="17">
        <f aca="true" t="shared" si="23" ref="AP53:AP63">I53*(1-1)</f>
        <v>0</v>
      </c>
      <c r="AQ53" s="14" t="s">
        <v>381</v>
      </c>
      <c r="AV53" s="17">
        <f t="shared" si="14"/>
        <v>0</v>
      </c>
      <c r="AW53" s="17">
        <f t="shared" si="15"/>
        <v>0</v>
      </c>
      <c r="AX53" s="17">
        <f t="shared" si="16"/>
        <v>0</v>
      </c>
      <c r="AY53" s="14" t="s">
        <v>161</v>
      </c>
      <c r="AZ53" s="14" t="s">
        <v>141</v>
      </c>
      <c r="BA53" s="7" t="s">
        <v>294</v>
      </c>
      <c r="BC53" s="17">
        <f t="shared" si="17"/>
        <v>0</v>
      </c>
      <c r="BD53" s="17">
        <f t="shared" si="18"/>
        <v>0</v>
      </c>
      <c r="BE53" s="17">
        <v>0</v>
      </c>
      <c r="BF53" s="17">
        <f>53</f>
        <v>53</v>
      </c>
      <c r="BH53" s="17">
        <f t="shared" si="19"/>
        <v>0</v>
      </c>
      <c r="BI53" s="17">
        <f t="shared" si="20"/>
        <v>0</v>
      </c>
      <c r="BJ53" s="17">
        <f t="shared" si="21"/>
        <v>0</v>
      </c>
      <c r="BK53" s="17"/>
      <c r="BL53" s="17">
        <v>725</v>
      </c>
    </row>
    <row r="54" spans="1:64" ht="15" customHeight="1">
      <c r="A54" s="10" t="s">
        <v>247</v>
      </c>
      <c r="B54" s="4" t="s">
        <v>275</v>
      </c>
      <c r="C54" s="53" t="s">
        <v>179</v>
      </c>
      <c r="D54" s="53"/>
      <c r="E54" s="53"/>
      <c r="F54" s="53"/>
      <c r="G54" s="4" t="s">
        <v>90</v>
      </c>
      <c r="H54" s="17">
        <v>3</v>
      </c>
      <c r="I54" s="17">
        <v>0</v>
      </c>
      <c r="J54" s="17">
        <f t="shared" si="0"/>
        <v>0</v>
      </c>
      <c r="K54" s="17">
        <f t="shared" si="1"/>
        <v>0</v>
      </c>
      <c r="L54" s="17">
        <f t="shared" si="2"/>
        <v>0</v>
      </c>
      <c r="M54" s="25" t="s">
        <v>322</v>
      </c>
      <c r="Z54" s="17">
        <f t="shared" si="3"/>
        <v>0</v>
      </c>
      <c r="AB54" s="17">
        <f t="shared" si="4"/>
        <v>0</v>
      </c>
      <c r="AC54" s="17">
        <f t="shared" si="5"/>
        <v>0</v>
      </c>
      <c r="AD54" s="17">
        <f t="shared" si="6"/>
        <v>0</v>
      </c>
      <c r="AE54" s="17">
        <f t="shared" si="7"/>
        <v>0</v>
      </c>
      <c r="AF54" s="17">
        <f t="shared" si="8"/>
        <v>0</v>
      </c>
      <c r="AG54" s="17">
        <f t="shared" si="9"/>
        <v>0</v>
      </c>
      <c r="AH54" s="17">
        <f t="shared" si="10"/>
        <v>0</v>
      </c>
      <c r="AI54" s="7" t="s">
        <v>266</v>
      </c>
      <c r="AJ54" s="17">
        <f t="shared" si="11"/>
        <v>0</v>
      </c>
      <c r="AK54" s="17">
        <f t="shared" si="12"/>
        <v>0</v>
      </c>
      <c r="AL54" s="17">
        <f t="shared" si="13"/>
        <v>0</v>
      </c>
      <c r="AN54" s="17">
        <v>21</v>
      </c>
      <c r="AO54" s="17">
        <f t="shared" si="22"/>
        <v>0</v>
      </c>
      <c r="AP54" s="17">
        <f t="shared" si="23"/>
        <v>0</v>
      </c>
      <c r="AQ54" s="14" t="s">
        <v>381</v>
      </c>
      <c r="AV54" s="17">
        <f t="shared" si="14"/>
        <v>0</v>
      </c>
      <c r="AW54" s="17">
        <f t="shared" si="15"/>
        <v>0</v>
      </c>
      <c r="AX54" s="17">
        <f t="shared" si="16"/>
        <v>0</v>
      </c>
      <c r="AY54" s="14" t="s">
        <v>161</v>
      </c>
      <c r="AZ54" s="14" t="s">
        <v>141</v>
      </c>
      <c r="BA54" s="7" t="s">
        <v>294</v>
      </c>
      <c r="BC54" s="17">
        <f t="shared" si="17"/>
        <v>0</v>
      </c>
      <c r="BD54" s="17">
        <f t="shared" si="18"/>
        <v>0</v>
      </c>
      <c r="BE54" s="17">
        <v>0</v>
      </c>
      <c r="BF54" s="17">
        <f>54</f>
        <v>54</v>
      </c>
      <c r="BH54" s="17">
        <f t="shared" si="19"/>
        <v>0</v>
      </c>
      <c r="BI54" s="17">
        <f t="shared" si="20"/>
        <v>0</v>
      </c>
      <c r="BJ54" s="17">
        <f t="shared" si="21"/>
        <v>0</v>
      </c>
      <c r="BK54" s="17"/>
      <c r="BL54" s="17">
        <v>725</v>
      </c>
    </row>
    <row r="55" spans="1:64" ht="15" customHeight="1">
      <c r="A55" s="10" t="s">
        <v>218</v>
      </c>
      <c r="B55" s="4" t="s">
        <v>270</v>
      </c>
      <c r="C55" s="53" t="s">
        <v>255</v>
      </c>
      <c r="D55" s="53"/>
      <c r="E55" s="53"/>
      <c r="F55" s="53"/>
      <c r="G55" s="4" t="s">
        <v>90</v>
      </c>
      <c r="H55" s="17">
        <v>2</v>
      </c>
      <c r="I55" s="17">
        <v>0</v>
      </c>
      <c r="J55" s="17">
        <f t="shared" si="0"/>
        <v>0</v>
      </c>
      <c r="K55" s="17">
        <f t="shared" si="1"/>
        <v>0</v>
      </c>
      <c r="L55" s="17">
        <f t="shared" si="2"/>
        <v>0</v>
      </c>
      <c r="M55" s="25" t="s">
        <v>322</v>
      </c>
      <c r="Z55" s="17">
        <f t="shared" si="3"/>
        <v>0</v>
      </c>
      <c r="AB55" s="17">
        <f t="shared" si="4"/>
        <v>0</v>
      </c>
      <c r="AC55" s="17">
        <f t="shared" si="5"/>
        <v>0</v>
      </c>
      <c r="AD55" s="17">
        <f t="shared" si="6"/>
        <v>0</v>
      </c>
      <c r="AE55" s="17">
        <f t="shared" si="7"/>
        <v>0</v>
      </c>
      <c r="AF55" s="17">
        <f t="shared" si="8"/>
        <v>0</v>
      </c>
      <c r="AG55" s="17">
        <f t="shared" si="9"/>
        <v>0</v>
      </c>
      <c r="AH55" s="17">
        <f t="shared" si="10"/>
        <v>0</v>
      </c>
      <c r="AI55" s="7" t="s">
        <v>266</v>
      </c>
      <c r="AJ55" s="17">
        <f t="shared" si="11"/>
        <v>0</v>
      </c>
      <c r="AK55" s="17">
        <f t="shared" si="12"/>
        <v>0</v>
      </c>
      <c r="AL55" s="17">
        <f t="shared" si="13"/>
        <v>0</v>
      </c>
      <c r="AN55" s="17">
        <v>21</v>
      </c>
      <c r="AO55" s="17">
        <f t="shared" si="22"/>
        <v>0</v>
      </c>
      <c r="AP55" s="17">
        <f t="shared" si="23"/>
        <v>0</v>
      </c>
      <c r="AQ55" s="14" t="s">
        <v>381</v>
      </c>
      <c r="AV55" s="17">
        <f t="shared" si="14"/>
        <v>0</v>
      </c>
      <c r="AW55" s="17">
        <f t="shared" si="15"/>
        <v>0</v>
      </c>
      <c r="AX55" s="17">
        <f t="shared" si="16"/>
        <v>0</v>
      </c>
      <c r="AY55" s="14" t="s">
        <v>161</v>
      </c>
      <c r="AZ55" s="14" t="s">
        <v>141</v>
      </c>
      <c r="BA55" s="7" t="s">
        <v>294</v>
      </c>
      <c r="BC55" s="17">
        <f t="shared" si="17"/>
        <v>0</v>
      </c>
      <c r="BD55" s="17">
        <f t="shared" si="18"/>
        <v>0</v>
      </c>
      <c r="BE55" s="17">
        <v>0</v>
      </c>
      <c r="BF55" s="17">
        <f>55</f>
        <v>55</v>
      </c>
      <c r="BH55" s="17">
        <f t="shared" si="19"/>
        <v>0</v>
      </c>
      <c r="BI55" s="17">
        <f t="shared" si="20"/>
        <v>0</v>
      </c>
      <c r="BJ55" s="17">
        <f t="shared" si="21"/>
        <v>0</v>
      </c>
      <c r="BK55" s="17"/>
      <c r="BL55" s="17">
        <v>725</v>
      </c>
    </row>
    <row r="56" spans="1:64" ht="15" customHeight="1">
      <c r="A56" s="10" t="s">
        <v>323</v>
      </c>
      <c r="B56" s="4" t="s">
        <v>223</v>
      </c>
      <c r="C56" s="53" t="s">
        <v>187</v>
      </c>
      <c r="D56" s="53"/>
      <c r="E56" s="53"/>
      <c r="F56" s="53"/>
      <c r="G56" s="4" t="s">
        <v>90</v>
      </c>
      <c r="H56" s="17">
        <v>2</v>
      </c>
      <c r="I56" s="17">
        <v>0</v>
      </c>
      <c r="J56" s="17">
        <f t="shared" si="0"/>
        <v>0</v>
      </c>
      <c r="K56" s="17">
        <f t="shared" si="1"/>
        <v>0</v>
      </c>
      <c r="L56" s="17">
        <f t="shared" si="2"/>
        <v>0</v>
      </c>
      <c r="M56" s="25" t="s">
        <v>322</v>
      </c>
      <c r="Z56" s="17">
        <f t="shared" si="3"/>
        <v>0</v>
      </c>
      <c r="AB56" s="17">
        <f t="shared" si="4"/>
        <v>0</v>
      </c>
      <c r="AC56" s="17">
        <f t="shared" si="5"/>
        <v>0</v>
      </c>
      <c r="AD56" s="17">
        <f t="shared" si="6"/>
        <v>0</v>
      </c>
      <c r="AE56" s="17">
        <f t="shared" si="7"/>
        <v>0</v>
      </c>
      <c r="AF56" s="17">
        <f t="shared" si="8"/>
        <v>0</v>
      </c>
      <c r="AG56" s="17">
        <f t="shared" si="9"/>
        <v>0</v>
      </c>
      <c r="AH56" s="17">
        <f t="shared" si="10"/>
        <v>0</v>
      </c>
      <c r="AI56" s="7" t="s">
        <v>266</v>
      </c>
      <c r="AJ56" s="17">
        <f t="shared" si="11"/>
        <v>0</v>
      </c>
      <c r="AK56" s="17">
        <f t="shared" si="12"/>
        <v>0</v>
      </c>
      <c r="AL56" s="17">
        <f t="shared" si="13"/>
        <v>0</v>
      </c>
      <c r="AN56" s="17">
        <v>21</v>
      </c>
      <c r="AO56" s="17">
        <f t="shared" si="22"/>
        <v>0</v>
      </c>
      <c r="AP56" s="17">
        <f t="shared" si="23"/>
        <v>0</v>
      </c>
      <c r="AQ56" s="14" t="s">
        <v>381</v>
      </c>
      <c r="AV56" s="17">
        <f t="shared" si="14"/>
        <v>0</v>
      </c>
      <c r="AW56" s="17">
        <f t="shared" si="15"/>
        <v>0</v>
      </c>
      <c r="AX56" s="17">
        <f t="shared" si="16"/>
        <v>0</v>
      </c>
      <c r="AY56" s="14" t="s">
        <v>161</v>
      </c>
      <c r="AZ56" s="14" t="s">
        <v>141</v>
      </c>
      <c r="BA56" s="7" t="s">
        <v>294</v>
      </c>
      <c r="BC56" s="17">
        <f t="shared" si="17"/>
        <v>0</v>
      </c>
      <c r="BD56" s="17">
        <f t="shared" si="18"/>
        <v>0</v>
      </c>
      <c r="BE56" s="17">
        <v>0</v>
      </c>
      <c r="BF56" s="17">
        <f>56</f>
        <v>56</v>
      </c>
      <c r="BH56" s="17">
        <f t="shared" si="19"/>
        <v>0</v>
      </c>
      <c r="BI56" s="17">
        <f t="shared" si="20"/>
        <v>0</v>
      </c>
      <c r="BJ56" s="17">
        <f t="shared" si="21"/>
        <v>0</v>
      </c>
      <c r="BK56" s="17"/>
      <c r="BL56" s="17">
        <v>725</v>
      </c>
    </row>
    <row r="57" spans="1:64" ht="15" customHeight="1">
      <c r="A57" s="10" t="s">
        <v>77</v>
      </c>
      <c r="B57" s="4" t="s">
        <v>291</v>
      </c>
      <c r="C57" s="53" t="s">
        <v>100</v>
      </c>
      <c r="D57" s="53"/>
      <c r="E57" s="53"/>
      <c r="F57" s="53"/>
      <c r="G57" s="4" t="s">
        <v>90</v>
      </c>
      <c r="H57" s="17">
        <v>2</v>
      </c>
      <c r="I57" s="17">
        <v>0</v>
      </c>
      <c r="J57" s="17">
        <f t="shared" si="0"/>
        <v>0</v>
      </c>
      <c r="K57" s="17">
        <f t="shared" si="1"/>
        <v>0</v>
      </c>
      <c r="L57" s="17">
        <f t="shared" si="2"/>
        <v>0</v>
      </c>
      <c r="M57" s="25" t="s">
        <v>322</v>
      </c>
      <c r="Z57" s="17">
        <f t="shared" si="3"/>
        <v>0</v>
      </c>
      <c r="AB57" s="17">
        <f t="shared" si="4"/>
        <v>0</v>
      </c>
      <c r="AC57" s="17">
        <f t="shared" si="5"/>
        <v>0</v>
      </c>
      <c r="AD57" s="17">
        <f t="shared" si="6"/>
        <v>0</v>
      </c>
      <c r="AE57" s="17">
        <f t="shared" si="7"/>
        <v>0</v>
      </c>
      <c r="AF57" s="17">
        <f t="shared" si="8"/>
        <v>0</v>
      </c>
      <c r="AG57" s="17">
        <f t="shared" si="9"/>
        <v>0</v>
      </c>
      <c r="AH57" s="17">
        <f t="shared" si="10"/>
        <v>0</v>
      </c>
      <c r="AI57" s="7" t="s">
        <v>266</v>
      </c>
      <c r="AJ57" s="17">
        <f t="shared" si="11"/>
        <v>0</v>
      </c>
      <c r="AK57" s="17">
        <f t="shared" si="12"/>
        <v>0</v>
      </c>
      <c r="AL57" s="17">
        <f t="shared" si="13"/>
        <v>0</v>
      </c>
      <c r="AN57" s="17">
        <v>21</v>
      </c>
      <c r="AO57" s="17">
        <f t="shared" si="22"/>
        <v>0</v>
      </c>
      <c r="AP57" s="17">
        <f t="shared" si="23"/>
        <v>0</v>
      </c>
      <c r="AQ57" s="14" t="s">
        <v>381</v>
      </c>
      <c r="AV57" s="17">
        <f t="shared" si="14"/>
        <v>0</v>
      </c>
      <c r="AW57" s="17">
        <f t="shared" si="15"/>
        <v>0</v>
      </c>
      <c r="AX57" s="17">
        <f t="shared" si="16"/>
        <v>0</v>
      </c>
      <c r="AY57" s="14" t="s">
        <v>161</v>
      </c>
      <c r="AZ57" s="14" t="s">
        <v>141</v>
      </c>
      <c r="BA57" s="7" t="s">
        <v>294</v>
      </c>
      <c r="BC57" s="17">
        <f t="shared" si="17"/>
        <v>0</v>
      </c>
      <c r="BD57" s="17">
        <f t="shared" si="18"/>
        <v>0</v>
      </c>
      <c r="BE57" s="17">
        <v>0</v>
      </c>
      <c r="BF57" s="17">
        <f>57</f>
        <v>57</v>
      </c>
      <c r="BH57" s="17">
        <f t="shared" si="19"/>
        <v>0</v>
      </c>
      <c r="BI57" s="17">
        <f t="shared" si="20"/>
        <v>0</v>
      </c>
      <c r="BJ57" s="17">
        <f t="shared" si="21"/>
        <v>0</v>
      </c>
      <c r="BK57" s="17"/>
      <c r="BL57" s="17">
        <v>725</v>
      </c>
    </row>
    <row r="58" spans="1:64" ht="15" customHeight="1">
      <c r="A58" s="10" t="s">
        <v>421</v>
      </c>
      <c r="B58" s="4" t="s">
        <v>98</v>
      </c>
      <c r="C58" s="53" t="s">
        <v>424</v>
      </c>
      <c r="D58" s="53"/>
      <c r="E58" s="53"/>
      <c r="F58" s="53"/>
      <c r="G58" s="4" t="s">
        <v>90</v>
      </c>
      <c r="H58" s="17">
        <v>3</v>
      </c>
      <c r="I58" s="17">
        <v>0</v>
      </c>
      <c r="J58" s="17">
        <f t="shared" si="0"/>
        <v>0</v>
      </c>
      <c r="K58" s="17">
        <f t="shared" si="1"/>
        <v>0</v>
      </c>
      <c r="L58" s="17">
        <f t="shared" si="2"/>
        <v>0</v>
      </c>
      <c r="M58" s="25" t="s">
        <v>322</v>
      </c>
      <c r="Z58" s="17">
        <f t="shared" si="3"/>
        <v>0</v>
      </c>
      <c r="AB58" s="17">
        <f t="shared" si="4"/>
        <v>0</v>
      </c>
      <c r="AC58" s="17">
        <f t="shared" si="5"/>
        <v>0</v>
      </c>
      <c r="AD58" s="17">
        <f t="shared" si="6"/>
        <v>0</v>
      </c>
      <c r="AE58" s="17">
        <f t="shared" si="7"/>
        <v>0</v>
      </c>
      <c r="AF58" s="17">
        <f t="shared" si="8"/>
        <v>0</v>
      </c>
      <c r="AG58" s="17">
        <f t="shared" si="9"/>
        <v>0</v>
      </c>
      <c r="AH58" s="17">
        <f t="shared" si="10"/>
        <v>0</v>
      </c>
      <c r="AI58" s="7" t="s">
        <v>266</v>
      </c>
      <c r="AJ58" s="17">
        <f t="shared" si="11"/>
        <v>0</v>
      </c>
      <c r="AK58" s="17">
        <f t="shared" si="12"/>
        <v>0</v>
      </c>
      <c r="AL58" s="17">
        <f t="shared" si="13"/>
        <v>0</v>
      </c>
      <c r="AN58" s="17">
        <v>21</v>
      </c>
      <c r="AO58" s="17">
        <f t="shared" si="22"/>
        <v>0</v>
      </c>
      <c r="AP58" s="17">
        <f t="shared" si="23"/>
        <v>0</v>
      </c>
      <c r="AQ58" s="14" t="s">
        <v>381</v>
      </c>
      <c r="AV58" s="17">
        <f t="shared" si="14"/>
        <v>0</v>
      </c>
      <c r="AW58" s="17">
        <f t="shared" si="15"/>
        <v>0</v>
      </c>
      <c r="AX58" s="17">
        <f t="shared" si="16"/>
        <v>0</v>
      </c>
      <c r="AY58" s="14" t="s">
        <v>161</v>
      </c>
      <c r="AZ58" s="14" t="s">
        <v>141</v>
      </c>
      <c r="BA58" s="7" t="s">
        <v>294</v>
      </c>
      <c r="BC58" s="17">
        <f t="shared" si="17"/>
        <v>0</v>
      </c>
      <c r="BD58" s="17">
        <f t="shared" si="18"/>
        <v>0</v>
      </c>
      <c r="BE58" s="17">
        <v>0</v>
      </c>
      <c r="BF58" s="17">
        <f>58</f>
        <v>58</v>
      </c>
      <c r="BH58" s="17">
        <f t="shared" si="19"/>
        <v>0</v>
      </c>
      <c r="BI58" s="17">
        <f t="shared" si="20"/>
        <v>0</v>
      </c>
      <c r="BJ58" s="17">
        <f t="shared" si="21"/>
        <v>0</v>
      </c>
      <c r="BK58" s="17"/>
      <c r="BL58" s="17">
        <v>725</v>
      </c>
    </row>
    <row r="59" spans="1:64" ht="15" customHeight="1">
      <c r="A59" s="10" t="s">
        <v>340</v>
      </c>
      <c r="B59" s="4" t="s">
        <v>281</v>
      </c>
      <c r="C59" s="53" t="s">
        <v>205</v>
      </c>
      <c r="D59" s="53"/>
      <c r="E59" s="53"/>
      <c r="F59" s="53"/>
      <c r="G59" s="4" t="s">
        <v>90</v>
      </c>
      <c r="H59" s="17">
        <v>2</v>
      </c>
      <c r="I59" s="17">
        <v>0</v>
      </c>
      <c r="J59" s="17">
        <f t="shared" si="0"/>
        <v>0</v>
      </c>
      <c r="K59" s="17">
        <f t="shared" si="1"/>
        <v>0</v>
      </c>
      <c r="L59" s="17">
        <f t="shared" si="2"/>
        <v>0</v>
      </c>
      <c r="M59" s="25" t="s">
        <v>322</v>
      </c>
      <c r="Z59" s="17">
        <f t="shared" si="3"/>
        <v>0</v>
      </c>
      <c r="AB59" s="17">
        <f t="shared" si="4"/>
        <v>0</v>
      </c>
      <c r="AC59" s="17">
        <f t="shared" si="5"/>
        <v>0</v>
      </c>
      <c r="AD59" s="17">
        <f t="shared" si="6"/>
        <v>0</v>
      </c>
      <c r="AE59" s="17">
        <f t="shared" si="7"/>
        <v>0</v>
      </c>
      <c r="AF59" s="17">
        <f t="shared" si="8"/>
        <v>0</v>
      </c>
      <c r="AG59" s="17">
        <f t="shared" si="9"/>
        <v>0</v>
      </c>
      <c r="AH59" s="17">
        <f t="shared" si="10"/>
        <v>0</v>
      </c>
      <c r="AI59" s="7" t="s">
        <v>266</v>
      </c>
      <c r="AJ59" s="17">
        <f t="shared" si="11"/>
        <v>0</v>
      </c>
      <c r="AK59" s="17">
        <f t="shared" si="12"/>
        <v>0</v>
      </c>
      <c r="AL59" s="17">
        <f t="shared" si="13"/>
        <v>0</v>
      </c>
      <c r="AN59" s="17">
        <v>21</v>
      </c>
      <c r="AO59" s="17">
        <f t="shared" si="22"/>
        <v>0</v>
      </c>
      <c r="AP59" s="17">
        <f t="shared" si="23"/>
        <v>0</v>
      </c>
      <c r="AQ59" s="14" t="s">
        <v>381</v>
      </c>
      <c r="AV59" s="17">
        <f t="shared" si="14"/>
        <v>0</v>
      </c>
      <c r="AW59" s="17">
        <f t="shared" si="15"/>
        <v>0</v>
      </c>
      <c r="AX59" s="17">
        <f t="shared" si="16"/>
        <v>0</v>
      </c>
      <c r="AY59" s="14" t="s">
        <v>161</v>
      </c>
      <c r="AZ59" s="14" t="s">
        <v>141</v>
      </c>
      <c r="BA59" s="7" t="s">
        <v>294</v>
      </c>
      <c r="BC59" s="17">
        <f t="shared" si="17"/>
        <v>0</v>
      </c>
      <c r="BD59" s="17">
        <f t="shared" si="18"/>
        <v>0</v>
      </c>
      <c r="BE59" s="17">
        <v>0</v>
      </c>
      <c r="BF59" s="17">
        <f>59</f>
        <v>59</v>
      </c>
      <c r="BH59" s="17">
        <f t="shared" si="19"/>
        <v>0</v>
      </c>
      <c r="BI59" s="17">
        <f t="shared" si="20"/>
        <v>0</v>
      </c>
      <c r="BJ59" s="17">
        <f t="shared" si="21"/>
        <v>0</v>
      </c>
      <c r="BK59" s="17"/>
      <c r="BL59" s="17">
        <v>725</v>
      </c>
    </row>
    <row r="60" spans="1:64" ht="15" customHeight="1">
      <c r="A60" s="10" t="s">
        <v>215</v>
      </c>
      <c r="B60" s="4" t="s">
        <v>75</v>
      </c>
      <c r="C60" s="53" t="s">
        <v>211</v>
      </c>
      <c r="D60" s="53"/>
      <c r="E60" s="53"/>
      <c r="F60" s="53"/>
      <c r="G60" s="4" t="s">
        <v>72</v>
      </c>
      <c r="H60" s="17">
        <v>2</v>
      </c>
      <c r="I60" s="17">
        <v>0</v>
      </c>
      <c r="J60" s="17">
        <f t="shared" si="0"/>
        <v>0</v>
      </c>
      <c r="K60" s="17">
        <f t="shared" si="1"/>
        <v>0</v>
      </c>
      <c r="L60" s="17">
        <f t="shared" si="2"/>
        <v>0</v>
      </c>
      <c r="M60" s="25" t="s">
        <v>322</v>
      </c>
      <c r="Z60" s="17">
        <f t="shared" si="3"/>
        <v>0</v>
      </c>
      <c r="AB60" s="17">
        <f t="shared" si="4"/>
        <v>0</v>
      </c>
      <c r="AC60" s="17">
        <f t="shared" si="5"/>
        <v>0</v>
      </c>
      <c r="AD60" s="17">
        <f t="shared" si="6"/>
        <v>0</v>
      </c>
      <c r="AE60" s="17">
        <f t="shared" si="7"/>
        <v>0</v>
      </c>
      <c r="AF60" s="17">
        <f t="shared" si="8"/>
        <v>0</v>
      </c>
      <c r="AG60" s="17">
        <f t="shared" si="9"/>
        <v>0</v>
      </c>
      <c r="AH60" s="17">
        <f t="shared" si="10"/>
        <v>0</v>
      </c>
      <c r="AI60" s="7" t="s">
        <v>266</v>
      </c>
      <c r="AJ60" s="17">
        <f t="shared" si="11"/>
        <v>0</v>
      </c>
      <c r="AK60" s="17">
        <f t="shared" si="12"/>
        <v>0</v>
      </c>
      <c r="AL60" s="17">
        <f t="shared" si="13"/>
        <v>0</v>
      </c>
      <c r="AN60" s="17">
        <v>21</v>
      </c>
      <c r="AO60" s="17">
        <f t="shared" si="22"/>
        <v>0</v>
      </c>
      <c r="AP60" s="17">
        <f t="shared" si="23"/>
        <v>0</v>
      </c>
      <c r="AQ60" s="14" t="s">
        <v>381</v>
      </c>
      <c r="AV60" s="17">
        <f t="shared" si="14"/>
        <v>0</v>
      </c>
      <c r="AW60" s="17">
        <f t="shared" si="15"/>
        <v>0</v>
      </c>
      <c r="AX60" s="17">
        <f t="shared" si="16"/>
        <v>0</v>
      </c>
      <c r="AY60" s="14" t="s">
        <v>161</v>
      </c>
      <c r="AZ60" s="14" t="s">
        <v>141</v>
      </c>
      <c r="BA60" s="7" t="s">
        <v>294</v>
      </c>
      <c r="BC60" s="17">
        <f t="shared" si="17"/>
        <v>0</v>
      </c>
      <c r="BD60" s="17">
        <f t="shared" si="18"/>
        <v>0</v>
      </c>
      <c r="BE60" s="17">
        <v>0</v>
      </c>
      <c r="BF60" s="17">
        <f>60</f>
        <v>60</v>
      </c>
      <c r="BH60" s="17">
        <f t="shared" si="19"/>
        <v>0</v>
      </c>
      <c r="BI60" s="17">
        <f t="shared" si="20"/>
        <v>0</v>
      </c>
      <c r="BJ60" s="17">
        <f t="shared" si="21"/>
        <v>0</v>
      </c>
      <c r="BK60" s="17"/>
      <c r="BL60" s="17">
        <v>725</v>
      </c>
    </row>
    <row r="61" spans="1:64" ht="15" customHeight="1">
      <c r="A61" s="10" t="s">
        <v>373</v>
      </c>
      <c r="B61" s="4" t="s">
        <v>16</v>
      </c>
      <c r="C61" s="53" t="s">
        <v>332</v>
      </c>
      <c r="D61" s="53"/>
      <c r="E61" s="53"/>
      <c r="F61" s="53"/>
      <c r="G61" s="4" t="s">
        <v>90</v>
      </c>
      <c r="H61" s="17">
        <v>3</v>
      </c>
      <c r="I61" s="17">
        <v>0</v>
      </c>
      <c r="J61" s="17">
        <f t="shared" si="0"/>
        <v>0</v>
      </c>
      <c r="K61" s="17">
        <f t="shared" si="1"/>
        <v>0</v>
      </c>
      <c r="L61" s="17">
        <f t="shared" si="2"/>
        <v>0</v>
      </c>
      <c r="M61" s="25" t="s">
        <v>322</v>
      </c>
      <c r="Z61" s="17">
        <f t="shared" si="3"/>
        <v>0</v>
      </c>
      <c r="AB61" s="17">
        <f t="shared" si="4"/>
        <v>0</v>
      </c>
      <c r="AC61" s="17">
        <f t="shared" si="5"/>
        <v>0</v>
      </c>
      <c r="AD61" s="17">
        <f t="shared" si="6"/>
        <v>0</v>
      </c>
      <c r="AE61" s="17">
        <f t="shared" si="7"/>
        <v>0</v>
      </c>
      <c r="AF61" s="17">
        <f t="shared" si="8"/>
        <v>0</v>
      </c>
      <c r="AG61" s="17">
        <f t="shared" si="9"/>
        <v>0</v>
      </c>
      <c r="AH61" s="17">
        <f t="shared" si="10"/>
        <v>0</v>
      </c>
      <c r="AI61" s="7" t="s">
        <v>266</v>
      </c>
      <c r="AJ61" s="17">
        <f t="shared" si="11"/>
        <v>0</v>
      </c>
      <c r="AK61" s="17">
        <f t="shared" si="12"/>
        <v>0</v>
      </c>
      <c r="AL61" s="17">
        <f t="shared" si="13"/>
        <v>0</v>
      </c>
      <c r="AN61" s="17">
        <v>21</v>
      </c>
      <c r="AO61" s="17">
        <f t="shared" si="22"/>
        <v>0</v>
      </c>
      <c r="AP61" s="17">
        <f t="shared" si="23"/>
        <v>0</v>
      </c>
      <c r="AQ61" s="14" t="s">
        <v>381</v>
      </c>
      <c r="AV61" s="17">
        <f t="shared" si="14"/>
        <v>0</v>
      </c>
      <c r="AW61" s="17">
        <f t="shared" si="15"/>
        <v>0</v>
      </c>
      <c r="AX61" s="17">
        <f t="shared" si="16"/>
        <v>0</v>
      </c>
      <c r="AY61" s="14" t="s">
        <v>161</v>
      </c>
      <c r="AZ61" s="14" t="s">
        <v>141</v>
      </c>
      <c r="BA61" s="7" t="s">
        <v>294</v>
      </c>
      <c r="BC61" s="17">
        <f t="shared" si="17"/>
        <v>0</v>
      </c>
      <c r="BD61" s="17">
        <f t="shared" si="18"/>
        <v>0</v>
      </c>
      <c r="BE61" s="17">
        <v>0</v>
      </c>
      <c r="BF61" s="17">
        <f>61</f>
        <v>61</v>
      </c>
      <c r="BH61" s="17">
        <f t="shared" si="19"/>
        <v>0</v>
      </c>
      <c r="BI61" s="17">
        <f t="shared" si="20"/>
        <v>0</v>
      </c>
      <c r="BJ61" s="17">
        <f t="shared" si="21"/>
        <v>0</v>
      </c>
      <c r="BK61" s="17"/>
      <c r="BL61" s="17">
        <v>725</v>
      </c>
    </row>
    <row r="62" spans="1:64" ht="15" customHeight="1">
      <c r="A62" s="10" t="s">
        <v>224</v>
      </c>
      <c r="B62" s="4" t="s">
        <v>345</v>
      </c>
      <c r="C62" s="53" t="s">
        <v>245</v>
      </c>
      <c r="D62" s="53"/>
      <c r="E62" s="53"/>
      <c r="F62" s="53"/>
      <c r="G62" s="4" t="s">
        <v>90</v>
      </c>
      <c r="H62" s="17">
        <v>3</v>
      </c>
      <c r="I62" s="17">
        <v>0</v>
      </c>
      <c r="J62" s="17">
        <f t="shared" si="0"/>
        <v>0</v>
      </c>
      <c r="K62" s="17">
        <f t="shared" si="1"/>
        <v>0</v>
      </c>
      <c r="L62" s="17">
        <f t="shared" si="2"/>
        <v>0</v>
      </c>
      <c r="M62" s="25" t="s">
        <v>322</v>
      </c>
      <c r="Z62" s="17">
        <f t="shared" si="3"/>
        <v>0</v>
      </c>
      <c r="AB62" s="17">
        <f t="shared" si="4"/>
        <v>0</v>
      </c>
      <c r="AC62" s="17">
        <f t="shared" si="5"/>
        <v>0</v>
      </c>
      <c r="AD62" s="17">
        <f t="shared" si="6"/>
        <v>0</v>
      </c>
      <c r="AE62" s="17">
        <f t="shared" si="7"/>
        <v>0</v>
      </c>
      <c r="AF62" s="17">
        <f t="shared" si="8"/>
        <v>0</v>
      </c>
      <c r="AG62" s="17">
        <f t="shared" si="9"/>
        <v>0</v>
      </c>
      <c r="AH62" s="17">
        <f t="shared" si="10"/>
        <v>0</v>
      </c>
      <c r="AI62" s="7" t="s">
        <v>266</v>
      </c>
      <c r="AJ62" s="17">
        <f t="shared" si="11"/>
        <v>0</v>
      </c>
      <c r="AK62" s="17">
        <f t="shared" si="12"/>
        <v>0</v>
      </c>
      <c r="AL62" s="17">
        <f t="shared" si="13"/>
        <v>0</v>
      </c>
      <c r="AN62" s="17">
        <v>21</v>
      </c>
      <c r="AO62" s="17">
        <f t="shared" si="22"/>
        <v>0</v>
      </c>
      <c r="AP62" s="17">
        <f t="shared" si="23"/>
        <v>0</v>
      </c>
      <c r="AQ62" s="14" t="s">
        <v>381</v>
      </c>
      <c r="AV62" s="17">
        <f t="shared" si="14"/>
        <v>0</v>
      </c>
      <c r="AW62" s="17">
        <f t="shared" si="15"/>
        <v>0</v>
      </c>
      <c r="AX62" s="17">
        <f t="shared" si="16"/>
        <v>0</v>
      </c>
      <c r="AY62" s="14" t="s">
        <v>161</v>
      </c>
      <c r="AZ62" s="14" t="s">
        <v>141</v>
      </c>
      <c r="BA62" s="7" t="s">
        <v>294</v>
      </c>
      <c r="BC62" s="17">
        <f t="shared" si="17"/>
        <v>0</v>
      </c>
      <c r="BD62" s="17">
        <f t="shared" si="18"/>
        <v>0</v>
      </c>
      <c r="BE62" s="17">
        <v>0</v>
      </c>
      <c r="BF62" s="17">
        <f>62</f>
        <v>62</v>
      </c>
      <c r="BH62" s="17">
        <f t="shared" si="19"/>
        <v>0</v>
      </c>
      <c r="BI62" s="17">
        <f t="shared" si="20"/>
        <v>0</v>
      </c>
      <c r="BJ62" s="17">
        <f t="shared" si="21"/>
        <v>0</v>
      </c>
      <c r="BK62" s="17"/>
      <c r="BL62" s="17">
        <v>725</v>
      </c>
    </row>
    <row r="63" spans="1:64" ht="15" customHeight="1">
      <c r="A63" s="10" t="s">
        <v>246</v>
      </c>
      <c r="B63" s="4" t="s">
        <v>347</v>
      </c>
      <c r="C63" s="53" t="s">
        <v>35</v>
      </c>
      <c r="D63" s="53"/>
      <c r="E63" s="53"/>
      <c r="F63" s="53"/>
      <c r="G63" s="4" t="s">
        <v>90</v>
      </c>
      <c r="H63" s="17">
        <v>2</v>
      </c>
      <c r="I63" s="17">
        <v>0</v>
      </c>
      <c r="J63" s="17">
        <f t="shared" si="0"/>
        <v>0</v>
      </c>
      <c r="K63" s="17">
        <f t="shared" si="1"/>
        <v>0</v>
      </c>
      <c r="L63" s="17">
        <f t="shared" si="2"/>
        <v>0</v>
      </c>
      <c r="M63" s="25" t="s">
        <v>322</v>
      </c>
      <c r="Z63" s="17">
        <f t="shared" si="3"/>
        <v>0</v>
      </c>
      <c r="AB63" s="17">
        <f t="shared" si="4"/>
        <v>0</v>
      </c>
      <c r="AC63" s="17">
        <f t="shared" si="5"/>
        <v>0</v>
      </c>
      <c r="AD63" s="17">
        <f t="shared" si="6"/>
        <v>0</v>
      </c>
      <c r="AE63" s="17">
        <f t="shared" si="7"/>
        <v>0</v>
      </c>
      <c r="AF63" s="17">
        <f t="shared" si="8"/>
        <v>0</v>
      </c>
      <c r="AG63" s="17">
        <f t="shared" si="9"/>
        <v>0</v>
      </c>
      <c r="AH63" s="17">
        <f t="shared" si="10"/>
        <v>0</v>
      </c>
      <c r="AI63" s="7" t="s">
        <v>266</v>
      </c>
      <c r="AJ63" s="17">
        <f t="shared" si="11"/>
        <v>0</v>
      </c>
      <c r="AK63" s="17">
        <f t="shared" si="12"/>
        <v>0</v>
      </c>
      <c r="AL63" s="17">
        <f t="shared" si="13"/>
        <v>0</v>
      </c>
      <c r="AN63" s="17">
        <v>21</v>
      </c>
      <c r="AO63" s="17">
        <f t="shared" si="22"/>
        <v>0</v>
      </c>
      <c r="AP63" s="17">
        <f t="shared" si="23"/>
        <v>0</v>
      </c>
      <c r="AQ63" s="14" t="s">
        <v>381</v>
      </c>
      <c r="AV63" s="17">
        <f t="shared" si="14"/>
        <v>0</v>
      </c>
      <c r="AW63" s="17">
        <f t="shared" si="15"/>
        <v>0</v>
      </c>
      <c r="AX63" s="17">
        <f t="shared" si="16"/>
        <v>0</v>
      </c>
      <c r="AY63" s="14" t="s">
        <v>161</v>
      </c>
      <c r="AZ63" s="14" t="s">
        <v>141</v>
      </c>
      <c r="BA63" s="7" t="s">
        <v>294</v>
      </c>
      <c r="BC63" s="17">
        <f t="shared" si="17"/>
        <v>0</v>
      </c>
      <c r="BD63" s="17">
        <f t="shared" si="18"/>
        <v>0</v>
      </c>
      <c r="BE63" s="17">
        <v>0</v>
      </c>
      <c r="BF63" s="17">
        <f>63</f>
        <v>63</v>
      </c>
      <c r="BH63" s="17">
        <f t="shared" si="19"/>
        <v>0</v>
      </c>
      <c r="BI63" s="17">
        <f t="shared" si="20"/>
        <v>0</v>
      </c>
      <c r="BJ63" s="17">
        <f t="shared" si="21"/>
        <v>0</v>
      </c>
      <c r="BK63" s="17"/>
      <c r="BL63" s="17">
        <v>725</v>
      </c>
    </row>
    <row r="64" spans="1:64" ht="15" customHeight="1">
      <c r="A64" s="10" t="s">
        <v>125</v>
      </c>
      <c r="B64" s="4" t="s">
        <v>303</v>
      </c>
      <c r="C64" s="53" t="s">
        <v>42</v>
      </c>
      <c r="D64" s="53"/>
      <c r="E64" s="53"/>
      <c r="F64" s="53"/>
      <c r="G64" s="4" t="s">
        <v>122</v>
      </c>
      <c r="H64" s="17">
        <v>3</v>
      </c>
      <c r="I64" s="17">
        <v>0</v>
      </c>
      <c r="J64" s="17">
        <f t="shared" si="0"/>
        <v>0</v>
      </c>
      <c r="K64" s="17">
        <f t="shared" si="1"/>
        <v>0</v>
      </c>
      <c r="L64" s="17">
        <f t="shared" si="2"/>
        <v>0</v>
      </c>
      <c r="M64" s="25" t="s">
        <v>322</v>
      </c>
      <c r="Z64" s="17">
        <f t="shared" si="3"/>
        <v>0</v>
      </c>
      <c r="AB64" s="17">
        <f t="shared" si="4"/>
        <v>0</v>
      </c>
      <c r="AC64" s="17">
        <f t="shared" si="5"/>
        <v>0</v>
      </c>
      <c r="AD64" s="17">
        <f t="shared" si="6"/>
        <v>0</v>
      </c>
      <c r="AE64" s="17">
        <f t="shared" si="7"/>
        <v>0</v>
      </c>
      <c r="AF64" s="17">
        <f t="shared" si="8"/>
        <v>0</v>
      </c>
      <c r="AG64" s="17">
        <f t="shared" si="9"/>
        <v>0</v>
      </c>
      <c r="AH64" s="17">
        <f t="shared" si="10"/>
        <v>0</v>
      </c>
      <c r="AI64" s="7" t="s">
        <v>266</v>
      </c>
      <c r="AJ64" s="17">
        <f t="shared" si="11"/>
        <v>0</v>
      </c>
      <c r="AK64" s="17">
        <f t="shared" si="12"/>
        <v>0</v>
      </c>
      <c r="AL64" s="17">
        <f t="shared" si="13"/>
        <v>0</v>
      </c>
      <c r="AN64" s="17">
        <v>21</v>
      </c>
      <c r="AO64" s="17">
        <f>I64*0.449312248162029</f>
        <v>0</v>
      </c>
      <c r="AP64" s="17">
        <f>I64*(1-0.449312248162029)</f>
        <v>0</v>
      </c>
      <c r="AQ64" s="14" t="s">
        <v>381</v>
      </c>
      <c r="AV64" s="17">
        <f t="shared" si="14"/>
        <v>0</v>
      </c>
      <c r="AW64" s="17">
        <f t="shared" si="15"/>
        <v>0</v>
      </c>
      <c r="AX64" s="17">
        <f t="shared" si="16"/>
        <v>0</v>
      </c>
      <c r="AY64" s="14" t="s">
        <v>161</v>
      </c>
      <c r="AZ64" s="14" t="s">
        <v>141</v>
      </c>
      <c r="BA64" s="7" t="s">
        <v>294</v>
      </c>
      <c r="BC64" s="17">
        <f t="shared" si="17"/>
        <v>0</v>
      </c>
      <c r="BD64" s="17">
        <f t="shared" si="18"/>
        <v>0</v>
      </c>
      <c r="BE64" s="17">
        <v>0</v>
      </c>
      <c r="BF64" s="17">
        <f>64</f>
        <v>64</v>
      </c>
      <c r="BH64" s="17">
        <f t="shared" si="19"/>
        <v>0</v>
      </c>
      <c r="BI64" s="17">
        <f t="shared" si="20"/>
        <v>0</v>
      </c>
      <c r="BJ64" s="17">
        <f t="shared" si="21"/>
        <v>0</v>
      </c>
      <c r="BK64" s="17"/>
      <c r="BL64" s="17">
        <v>725</v>
      </c>
    </row>
    <row r="65" spans="1:64" ht="15" customHeight="1">
      <c r="A65" s="10" t="s">
        <v>376</v>
      </c>
      <c r="B65" s="4" t="s">
        <v>284</v>
      </c>
      <c r="C65" s="53" t="s">
        <v>181</v>
      </c>
      <c r="D65" s="53"/>
      <c r="E65" s="53"/>
      <c r="F65" s="53"/>
      <c r="G65" s="4" t="s">
        <v>122</v>
      </c>
      <c r="H65" s="17">
        <v>2</v>
      </c>
      <c r="I65" s="17">
        <v>0</v>
      </c>
      <c r="J65" s="17">
        <f t="shared" si="0"/>
        <v>0</v>
      </c>
      <c r="K65" s="17">
        <f t="shared" si="1"/>
        <v>0</v>
      </c>
      <c r="L65" s="17">
        <f t="shared" si="2"/>
        <v>0</v>
      </c>
      <c r="M65" s="25" t="s">
        <v>322</v>
      </c>
      <c r="Z65" s="17">
        <f t="shared" si="3"/>
        <v>0</v>
      </c>
      <c r="AB65" s="17">
        <f t="shared" si="4"/>
        <v>0</v>
      </c>
      <c r="AC65" s="17">
        <f t="shared" si="5"/>
        <v>0</v>
      </c>
      <c r="AD65" s="17">
        <f t="shared" si="6"/>
        <v>0</v>
      </c>
      <c r="AE65" s="17">
        <f t="shared" si="7"/>
        <v>0</v>
      </c>
      <c r="AF65" s="17">
        <f t="shared" si="8"/>
        <v>0</v>
      </c>
      <c r="AG65" s="17">
        <f t="shared" si="9"/>
        <v>0</v>
      </c>
      <c r="AH65" s="17">
        <f t="shared" si="10"/>
        <v>0</v>
      </c>
      <c r="AI65" s="7" t="s">
        <v>266</v>
      </c>
      <c r="AJ65" s="17">
        <f t="shared" si="11"/>
        <v>0</v>
      </c>
      <c r="AK65" s="17">
        <f t="shared" si="12"/>
        <v>0</v>
      </c>
      <c r="AL65" s="17">
        <f t="shared" si="13"/>
        <v>0</v>
      </c>
      <c r="AN65" s="17">
        <v>21</v>
      </c>
      <c r="AO65" s="17">
        <f>I65*0.509499084901636</f>
        <v>0</v>
      </c>
      <c r="AP65" s="17">
        <f>I65*(1-0.509499084901636)</f>
        <v>0</v>
      </c>
      <c r="AQ65" s="14" t="s">
        <v>381</v>
      </c>
      <c r="AV65" s="17">
        <f t="shared" si="14"/>
        <v>0</v>
      </c>
      <c r="AW65" s="17">
        <f t="shared" si="15"/>
        <v>0</v>
      </c>
      <c r="AX65" s="17">
        <f t="shared" si="16"/>
        <v>0</v>
      </c>
      <c r="AY65" s="14" t="s">
        <v>161</v>
      </c>
      <c r="AZ65" s="14" t="s">
        <v>141</v>
      </c>
      <c r="BA65" s="7" t="s">
        <v>294</v>
      </c>
      <c r="BC65" s="17">
        <f t="shared" si="17"/>
        <v>0</v>
      </c>
      <c r="BD65" s="17">
        <f t="shared" si="18"/>
        <v>0</v>
      </c>
      <c r="BE65" s="17">
        <v>0</v>
      </c>
      <c r="BF65" s="17">
        <f>65</f>
        <v>65</v>
      </c>
      <c r="BH65" s="17">
        <f t="shared" si="19"/>
        <v>0</v>
      </c>
      <c r="BI65" s="17">
        <f t="shared" si="20"/>
        <v>0</v>
      </c>
      <c r="BJ65" s="17">
        <f t="shared" si="21"/>
        <v>0</v>
      </c>
      <c r="BK65" s="17"/>
      <c r="BL65" s="17">
        <v>725</v>
      </c>
    </row>
    <row r="66" spans="1:64" ht="15" customHeight="1">
      <c r="A66" s="10" t="s">
        <v>64</v>
      </c>
      <c r="B66" s="4" t="s">
        <v>2</v>
      </c>
      <c r="C66" s="53" t="s">
        <v>377</v>
      </c>
      <c r="D66" s="53"/>
      <c r="E66" s="53"/>
      <c r="F66" s="53"/>
      <c r="G66" s="4" t="s">
        <v>122</v>
      </c>
      <c r="H66" s="17">
        <v>2</v>
      </c>
      <c r="I66" s="17">
        <v>0</v>
      </c>
      <c r="J66" s="17">
        <f t="shared" si="0"/>
        <v>0</v>
      </c>
      <c r="K66" s="17">
        <f t="shared" si="1"/>
        <v>0</v>
      </c>
      <c r="L66" s="17">
        <f t="shared" si="2"/>
        <v>0</v>
      </c>
      <c r="M66" s="25" t="s">
        <v>322</v>
      </c>
      <c r="Z66" s="17">
        <f t="shared" si="3"/>
        <v>0</v>
      </c>
      <c r="AB66" s="17">
        <f t="shared" si="4"/>
        <v>0</v>
      </c>
      <c r="AC66" s="17">
        <f t="shared" si="5"/>
        <v>0</v>
      </c>
      <c r="AD66" s="17">
        <f t="shared" si="6"/>
        <v>0</v>
      </c>
      <c r="AE66" s="17">
        <f t="shared" si="7"/>
        <v>0</v>
      </c>
      <c r="AF66" s="17">
        <f t="shared" si="8"/>
        <v>0</v>
      </c>
      <c r="AG66" s="17">
        <f t="shared" si="9"/>
        <v>0</v>
      </c>
      <c r="AH66" s="17">
        <f t="shared" si="10"/>
        <v>0</v>
      </c>
      <c r="AI66" s="7" t="s">
        <v>266</v>
      </c>
      <c r="AJ66" s="17">
        <f t="shared" si="11"/>
        <v>0</v>
      </c>
      <c r="AK66" s="17">
        <f t="shared" si="12"/>
        <v>0</v>
      </c>
      <c r="AL66" s="17">
        <f t="shared" si="13"/>
        <v>0</v>
      </c>
      <c r="AN66" s="17">
        <v>21</v>
      </c>
      <c r="AO66" s="17">
        <f>I66*0.124568197627825</f>
        <v>0</v>
      </c>
      <c r="AP66" s="17">
        <f>I66*(1-0.124568197627825)</f>
        <v>0</v>
      </c>
      <c r="AQ66" s="14" t="s">
        <v>381</v>
      </c>
      <c r="AV66" s="17">
        <f t="shared" si="14"/>
        <v>0</v>
      </c>
      <c r="AW66" s="17">
        <f t="shared" si="15"/>
        <v>0</v>
      </c>
      <c r="AX66" s="17">
        <f t="shared" si="16"/>
        <v>0</v>
      </c>
      <c r="AY66" s="14" t="s">
        <v>161</v>
      </c>
      <c r="AZ66" s="14" t="s">
        <v>141</v>
      </c>
      <c r="BA66" s="7" t="s">
        <v>294</v>
      </c>
      <c r="BC66" s="17">
        <f t="shared" si="17"/>
        <v>0</v>
      </c>
      <c r="BD66" s="17">
        <f t="shared" si="18"/>
        <v>0</v>
      </c>
      <c r="BE66" s="17">
        <v>0</v>
      </c>
      <c r="BF66" s="17">
        <f>66</f>
        <v>66</v>
      </c>
      <c r="BH66" s="17">
        <f t="shared" si="19"/>
        <v>0</v>
      </c>
      <c r="BI66" s="17">
        <f t="shared" si="20"/>
        <v>0</v>
      </c>
      <c r="BJ66" s="17">
        <f t="shared" si="21"/>
        <v>0</v>
      </c>
      <c r="BK66" s="17"/>
      <c r="BL66" s="17">
        <v>725</v>
      </c>
    </row>
    <row r="67" spans="1:64" ht="15" customHeight="1">
      <c r="A67" s="10" t="s">
        <v>114</v>
      </c>
      <c r="B67" s="4" t="s">
        <v>364</v>
      </c>
      <c r="C67" s="53" t="s">
        <v>117</v>
      </c>
      <c r="D67" s="53"/>
      <c r="E67" s="53"/>
      <c r="F67" s="53"/>
      <c r="G67" s="4" t="s">
        <v>90</v>
      </c>
      <c r="H67" s="17">
        <v>2</v>
      </c>
      <c r="I67" s="17">
        <v>0</v>
      </c>
      <c r="J67" s="17">
        <f t="shared" si="0"/>
        <v>0</v>
      </c>
      <c r="K67" s="17">
        <f t="shared" si="1"/>
        <v>0</v>
      </c>
      <c r="L67" s="17">
        <f t="shared" si="2"/>
        <v>0</v>
      </c>
      <c r="M67" s="25" t="s">
        <v>322</v>
      </c>
      <c r="Z67" s="17">
        <f t="shared" si="3"/>
        <v>0</v>
      </c>
      <c r="AB67" s="17">
        <f t="shared" si="4"/>
        <v>0</v>
      </c>
      <c r="AC67" s="17">
        <f t="shared" si="5"/>
        <v>0</v>
      </c>
      <c r="AD67" s="17">
        <f t="shared" si="6"/>
        <v>0</v>
      </c>
      <c r="AE67" s="17">
        <f t="shared" si="7"/>
        <v>0</v>
      </c>
      <c r="AF67" s="17">
        <f t="shared" si="8"/>
        <v>0</v>
      </c>
      <c r="AG67" s="17">
        <f t="shared" si="9"/>
        <v>0</v>
      </c>
      <c r="AH67" s="17">
        <f t="shared" si="10"/>
        <v>0</v>
      </c>
      <c r="AI67" s="7" t="s">
        <v>266</v>
      </c>
      <c r="AJ67" s="17">
        <f t="shared" si="11"/>
        <v>0</v>
      </c>
      <c r="AK67" s="17">
        <f t="shared" si="12"/>
        <v>0</v>
      </c>
      <c r="AL67" s="17">
        <f t="shared" si="13"/>
        <v>0</v>
      </c>
      <c r="AN67" s="17">
        <v>21</v>
      </c>
      <c r="AO67" s="17">
        <f>I67*0.0134516187467757</f>
        <v>0</v>
      </c>
      <c r="AP67" s="17">
        <f>I67*(1-0.0134516187467757)</f>
        <v>0</v>
      </c>
      <c r="AQ67" s="14" t="s">
        <v>381</v>
      </c>
      <c r="AV67" s="17">
        <f t="shared" si="14"/>
        <v>0</v>
      </c>
      <c r="AW67" s="17">
        <f t="shared" si="15"/>
        <v>0</v>
      </c>
      <c r="AX67" s="17">
        <f t="shared" si="16"/>
        <v>0</v>
      </c>
      <c r="AY67" s="14" t="s">
        <v>161</v>
      </c>
      <c r="AZ67" s="14" t="s">
        <v>141</v>
      </c>
      <c r="BA67" s="7" t="s">
        <v>294</v>
      </c>
      <c r="BC67" s="17">
        <f t="shared" si="17"/>
        <v>0</v>
      </c>
      <c r="BD67" s="17">
        <f t="shared" si="18"/>
        <v>0</v>
      </c>
      <c r="BE67" s="17">
        <v>0</v>
      </c>
      <c r="BF67" s="17">
        <f>67</f>
        <v>67</v>
      </c>
      <c r="BH67" s="17">
        <f t="shared" si="19"/>
        <v>0</v>
      </c>
      <c r="BI67" s="17">
        <f t="shared" si="20"/>
        <v>0</v>
      </c>
      <c r="BJ67" s="17">
        <f t="shared" si="21"/>
        <v>0</v>
      </c>
      <c r="BK67" s="17"/>
      <c r="BL67" s="17">
        <v>725</v>
      </c>
    </row>
    <row r="68" spans="1:64" ht="15" customHeight="1">
      <c r="A68" s="10" t="s">
        <v>156</v>
      </c>
      <c r="B68" s="4" t="s">
        <v>411</v>
      </c>
      <c r="C68" s="53" t="s">
        <v>200</v>
      </c>
      <c r="D68" s="53"/>
      <c r="E68" s="53"/>
      <c r="F68" s="53"/>
      <c r="G68" s="4" t="s">
        <v>90</v>
      </c>
      <c r="H68" s="17">
        <v>6</v>
      </c>
      <c r="I68" s="17">
        <v>0</v>
      </c>
      <c r="J68" s="17">
        <f t="shared" si="0"/>
        <v>0</v>
      </c>
      <c r="K68" s="17">
        <f t="shared" si="1"/>
        <v>0</v>
      </c>
      <c r="L68" s="17">
        <f t="shared" si="2"/>
        <v>0</v>
      </c>
      <c r="M68" s="25" t="s">
        <v>322</v>
      </c>
      <c r="Z68" s="17">
        <f t="shared" si="3"/>
        <v>0</v>
      </c>
      <c r="AB68" s="17">
        <f t="shared" si="4"/>
        <v>0</v>
      </c>
      <c r="AC68" s="17">
        <f t="shared" si="5"/>
        <v>0</v>
      </c>
      <c r="AD68" s="17">
        <f t="shared" si="6"/>
        <v>0</v>
      </c>
      <c r="AE68" s="17">
        <f t="shared" si="7"/>
        <v>0</v>
      </c>
      <c r="AF68" s="17">
        <f t="shared" si="8"/>
        <v>0</v>
      </c>
      <c r="AG68" s="17">
        <f t="shared" si="9"/>
        <v>0</v>
      </c>
      <c r="AH68" s="17">
        <f t="shared" si="10"/>
        <v>0</v>
      </c>
      <c r="AI68" s="7" t="s">
        <v>266</v>
      </c>
      <c r="AJ68" s="17">
        <f t="shared" si="11"/>
        <v>0</v>
      </c>
      <c r="AK68" s="17">
        <f t="shared" si="12"/>
        <v>0</v>
      </c>
      <c r="AL68" s="17">
        <f t="shared" si="13"/>
        <v>0</v>
      </c>
      <c r="AN68" s="17">
        <v>21</v>
      </c>
      <c r="AO68" s="17">
        <f>I68*0.108519474706271</f>
        <v>0</v>
      </c>
      <c r="AP68" s="17">
        <f>I68*(1-0.108519474706271)</f>
        <v>0</v>
      </c>
      <c r="AQ68" s="14" t="s">
        <v>381</v>
      </c>
      <c r="AV68" s="17">
        <f t="shared" si="14"/>
        <v>0</v>
      </c>
      <c r="AW68" s="17">
        <f t="shared" si="15"/>
        <v>0</v>
      </c>
      <c r="AX68" s="17">
        <f t="shared" si="16"/>
        <v>0</v>
      </c>
      <c r="AY68" s="14" t="s">
        <v>161</v>
      </c>
      <c r="AZ68" s="14" t="s">
        <v>141</v>
      </c>
      <c r="BA68" s="7" t="s">
        <v>294</v>
      </c>
      <c r="BC68" s="17">
        <f t="shared" si="17"/>
        <v>0</v>
      </c>
      <c r="BD68" s="17">
        <f t="shared" si="18"/>
        <v>0</v>
      </c>
      <c r="BE68" s="17">
        <v>0</v>
      </c>
      <c r="BF68" s="17">
        <f>68</f>
        <v>68</v>
      </c>
      <c r="BH68" s="17">
        <f t="shared" si="19"/>
        <v>0</v>
      </c>
      <c r="BI68" s="17">
        <f t="shared" si="20"/>
        <v>0</v>
      </c>
      <c r="BJ68" s="17">
        <f t="shared" si="21"/>
        <v>0</v>
      </c>
      <c r="BK68" s="17"/>
      <c r="BL68" s="17">
        <v>725</v>
      </c>
    </row>
    <row r="69" spans="1:64" ht="15" customHeight="1">
      <c r="A69" s="10" t="s">
        <v>124</v>
      </c>
      <c r="B69" s="4" t="s">
        <v>19</v>
      </c>
      <c r="C69" s="53" t="s">
        <v>62</v>
      </c>
      <c r="D69" s="53"/>
      <c r="E69" s="53"/>
      <c r="F69" s="53"/>
      <c r="G69" s="4" t="s">
        <v>122</v>
      </c>
      <c r="H69" s="17">
        <v>1</v>
      </c>
      <c r="I69" s="17">
        <v>0</v>
      </c>
      <c r="J69" s="17">
        <f t="shared" si="0"/>
        <v>0</v>
      </c>
      <c r="K69" s="17">
        <f t="shared" si="1"/>
        <v>0</v>
      </c>
      <c r="L69" s="17">
        <f t="shared" si="2"/>
        <v>0</v>
      </c>
      <c r="M69" s="25" t="s">
        <v>322</v>
      </c>
      <c r="Z69" s="17">
        <f t="shared" si="3"/>
        <v>0</v>
      </c>
      <c r="AB69" s="17">
        <f t="shared" si="4"/>
        <v>0</v>
      </c>
      <c r="AC69" s="17">
        <f t="shared" si="5"/>
        <v>0</v>
      </c>
      <c r="AD69" s="17">
        <f t="shared" si="6"/>
        <v>0</v>
      </c>
      <c r="AE69" s="17">
        <f t="shared" si="7"/>
        <v>0</v>
      </c>
      <c r="AF69" s="17">
        <f t="shared" si="8"/>
        <v>0</v>
      </c>
      <c r="AG69" s="17">
        <f t="shared" si="9"/>
        <v>0</v>
      </c>
      <c r="AH69" s="17">
        <f t="shared" si="10"/>
        <v>0</v>
      </c>
      <c r="AI69" s="7" t="s">
        <v>266</v>
      </c>
      <c r="AJ69" s="17">
        <f t="shared" si="11"/>
        <v>0</v>
      </c>
      <c r="AK69" s="17">
        <f t="shared" si="12"/>
        <v>0</v>
      </c>
      <c r="AL69" s="17">
        <f t="shared" si="13"/>
        <v>0</v>
      </c>
      <c r="AN69" s="17">
        <v>21</v>
      </c>
      <c r="AO69" s="17">
        <f>I69*0.466980182181485</f>
        <v>0</v>
      </c>
      <c r="AP69" s="17">
        <f>I69*(1-0.466980182181485)</f>
        <v>0</v>
      </c>
      <c r="AQ69" s="14" t="s">
        <v>381</v>
      </c>
      <c r="AV69" s="17">
        <f t="shared" si="14"/>
        <v>0</v>
      </c>
      <c r="AW69" s="17">
        <f t="shared" si="15"/>
        <v>0</v>
      </c>
      <c r="AX69" s="17">
        <f t="shared" si="16"/>
        <v>0</v>
      </c>
      <c r="AY69" s="14" t="s">
        <v>161</v>
      </c>
      <c r="AZ69" s="14" t="s">
        <v>141</v>
      </c>
      <c r="BA69" s="7" t="s">
        <v>294</v>
      </c>
      <c r="BC69" s="17">
        <f t="shared" si="17"/>
        <v>0</v>
      </c>
      <c r="BD69" s="17">
        <f t="shared" si="18"/>
        <v>0</v>
      </c>
      <c r="BE69" s="17">
        <v>0</v>
      </c>
      <c r="BF69" s="17">
        <f>69</f>
        <v>69</v>
      </c>
      <c r="BH69" s="17">
        <f t="shared" si="19"/>
        <v>0</v>
      </c>
      <c r="BI69" s="17">
        <f t="shared" si="20"/>
        <v>0</v>
      </c>
      <c r="BJ69" s="17">
        <f t="shared" si="21"/>
        <v>0</v>
      </c>
      <c r="BK69" s="17"/>
      <c r="BL69" s="17">
        <v>725</v>
      </c>
    </row>
    <row r="70" spans="1:64" ht="15" customHeight="1">
      <c r="A70" s="10" t="s">
        <v>313</v>
      </c>
      <c r="B70" s="4" t="s">
        <v>119</v>
      </c>
      <c r="C70" s="53" t="s">
        <v>395</v>
      </c>
      <c r="D70" s="53"/>
      <c r="E70" s="53"/>
      <c r="F70" s="53"/>
      <c r="G70" s="4" t="s">
        <v>122</v>
      </c>
      <c r="H70" s="17">
        <v>1</v>
      </c>
      <c r="I70" s="17">
        <v>0</v>
      </c>
      <c r="J70" s="17">
        <f t="shared" si="0"/>
        <v>0</v>
      </c>
      <c r="K70" s="17">
        <f t="shared" si="1"/>
        <v>0</v>
      </c>
      <c r="L70" s="17">
        <f t="shared" si="2"/>
        <v>0</v>
      </c>
      <c r="M70" s="25" t="s">
        <v>322</v>
      </c>
      <c r="Z70" s="17">
        <f t="shared" si="3"/>
        <v>0</v>
      </c>
      <c r="AB70" s="17">
        <f t="shared" si="4"/>
        <v>0</v>
      </c>
      <c r="AC70" s="17">
        <f t="shared" si="5"/>
        <v>0</v>
      </c>
      <c r="AD70" s="17">
        <f t="shared" si="6"/>
        <v>0</v>
      </c>
      <c r="AE70" s="17">
        <f t="shared" si="7"/>
        <v>0</v>
      </c>
      <c r="AF70" s="17">
        <f t="shared" si="8"/>
        <v>0</v>
      </c>
      <c r="AG70" s="17">
        <f t="shared" si="9"/>
        <v>0</v>
      </c>
      <c r="AH70" s="17">
        <f t="shared" si="10"/>
        <v>0</v>
      </c>
      <c r="AI70" s="7" t="s">
        <v>266</v>
      </c>
      <c r="AJ70" s="17">
        <f t="shared" si="11"/>
        <v>0</v>
      </c>
      <c r="AK70" s="17">
        <f t="shared" si="12"/>
        <v>0</v>
      </c>
      <c r="AL70" s="17">
        <f t="shared" si="13"/>
        <v>0</v>
      </c>
      <c r="AN70" s="17">
        <v>21</v>
      </c>
      <c r="AO70" s="17">
        <f>I70*0.871877625470704</f>
        <v>0</v>
      </c>
      <c r="AP70" s="17">
        <f>I70*(1-0.871877625470704)</f>
        <v>0</v>
      </c>
      <c r="AQ70" s="14" t="s">
        <v>381</v>
      </c>
      <c r="AV70" s="17">
        <f t="shared" si="14"/>
        <v>0</v>
      </c>
      <c r="AW70" s="17">
        <f t="shared" si="15"/>
        <v>0</v>
      </c>
      <c r="AX70" s="17">
        <f t="shared" si="16"/>
        <v>0</v>
      </c>
      <c r="AY70" s="14" t="s">
        <v>161</v>
      </c>
      <c r="AZ70" s="14" t="s">
        <v>141</v>
      </c>
      <c r="BA70" s="7" t="s">
        <v>294</v>
      </c>
      <c r="BC70" s="17">
        <f t="shared" si="17"/>
        <v>0</v>
      </c>
      <c r="BD70" s="17">
        <f t="shared" si="18"/>
        <v>0</v>
      </c>
      <c r="BE70" s="17">
        <v>0</v>
      </c>
      <c r="BF70" s="17">
        <f>70</f>
        <v>70</v>
      </c>
      <c r="BH70" s="17">
        <f t="shared" si="19"/>
        <v>0</v>
      </c>
      <c r="BI70" s="17">
        <f t="shared" si="20"/>
        <v>0</v>
      </c>
      <c r="BJ70" s="17">
        <f t="shared" si="21"/>
        <v>0</v>
      </c>
      <c r="BK70" s="17"/>
      <c r="BL70" s="17">
        <v>725</v>
      </c>
    </row>
    <row r="71" spans="1:64" ht="15" customHeight="1">
      <c r="A71" s="10" t="s">
        <v>394</v>
      </c>
      <c r="B71" s="4" t="s">
        <v>343</v>
      </c>
      <c r="C71" s="53" t="s">
        <v>426</v>
      </c>
      <c r="D71" s="53"/>
      <c r="E71" s="53"/>
      <c r="F71" s="53"/>
      <c r="G71" s="4" t="s">
        <v>90</v>
      </c>
      <c r="H71" s="17">
        <v>2</v>
      </c>
      <c r="I71" s="17">
        <v>0</v>
      </c>
      <c r="J71" s="17">
        <f t="shared" si="0"/>
        <v>0</v>
      </c>
      <c r="K71" s="17">
        <f t="shared" si="1"/>
        <v>0</v>
      </c>
      <c r="L71" s="17">
        <f t="shared" si="2"/>
        <v>0</v>
      </c>
      <c r="M71" s="25" t="s">
        <v>322</v>
      </c>
      <c r="Z71" s="17">
        <f t="shared" si="3"/>
        <v>0</v>
      </c>
      <c r="AB71" s="17">
        <f t="shared" si="4"/>
        <v>0</v>
      </c>
      <c r="AC71" s="17">
        <f t="shared" si="5"/>
        <v>0</v>
      </c>
      <c r="AD71" s="17">
        <f t="shared" si="6"/>
        <v>0</v>
      </c>
      <c r="AE71" s="17">
        <f t="shared" si="7"/>
        <v>0</v>
      </c>
      <c r="AF71" s="17">
        <f t="shared" si="8"/>
        <v>0</v>
      </c>
      <c r="AG71" s="17">
        <f t="shared" si="9"/>
        <v>0</v>
      </c>
      <c r="AH71" s="17">
        <f t="shared" si="10"/>
        <v>0</v>
      </c>
      <c r="AI71" s="7" t="s">
        <v>266</v>
      </c>
      <c r="AJ71" s="17">
        <f t="shared" si="11"/>
        <v>0</v>
      </c>
      <c r="AK71" s="17">
        <f t="shared" si="12"/>
        <v>0</v>
      </c>
      <c r="AL71" s="17">
        <f t="shared" si="13"/>
        <v>0</v>
      </c>
      <c r="AN71" s="17">
        <v>21</v>
      </c>
      <c r="AO71" s="17">
        <f>I71*0</f>
        <v>0</v>
      </c>
      <c r="AP71" s="17">
        <f>I71*(1-0)</f>
        <v>0</v>
      </c>
      <c r="AQ71" s="14" t="s">
        <v>381</v>
      </c>
      <c r="AV71" s="17">
        <f t="shared" si="14"/>
        <v>0</v>
      </c>
      <c r="AW71" s="17">
        <f t="shared" si="15"/>
        <v>0</v>
      </c>
      <c r="AX71" s="17">
        <f t="shared" si="16"/>
        <v>0</v>
      </c>
      <c r="AY71" s="14" t="s">
        <v>161</v>
      </c>
      <c r="AZ71" s="14" t="s">
        <v>141</v>
      </c>
      <c r="BA71" s="7" t="s">
        <v>294</v>
      </c>
      <c r="BC71" s="17">
        <f t="shared" si="17"/>
        <v>0</v>
      </c>
      <c r="BD71" s="17">
        <f t="shared" si="18"/>
        <v>0</v>
      </c>
      <c r="BE71" s="17">
        <v>0</v>
      </c>
      <c r="BF71" s="17">
        <f>71</f>
        <v>71</v>
      </c>
      <c r="BH71" s="17">
        <f t="shared" si="19"/>
        <v>0</v>
      </c>
      <c r="BI71" s="17">
        <f t="shared" si="20"/>
        <v>0</v>
      </c>
      <c r="BJ71" s="17">
        <f t="shared" si="21"/>
        <v>0</v>
      </c>
      <c r="BK71" s="17"/>
      <c r="BL71" s="17">
        <v>725</v>
      </c>
    </row>
    <row r="72" spans="1:64" ht="15" customHeight="1">
      <c r="A72" s="10" t="s">
        <v>24</v>
      </c>
      <c r="B72" s="4" t="s">
        <v>91</v>
      </c>
      <c r="C72" s="53" t="s">
        <v>257</v>
      </c>
      <c r="D72" s="53"/>
      <c r="E72" s="53"/>
      <c r="F72" s="53"/>
      <c r="G72" s="4" t="s">
        <v>90</v>
      </c>
      <c r="H72" s="17">
        <v>3</v>
      </c>
      <c r="I72" s="17">
        <v>0</v>
      </c>
      <c r="J72" s="17">
        <f t="shared" si="0"/>
        <v>0</v>
      </c>
      <c r="K72" s="17">
        <f t="shared" si="1"/>
        <v>0</v>
      </c>
      <c r="L72" s="17">
        <f t="shared" si="2"/>
        <v>0</v>
      </c>
      <c r="M72" s="25" t="s">
        <v>322</v>
      </c>
      <c r="Z72" s="17">
        <f t="shared" si="3"/>
        <v>0</v>
      </c>
      <c r="AB72" s="17">
        <f t="shared" si="4"/>
        <v>0</v>
      </c>
      <c r="AC72" s="17">
        <f t="shared" si="5"/>
        <v>0</v>
      </c>
      <c r="AD72" s="17">
        <f t="shared" si="6"/>
        <v>0</v>
      </c>
      <c r="AE72" s="17">
        <f t="shared" si="7"/>
        <v>0</v>
      </c>
      <c r="AF72" s="17">
        <f t="shared" si="8"/>
        <v>0</v>
      </c>
      <c r="AG72" s="17">
        <f t="shared" si="9"/>
        <v>0</v>
      </c>
      <c r="AH72" s="17">
        <f t="shared" si="10"/>
        <v>0</v>
      </c>
      <c r="AI72" s="7" t="s">
        <v>266</v>
      </c>
      <c r="AJ72" s="17">
        <f t="shared" si="11"/>
        <v>0</v>
      </c>
      <c r="AK72" s="17">
        <f t="shared" si="12"/>
        <v>0</v>
      </c>
      <c r="AL72" s="17">
        <f t="shared" si="13"/>
        <v>0</v>
      </c>
      <c r="AN72" s="17">
        <v>21</v>
      </c>
      <c r="AO72" s="17">
        <f>I72*0</f>
        <v>0</v>
      </c>
      <c r="AP72" s="17">
        <f>I72*(1-0)</f>
        <v>0</v>
      </c>
      <c r="AQ72" s="14" t="s">
        <v>381</v>
      </c>
      <c r="AV72" s="17">
        <f t="shared" si="14"/>
        <v>0</v>
      </c>
      <c r="AW72" s="17">
        <f t="shared" si="15"/>
        <v>0</v>
      </c>
      <c r="AX72" s="17">
        <f t="shared" si="16"/>
        <v>0</v>
      </c>
      <c r="AY72" s="14" t="s">
        <v>161</v>
      </c>
      <c r="AZ72" s="14" t="s">
        <v>141</v>
      </c>
      <c r="BA72" s="7" t="s">
        <v>294</v>
      </c>
      <c r="BC72" s="17">
        <f t="shared" si="17"/>
        <v>0</v>
      </c>
      <c r="BD72" s="17">
        <f t="shared" si="18"/>
        <v>0</v>
      </c>
      <c r="BE72" s="17">
        <v>0</v>
      </c>
      <c r="BF72" s="17">
        <f>72</f>
        <v>72</v>
      </c>
      <c r="BH72" s="17">
        <f t="shared" si="19"/>
        <v>0</v>
      </c>
      <c r="BI72" s="17">
        <f t="shared" si="20"/>
        <v>0</v>
      </c>
      <c r="BJ72" s="17">
        <f t="shared" si="21"/>
        <v>0</v>
      </c>
      <c r="BK72" s="17"/>
      <c r="BL72" s="17">
        <v>725</v>
      </c>
    </row>
    <row r="73" spans="1:64" ht="15" customHeight="1">
      <c r="A73" s="10" t="s">
        <v>298</v>
      </c>
      <c r="B73" s="4" t="s">
        <v>383</v>
      </c>
      <c r="C73" s="53" t="s">
        <v>86</v>
      </c>
      <c r="D73" s="53"/>
      <c r="E73" s="53"/>
      <c r="F73" s="53"/>
      <c r="G73" s="4" t="s">
        <v>90</v>
      </c>
      <c r="H73" s="17">
        <v>2</v>
      </c>
      <c r="I73" s="17">
        <v>0</v>
      </c>
      <c r="J73" s="17">
        <f t="shared" si="0"/>
        <v>0</v>
      </c>
      <c r="K73" s="17">
        <f t="shared" si="1"/>
        <v>0</v>
      </c>
      <c r="L73" s="17">
        <f t="shared" si="2"/>
        <v>0</v>
      </c>
      <c r="M73" s="25" t="s">
        <v>322</v>
      </c>
      <c r="Z73" s="17">
        <f t="shared" si="3"/>
        <v>0</v>
      </c>
      <c r="AB73" s="17">
        <f t="shared" si="4"/>
        <v>0</v>
      </c>
      <c r="AC73" s="17">
        <f t="shared" si="5"/>
        <v>0</v>
      </c>
      <c r="AD73" s="17">
        <f t="shared" si="6"/>
        <v>0</v>
      </c>
      <c r="AE73" s="17">
        <f t="shared" si="7"/>
        <v>0</v>
      </c>
      <c r="AF73" s="17">
        <f t="shared" si="8"/>
        <v>0</v>
      </c>
      <c r="AG73" s="17">
        <f t="shared" si="9"/>
        <v>0</v>
      </c>
      <c r="AH73" s="17">
        <f t="shared" si="10"/>
        <v>0</v>
      </c>
      <c r="AI73" s="7" t="s">
        <v>266</v>
      </c>
      <c r="AJ73" s="17">
        <f t="shared" si="11"/>
        <v>0</v>
      </c>
      <c r="AK73" s="17">
        <f t="shared" si="12"/>
        <v>0</v>
      </c>
      <c r="AL73" s="17">
        <f t="shared" si="13"/>
        <v>0</v>
      </c>
      <c r="AN73" s="17">
        <v>21</v>
      </c>
      <c r="AO73" s="17">
        <f>I73*0.0212015419303222</f>
        <v>0</v>
      </c>
      <c r="AP73" s="17">
        <f>I73*(1-0.0212015419303222)</f>
        <v>0</v>
      </c>
      <c r="AQ73" s="14" t="s">
        <v>381</v>
      </c>
      <c r="AV73" s="17">
        <f t="shared" si="14"/>
        <v>0</v>
      </c>
      <c r="AW73" s="17">
        <f t="shared" si="15"/>
        <v>0</v>
      </c>
      <c r="AX73" s="17">
        <f t="shared" si="16"/>
        <v>0</v>
      </c>
      <c r="AY73" s="14" t="s">
        <v>161</v>
      </c>
      <c r="AZ73" s="14" t="s">
        <v>141</v>
      </c>
      <c r="BA73" s="7" t="s">
        <v>294</v>
      </c>
      <c r="BC73" s="17">
        <f t="shared" si="17"/>
        <v>0</v>
      </c>
      <c r="BD73" s="17">
        <f t="shared" si="18"/>
        <v>0</v>
      </c>
      <c r="BE73" s="17">
        <v>0</v>
      </c>
      <c r="BF73" s="17">
        <f>73</f>
        <v>73</v>
      </c>
      <c r="BH73" s="17">
        <f t="shared" si="19"/>
        <v>0</v>
      </c>
      <c r="BI73" s="17">
        <f t="shared" si="20"/>
        <v>0</v>
      </c>
      <c r="BJ73" s="17">
        <f t="shared" si="21"/>
        <v>0</v>
      </c>
      <c r="BK73" s="17"/>
      <c r="BL73" s="17">
        <v>725</v>
      </c>
    </row>
    <row r="74" spans="1:47" ht="15" customHeight="1">
      <c r="A74" s="31" t="s">
        <v>266</v>
      </c>
      <c r="B74" s="16" t="s">
        <v>203</v>
      </c>
      <c r="C74" s="101" t="s">
        <v>403</v>
      </c>
      <c r="D74" s="101"/>
      <c r="E74" s="101"/>
      <c r="F74" s="101"/>
      <c r="G74" s="46" t="s">
        <v>353</v>
      </c>
      <c r="H74" s="46" t="s">
        <v>353</v>
      </c>
      <c r="I74" s="46" t="s">
        <v>353</v>
      </c>
      <c r="J74" s="23">
        <f>SUM(J75:J75)</f>
        <v>0</v>
      </c>
      <c r="K74" s="23">
        <f>SUM(K75:K75)</f>
        <v>0</v>
      </c>
      <c r="L74" s="23">
        <f>SUM(L75:L75)</f>
        <v>0</v>
      </c>
      <c r="M74" s="39" t="s">
        <v>266</v>
      </c>
      <c r="AI74" s="7" t="s">
        <v>266</v>
      </c>
      <c r="AS74" s="23">
        <f>SUM(AJ75:AJ75)</f>
        <v>0</v>
      </c>
      <c r="AT74" s="23">
        <f>SUM(AK75:AK75)</f>
        <v>0</v>
      </c>
      <c r="AU74" s="23">
        <f>SUM(AL75:AL75)</f>
        <v>0</v>
      </c>
    </row>
    <row r="75" spans="1:64" ht="15" customHeight="1">
      <c r="A75" s="10" t="s">
        <v>319</v>
      </c>
      <c r="B75" s="4" t="s">
        <v>220</v>
      </c>
      <c r="C75" s="53" t="s">
        <v>355</v>
      </c>
      <c r="D75" s="53"/>
      <c r="E75" s="53"/>
      <c r="F75" s="53"/>
      <c r="G75" s="4" t="s">
        <v>122</v>
      </c>
      <c r="H75" s="17">
        <v>1</v>
      </c>
      <c r="I75" s="17">
        <v>0</v>
      </c>
      <c r="J75" s="17">
        <f>H75*AO75</f>
        <v>0</v>
      </c>
      <c r="K75" s="17">
        <f>H75*AP75</f>
        <v>0</v>
      </c>
      <c r="L75" s="17">
        <f>H75*I75</f>
        <v>0</v>
      </c>
      <c r="M75" s="25" t="s">
        <v>322</v>
      </c>
      <c r="Z75" s="17">
        <f>IF(AQ75="5",BJ75,0)</f>
        <v>0</v>
      </c>
      <c r="AB75" s="17">
        <f>IF(AQ75="1",BH75,0)</f>
        <v>0</v>
      </c>
      <c r="AC75" s="17">
        <f>IF(AQ75="1",BI75,0)</f>
        <v>0</v>
      </c>
      <c r="AD75" s="17">
        <f>IF(AQ75="7",BH75,0)</f>
        <v>0</v>
      </c>
      <c r="AE75" s="17">
        <f>IF(AQ75="7",BI75,0)</f>
        <v>0</v>
      </c>
      <c r="AF75" s="17">
        <f>IF(AQ75="2",BH75,0)</f>
        <v>0</v>
      </c>
      <c r="AG75" s="17">
        <f>IF(AQ75="2",BI75,0)</f>
        <v>0</v>
      </c>
      <c r="AH75" s="17">
        <f>IF(AQ75="0",BJ75,0)</f>
        <v>0</v>
      </c>
      <c r="AI75" s="7" t="s">
        <v>266</v>
      </c>
      <c r="AJ75" s="17">
        <f>IF(AN75=0,L75,0)</f>
        <v>0</v>
      </c>
      <c r="AK75" s="17">
        <f>IF(AN75=15,L75,0)</f>
        <v>0</v>
      </c>
      <c r="AL75" s="17">
        <f>IF(AN75=21,L75,0)</f>
        <v>0</v>
      </c>
      <c r="AN75" s="17">
        <v>21</v>
      </c>
      <c r="AO75" s="17">
        <f>I75*0</f>
        <v>0</v>
      </c>
      <c r="AP75" s="17">
        <f>I75*(1-0)</f>
        <v>0</v>
      </c>
      <c r="AQ75" s="14" t="s">
        <v>381</v>
      </c>
      <c r="AV75" s="17">
        <f>AW75+AX75</f>
        <v>0</v>
      </c>
      <c r="AW75" s="17">
        <f>H75*AO75</f>
        <v>0</v>
      </c>
      <c r="AX75" s="17">
        <f>H75*AP75</f>
        <v>0</v>
      </c>
      <c r="AY75" s="14" t="s">
        <v>315</v>
      </c>
      <c r="AZ75" s="14" t="s">
        <v>141</v>
      </c>
      <c r="BA75" s="7" t="s">
        <v>294</v>
      </c>
      <c r="BC75" s="17">
        <f>AW75+AX75</f>
        <v>0</v>
      </c>
      <c r="BD75" s="17">
        <f>I75/(100-BE75)*100</f>
        <v>0</v>
      </c>
      <c r="BE75" s="17">
        <v>0</v>
      </c>
      <c r="BF75" s="17">
        <f>75</f>
        <v>75</v>
      </c>
      <c r="BH75" s="17">
        <f>H75*AO75</f>
        <v>0</v>
      </c>
      <c r="BI75" s="17">
        <f>H75*AP75</f>
        <v>0</v>
      </c>
      <c r="BJ75" s="17">
        <f>H75*I75</f>
        <v>0</v>
      </c>
      <c r="BK75" s="17"/>
      <c r="BL75" s="17">
        <v>728</v>
      </c>
    </row>
    <row r="76" spans="1:47" ht="15" customHeight="1">
      <c r="A76" s="31" t="s">
        <v>266</v>
      </c>
      <c r="B76" s="16" t="s">
        <v>396</v>
      </c>
      <c r="C76" s="101" t="s">
        <v>288</v>
      </c>
      <c r="D76" s="101"/>
      <c r="E76" s="101"/>
      <c r="F76" s="101"/>
      <c r="G76" s="46" t="s">
        <v>353</v>
      </c>
      <c r="H76" s="46" t="s">
        <v>353</v>
      </c>
      <c r="I76" s="46" t="s">
        <v>353</v>
      </c>
      <c r="J76" s="23">
        <f>SUM(J77:J77)</f>
        <v>0</v>
      </c>
      <c r="K76" s="23">
        <f>SUM(K77:K77)</f>
        <v>0</v>
      </c>
      <c r="L76" s="23">
        <f>SUM(L77:L77)</f>
        <v>0</v>
      </c>
      <c r="M76" s="39" t="s">
        <v>266</v>
      </c>
      <c r="AI76" s="7" t="s">
        <v>266</v>
      </c>
      <c r="AS76" s="23">
        <f>SUM(AJ77:AJ77)</f>
        <v>0</v>
      </c>
      <c r="AT76" s="23">
        <f>SUM(AK77:AK77)</f>
        <v>0</v>
      </c>
      <c r="AU76" s="23">
        <f>SUM(AL77:AL77)</f>
        <v>0</v>
      </c>
    </row>
    <row r="77" spans="1:64" ht="15" customHeight="1">
      <c r="A77" s="10" t="s">
        <v>150</v>
      </c>
      <c r="B77" s="4" t="s">
        <v>97</v>
      </c>
      <c r="C77" s="53" t="s">
        <v>272</v>
      </c>
      <c r="D77" s="53"/>
      <c r="E77" s="53"/>
      <c r="F77" s="53"/>
      <c r="G77" s="4" t="s">
        <v>90</v>
      </c>
      <c r="H77" s="17">
        <v>2</v>
      </c>
      <c r="I77" s="17">
        <v>0</v>
      </c>
      <c r="J77" s="17">
        <f>H77*AO77</f>
        <v>0</v>
      </c>
      <c r="K77" s="17">
        <f>H77*AP77</f>
        <v>0</v>
      </c>
      <c r="L77" s="17">
        <f>H77*I77</f>
        <v>0</v>
      </c>
      <c r="M77" s="25" t="s">
        <v>322</v>
      </c>
      <c r="Z77" s="17">
        <f>IF(AQ77="5",BJ77,0)</f>
        <v>0</v>
      </c>
      <c r="AB77" s="17">
        <f>IF(AQ77="1",BH77,0)</f>
        <v>0</v>
      </c>
      <c r="AC77" s="17">
        <f>IF(AQ77="1",BI77,0)</f>
        <v>0</v>
      </c>
      <c r="AD77" s="17">
        <f>IF(AQ77="7",BH77,0)</f>
        <v>0</v>
      </c>
      <c r="AE77" s="17">
        <f>IF(AQ77="7",BI77,0)</f>
        <v>0</v>
      </c>
      <c r="AF77" s="17">
        <f>IF(AQ77="2",BH77,0)</f>
        <v>0</v>
      </c>
      <c r="AG77" s="17">
        <f>IF(AQ77="2",BI77,0)</f>
        <v>0</v>
      </c>
      <c r="AH77" s="17">
        <f>IF(AQ77="0",BJ77,0)</f>
        <v>0</v>
      </c>
      <c r="AI77" s="7" t="s">
        <v>266</v>
      </c>
      <c r="AJ77" s="17">
        <f>IF(AN77=0,L77,0)</f>
        <v>0</v>
      </c>
      <c r="AK77" s="17">
        <f>IF(AN77=15,L77,0)</f>
        <v>0</v>
      </c>
      <c r="AL77" s="17">
        <f>IF(AN77=21,L77,0)</f>
        <v>0</v>
      </c>
      <c r="AN77" s="17">
        <v>21</v>
      </c>
      <c r="AO77" s="17">
        <f>I77*0</f>
        <v>0</v>
      </c>
      <c r="AP77" s="17">
        <f>I77*(1-0)</f>
        <v>0</v>
      </c>
      <c r="AQ77" s="14" t="s">
        <v>381</v>
      </c>
      <c r="AV77" s="17">
        <f>AW77+AX77</f>
        <v>0</v>
      </c>
      <c r="AW77" s="17">
        <f>H77*AO77</f>
        <v>0</v>
      </c>
      <c r="AX77" s="17">
        <f>H77*AP77</f>
        <v>0</v>
      </c>
      <c r="AY77" s="14" t="s">
        <v>202</v>
      </c>
      <c r="AZ77" s="14" t="s">
        <v>186</v>
      </c>
      <c r="BA77" s="7" t="s">
        <v>294</v>
      </c>
      <c r="BC77" s="17">
        <f>AW77+AX77</f>
        <v>0</v>
      </c>
      <c r="BD77" s="17">
        <f>I77/(100-BE77)*100</f>
        <v>0</v>
      </c>
      <c r="BE77" s="17">
        <v>0</v>
      </c>
      <c r="BF77" s="17">
        <f>77</f>
        <v>77</v>
      </c>
      <c r="BH77" s="17">
        <f>H77*AO77</f>
        <v>0</v>
      </c>
      <c r="BI77" s="17">
        <f>H77*AP77</f>
        <v>0</v>
      </c>
      <c r="BJ77" s="17">
        <f>H77*I77</f>
        <v>0</v>
      </c>
      <c r="BK77" s="17"/>
      <c r="BL77" s="17">
        <v>735</v>
      </c>
    </row>
    <row r="78" spans="1:47" ht="15" customHeight="1">
      <c r="A78" s="31" t="s">
        <v>266</v>
      </c>
      <c r="B78" s="16" t="s">
        <v>146</v>
      </c>
      <c r="C78" s="101" t="s">
        <v>174</v>
      </c>
      <c r="D78" s="101"/>
      <c r="E78" s="101"/>
      <c r="F78" s="101"/>
      <c r="G78" s="46" t="s">
        <v>353</v>
      </c>
      <c r="H78" s="46" t="s">
        <v>353</v>
      </c>
      <c r="I78" s="46" t="s">
        <v>353</v>
      </c>
      <c r="J78" s="23">
        <f>SUM(J79:J79)</f>
        <v>0</v>
      </c>
      <c r="K78" s="23">
        <f>SUM(K79:K79)</f>
        <v>0</v>
      </c>
      <c r="L78" s="23">
        <f>SUM(L79:L79)</f>
        <v>0</v>
      </c>
      <c r="M78" s="39" t="s">
        <v>266</v>
      </c>
      <c r="AI78" s="7" t="s">
        <v>266</v>
      </c>
      <c r="AS78" s="23">
        <f>SUM(AJ79:AJ79)</f>
        <v>0</v>
      </c>
      <c r="AT78" s="23">
        <f>SUM(AK79:AK79)</f>
        <v>0</v>
      </c>
      <c r="AU78" s="23">
        <f>SUM(AL79:AL79)</f>
        <v>0</v>
      </c>
    </row>
    <row r="79" spans="1:64" ht="15" customHeight="1">
      <c r="A79" s="10" t="s">
        <v>148</v>
      </c>
      <c r="B79" s="4" t="s">
        <v>325</v>
      </c>
      <c r="C79" s="53" t="s">
        <v>295</v>
      </c>
      <c r="D79" s="53"/>
      <c r="E79" s="53"/>
      <c r="F79" s="53"/>
      <c r="G79" s="4" t="s">
        <v>90</v>
      </c>
      <c r="H79" s="17">
        <v>6</v>
      </c>
      <c r="I79" s="17">
        <v>0</v>
      </c>
      <c r="J79" s="17">
        <f>H79*AO79</f>
        <v>0</v>
      </c>
      <c r="K79" s="17">
        <f>H79*AP79</f>
        <v>0</v>
      </c>
      <c r="L79" s="17">
        <f>H79*I79</f>
        <v>0</v>
      </c>
      <c r="M79" s="25" t="s">
        <v>322</v>
      </c>
      <c r="Z79" s="17">
        <f>IF(AQ79="5",BJ79,0)</f>
        <v>0</v>
      </c>
      <c r="AB79" s="17">
        <f>IF(AQ79="1",BH79,0)</f>
        <v>0</v>
      </c>
      <c r="AC79" s="17">
        <f>IF(AQ79="1",BI79,0)</f>
        <v>0</v>
      </c>
      <c r="AD79" s="17">
        <f>IF(AQ79="7",BH79,0)</f>
        <v>0</v>
      </c>
      <c r="AE79" s="17">
        <f>IF(AQ79="7",BI79,0)</f>
        <v>0</v>
      </c>
      <c r="AF79" s="17">
        <f>IF(AQ79="2",BH79,0)</f>
        <v>0</v>
      </c>
      <c r="AG79" s="17">
        <f>IF(AQ79="2",BI79,0)</f>
        <v>0</v>
      </c>
      <c r="AH79" s="17">
        <f>IF(AQ79="0",BJ79,0)</f>
        <v>0</v>
      </c>
      <c r="AI79" s="7" t="s">
        <v>266</v>
      </c>
      <c r="AJ79" s="17">
        <f>IF(AN79=0,L79,0)</f>
        <v>0</v>
      </c>
      <c r="AK79" s="17">
        <f>IF(AN79=15,L79,0)</f>
        <v>0</v>
      </c>
      <c r="AL79" s="17">
        <f>IF(AN79=21,L79,0)</f>
        <v>0</v>
      </c>
      <c r="AN79" s="17">
        <v>21</v>
      </c>
      <c r="AO79" s="17">
        <f>I79*0</f>
        <v>0</v>
      </c>
      <c r="AP79" s="17">
        <f>I79*(1-0)</f>
        <v>0</v>
      </c>
      <c r="AQ79" s="14" t="s">
        <v>381</v>
      </c>
      <c r="AV79" s="17">
        <f>AW79+AX79</f>
        <v>0</v>
      </c>
      <c r="AW79" s="17">
        <f>H79*AO79</f>
        <v>0</v>
      </c>
      <c r="AX79" s="17">
        <f>H79*AP79</f>
        <v>0</v>
      </c>
      <c r="AY79" s="14" t="s">
        <v>40</v>
      </c>
      <c r="AZ79" s="14" t="s">
        <v>317</v>
      </c>
      <c r="BA79" s="7" t="s">
        <v>294</v>
      </c>
      <c r="BC79" s="17">
        <f>AW79+AX79</f>
        <v>0</v>
      </c>
      <c r="BD79" s="17">
        <f>I79/(100-BE79)*100</f>
        <v>0</v>
      </c>
      <c r="BE79" s="17">
        <v>0</v>
      </c>
      <c r="BF79" s="17">
        <f>79</f>
        <v>79</v>
      </c>
      <c r="BH79" s="17">
        <f>H79*AO79</f>
        <v>0</v>
      </c>
      <c r="BI79" s="17">
        <f>H79*AP79</f>
        <v>0</v>
      </c>
      <c r="BJ79" s="17">
        <f>H79*I79</f>
        <v>0</v>
      </c>
      <c r="BK79" s="17"/>
      <c r="BL79" s="17">
        <v>766</v>
      </c>
    </row>
    <row r="80" spans="1:47" ht="15" customHeight="1">
      <c r="A80" s="31" t="s">
        <v>266</v>
      </c>
      <c r="B80" s="16" t="s">
        <v>163</v>
      </c>
      <c r="C80" s="101" t="s">
        <v>106</v>
      </c>
      <c r="D80" s="101"/>
      <c r="E80" s="101"/>
      <c r="F80" s="101"/>
      <c r="G80" s="46" t="s">
        <v>353</v>
      </c>
      <c r="H80" s="46" t="s">
        <v>353</v>
      </c>
      <c r="I80" s="46" t="s">
        <v>353</v>
      </c>
      <c r="J80" s="23">
        <f>SUM(J81:J81)</f>
        <v>0</v>
      </c>
      <c r="K80" s="23">
        <f>SUM(K81:K81)</f>
        <v>0</v>
      </c>
      <c r="L80" s="23">
        <f>SUM(L81:L81)</f>
        <v>0</v>
      </c>
      <c r="M80" s="39" t="s">
        <v>266</v>
      </c>
      <c r="AI80" s="7" t="s">
        <v>266</v>
      </c>
      <c r="AS80" s="23">
        <f>SUM(AJ81:AJ81)</f>
        <v>0</v>
      </c>
      <c r="AT80" s="23">
        <f>SUM(AK81:AK81)</f>
        <v>0</v>
      </c>
      <c r="AU80" s="23">
        <f>SUM(AL81:AL81)</f>
        <v>0</v>
      </c>
    </row>
    <row r="81" spans="1:64" ht="15" customHeight="1">
      <c r="A81" s="10" t="s">
        <v>172</v>
      </c>
      <c r="B81" s="4" t="s">
        <v>230</v>
      </c>
      <c r="C81" s="53" t="s">
        <v>7</v>
      </c>
      <c r="D81" s="53"/>
      <c r="E81" s="53"/>
      <c r="F81" s="53"/>
      <c r="G81" s="4" t="s">
        <v>90</v>
      </c>
      <c r="H81" s="17">
        <v>6</v>
      </c>
      <c r="I81" s="17">
        <v>0</v>
      </c>
      <c r="J81" s="17">
        <f>H81*AO81</f>
        <v>0</v>
      </c>
      <c r="K81" s="17">
        <f>H81*AP81</f>
        <v>0</v>
      </c>
      <c r="L81" s="17">
        <f>H81*I81</f>
        <v>0</v>
      </c>
      <c r="M81" s="25" t="s">
        <v>206</v>
      </c>
      <c r="Z81" s="17">
        <f>IF(AQ81="5",BJ81,0)</f>
        <v>0</v>
      </c>
      <c r="AB81" s="17">
        <f>IF(AQ81="1",BH81,0)</f>
        <v>0</v>
      </c>
      <c r="AC81" s="17">
        <f>IF(AQ81="1",BI81,0)</f>
        <v>0</v>
      </c>
      <c r="AD81" s="17">
        <f>IF(AQ81="7",BH81,0)</f>
        <v>0</v>
      </c>
      <c r="AE81" s="17">
        <f>IF(AQ81="7",BI81,0)</f>
        <v>0</v>
      </c>
      <c r="AF81" s="17">
        <f>IF(AQ81="2",BH81,0)</f>
        <v>0</v>
      </c>
      <c r="AG81" s="17">
        <f>IF(AQ81="2",BI81,0)</f>
        <v>0</v>
      </c>
      <c r="AH81" s="17">
        <f>IF(AQ81="0",BJ81,0)</f>
        <v>0</v>
      </c>
      <c r="AI81" s="7" t="s">
        <v>266</v>
      </c>
      <c r="AJ81" s="17">
        <f>IF(AN81=0,L81,0)</f>
        <v>0</v>
      </c>
      <c r="AK81" s="17">
        <f>IF(AN81=15,L81,0)</f>
        <v>0</v>
      </c>
      <c r="AL81" s="17">
        <f>IF(AN81=21,L81,0)</f>
        <v>0</v>
      </c>
      <c r="AN81" s="17">
        <v>21</v>
      </c>
      <c r="AO81" s="17">
        <f>I81*0.123706765412672</f>
        <v>0</v>
      </c>
      <c r="AP81" s="17">
        <f>I81*(1-0.123706765412672)</f>
        <v>0</v>
      </c>
      <c r="AQ81" s="14" t="s">
        <v>381</v>
      </c>
      <c r="AV81" s="17">
        <f>AW81+AX81</f>
        <v>0</v>
      </c>
      <c r="AW81" s="17">
        <f>H81*AO81</f>
        <v>0</v>
      </c>
      <c r="AX81" s="17">
        <f>H81*AP81</f>
        <v>0</v>
      </c>
      <c r="AY81" s="14" t="s">
        <v>101</v>
      </c>
      <c r="AZ81" s="14" t="s">
        <v>317</v>
      </c>
      <c r="BA81" s="7" t="s">
        <v>294</v>
      </c>
      <c r="BC81" s="17">
        <f>AW81+AX81</f>
        <v>0</v>
      </c>
      <c r="BD81" s="17">
        <f>I81/(100-BE81)*100</f>
        <v>0</v>
      </c>
      <c r="BE81" s="17">
        <v>0</v>
      </c>
      <c r="BF81" s="17">
        <f>81</f>
        <v>81</v>
      </c>
      <c r="BH81" s="17">
        <f>H81*AO81</f>
        <v>0</v>
      </c>
      <c r="BI81" s="17">
        <f>H81*AP81</f>
        <v>0</v>
      </c>
      <c r="BJ81" s="17">
        <f>H81*I81</f>
        <v>0</v>
      </c>
      <c r="BK81" s="17"/>
      <c r="BL81" s="17">
        <v>767</v>
      </c>
    </row>
    <row r="82" spans="1:47" ht="15" customHeight="1">
      <c r="A82" s="31" t="s">
        <v>266</v>
      </c>
      <c r="B82" s="16" t="s">
        <v>416</v>
      </c>
      <c r="C82" s="101" t="s">
        <v>337</v>
      </c>
      <c r="D82" s="101"/>
      <c r="E82" s="101"/>
      <c r="F82" s="101"/>
      <c r="G82" s="46" t="s">
        <v>353</v>
      </c>
      <c r="H82" s="46" t="s">
        <v>353</v>
      </c>
      <c r="I82" s="46" t="s">
        <v>353</v>
      </c>
      <c r="J82" s="23">
        <f>SUM(J83:J83)</f>
        <v>0</v>
      </c>
      <c r="K82" s="23">
        <f>SUM(K83:K83)</f>
        <v>0</v>
      </c>
      <c r="L82" s="23">
        <f>SUM(L83:L83)</f>
        <v>0</v>
      </c>
      <c r="M82" s="39" t="s">
        <v>266</v>
      </c>
      <c r="AI82" s="7" t="s">
        <v>266</v>
      </c>
      <c r="AS82" s="23">
        <f>SUM(AJ83:AJ83)</f>
        <v>0</v>
      </c>
      <c r="AT82" s="23">
        <f>SUM(AK83:AK83)</f>
        <v>0</v>
      </c>
      <c r="AU82" s="23">
        <f>SUM(AL83:AL83)</f>
        <v>0</v>
      </c>
    </row>
    <row r="83" spans="1:64" ht="15" customHeight="1">
      <c r="A83" s="10" t="s">
        <v>352</v>
      </c>
      <c r="B83" s="4" t="s">
        <v>293</v>
      </c>
      <c r="C83" s="53" t="s">
        <v>427</v>
      </c>
      <c r="D83" s="53"/>
      <c r="E83" s="53"/>
      <c r="F83" s="53"/>
      <c r="G83" s="4" t="s">
        <v>375</v>
      </c>
      <c r="H83" s="17">
        <v>14.52</v>
      </c>
      <c r="I83" s="17">
        <v>0</v>
      </c>
      <c r="J83" s="17">
        <f>H83*AO83</f>
        <v>0</v>
      </c>
      <c r="K83" s="17">
        <f>H83*AP83</f>
        <v>0</v>
      </c>
      <c r="L83" s="17">
        <f>H83*I83</f>
        <v>0</v>
      </c>
      <c r="M83" s="25" t="s">
        <v>206</v>
      </c>
      <c r="Z83" s="17">
        <f>IF(AQ83="5",BJ83,0)</f>
        <v>0</v>
      </c>
      <c r="AB83" s="17">
        <f>IF(AQ83="1",BH83,0)</f>
        <v>0</v>
      </c>
      <c r="AC83" s="17">
        <f>IF(AQ83="1",BI83,0)</f>
        <v>0</v>
      </c>
      <c r="AD83" s="17">
        <f>IF(AQ83="7",BH83,0)</f>
        <v>0</v>
      </c>
      <c r="AE83" s="17">
        <f>IF(AQ83="7",BI83,0)</f>
        <v>0</v>
      </c>
      <c r="AF83" s="17">
        <f>IF(AQ83="2",BH83,0)</f>
        <v>0</v>
      </c>
      <c r="AG83" s="17">
        <f>IF(AQ83="2",BI83,0)</f>
        <v>0</v>
      </c>
      <c r="AH83" s="17">
        <f>IF(AQ83="0",BJ83,0)</f>
        <v>0</v>
      </c>
      <c r="AI83" s="7" t="s">
        <v>266</v>
      </c>
      <c r="AJ83" s="17">
        <f>IF(AN83=0,L83,0)</f>
        <v>0</v>
      </c>
      <c r="AK83" s="17">
        <f>IF(AN83=15,L83,0)</f>
        <v>0</v>
      </c>
      <c r="AL83" s="17">
        <f>IF(AN83=21,L83,0)</f>
        <v>0</v>
      </c>
      <c r="AN83" s="17">
        <v>21</v>
      </c>
      <c r="AO83" s="17">
        <f>I83*0.182613544917057</f>
        <v>0</v>
      </c>
      <c r="AP83" s="17">
        <f>I83*(1-0.182613544917057)</f>
        <v>0</v>
      </c>
      <c r="AQ83" s="14" t="s">
        <v>381</v>
      </c>
      <c r="AV83" s="17">
        <f>AW83+AX83</f>
        <v>0</v>
      </c>
      <c r="AW83" s="17">
        <f>H83*AO83</f>
        <v>0</v>
      </c>
      <c r="AX83" s="17">
        <f>H83*AP83</f>
        <v>0</v>
      </c>
      <c r="AY83" s="14" t="s">
        <v>393</v>
      </c>
      <c r="AZ83" s="14" t="s">
        <v>221</v>
      </c>
      <c r="BA83" s="7" t="s">
        <v>294</v>
      </c>
      <c r="BC83" s="17">
        <f>AW83+AX83</f>
        <v>0</v>
      </c>
      <c r="BD83" s="17">
        <f>I83/(100-BE83)*100</f>
        <v>0</v>
      </c>
      <c r="BE83" s="17">
        <v>0</v>
      </c>
      <c r="BF83" s="17">
        <f>83</f>
        <v>83</v>
      </c>
      <c r="BH83" s="17">
        <f>H83*AO83</f>
        <v>0</v>
      </c>
      <c r="BI83" s="17">
        <f>H83*AP83</f>
        <v>0</v>
      </c>
      <c r="BJ83" s="17">
        <f>H83*I83</f>
        <v>0</v>
      </c>
      <c r="BK83" s="17"/>
      <c r="BL83" s="17">
        <v>771</v>
      </c>
    </row>
    <row r="84" spans="1:47" ht="15" customHeight="1">
      <c r="A84" s="31" t="s">
        <v>266</v>
      </c>
      <c r="B84" s="16" t="s">
        <v>314</v>
      </c>
      <c r="C84" s="101" t="s">
        <v>155</v>
      </c>
      <c r="D84" s="101"/>
      <c r="E84" s="101"/>
      <c r="F84" s="101"/>
      <c r="G84" s="46" t="s">
        <v>353</v>
      </c>
      <c r="H84" s="46" t="s">
        <v>353</v>
      </c>
      <c r="I84" s="46" t="s">
        <v>353</v>
      </c>
      <c r="J84" s="23">
        <f>SUM(J85:J85)</f>
        <v>0</v>
      </c>
      <c r="K84" s="23">
        <f>SUM(K85:K85)</f>
        <v>0</v>
      </c>
      <c r="L84" s="23">
        <f>SUM(L85:L85)</f>
        <v>0</v>
      </c>
      <c r="M84" s="39" t="s">
        <v>266</v>
      </c>
      <c r="AI84" s="7" t="s">
        <v>266</v>
      </c>
      <c r="AS84" s="23">
        <f>SUM(AJ85:AJ85)</f>
        <v>0</v>
      </c>
      <c r="AT84" s="23">
        <f>SUM(AK85:AK85)</f>
        <v>0</v>
      </c>
      <c r="AU84" s="23">
        <f>SUM(AL85:AL85)</f>
        <v>0</v>
      </c>
    </row>
    <row r="85" spans="1:64" ht="15" customHeight="1">
      <c r="A85" s="10" t="s">
        <v>252</v>
      </c>
      <c r="B85" s="4" t="s">
        <v>214</v>
      </c>
      <c r="C85" s="53" t="s">
        <v>237</v>
      </c>
      <c r="D85" s="53"/>
      <c r="E85" s="53"/>
      <c r="F85" s="53"/>
      <c r="G85" s="4" t="s">
        <v>375</v>
      </c>
      <c r="H85" s="17">
        <v>58.32</v>
      </c>
      <c r="I85" s="17">
        <v>0</v>
      </c>
      <c r="J85" s="17">
        <f>H85*AO85</f>
        <v>0</v>
      </c>
      <c r="K85" s="17">
        <f>H85*AP85</f>
        <v>0</v>
      </c>
      <c r="L85" s="17">
        <f>H85*I85</f>
        <v>0</v>
      </c>
      <c r="M85" s="25" t="s">
        <v>206</v>
      </c>
      <c r="Z85" s="17">
        <f>IF(AQ85="5",BJ85,0)</f>
        <v>0</v>
      </c>
      <c r="AB85" s="17">
        <f>IF(AQ85="1",BH85,0)</f>
        <v>0</v>
      </c>
      <c r="AC85" s="17">
        <f>IF(AQ85="1",BI85,0)</f>
        <v>0</v>
      </c>
      <c r="AD85" s="17">
        <f>IF(AQ85="7",BH85,0)</f>
        <v>0</v>
      </c>
      <c r="AE85" s="17">
        <f>IF(AQ85="7",BI85,0)</f>
        <v>0</v>
      </c>
      <c r="AF85" s="17">
        <f>IF(AQ85="2",BH85,0)</f>
        <v>0</v>
      </c>
      <c r="AG85" s="17">
        <f>IF(AQ85="2",BI85,0)</f>
        <v>0</v>
      </c>
      <c r="AH85" s="17">
        <f>IF(AQ85="0",BJ85,0)</f>
        <v>0</v>
      </c>
      <c r="AI85" s="7" t="s">
        <v>266</v>
      </c>
      <c r="AJ85" s="17">
        <f>IF(AN85=0,L85,0)</f>
        <v>0</v>
      </c>
      <c r="AK85" s="17">
        <f>IF(AN85=15,L85,0)</f>
        <v>0</v>
      </c>
      <c r="AL85" s="17">
        <f>IF(AN85=21,L85,0)</f>
        <v>0</v>
      </c>
      <c r="AN85" s="17">
        <v>21</v>
      </c>
      <c r="AO85" s="17">
        <f>I85*0.2404296953762</f>
        <v>0</v>
      </c>
      <c r="AP85" s="17">
        <f>I85*(1-0.2404296953762)</f>
        <v>0</v>
      </c>
      <c r="AQ85" s="14" t="s">
        <v>381</v>
      </c>
      <c r="AV85" s="17">
        <f>AW85+AX85</f>
        <v>0</v>
      </c>
      <c r="AW85" s="17">
        <f>H85*AO85</f>
        <v>0</v>
      </c>
      <c r="AX85" s="17">
        <f>H85*AP85</f>
        <v>0</v>
      </c>
      <c r="AY85" s="14" t="s">
        <v>162</v>
      </c>
      <c r="AZ85" s="14" t="s">
        <v>83</v>
      </c>
      <c r="BA85" s="7" t="s">
        <v>294</v>
      </c>
      <c r="BC85" s="17">
        <f>AW85+AX85</f>
        <v>0</v>
      </c>
      <c r="BD85" s="17">
        <f>I85/(100-BE85)*100</f>
        <v>0</v>
      </c>
      <c r="BE85" s="17">
        <v>0</v>
      </c>
      <c r="BF85" s="17">
        <f>85</f>
        <v>85</v>
      </c>
      <c r="BH85" s="17">
        <f>H85*AO85</f>
        <v>0</v>
      </c>
      <c r="BI85" s="17">
        <f>H85*AP85</f>
        <v>0</v>
      </c>
      <c r="BJ85" s="17">
        <f>H85*I85</f>
        <v>0</v>
      </c>
      <c r="BK85" s="17"/>
      <c r="BL85" s="17">
        <v>781</v>
      </c>
    </row>
    <row r="86" spans="1:47" ht="15" customHeight="1">
      <c r="A86" s="31" t="s">
        <v>266</v>
      </c>
      <c r="B86" s="16" t="s">
        <v>204</v>
      </c>
      <c r="C86" s="101" t="s">
        <v>310</v>
      </c>
      <c r="D86" s="101"/>
      <c r="E86" s="101"/>
      <c r="F86" s="101"/>
      <c r="G86" s="46" t="s">
        <v>353</v>
      </c>
      <c r="H86" s="46" t="s">
        <v>353</v>
      </c>
      <c r="I86" s="46" t="s">
        <v>353</v>
      </c>
      <c r="J86" s="23">
        <f>SUM(J87:J87)</f>
        <v>0</v>
      </c>
      <c r="K86" s="23">
        <f>SUM(K87:K87)</f>
        <v>0</v>
      </c>
      <c r="L86" s="23">
        <f>SUM(L87:L87)</f>
        <v>0</v>
      </c>
      <c r="M86" s="39" t="s">
        <v>266</v>
      </c>
      <c r="AI86" s="7" t="s">
        <v>266</v>
      </c>
      <c r="AS86" s="23">
        <f>SUM(AJ87:AJ87)</f>
        <v>0</v>
      </c>
      <c r="AT86" s="23">
        <f>SUM(AK87:AK87)</f>
        <v>0</v>
      </c>
      <c r="AU86" s="23">
        <f>SUM(AL87:AL87)</f>
        <v>0</v>
      </c>
    </row>
    <row r="87" spans="1:64" ht="15" customHeight="1">
      <c r="A87" s="10" t="s">
        <v>239</v>
      </c>
      <c r="B87" s="4" t="s">
        <v>87</v>
      </c>
      <c r="C87" s="53" t="s">
        <v>166</v>
      </c>
      <c r="D87" s="53"/>
      <c r="E87" s="53"/>
      <c r="F87" s="53"/>
      <c r="G87" s="4" t="s">
        <v>90</v>
      </c>
      <c r="H87" s="17">
        <v>6</v>
      </c>
      <c r="I87" s="17">
        <v>0</v>
      </c>
      <c r="J87" s="17">
        <f>H87*AO87</f>
        <v>0</v>
      </c>
      <c r="K87" s="17">
        <f>H87*AP87</f>
        <v>0</v>
      </c>
      <c r="L87" s="17">
        <f>H87*I87</f>
        <v>0</v>
      </c>
      <c r="M87" s="25" t="s">
        <v>206</v>
      </c>
      <c r="Z87" s="17">
        <f>IF(AQ87="5",BJ87,0)</f>
        <v>0</v>
      </c>
      <c r="AB87" s="17">
        <f>IF(AQ87="1",BH87,0)</f>
        <v>0</v>
      </c>
      <c r="AC87" s="17">
        <f>IF(AQ87="1",BI87,0)</f>
        <v>0</v>
      </c>
      <c r="AD87" s="17">
        <f>IF(AQ87="7",BH87,0)</f>
        <v>0</v>
      </c>
      <c r="AE87" s="17">
        <f>IF(AQ87="7",BI87,0)</f>
        <v>0</v>
      </c>
      <c r="AF87" s="17">
        <f>IF(AQ87="2",BH87,0)</f>
        <v>0</v>
      </c>
      <c r="AG87" s="17">
        <f>IF(AQ87="2",BI87,0)</f>
        <v>0</v>
      </c>
      <c r="AH87" s="17">
        <f>IF(AQ87="0",BJ87,0)</f>
        <v>0</v>
      </c>
      <c r="AI87" s="7" t="s">
        <v>266</v>
      </c>
      <c r="AJ87" s="17">
        <f>IF(AN87=0,L87,0)</f>
        <v>0</v>
      </c>
      <c r="AK87" s="17">
        <f>IF(AN87=15,L87,0)</f>
        <v>0</v>
      </c>
      <c r="AL87" s="17">
        <f>IF(AN87=21,L87,0)</f>
        <v>0</v>
      </c>
      <c r="AN87" s="17">
        <v>21</v>
      </c>
      <c r="AO87" s="17">
        <f>I87*0.52191650097173</f>
        <v>0</v>
      </c>
      <c r="AP87" s="17">
        <f>I87*(1-0.52191650097173)</f>
        <v>0</v>
      </c>
      <c r="AQ87" s="14" t="s">
        <v>381</v>
      </c>
      <c r="AV87" s="17">
        <f>AW87+AX87</f>
        <v>0</v>
      </c>
      <c r="AW87" s="17">
        <f>H87*AO87</f>
        <v>0</v>
      </c>
      <c r="AX87" s="17">
        <f>H87*AP87</f>
        <v>0</v>
      </c>
      <c r="AY87" s="14" t="s">
        <v>84</v>
      </c>
      <c r="AZ87" s="14" t="s">
        <v>83</v>
      </c>
      <c r="BA87" s="7" t="s">
        <v>294</v>
      </c>
      <c r="BC87" s="17">
        <f>AW87+AX87</f>
        <v>0</v>
      </c>
      <c r="BD87" s="17">
        <f>I87/(100-BE87)*100</f>
        <v>0</v>
      </c>
      <c r="BE87" s="17">
        <v>0</v>
      </c>
      <c r="BF87" s="17">
        <f>87</f>
        <v>87</v>
      </c>
      <c r="BH87" s="17">
        <f>H87*AO87</f>
        <v>0</v>
      </c>
      <c r="BI87" s="17">
        <f>H87*AP87</f>
        <v>0</v>
      </c>
      <c r="BJ87" s="17">
        <f>H87*I87</f>
        <v>0</v>
      </c>
      <c r="BK87" s="17"/>
      <c r="BL87" s="17">
        <v>783</v>
      </c>
    </row>
    <row r="88" spans="1:47" ht="15" customHeight="1">
      <c r="A88" s="31" t="s">
        <v>266</v>
      </c>
      <c r="B88" s="16" t="s">
        <v>196</v>
      </c>
      <c r="C88" s="101" t="s">
        <v>9</v>
      </c>
      <c r="D88" s="101"/>
      <c r="E88" s="101"/>
      <c r="F88" s="101"/>
      <c r="G88" s="46" t="s">
        <v>353</v>
      </c>
      <c r="H88" s="46" t="s">
        <v>353</v>
      </c>
      <c r="I88" s="46" t="s">
        <v>353</v>
      </c>
      <c r="J88" s="23">
        <f>SUM(J89:J91)</f>
        <v>0</v>
      </c>
      <c r="K88" s="23">
        <f>SUM(K89:K91)</f>
        <v>0</v>
      </c>
      <c r="L88" s="23">
        <f>SUM(L89:L91)</f>
        <v>0</v>
      </c>
      <c r="M88" s="39" t="s">
        <v>266</v>
      </c>
      <c r="AI88" s="7" t="s">
        <v>266</v>
      </c>
      <c r="AS88" s="23">
        <f>SUM(AJ89:AJ91)</f>
        <v>0</v>
      </c>
      <c r="AT88" s="23">
        <f>SUM(AK89:AK91)</f>
        <v>0</v>
      </c>
      <c r="AU88" s="23">
        <f>SUM(AL89:AL91)</f>
        <v>0</v>
      </c>
    </row>
    <row r="89" spans="1:64" ht="15" customHeight="1">
      <c r="A89" s="10" t="s">
        <v>360</v>
      </c>
      <c r="B89" s="4" t="s">
        <v>356</v>
      </c>
      <c r="C89" s="53" t="s">
        <v>152</v>
      </c>
      <c r="D89" s="53"/>
      <c r="E89" s="53"/>
      <c r="F89" s="53"/>
      <c r="G89" s="4" t="s">
        <v>375</v>
      </c>
      <c r="H89" s="17">
        <v>105.12</v>
      </c>
      <c r="I89" s="17">
        <v>0</v>
      </c>
      <c r="J89" s="17">
        <f>H89*AO89</f>
        <v>0</v>
      </c>
      <c r="K89" s="17">
        <f>H89*AP89</f>
        <v>0</v>
      </c>
      <c r="L89" s="17">
        <f>H89*I89</f>
        <v>0</v>
      </c>
      <c r="M89" s="25" t="s">
        <v>322</v>
      </c>
      <c r="Z89" s="17">
        <f>IF(AQ89="5",BJ89,0)</f>
        <v>0</v>
      </c>
      <c r="AB89" s="17">
        <f>IF(AQ89="1",BH89,0)</f>
        <v>0</v>
      </c>
      <c r="AC89" s="17">
        <f>IF(AQ89="1",BI89,0)</f>
        <v>0</v>
      </c>
      <c r="AD89" s="17">
        <f>IF(AQ89="7",BH89,0)</f>
        <v>0</v>
      </c>
      <c r="AE89" s="17">
        <f>IF(AQ89="7",BI89,0)</f>
        <v>0</v>
      </c>
      <c r="AF89" s="17">
        <f>IF(AQ89="2",BH89,0)</f>
        <v>0</v>
      </c>
      <c r="AG89" s="17">
        <f>IF(AQ89="2",BI89,0)</f>
        <v>0</v>
      </c>
      <c r="AH89" s="17">
        <f>IF(AQ89="0",BJ89,0)</f>
        <v>0</v>
      </c>
      <c r="AI89" s="7" t="s">
        <v>266</v>
      </c>
      <c r="AJ89" s="17">
        <f>IF(AN89=0,L89,0)</f>
        <v>0</v>
      </c>
      <c r="AK89" s="17">
        <f>IF(AN89=15,L89,0)</f>
        <v>0</v>
      </c>
      <c r="AL89" s="17">
        <f>IF(AN89=21,L89,0)</f>
        <v>0</v>
      </c>
      <c r="AN89" s="17">
        <v>21</v>
      </c>
      <c r="AO89" s="17">
        <f>I89*0.650606834090769</f>
        <v>0</v>
      </c>
      <c r="AP89" s="17">
        <f>I89*(1-0.650606834090769)</f>
        <v>0</v>
      </c>
      <c r="AQ89" s="14" t="s">
        <v>381</v>
      </c>
      <c r="AV89" s="17">
        <f>AW89+AX89</f>
        <v>0</v>
      </c>
      <c r="AW89" s="17">
        <f>H89*AO89</f>
        <v>0</v>
      </c>
      <c r="AX89" s="17">
        <f>H89*AP89</f>
        <v>0</v>
      </c>
      <c r="AY89" s="14" t="s">
        <v>339</v>
      </c>
      <c r="AZ89" s="14" t="s">
        <v>83</v>
      </c>
      <c r="BA89" s="7" t="s">
        <v>294</v>
      </c>
      <c r="BC89" s="17">
        <f>AW89+AX89</f>
        <v>0</v>
      </c>
      <c r="BD89" s="17">
        <f>I89/(100-BE89)*100</f>
        <v>0</v>
      </c>
      <c r="BE89" s="17">
        <v>0</v>
      </c>
      <c r="BF89" s="17">
        <f>89</f>
        <v>89</v>
      </c>
      <c r="BH89" s="17">
        <f>H89*AO89</f>
        <v>0</v>
      </c>
      <c r="BI89" s="17">
        <f>H89*AP89</f>
        <v>0</v>
      </c>
      <c r="BJ89" s="17">
        <f>H89*I89</f>
        <v>0</v>
      </c>
      <c r="BK89" s="17"/>
      <c r="BL89" s="17">
        <v>784</v>
      </c>
    </row>
    <row r="90" spans="1:64" ht="15" customHeight="1">
      <c r="A90" s="10" t="s">
        <v>213</v>
      </c>
      <c r="B90" s="4" t="s">
        <v>46</v>
      </c>
      <c r="C90" s="53" t="s">
        <v>135</v>
      </c>
      <c r="D90" s="53"/>
      <c r="E90" s="53"/>
      <c r="F90" s="53"/>
      <c r="G90" s="4" t="s">
        <v>375</v>
      </c>
      <c r="H90" s="17">
        <v>59.39</v>
      </c>
      <c r="I90" s="17">
        <v>0</v>
      </c>
      <c r="J90" s="17">
        <f>H90*AO90</f>
        <v>0</v>
      </c>
      <c r="K90" s="17">
        <f>H90*AP90</f>
        <v>0</v>
      </c>
      <c r="L90" s="17">
        <f>H90*I90</f>
        <v>0</v>
      </c>
      <c r="M90" s="25" t="s">
        <v>322</v>
      </c>
      <c r="Z90" s="17">
        <f>IF(AQ90="5",BJ90,0)</f>
        <v>0</v>
      </c>
      <c r="AB90" s="17">
        <f>IF(AQ90="1",BH90,0)</f>
        <v>0</v>
      </c>
      <c r="AC90" s="17">
        <f>IF(AQ90="1",BI90,0)</f>
        <v>0</v>
      </c>
      <c r="AD90" s="17">
        <f>IF(AQ90="7",BH90,0)</f>
        <v>0</v>
      </c>
      <c r="AE90" s="17">
        <f>IF(AQ90="7",BI90,0)</f>
        <v>0</v>
      </c>
      <c r="AF90" s="17">
        <f>IF(AQ90="2",BH90,0)</f>
        <v>0</v>
      </c>
      <c r="AG90" s="17">
        <f>IF(AQ90="2",BI90,0)</f>
        <v>0</v>
      </c>
      <c r="AH90" s="17">
        <f>IF(AQ90="0",BJ90,0)</f>
        <v>0</v>
      </c>
      <c r="AI90" s="7" t="s">
        <v>266</v>
      </c>
      <c r="AJ90" s="17">
        <f>IF(AN90=0,L90,0)</f>
        <v>0</v>
      </c>
      <c r="AK90" s="17">
        <f>IF(AN90=15,L90,0)</f>
        <v>0</v>
      </c>
      <c r="AL90" s="17">
        <f>IF(AN90=21,L90,0)</f>
        <v>0</v>
      </c>
      <c r="AN90" s="17">
        <v>21</v>
      </c>
      <c r="AO90" s="17">
        <f>I90*0.2760297399217</f>
        <v>0</v>
      </c>
      <c r="AP90" s="17">
        <f>I90*(1-0.2760297399217)</f>
        <v>0</v>
      </c>
      <c r="AQ90" s="14" t="s">
        <v>381</v>
      </c>
      <c r="AV90" s="17">
        <f>AW90+AX90</f>
        <v>0</v>
      </c>
      <c r="AW90" s="17">
        <f>H90*AO90</f>
        <v>0</v>
      </c>
      <c r="AX90" s="17">
        <f>H90*AP90</f>
        <v>0</v>
      </c>
      <c r="AY90" s="14" t="s">
        <v>339</v>
      </c>
      <c r="AZ90" s="14" t="s">
        <v>83</v>
      </c>
      <c r="BA90" s="7" t="s">
        <v>294</v>
      </c>
      <c r="BC90" s="17">
        <f>AW90+AX90</f>
        <v>0</v>
      </c>
      <c r="BD90" s="17">
        <f>I90/(100-BE90)*100</f>
        <v>0</v>
      </c>
      <c r="BE90" s="17">
        <v>0</v>
      </c>
      <c r="BF90" s="17">
        <f>90</f>
        <v>90</v>
      </c>
      <c r="BH90" s="17">
        <f>H90*AO90</f>
        <v>0</v>
      </c>
      <c r="BI90" s="17">
        <f>H90*AP90</f>
        <v>0</v>
      </c>
      <c r="BJ90" s="17">
        <f>H90*I90</f>
        <v>0</v>
      </c>
      <c r="BK90" s="17"/>
      <c r="BL90" s="17">
        <v>784</v>
      </c>
    </row>
    <row r="91" spans="1:64" ht="15" customHeight="1">
      <c r="A91" s="10" t="s">
        <v>167</v>
      </c>
      <c r="B91" s="4" t="s">
        <v>405</v>
      </c>
      <c r="C91" s="53" t="s">
        <v>358</v>
      </c>
      <c r="D91" s="53"/>
      <c r="E91" s="53"/>
      <c r="F91" s="53"/>
      <c r="G91" s="4" t="s">
        <v>375</v>
      </c>
      <c r="H91" s="17">
        <v>59.39</v>
      </c>
      <c r="I91" s="17">
        <v>0</v>
      </c>
      <c r="J91" s="17">
        <f>H91*AO91</f>
        <v>0</v>
      </c>
      <c r="K91" s="17">
        <f>H91*AP91</f>
        <v>0</v>
      </c>
      <c r="L91" s="17">
        <f>H91*I91</f>
        <v>0</v>
      </c>
      <c r="M91" s="25" t="s">
        <v>322</v>
      </c>
      <c r="Z91" s="17">
        <f>IF(AQ91="5",BJ91,0)</f>
        <v>0</v>
      </c>
      <c r="AB91" s="17">
        <f>IF(AQ91="1",BH91,0)</f>
        <v>0</v>
      </c>
      <c r="AC91" s="17">
        <f>IF(AQ91="1",BI91,0)</f>
        <v>0</v>
      </c>
      <c r="AD91" s="17">
        <f>IF(AQ91="7",BH91,0)</f>
        <v>0</v>
      </c>
      <c r="AE91" s="17">
        <f>IF(AQ91="7",BI91,0)</f>
        <v>0</v>
      </c>
      <c r="AF91" s="17">
        <f>IF(AQ91="2",BH91,0)</f>
        <v>0</v>
      </c>
      <c r="AG91" s="17">
        <f>IF(AQ91="2",BI91,0)</f>
        <v>0</v>
      </c>
      <c r="AH91" s="17">
        <f>IF(AQ91="0",BJ91,0)</f>
        <v>0</v>
      </c>
      <c r="AI91" s="7" t="s">
        <v>266</v>
      </c>
      <c r="AJ91" s="17">
        <f>IF(AN91=0,L91,0)</f>
        <v>0</v>
      </c>
      <c r="AK91" s="17">
        <f>IF(AN91=15,L91,0)</f>
        <v>0</v>
      </c>
      <c r="AL91" s="17">
        <f>IF(AN91=21,L91,0)</f>
        <v>0</v>
      </c>
      <c r="AN91" s="17">
        <v>21</v>
      </c>
      <c r="AO91" s="17">
        <f>I91*0.29428513697939</f>
        <v>0</v>
      </c>
      <c r="AP91" s="17">
        <f>I91*(1-0.29428513697939)</f>
        <v>0</v>
      </c>
      <c r="AQ91" s="14" t="s">
        <v>381</v>
      </c>
      <c r="AV91" s="17">
        <f>AW91+AX91</f>
        <v>0</v>
      </c>
      <c r="AW91" s="17">
        <f>H91*AO91</f>
        <v>0</v>
      </c>
      <c r="AX91" s="17">
        <f>H91*AP91</f>
        <v>0</v>
      </c>
      <c r="AY91" s="14" t="s">
        <v>339</v>
      </c>
      <c r="AZ91" s="14" t="s">
        <v>83</v>
      </c>
      <c r="BA91" s="7" t="s">
        <v>294</v>
      </c>
      <c r="BC91" s="17">
        <f>AW91+AX91</f>
        <v>0</v>
      </c>
      <c r="BD91" s="17">
        <f>I91/(100-BE91)*100</f>
        <v>0</v>
      </c>
      <c r="BE91" s="17">
        <v>0</v>
      </c>
      <c r="BF91" s="17">
        <f>91</f>
        <v>91</v>
      </c>
      <c r="BH91" s="17">
        <f>H91*AO91</f>
        <v>0</v>
      </c>
      <c r="BI91" s="17">
        <f>H91*AP91</f>
        <v>0</v>
      </c>
      <c r="BJ91" s="17">
        <f>H91*I91</f>
        <v>0</v>
      </c>
      <c r="BK91" s="17"/>
      <c r="BL91" s="17">
        <v>784</v>
      </c>
    </row>
    <row r="92" spans="1:47" ht="15" customHeight="1">
      <c r="A92" s="31" t="s">
        <v>266</v>
      </c>
      <c r="B92" s="16" t="s">
        <v>44</v>
      </c>
      <c r="C92" s="101" t="s">
        <v>271</v>
      </c>
      <c r="D92" s="101"/>
      <c r="E92" s="101"/>
      <c r="F92" s="101"/>
      <c r="G92" s="46" t="s">
        <v>353</v>
      </c>
      <c r="H92" s="46" t="s">
        <v>353</v>
      </c>
      <c r="I92" s="46" t="s">
        <v>353</v>
      </c>
      <c r="J92" s="23">
        <f>SUM(J93:J93)</f>
        <v>0</v>
      </c>
      <c r="K92" s="23">
        <f>SUM(K93:K93)</f>
        <v>0</v>
      </c>
      <c r="L92" s="23">
        <f>SUM(L93:L93)</f>
        <v>0</v>
      </c>
      <c r="M92" s="39" t="s">
        <v>266</v>
      </c>
      <c r="AI92" s="7" t="s">
        <v>266</v>
      </c>
      <c r="AS92" s="23">
        <f>SUM(AJ93:AJ93)</f>
        <v>0</v>
      </c>
      <c r="AT92" s="23">
        <f>SUM(AK93:AK93)</f>
        <v>0</v>
      </c>
      <c r="AU92" s="23">
        <f>SUM(AL93:AL93)</f>
        <v>0</v>
      </c>
    </row>
    <row r="93" spans="1:64" ht="15" customHeight="1">
      <c r="A93" s="10" t="s">
        <v>47</v>
      </c>
      <c r="B93" s="4" t="s">
        <v>210</v>
      </c>
      <c r="C93" s="53" t="s">
        <v>193</v>
      </c>
      <c r="D93" s="53"/>
      <c r="E93" s="53"/>
      <c r="F93" s="53"/>
      <c r="G93" s="4" t="s">
        <v>122</v>
      </c>
      <c r="H93" s="17">
        <v>1</v>
      </c>
      <c r="I93" s="17">
        <v>0</v>
      </c>
      <c r="J93" s="17">
        <f>H93*AO93</f>
        <v>0</v>
      </c>
      <c r="K93" s="17">
        <f>H93*AP93</f>
        <v>0</v>
      </c>
      <c r="L93" s="17">
        <f>H93*I93</f>
        <v>0</v>
      </c>
      <c r="M93" s="25" t="s">
        <v>206</v>
      </c>
      <c r="Z93" s="17">
        <f>IF(AQ93="5",BJ93,0)</f>
        <v>0</v>
      </c>
      <c r="AB93" s="17">
        <f>IF(AQ93="1",BH93,0)</f>
        <v>0</v>
      </c>
      <c r="AC93" s="17">
        <f>IF(AQ93="1",BI93,0)</f>
        <v>0</v>
      </c>
      <c r="AD93" s="17">
        <f>IF(AQ93="7",BH93,0)</f>
        <v>0</v>
      </c>
      <c r="AE93" s="17">
        <f>IF(AQ93="7",BI93,0)</f>
        <v>0</v>
      </c>
      <c r="AF93" s="17">
        <f>IF(AQ93="2",BH93,0)</f>
        <v>0</v>
      </c>
      <c r="AG93" s="17">
        <f>IF(AQ93="2",BI93,0)</f>
        <v>0</v>
      </c>
      <c r="AH93" s="17">
        <f>IF(AQ93="0",BJ93,0)</f>
        <v>0</v>
      </c>
      <c r="AI93" s="7" t="s">
        <v>266</v>
      </c>
      <c r="AJ93" s="17">
        <f>IF(AN93=0,L93,0)</f>
        <v>0</v>
      </c>
      <c r="AK93" s="17">
        <f>IF(AN93=15,L93,0)</f>
        <v>0</v>
      </c>
      <c r="AL93" s="17">
        <f>IF(AN93=21,L93,0)</f>
        <v>0</v>
      </c>
      <c r="AN93" s="17">
        <v>21</v>
      </c>
      <c r="AO93" s="17">
        <f>I93*0.425604031041513</f>
        <v>0</v>
      </c>
      <c r="AP93" s="17">
        <f>I93*(1-0.425604031041513)</f>
        <v>0</v>
      </c>
      <c r="AQ93" s="14" t="s">
        <v>380</v>
      </c>
      <c r="AV93" s="17">
        <f>AW93+AX93</f>
        <v>0</v>
      </c>
      <c r="AW93" s="17">
        <f>H93*AO93</f>
        <v>0</v>
      </c>
      <c r="AX93" s="17">
        <f>H93*AP93</f>
        <v>0</v>
      </c>
      <c r="AY93" s="14" t="s">
        <v>418</v>
      </c>
      <c r="AZ93" s="14" t="s">
        <v>5</v>
      </c>
      <c r="BA93" s="7" t="s">
        <v>294</v>
      </c>
      <c r="BC93" s="17">
        <f>AW93+AX93</f>
        <v>0</v>
      </c>
      <c r="BD93" s="17">
        <f>I93/(100-BE93)*100</f>
        <v>0</v>
      </c>
      <c r="BE93" s="17">
        <v>0</v>
      </c>
      <c r="BF93" s="17">
        <f>93</f>
        <v>93</v>
      </c>
      <c r="BH93" s="17">
        <f>H93*AO93</f>
        <v>0</v>
      </c>
      <c r="BI93" s="17">
        <f>H93*AP93</f>
        <v>0</v>
      </c>
      <c r="BJ93" s="17">
        <f>H93*I93</f>
        <v>0</v>
      </c>
      <c r="BK93" s="17"/>
      <c r="BL93" s="17">
        <v>94</v>
      </c>
    </row>
    <row r="94" spans="1:47" ht="15" customHeight="1">
      <c r="A94" s="31" t="s">
        <v>266</v>
      </c>
      <c r="B94" s="16" t="s">
        <v>238</v>
      </c>
      <c r="C94" s="101" t="s">
        <v>129</v>
      </c>
      <c r="D94" s="101"/>
      <c r="E94" s="101"/>
      <c r="F94" s="101"/>
      <c r="G94" s="46" t="s">
        <v>353</v>
      </c>
      <c r="H94" s="46" t="s">
        <v>353</v>
      </c>
      <c r="I94" s="46" t="s">
        <v>353</v>
      </c>
      <c r="J94" s="23">
        <f>SUM(J95:J95)</f>
        <v>0</v>
      </c>
      <c r="K94" s="23">
        <f>SUM(K95:K95)</f>
        <v>0</v>
      </c>
      <c r="L94" s="23">
        <f>SUM(L95:L95)</f>
        <v>0</v>
      </c>
      <c r="M94" s="39" t="s">
        <v>266</v>
      </c>
      <c r="AI94" s="7" t="s">
        <v>266</v>
      </c>
      <c r="AS94" s="23">
        <f>SUM(AJ95:AJ95)</f>
        <v>0</v>
      </c>
      <c r="AT94" s="23">
        <f>SUM(AK95:AK95)</f>
        <v>0</v>
      </c>
      <c r="AU94" s="23">
        <f>SUM(AL95:AL95)</f>
        <v>0</v>
      </c>
    </row>
    <row r="95" spans="1:64" ht="15" customHeight="1">
      <c r="A95" s="10" t="s">
        <v>280</v>
      </c>
      <c r="B95" s="4" t="s">
        <v>238</v>
      </c>
      <c r="C95" s="53" t="s">
        <v>241</v>
      </c>
      <c r="D95" s="53"/>
      <c r="E95" s="53"/>
      <c r="F95" s="53"/>
      <c r="G95" s="4" t="s">
        <v>122</v>
      </c>
      <c r="H95" s="17">
        <v>1</v>
      </c>
      <c r="I95" s="17">
        <v>0</v>
      </c>
      <c r="J95" s="17">
        <f>H95*AO95</f>
        <v>0</v>
      </c>
      <c r="K95" s="17">
        <f>H95*AP95</f>
        <v>0</v>
      </c>
      <c r="L95" s="17">
        <f>H95*I95</f>
        <v>0</v>
      </c>
      <c r="M95" s="25" t="s">
        <v>266</v>
      </c>
      <c r="Z95" s="17">
        <f>IF(AQ95="5",BJ95,0)</f>
        <v>0</v>
      </c>
      <c r="AB95" s="17">
        <f>IF(AQ95="1",BH95,0)</f>
        <v>0</v>
      </c>
      <c r="AC95" s="17">
        <f>IF(AQ95="1",BI95,0)</f>
        <v>0</v>
      </c>
      <c r="AD95" s="17">
        <f>IF(AQ95="7",BH95,0)</f>
        <v>0</v>
      </c>
      <c r="AE95" s="17">
        <f>IF(AQ95="7",BI95,0)</f>
        <v>0</v>
      </c>
      <c r="AF95" s="17">
        <f>IF(AQ95="2",BH95,0)</f>
        <v>0</v>
      </c>
      <c r="AG95" s="17">
        <f>IF(AQ95="2",BI95,0)</f>
        <v>0</v>
      </c>
      <c r="AH95" s="17">
        <f>IF(AQ95="0",BJ95,0)</f>
        <v>0</v>
      </c>
      <c r="AI95" s="7" t="s">
        <v>266</v>
      </c>
      <c r="AJ95" s="17">
        <f>IF(AN95=0,L95,0)</f>
        <v>0</v>
      </c>
      <c r="AK95" s="17">
        <f>IF(AN95=15,L95,0)</f>
        <v>0</v>
      </c>
      <c r="AL95" s="17">
        <f>IF(AN95=21,L95,0)</f>
        <v>0</v>
      </c>
      <c r="AN95" s="17">
        <v>21</v>
      </c>
      <c r="AO95" s="17">
        <f>I95*0</f>
        <v>0</v>
      </c>
      <c r="AP95" s="17">
        <f>I95*(1-0)</f>
        <v>0</v>
      </c>
      <c r="AQ95" s="14" t="s">
        <v>380</v>
      </c>
      <c r="AV95" s="17">
        <f>AW95+AX95</f>
        <v>0</v>
      </c>
      <c r="AW95" s="17">
        <f>H95*AO95</f>
        <v>0</v>
      </c>
      <c r="AX95" s="17">
        <f>H95*AP95</f>
        <v>0</v>
      </c>
      <c r="AY95" s="14" t="s">
        <v>410</v>
      </c>
      <c r="AZ95" s="14" t="s">
        <v>335</v>
      </c>
      <c r="BA95" s="7" t="s">
        <v>294</v>
      </c>
      <c r="BC95" s="17">
        <f>AW95+AX95</f>
        <v>0</v>
      </c>
      <c r="BD95" s="17">
        <f>I95/(100-BE95)*100</f>
        <v>0</v>
      </c>
      <c r="BE95" s="17">
        <v>0</v>
      </c>
      <c r="BF95" s="17">
        <f>95</f>
        <v>95</v>
      </c>
      <c r="BH95" s="17">
        <f>H95*AO95</f>
        <v>0</v>
      </c>
      <c r="BI95" s="17">
        <f>H95*AP95</f>
        <v>0</v>
      </c>
      <c r="BJ95" s="17">
        <f>H95*I95</f>
        <v>0</v>
      </c>
      <c r="BK95" s="17"/>
      <c r="BL95" s="17"/>
    </row>
    <row r="96" spans="1:47" ht="15" customHeight="1">
      <c r="A96" s="31" t="s">
        <v>266</v>
      </c>
      <c r="B96" s="16" t="s">
        <v>361</v>
      </c>
      <c r="C96" s="101" t="s">
        <v>95</v>
      </c>
      <c r="D96" s="101"/>
      <c r="E96" s="101"/>
      <c r="F96" s="101"/>
      <c r="G96" s="46" t="s">
        <v>353</v>
      </c>
      <c r="H96" s="46" t="s">
        <v>353</v>
      </c>
      <c r="I96" s="46" t="s">
        <v>353</v>
      </c>
      <c r="J96" s="23">
        <f>SUM(J97:J98)</f>
        <v>0</v>
      </c>
      <c r="K96" s="23">
        <f>SUM(K97:K98)</f>
        <v>0</v>
      </c>
      <c r="L96" s="23">
        <f>SUM(L97:L98)</f>
        <v>0</v>
      </c>
      <c r="M96" s="39" t="s">
        <v>266</v>
      </c>
      <c r="AI96" s="7" t="s">
        <v>266</v>
      </c>
      <c r="AS96" s="23">
        <f>SUM(AJ97:AJ98)</f>
        <v>0</v>
      </c>
      <c r="AT96" s="23">
        <f>SUM(AK97:AK98)</f>
        <v>0</v>
      </c>
      <c r="AU96" s="23">
        <f>SUM(AL97:AL98)</f>
        <v>0</v>
      </c>
    </row>
    <row r="97" spans="1:64" ht="15" customHeight="1">
      <c r="A97" s="10" t="s">
        <v>422</v>
      </c>
      <c r="B97" s="4" t="s">
        <v>361</v>
      </c>
      <c r="C97" s="53" t="s">
        <v>176</v>
      </c>
      <c r="D97" s="53"/>
      <c r="E97" s="53"/>
      <c r="F97" s="53"/>
      <c r="G97" s="4" t="s">
        <v>122</v>
      </c>
      <c r="H97" s="17">
        <v>1</v>
      </c>
      <c r="I97" s="17">
        <v>0</v>
      </c>
      <c r="J97" s="17">
        <f>H97*AO97</f>
        <v>0</v>
      </c>
      <c r="K97" s="17">
        <f>H97*AP97</f>
        <v>0</v>
      </c>
      <c r="L97" s="17">
        <f>H97*I97</f>
        <v>0</v>
      </c>
      <c r="M97" s="25" t="s">
        <v>266</v>
      </c>
      <c r="Z97" s="17">
        <f>IF(AQ97="5",BJ97,0)</f>
        <v>0</v>
      </c>
      <c r="AB97" s="17">
        <f>IF(AQ97="1",BH97,0)</f>
        <v>0</v>
      </c>
      <c r="AC97" s="17">
        <f>IF(AQ97="1",BI97,0)</f>
        <v>0</v>
      </c>
      <c r="AD97" s="17">
        <f>IF(AQ97="7",BH97,0)</f>
        <v>0</v>
      </c>
      <c r="AE97" s="17">
        <f>IF(AQ97="7",BI97,0)</f>
        <v>0</v>
      </c>
      <c r="AF97" s="17">
        <f>IF(AQ97="2",BH97,0)</f>
        <v>0</v>
      </c>
      <c r="AG97" s="17">
        <f>IF(AQ97="2",BI97,0)</f>
        <v>0</v>
      </c>
      <c r="AH97" s="17">
        <f>IF(AQ97="0",BJ97,0)</f>
        <v>0</v>
      </c>
      <c r="AI97" s="7" t="s">
        <v>266</v>
      </c>
      <c r="AJ97" s="17">
        <f>IF(AN97=0,L97,0)</f>
        <v>0</v>
      </c>
      <c r="AK97" s="17">
        <f>IF(AN97=15,L97,0)</f>
        <v>0</v>
      </c>
      <c r="AL97" s="17">
        <f>IF(AN97=21,L97,0)</f>
        <v>0</v>
      </c>
      <c r="AN97" s="17">
        <v>21</v>
      </c>
      <c r="AO97" s="17">
        <f>I97*0</f>
        <v>0</v>
      </c>
      <c r="AP97" s="17">
        <f>I97*(1-0)</f>
        <v>0</v>
      </c>
      <c r="AQ97" s="14" t="s">
        <v>380</v>
      </c>
      <c r="AV97" s="17">
        <f>AW97+AX97</f>
        <v>0</v>
      </c>
      <c r="AW97" s="17">
        <f>H97*AO97</f>
        <v>0</v>
      </c>
      <c r="AX97" s="17">
        <f>H97*AP97</f>
        <v>0</v>
      </c>
      <c r="AY97" s="14" t="s">
        <v>107</v>
      </c>
      <c r="AZ97" s="14" t="s">
        <v>154</v>
      </c>
      <c r="BA97" s="7" t="s">
        <v>294</v>
      </c>
      <c r="BC97" s="17">
        <f>AW97+AX97</f>
        <v>0</v>
      </c>
      <c r="BD97" s="17">
        <f>I97/(100-BE97)*100</f>
        <v>0</v>
      </c>
      <c r="BE97" s="17">
        <v>0</v>
      </c>
      <c r="BF97" s="17">
        <f>97</f>
        <v>97</v>
      </c>
      <c r="BH97" s="17">
        <f>H97*AO97</f>
        <v>0</v>
      </c>
      <c r="BI97" s="17">
        <f>H97*AP97</f>
        <v>0</v>
      </c>
      <c r="BJ97" s="17">
        <f>H97*I97</f>
        <v>0</v>
      </c>
      <c r="BK97" s="17"/>
      <c r="BL97" s="17"/>
    </row>
    <row r="98" spans="1:64" ht="15" customHeight="1">
      <c r="A98" s="10" t="s">
        <v>81</v>
      </c>
      <c r="B98" s="4" t="s">
        <v>201</v>
      </c>
      <c r="C98" s="53" t="s">
        <v>168</v>
      </c>
      <c r="D98" s="53"/>
      <c r="E98" s="53"/>
      <c r="F98" s="53"/>
      <c r="G98" s="4" t="s">
        <v>122</v>
      </c>
      <c r="H98" s="17">
        <v>3</v>
      </c>
      <c r="I98" s="17">
        <v>0</v>
      </c>
      <c r="J98" s="17">
        <f>H98*AO98</f>
        <v>0</v>
      </c>
      <c r="K98" s="17">
        <f>H98*AP98</f>
        <v>0</v>
      </c>
      <c r="L98" s="17">
        <f>H98*I98</f>
        <v>0</v>
      </c>
      <c r="M98" s="25" t="s">
        <v>266</v>
      </c>
      <c r="Z98" s="17">
        <f>IF(AQ98="5",BJ98,0)</f>
        <v>0</v>
      </c>
      <c r="AB98" s="17">
        <f>IF(AQ98="1",BH98,0)</f>
        <v>0</v>
      </c>
      <c r="AC98" s="17">
        <f>IF(AQ98="1",BI98,0)</f>
        <v>0</v>
      </c>
      <c r="AD98" s="17">
        <f>IF(AQ98="7",BH98,0)</f>
        <v>0</v>
      </c>
      <c r="AE98" s="17">
        <f>IF(AQ98="7",BI98,0)</f>
        <v>0</v>
      </c>
      <c r="AF98" s="17">
        <f>IF(AQ98="2",BH98,0)</f>
        <v>0</v>
      </c>
      <c r="AG98" s="17">
        <f>IF(AQ98="2",BI98,0)</f>
        <v>0</v>
      </c>
      <c r="AH98" s="17">
        <f>IF(AQ98="0",BJ98,0)</f>
        <v>0</v>
      </c>
      <c r="AI98" s="7" t="s">
        <v>266</v>
      </c>
      <c r="AJ98" s="17">
        <f>IF(AN98=0,L98,0)</f>
        <v>0</v>
      </c>
      <c r="AK98" s="17">
        <f>IF(AN98=15,L98,0)</f>
        <v>0</v>
      </c>
      <c r="AL98" s="17">
        <f>IF(AN98=21,L98,0)</f>
        <v>0</v>
      </c>
      <c r="AN98" s="17">
        <v>21</v>
      </c>
      <c r="AO98" s="17">
        <f>I98*0</f>
        <v>0</v>
      </c>
      <c r="AP98" s="17">
        <f>I98*(1-0)</f>
        <v>0</v>
      </c>
      <c r="AQ98" s="14" t="s">
        <v>380</v>
      </c>
      <c r="AV98" s="17">
        <f>AW98+AX98</f>
        <v>0</v>
      </c>
      <c r="AW98" s="17">
        <f>H98*AO98</f>
        <v>0</v>
      </c>
      <c r="AX98" s="17">
        <f>H98*AP98</f>
        <v>0</v>
      </c>
      <c r="AY98" s="14" t="s">
        <v>107</v>
      </c>
      <c r="AZ98" s="14" t="s">
        <v>154</v>
      </c>
      <c r="BA98" s="7" t="s">
        <v>294</v>
      </c>
      <c r="BC98" s="17">
        <f>AW98+AX98</f>
        <v>0</v>
      </c>
      <c r="BD98" s="17">
        <f>I98/(100-BE98)*100</f>
        <v>0</v>
      </c>
      <c r="BE98" s="17">
        <v>0</v>
      </c>
      <c r="BF98" s="17">
        <f>98</f>
        <v>98</v>
      </c>
      <c r="BH98" s="17">
        <f>H98*AO98</f>
        <v>0</v>
      </c>
      <c r="BI98" s="17">
        <f>H98*AP98</f>
        <v>0</v>
      </c>
      <c r="BJ98" s="17">
        <f>H98*I98</f>
        <v>0</v>
      </c>
      <c r="BK98" s="17"/>
      <c r="BL98" s="17"/>
    </row>
    <row r="99" spans="1:47" ht="15" customHeight="1">
      <c r="A99" s="31" t="s">
        <v>266</v>
      </c>
      <c r="B99" s="16" t="s">
        <v>22</v>
      </c>
      <c r="C99" s="101" t="s">
        <v>354</v>
      </c>
      <c r="D99" s="101"/>
      <c r="E99" s="101"/>
      <c r="F99" s="101"/>
      <c r="G99" s="46" t="s">
        <v>353</v>
      </c>
      <c r="H99" s="46" t="s">
        <v>353</v>
      </c>
      <c r="I99" s="46" t="s">
        <v>353</v>
      </c>
      <c r="J99" s="23">
        <f>SUM(J100:J100)</f>
        <v>0</v>
      </c>
      <c r="K99" s="23">
        <f>SUM(K100:K100)</f>
        <v>0</v>
      </c>
      <c r="L99" s="23">
        <f>SUM(L100:L100)</f>
        <v>0</v>
      </c>
      <c r="M99" s="39" t="s">
        <v>266</v>
      </c>
      <c r="AI99" s="7" t="s">
        <v>266</v>
      </c>
      <c r="AS99" s="23">
        <f>SUM(AJ100:AJ100)</f>
        <v>0</v>
      </c>
      <c r="AT99" s="23">
        <f>SUM(AK100:AK100)</f>
        <v>0</v>
      </c>
      <c r="AU99" s="23">
        <f>SUM(AL100:AL100)</f>
        <v>0</v>
      </c>
    </row>
    <row r="100" spans="1:64" ht="15" customHeight="1">
      <c r="A100" s="10" t="s">
        <v>178</v>
      </c>
      <c r="B100" s="4" t="s">
        <v>22</v>
      </c>
      <c r="C100" s="53" t="s">
        <v>128</v>
      </c>
      <c r="D100" s="53"/>
      <c r="E100" s="53"/>
      <c r="F100" s="53"/>
      <c r="G100" s="4" t="s">
        <v>122</v>
      </c>
      <c r="H100" s="17">
        <v>1</v>
      </c>
      <c r="I100" s="17">
        <v>0</v>
      </c>
      <c r="J100" s="17">
        <f>H100*AO100</f>
        <v>0</v>
      </c>
      <c r="K100" s="17">
        <f>H100*AP100</f>
        <v>0</v>
      </c>
      <c r="L100" s="17">
        <f>H100*I100</f>
        <v>0</v>
      </c>
      <c r="M100" s="25" t="s">
        <v>266</v>
      </c>
      <c r="Z100" s="17">
        <f>IF(AQ100="5",BJ100,0)</f>
        <v>0</v>
      </c>
      <c r="AB100" s="17">
        <f>IF(AQ100="1",BH100,0)</f>
        <v>0</v>
      </c>
      <c r="AC100" s="17">
        <f>IF(AQ100="1",BI100,0)</f>
        <v>0</v>
      </c>
      <c r="AD100" s="17">
        <f>IF(AQ100="7",BH100,0)</f>
        <v>0</v>
      </c>
      <c r="AE100" s="17">
        <f>IF(AQ100="7",BI100,0)</f>
        <v>0</v>
      </c>
      <c r="AF100" s="17">
        <f>IF(AQ100="2",BH100,0)</f>
        <v>0</v>
      </c>
      <c r="AG100" s="17">
        <f>IF(AQ100="2",BI100,0)</f>
        <v>0</v>
      </c>
      <c r="AH100" s="17">
        <f>IF(AQ100="0",BJ100,0)</f>
        <v>0</v>
      </c>
      <c r="AI100" s="7" t="s">
        <v>266</v>
      </c>
      <c r="AJ100" s="17">
        <f>IF(AN100=0,L100,0)</f>
        <v>0</v>
      </c>
      <c r="AK100" s="17">
        <f>IF(AN100=15,L100,0)</f>
        <v>0</v>
      </c>
      <c r="AL100" s="17">
        <f>IF(AN100=21,L100,0)</f>
        <v>0</v>
      </c>
      <c r="AN100" s="17">
        <v>21</v>
      </c>
      <c r="AO100" s="17">
        <f>I100*0</f>
        <v>0</v>
      </c>
      <c r="AP100" s="17">
        <f>I100*(1-0)</f>
        <v>0</v>
      </c>
      <c r="AQ100" s="14" t="s">
        <v>380</v>
      </c>
      <c r="AV100" s="17">
        <f>AW100+AX100</f>
        <v>0</v>
      </c>
      <c r="AW100" s="17">
        <f>H100*AO100</f>
        <v>0</v>
      </c>
      <c r="AX100" s="17">
        <f>H100*AP100</f>
        <v>0</v>
      </c>
      <c r="AY100" s="14" t="s">
        <v>357</v>
      </c>
      <c r="AZ100" s="14" t="s">
        <v>335</v>
      </c>
      <c r="BA100" s="7" t="s">
        <v>294</v>
      </c>
      <c r="BC100" s="17">
        <f>AW100+AX100</f>
        <v>0</v>
      </c>
      <c r="BD100" s="17">
        <f>I100/(100-BE100)*100</f>
        <v>0</v>
      </c>
      <c r="BE100" s="17">
        <v>0</v>
      </c>
      <c r="BF100" s="17">
        <f>100</f>
        <v>100</v>
      </c>
      <c r="BH100" s="17">
        <f>H100*AO100</f>
        <v>0</v>
      </c>
      <c r="BI100" s="17">
        <f>H100*AP100</f>
        <v>0</v>
      </c>
      <c r="BJ100" s="17">
        <f>H100*I100</f>
        <v>0</v>
      </c>
      <c r="BK100" s="17"/>
      <c r="BL100" s="17"/>
    </row>
    <row r="101" spans="1:47" ht="15" customHeight="1">
      <c r="A101" s="31" t="s">
        <v>266</v>
      </c>
      <c r="B101" s="16" t="s">
        <v>297</v>
      </c>
      <c r="C101" s="101" t="s">
        <v>292</v>
      </c>
      <c r="D101" s="101"/>
      <c r="E101" s="101"/>
      <c r="F101" s="101"/>
      <c r="G101" s="46" t="s">
        <v>353</v>
      </c>
      <c r="H101" s="46" t="s">
        <v>353</v>
      </c>
      <c r="I101" s="46" t="s">
        <v>353</v>
      </c>
      <c r="J101" s="23">
        <f>SUM(J102:J103)</f>
        <v>0</v>
      </c>
      <c r="K101" s="23">
        <f>SUM(K102:K103)</f>
        <v>0</v>
      </c>
      <c r="L101" s="23">
        <f>SUM(L102:L103)</f>
        <v>0</v>
      </c>
      <c r="M101" s="39" t="s">
        <v>266</v>
      </c>
      <c r="AI101" s="7" t="s">
        <v>266</v>
      </c>
      <c r="AS101" s="23">
        <f>SUM(AJ102:AJ103)</f>
        <v>0</v>
      </c>
      <c r="AT101" s="23">
        <f>SUM(AK102:AK103)</f>
        <v>0</v>
      </c>
      <c r="AU101" s="23">
        <f>SUM(AL102:AL103)</f>
        <v>0</v>
      </c>
    </row>
    <row r="102" spans="1:64" ht="15" customHeight="1">
      <c r="A102" s="10" t="s">
        <v>419</v>
      </c>
      <c r="B102" s="4" t="s">
        <v>263</v>
      </c>
      <c r="C102" s="53" t="s">
        <v>350</v>
      </c>
      <c r="D102" s="53"/>
      <c r="E102" s="53"/>
      <c r="F102" s="53"/>
      <c r="G102" s="4" t="s">
        <v>122</v>
      </c>
      <c r="H102" s="17">
        <v>1</v>
      </c>
      <c r="I102" s="17">
        <v>0</v>
      </c>
      <c r="J102" s="17">
        <f>H102*AO102</f>
        <v>0</v>
      </c>
      <c r="K102" s="17">
        <f>H102*AP102</f>
        <v>0</v>
      </c>
      <c r="L102" s="17">
        <f>H102*I102</f>
        <v>0</v>
      </c>
      <c r="M102" s="25" t="s">
        <v>266</v>
      </c>
      <c r="Z102" s="17">
        <f>IF(AQ102="5",BJ102,0)</f>
        <v>0</v>
      </c>
      <c r="AB102" s="17">
        <f>IF(AQ102="1",BH102,0)</f>
        <v>0</v>
      </c>
      <c r="AC102" s="17">
        <f>IF(AQ102="1",BI102,0)</f>
        <v>0</v>
      </c>
      <c r="AD102" s="17">
        <f>IF(AQ102="7",BH102,0)</f>
        <v>0</v>
      </c>
      <c r="AE102" s="17">
        <f>IF(AQ102="7",BI102,0)</f>
        <v>0</v>
      </c>
      <c r="AF102" s="17">
        <f>IF(AQ102="2",BH102,0)</f>
        <v>0</v>
      </c>
      <c r="AG102" s="17">
        <f>IF(AQ102="2",BI102,0)</f>
        <v>0</v>
      </c>
      <c r="AH102" s="17">
        <f>IF(AQ102="0",BJ102,0)</f>
        <v>0</v>
      </c>
      <c r="AI102" s="7" t="s">
        <v>266</v>
      </c>
      <c r="AJ102" s="17">
        <f>IF(AN102=0,L102,0)</f>
        <v>0</v>
      </c>
      <c r="AK102" s="17">
        <f>IF(AN102=15,L102,0)</f>
        <v>0</v>
      </c>
      <c r="AL102" s="17">
        <f>IF(AN102=21,L102,0)</f>
        <v>0</v>
      </c>
      <c r="AN102" s="17">
        <v>21</v>
      </c>
      <c r="AO102" s="17">
        <f>I102*0</f>
        <v>0</v>
      </c>
      <c r="AP102" s="17">
        <f>I102*(1-0)</f>
        <v>0</v>
      </c>
      <c r="AQ102" s="14" t="s">
        <v>380</v>
      </c>
      <c r="AV102" s="17">
        <f>AW102+AX102</f>
        <v>0</v>
      </c>
      <c r="AW102" s="17">
        <f>H102*AO102</f>
        <v>0</v>
      </c>
      <c r="AX102" s="17">
        <f>H102*AP102</f>
        <v>0</v>
      </c>
      <c r="AY102" s="14" t="s">
        <v>104</v>
      </c>
      <c r="AZ102" s="14" t="s">
        <v>335</v>
      </c>
      <c r="BA102" s="7" t="s">
        <v>294</v>
      </c>
      <c r="BC102" s="17">
        <f>AW102+AX102</f>
        <v>0</v>
      </c>
      <c r="BD102" s="17">
        <f>I102/(100-BE102)*100</f>
        <v>0</v>
      </c>
      <c r="BE102" s="17">
        <v>0</v>
      </c>
      <c r="BF102" s="17">
        <f>102</f>
        <v>102</v>
      </c>
      <c r="BH102" s="17">
        <f>H102*AO102</f>
        <v>0</v>
      </c>
      <c r="BI102" s="17">
        <f>H102*AP102</f>
        <v>0</v>
      </c>
      <c r="BJ102" s="17">
        <f>H102*I102</f>
        <v>0</v>
      </c>
      <c r="BK102" s="17"/>
      <c r="BL102" s="17"/>
    </row>
    <row r="103" spans="1:64" ht="15" customHeight="1">
      <c r="A103" s="10" t="s">
        <v>400</v>
      </c>
      <c r="B103" s="4" t="s">
        <v>160</v>
      </c>
      <c r="C103" s="53" t="s">
        <v>402</v>
      </c>
      <c r="D103" s="53"/>
      <c r="E103" s="53"/>
      <c r="F103" s="53"/>
      <c r="G103" s="4" t="s">
        <v>90</v>
      </c>
      <c r="H103" s="17">
        <v>7</v>
      </c>
      <c r="I103" s="17">
        <v>0</v>
      </c>
      <c r="J103" s="17">
        <f>H103*AO103</f>
        <v>0</v>
      </c>
      <c r="K103" s="17">
        <f>H103*AP103</f>
        <v>0</v>
      </c>
      <c r="L103" s="17">
        <f>H103*I103</f>
        <v>0</v>
      </c>
      <c r="M103" s="25" t="s">
        <v>206</v>
      </c>
      <c r="Z103" s="17">
        <f>IF(AQ103="5",BJ103,0)</f>
        <v>0</v>
      </c>
      <c r="AB103" s="17">
        <f>IF(AQ103="1",BH103,0)</f>
        <v>0</v>
      </c>
      <c r="AC103" s="17">
        <f>IF(AQ103="1",BI103,0)</f>
        <v>0</v>
      </c>
      <c r="AD103" s="17">
        <f>IF(AQ103="7",BH103,0)</f>
        <v>0</v>
      </c>
      <c r="AE103" s="17">
        <f>IF(AQ103="7",BI103,0)</f>
        <v>0</v>
      </c>
      <c r="AF103" s="17">
        <f>IF(AQ103="2",BH103,0)</f>
        <v>0</v>
      </c>
      <c r="AG103" s="17">
        <f>IF(AQ103="2",BI103,0)</f>
        <v>0</v>
      </c>
      <c r="AH103" s="17">
        <f>IF(AQ103="0",BJ103,0)</f>
        <v>0</v>
      </c>
      <c r="AI103" s="7" t="s">
        <v>266</v>
      </c>
      <c r="AJ103" s="17">
        <f>IF(AN103=0,L103,0)</f>
        <v>0</v>
      </c>
      <c r="AK103" s="17">
        <f>IF(AN103=15,L103,0)</f>
        <v>0</v>
      </c>
      <c r="AL103" s="17">
        <f>IF(AN103=21,L103,0)</f>
        <v>0</v>
      </c>
      <c r="AN103" s="17">
        <v>21</v>
      </c>
      <c r="AO103" s="17">
        <f>I103*0</f>
        <v>0</v>
      </c>
      <c r="AP103" s="17">
        <f>I103*(1-0)</f>
        <v>0</v>
      </c>
      <c r="AQ103" s="14" t="s">
        <v>262</v>
      </c>
      <c r="AV103" s="17">
        <f>AW103+AX103</f>
        <v>0</v>
      </c>
      <c r="AW103" s="17">
        <f>H103*AO103</f>
        <v>0</v>
      </c>
      <c r="AX103" s="17">
        <f>H103*AP103</f>
        <v>0</v>
      </c>
      <c r="AY103" s="14" t="s">
        <v>104</v>
      </c>
      <c r="AZ103" s="14" t="s">
        <v>335</v>
      </c>
      <c r="BA103" s="7" t="s">
        <v>294</v>
      </c>
      <c r="BC103" s="17">
        <f>AW103+AX103</f>
        <v>0</v>
      </c>
      <c r="BD103" s="17">
        <f>I103/(100-BE103)*100</f>
        <v>0</v>
      </c>
      <c r="BE103" s="17">
        <v>0</v>
      </c>
      <c r="BF103" s="17">
        <f>103</f>
        <v>103</v>
      </c>
      <c r="BH103" s="17">
        <f>H103*AO103</f>
        <v>0</v>
      </c>
      <c r="BI103" s="17">
        <f>H103*AP103</f>
        <v>0</v>
      </c>
      <c r="BJ103" s="17">
        <f>H103*I103</f>
        <v>0</v>
      </c>
      <c r="BK103" s="17"/>
      <c r="BL103" s="17"/>
    </row>
    <row r="104" spans="1:47" ht="15" customHeight="1">
      <c r="A104" s="31" t="s">
        <v>266</v>
      </c>
      <c r="B104" s="16" t="s">
        <v>250</v>
      </c>
      <c r="C104" s="101" t="s">
        <v>229</v>
      </c>
      <c r="D104" s="101"/>
      <c r="E104" s="101"/>
      <c r="F104" s="101"/>
      <c r="G104" s="46" t="s">
        <v>353</v>
      </c>
      <c r="H104" s="46" t="s">
        <v>353</v>
      </c>
      <c r="I104" s="46" t="s">
        <v>353</v>
      </c>
      <c r="J104" s="23">
        <f>SUM(J105:J105)</f>
        <v>0</v>
      </c>
      <c r="K104" s="23">
        <f>SUM(K105:K105)</f>
        <v>0</v>
      </c>
      <c r="L104" s="23">
        <f>SUM(L105:L105)</f>
        <v>0</v>
      </c>
      <c r="M104" s="39" t="s">
        <v>266</v>
      </c>
      <c r="AI104" s="7" t="s">
        <v>266</v>
      </c>
      <c r="AS104" s="23">
        <f>SUM(AJ105:AJ105)</f>
        <v>0</v>
      </c>
      <c r="AT104" s="23">
        <f>SUM(AK105:AK105)</f>
        <v>0</v>
      </c>
      <c r="AU104" s="23">
        <f>SUM(AL105:AL105)</f>
        <v>0</v>
      </c>
    </row>
    <row r="105" spans="1:64" ht="15" customHeight="1">
      <c r="A105" s="10" t="s">
        <v>6</v>
      </c>
      <c r="B105" s="4" t="s">
        <v>39</v>
      </c>
      <c r="C105" s="53" t="s">
        <v>63</v>
      </c>
      <c r="D105" s="53"/>
      <c r="E105" s="53"/>
      <c r="F105" s="53"/>
      <c r="G105" s="4" t="s">
        <v>170</v>
      </c>
      <c r="H105" s="17">
        <v>111.81</v>
      </c>
      <c r="I105" s="17">
        <v>0</v>
      </c>
      <c r="J105" s="17">
        <f>H105*AO105</f>
        <v>0</v>
      </c>
      <c r="K105" s="17">
        <f>H105*AP105</f>
        <v>0</v>
      </c>
      <c r="L105" s="17">
        <f>H105*I105</f>
        <v>0</v>
      </c>
      <c r="M105" s="25" t="s">
        <v>206</v>
      </c>
      <c r="Z105" s="17">
        <f>IF(AQ105="5",BJ105,0)</f>
        <v>0</v>
      </c>
      <c r="AB105" s="17">
        <f>IF(AQ105="1",BH105,0)</f>
        <v>0</v>
      </c>
      <c r="AC105" s="17">
        <f>IF(AQ105="1",BI105,0)</f>
        <v>0</v>
      </c>
      <c r="AD105" s="17">
        <f>IF(AQ105="7",BH105,0)</f>
        <v>0</v>
      </c>
      <c r="AE105" s="17">
        <f>IF(AQ105="7",BI105,0)</f>
        <v>0</v>
      </c>
      <c r="AF105" s="17">
        <f>IF(AQ105="2",BH105,0)</f>
        <v>0</v>
      </c>
      <c r="AG105" s="17">
        <f>IF(AQ105="2",BI105,0)</f>
        <v>0</v>
      </c>
      <c r="AH105" s="17">
        <f>IF(AQ105="0",BJ105,0)</f>
        <v>0</v>
      </c>
      <c r="AI105" s="7" t="s">
        <v>266</v>
      </c>
      <c r="AJ105" s="17">
        <f>IF(AN105=0,L105,0)</f>
        <v>0</v>
      </c>
      <c r="AK105" s="17">
        <f>IF(AN105=15,L105,0)</f>
        <v>0</v>
      </c>
      <c r="AL105" s="17">
        <f>IF(AN105=21,L105,0)</f>
        <v>0</v>
      </c>
      <c r="AN105" s="17">
        <v>21</v>
      </c>
      <c r="AO105" s="17">
        <f>I105*0</f>
        <v>0</v>
      </c>
      <c r="AP105" s="17">
        <f>I105*(1-0)</f>
        <v>0</v>
      </c>
      <c r="AQ105" s="14" t="s">
        <v>194</v>
      </c>
      <c r="AV105" s="17">
        <f>AW105+AX105</f>
        <v>0</v>
      </c>
      <c r="AW105" s="17">
        <f>H105*AO105</f>
        <v>0</v>
      </c>
      <c r="AX105" s="17">
        <f>H105*AP105</f>
        <v>0</v>
      </c>
      <c r="AY105" s="14" t="s">
        <v>391</v>
      </c>
      <c r="AZ105" s="14" t="s">
        <v>5</v>
      </c>
      <c r="BA105" s="7" t="s">
        <v>294</v>
      </c>
      <c r="BC105" s="17">
        <f>AW105+AX105</f>
        <v>0</v>
      </c>
      <c r="BD105" s="17">
        <f>I105/(100-BE105)*100</f>
        <v>0</v>
      </c>
      <c r="BE105" s="17">
        <v>0</v>
      </c>
      <c r="BF105" s="17">
        <f>105</f>
        <v>105</v>
      </c>
      <c r="BH105" s="17">
        <f>H105*AO105</f>
        <v>0</v>
      </c>
      <c r="BI105" s="17">
        <f>H105*AP105</f>
        <v>0</v>
      </c>
      <c r="BJ105" s="17">
        <f>H105*I105</f>
        <v>0</v>
      </c>
      <c r="BK105" s="17"/>
      <c r="BL105" s="17"/>
    </row>
    <row r="106" spans="1:47" ht="15" customHeight="1">
      <c r="A106" s="31" t="s">
        <v>266</v>
      </c>
      <c r="B106" s="16" t="s">
        <v>266</v>
      </c>
      <c r="C106" s="101" t="s">
        <v>23</v>
      </c>
      <c r="D106" s="101"/>
      <c r="E106" s="101"/>
      <c r="F106" s="101"/>
      <c r="G106" s="46" t="s">
        <v>353</v>
      </c>
      <c r="H106" s="46" t="s">
        <v>353</v>
      </c>
      <c r="I106" s="46" t="s">
        <v>353</v>
      </c>
      <c r="J106" s="23">
        <f>SUM(J107:J120)</f>
        <v>0</v>
      </c>
      <c r="K106" s="23">
        <f>SUM(K107:K120)</f>
        <v>0</v>
      </c>
      <c r="L106" s="23">
        <f>SUM(L107:L120)</f>
        <v>0</v>
      </c>
      <c r="M106" s="39" t="s">
        <v>266</v>
      </c>
      <c r="AI106" s="7" t="s">
        <v>266</v>
      </c>
      <c r="AS106" s="23">
        <f>SUM(AJ107:AJ120)</f>
        <v>0</v>
      </c>
      <c r="AT106" s="23">
        <f>SUM(AK107:AK120)</f>
        <v>0</v>
      </c>
      <c r="AU106" s="23">
        <f>SUM(AL107:AL120)</f>
        <v>0</v>
      </c>
    </row>
    <row r="107" spans="1:64" ht="15" customHeight="1">
      <c r="A107" s="10" t="s">
        <v>57</v>
      </c>
      <c r="B107" s="4" t="s">
        <v>420</v>
      </c>
      <c r="C107" s="53" t="s">
        <v>41</v>
      </c>
      <c r="D107" s="53"/>
      <c r="E107" s="53"/>
      <c r="F107" s="53"/>
      <c r="G107" s="4" t="s">
        <v>375</v>
      </c>
      <c r="H107" s="17">
        <v>14.52</v>
      </c>
      <c r="I107" s="17">
        <v>0</v>
      </c>
      <c r="J107" s="17">
        <f aca="true" t="shared" si="24" ref="J107:J120">H107*AO107</f>
        <v>0</v>
      </c>
      <c r="K107" s="17">
        <f aca="true" t="shared" si="25" ref="K107:K120">H107*AP107</f>
        <v>0</v>
      </c>
      <c r="L107" s="17">
        <f aca="true" t="shared" si="26" ref="L107:L120">H107*I107</f>
        <v>0</v>
      </c>
      <c r="M107" s="25" t="s">
        <v>322</v>
      </c>
      <c r="Z107" s="17">
        <f aca="true" t="shared" si="27" ref="Z107:Z120">IF(AQ107="5",BJ107,0)</f>
        <v>0</v>
      </c>
      <c r="AB107" s="17">
        <f aca="true" t="shared" si="28" ref="AB107:AB120">IF(AQ107="1",BH107,0)</f>
        <v>0</v>
      </c>
      <c r="AC107" s="17">
        <f aca="true" t="shared" si="29" ref="AC107:AC120">IF(AQ107="1",BI107,0)</f>
        <v>0</v>
      </c>
      <c r="AD107" s="17">
        <f aca="true" t="shared" si="30" ref="AD107:AD120">IF(AQ107="7",BH107,0)</f>
        <v>0</v>
      </c>
      <c r="AE107" s="17">
        <f aca="true" t="shared" si="31" ref="AE107:AE120">IF(AQ107="7",BI107,0)</f>
        <v>0</v>
      </c>
      <c r="AF107" s="17">
        <f aca="true" t="shared" si="32" ref="AF107:AF120">IF(AQ107="2",BH107,0)</f>
        <v>0</v>
      </c>
      <c r="AG107" s="17">
        <f aca="true" t="shared" si="33" ref="AG107:AG120">IF(AQ107="2",BI107,0)</f>
        <v>0</v>
      </c>
      <c r="AH107" s="17">
        <f aca="true" t="shared" si="34" ref="AH107:AH120">IF(AQ107="0",BJ107,0)</f>
        <v>0</v>
      </c>
      <c r="AI107" s="7" t="s">
        <v>266</v>
      </c>
      <c r="AJ107" s="17">
        <f aca="true" t="shared" si="35" ref="AJ107:AJ120">IF(AN107=0,L107,0)</f>
        <v>0</v>
      </c>
      <c r="AK107" s="17">
        <f aca="true" t="shared" si="36" ref="AK107:AK120">IF(AN107=15,L107,0)</f>
        <v>0</v>
      </c>
      <c r="AL107" s="17">
        <f aca="true" t="shared" si="37" ref="AL107:AL120">IF(AN107=21,L107,0)</f>
        <v>0</v>
      </c>
      <c r="AN107" s="17">
        <v>21</v>
      </c>
      <c r="AO107" s="17">
        <f aca="true" t="shared" si="38" ref="AO107:AO120">I107*1</f>
        <v>0</v>
      </c>
      <c r="AP107" s="17">
        <f aca="true" t="shared" si="39" ref="AP107:AP120">I107*(1-1)</f>
        <v>0</v>
      </c>
      <c r="AQ107" s="14" t="s">
        <v>191</v>
      </c>
      <c r="AV107" s="17">
        <f aca="true" t="shared" si="40" ref="AV107:AV120">AW107+AX107</f>
        <v>0</v>
      </c>
      <c r="AW107" s="17">
        <f aca="true" t="shared" si="41" ref="AW107:AW120">H107*AO107</f>
        <v>0</v>
      </c>
      <c r="AX107" s="17">
        <f aca="true" t="shared" si="42" ref="AX107:AX120">H107*AP107</f>
        <v>0</v>
      </c>
      <c r="AY107" s="14" t="s">
        <v>76</v>
      </c>
      <c r="AZ107" s="14" t="s">
        <v>414</v>
      </c>
      <c r="BA107" s="7" t="s">
        <v>294</v>
      </c>
      <c r="BC107" s="17">
        <f aca="true" t="shared" si="43" ref="BC107:BC120">AW107+AX107</f>
        <v>0</v>
      </c>
      <c r="BD107" s="17">
        <f aca="true" t="shared" si="44" ref="BD107:BD120">I107/(100-BE107)*100</f>
        <v>0</v>
      </c>
      <c r="BE107" s="17">
        <v>0</v>
      </c>
      <c r="BF107" s="17">
        <f>107</f>
        <v>107</v>
      </c>
      <c r="BH107" s="17">
        <f aca="true" t="shared" si="45" ref="BH107:BH120">H107*AO107</f>
        <v>0</v>
      </c>
      <c r="BI107" s="17">
        <f aca="true" t="shared" si="46" ref="BI107:BI120">H107*AP107</f>
        <v>0</v>
      </c>
      <c r="BJ107" s="17">
        <f aca="true" t="shared" si="47" ref="BJ107:BJ120">H107*I107</f>
        <v>0</v>
      </c>
      <c r="BK107" s="17"/>
      <c r="BL107" s="17"/>
    </row>
    <row r="108" spans="1:64" ht="15" customHeight="1">
      <c r="A108" s="10" t="s">
        <v>74</v>
      </c>
      <c r="B108" s="4" t="s">
        <v>190</v>
      </c>
      <c r="C108" s="53" t="s">
        <v>398</v>
      </c>
      <c r="D108" s="53"/>
      <c r="E108" s="53"/>
      <c r="F108" s="53"/>
      <c r="G108" s="4" t="s">
        <v>375</v>
      </c>
      <c r="H108" s="17">
        <v>58.32</v>
      </c>
      <c r="I108" s="17">
        <v>0</v>
      </c>
      <c r="J108" s="17">
        <f t="shared" si="24"/>
        <v>0</v>
      </c>
      <c r="K108" s="17">
        <f t="shared" si="25"/>
        <v>0</v>
      </c>
      <c r="L108" s="17">
        <f t="shared" si="26"/>
        <v>0</v>
      </c>
      <c r="M108" s="25" t="s">
        <v>322</v>
      </c>
      <c r="Z108" s="17">
        <f t="shared" si="27"/>
        <v>0</v>
      </c>
      <c r="AB108" s="17">
        <f t="shared" si="28"/>
        <v>0</v>
      </c>
      <c r="AC108" s="17">
        <f t="shared" si="29"/>
        <v>0</v>
      </c>
      <c r="AD108" s="17">
        <f t="shared" si="30"/>
        <v>0</v>
      </c>
      <c r="AE108" s="17">
        <f t="shared" si="31"/>
        <v>0</v>
      </c>
      <c r="AF108" s="17">
        <f t="shared" si="32"/>
        <v>0</v>
      </c>
      <c r="AG108" s="17">
        <f t="shared" si="33"/>
        <v>0</v>
      </c>
      <c r="AH108" s="17">
        <f t="shared" si="34"/>
        <v>0</v>
      </c>
      <c r="AI108" s="7" t="s">
        <v>266</v>
      </c>
      <c r="AJ108" s="17">
        <f t="shared" si="35"/>
        <v>0</v>
      </c>
      <c r="AK108" s="17">
        <f t="shared" si="36"/>
        <v>0</v>
      </c>
      <c r="AL108" s="17">
        <f t="shared" si="37"/>
        <v>0</v>
      </c>
      <c r="AN108" s="17">
        <v>21</v>
      </c>
      <c r="AO108" s="17">
        <f t="shared" si="38"/>
        <v>0</v>
      </c>
      <c r="AP108" s="17">
        <f t="shared" si="39"/>
        <v>0</v>
      </c>
      <c r="AQ108" s="14" t="s">
        <v>191</v>
      </c>
      <c r="AV108" s="17">
        <f t="shared" si="40"/>
        <v>0</v>
      </c>
      <c r="AW108" s="17">
        <f t="shared" si="41"/>
        <v>0</v>
      </c>
      <c r="AX108" s="17">
        <f t="shared" si="42"/>
        <v>0</v>
      </c>
      <c r="AY108" s="14" t="s">
        <v>76</v>
      </c>
      <c r="AZ108" s="14" t="s">
        <v>414</v>
      </c>
      <c r="BA108" s="7" t="s">
        <v>294</v>
      </c>
      <c r="BC108" s="17">
        <f t="shared" si="43"/>
        <v>0</v>
      </c>
      <c r="BD108" s="17">
        <f t="shared" si="44"/>
        <v>0</v>
      </c>
      <c r="BE108" s="17">
        <v>0</v>
      </c>
      <c r="BF108" s="17">
        <f>108</f>
        <v>108</v>
      </c>
      <c r="BH108" s="17">
        <f t="shared" si="45"/>
        <v>0</v>
      </c>
      <c r="BI108" s="17">
        <f t="shared" si="46"/>
        <v>0</v>
      </c>
      <c r="BJ108" s="17">
        <f t="shared" si="47"/>
        <v>0</v>
      </c>
      <c r="BK108" s="17"/>
      <c r="BL108" s="17"/>
    </row>
    <row r="109" spans="1:64" ht="15" customHeight="1">
      <c r="A109" s="10" t="s">
        <v>306</v>
      </c>
      <c r="B109" s="4" t="s">
        <v>198</v>
      </c>
      <c r="C109" s="53" t="s">
        <v>216</v>
      </c>
      <c r="D109" s="53"/>
      <c r="E109" s="53"/>
      <c r="F109" s="53"/>
      <c r="G109" s="4" t="s">
        <v>90</v>
      </c>
      <c r="H109" s="17">
        <v>2</v>
      </c>
      <c r="I109" s="17">
        <v>0</v>
      </c>
      <c r="J109" s="17">
        <f t="shared" si="24"/>
        <v>0</v>
      </c>
      <c r="K109" s="17">
        <f t="shared" si="25"/>
        <v>0</v>
      </c>
      <c r="L109" s="17">
        <f t="shared" si="26"/>
        <v>0</v>
      </c>
      <c r="M109" s="25" t="s">
        <v>322</v>
      </c>
      <c r="Z109" s="17">
        <f t="shared" si="27"/>
        <v>0</v>
      </c>
      <c r="AB109" s="17">
        <f t="shared" si="28"/>
        <v>0</v>
      </c>
      <c r="AC109" s="17">
        <f t="shared" si="29"/>
        <v>0</v>
      </c>
      <c r="AD109" s="17">
        <f t="shared" si="30"/>
        <v>0</v>
      </c>
      <c r="AE109" s="17">
        <f t="shared" si="31"/>
        <v>0</v>
      </c>
      <c r="AF109" s="17">
        <f t="shared" si="32"/>
        <v>0</v>
      </c>
      <c r="AG109" s="17">
        <f t="shared" si="33"/>
        <v>0</v>
      </c>
      <c r="AH109" s="17">
        <f t="shared" si="34"/>
        <v>0</v>
      </c>
      <c r="AI109" s="7" t="s">
        <v>266</v>
      </c>
      <c r="AJ109" s="17">
        <f t="shared" si="35"/>
        <v>0</v>
      </c>
      <c r="AK109" s="17">
        <f t="shared" si="36"/>
        <v>0</v>
      </c>
      <c r="AL109" s="17">
        <f t="shared" si="37"/>
        <v>0</v>
      </c>
      <c r="AN109" s="17">
        <v>21</v>
      </c>
      <c r="AO109" s="17">
        <f t="shared" si="38"/>
        <v>0</v>
      </c>
      <c r="AP109" s="17">
        <f t="shared" si="39"/>
        <v>0</v>
      </c>
      <c r="AQ109" s="14" t="s">
        <v>191</v>
      </c>
      <c r="AV109" s="17">
        <f t="shared" si="40"/>
        <v>0</v>
      </c>
      <c r="AW109" s="17">
        <f t="shared" si="41"/>
        <v>0</v>
      </c>
      <c r="AX109" s="17">
        <f t="shared" si="42"/>
        <v>0</v>
      </c>
      <c r="AY109" s="14" t="s">
        <v>76</v>
      </c>
      <c r="AZ109" s="14" t="s">
        <v>414</v>
      </c>
      <c r="BA109" s="7" t="s">
        <v>294</v>
      </c>
      <c r="BC109" s="17">
        <f t="shared" si="43"/>
        <v>0</v>
      </c>
      <c r="BD109" s="17">
        <f t="shared" si="44"/>
        <v>0</v>
      </c>
      <c r="BE109" s="17">
        <v>0</v>
      </c>
      <c r="BF109" s="17">
        <f>109</f>
        <v>109</v>
      </c>
      <c r="BH109" s="17">
        <f t="shared" si="45"/>
        <v>0</v>
      </c>
      <c r="BI109" s="17">
        <f t="shared" si="46"/>
        <v>0</v>
      </c>
      <c r="BJ109" s="17">
        <f t="shared" si="47"/>
        <v>0</v>
      </c>
      <c r="BK109" s="17"/>
      <c r="BL109" s="17"/>
    </row>
    <row r="110" spans="1:64" ht="15" customHeight="1">
      <c r="A110" s="10" t="s">
        <v>31</v>
      </c>
      <c r="B110" s="4" t="s">
        <v>304</v>
      </c>
      <c r="C110" s="53" t="s">
        <v>409</v>
      </c>
      <c r="D110" s="53"/>
      <c r="E110" s="53"/>
      <c r="F110" s="53"/>
      <c r="G110" s="4" t="s">
        <v>90</v>
      </c>
      <c r="H110" s="17">
        <v>2</v>
      </c>
      <c r="I110" s="17">
        <v>0</v>
      </c>
      <c r="J110" s="17">
        <f t="shared" si="24"/>
        <v>0</v>
      </c>
      <c r="K110" s="17">
        <f t="shared" si="25"/>
        <v>0</v>
      </c>
      <c r="L110" s="17">
        <f t="shared" si="26"/>
        <v>0</v>
      </c>
      <c r="M110" s="25" t="s">
        <v>322</v>
      </c>
      <c r="Z110" s="17">
        <f t="shared" si="27"/>
        <v>0</v>
      </c>
      <c r="AB110" s="17">
        <f t="shared" si="28"/>
        <v>0</v>
      </c>
      <c r="AC110" s="17">
        <f t="shared" si="29"/>
        <v>0</v>
      </c>
      <c r="AD110" s="17">
        <f t="shared" si="30"/>
        <v>0</v>
      </c>
      <c r="AE110" s="17">
        <f t="shared" si="31"/>
        <v>0</v>
      </c>
      <c r="AF110" s="17">
        <f t="shared" si="32"/>
        <v>0</v>
      </c>
      <c r="AG110" s="17">
        <f t="shared" si="33"/>
        <v>0</v>
      </c>
      <c r="AH110" s="17">
        <f t="shared" si="34"/>
        <v>0</v>
      </c>
      <c r="AI110" s="7" t="s">
        <v>266</v>
      </c>
      <c r="AJ110" s="17">
        <f t="shared" si="35"/>
        <v>0</v>
      </c>
      <c r="AK110" s="17">
        <f t="shared" si="36"/>
        <v>0</v>
      </c>
      <c r="AL110" s="17">
        <f t="shared" si="37"/>
        <v>0</v>
      </c>
      <c r="AN110" s="17">
        <v>21</v>
      </c>
      <c r="AO110" s="17">
        <f t="shared" si="38"/>
        <v>0</v>
      </c>
      <c r="AP110" s="17">
        <f t="shared" si="39"/>
        <v>0</v>
      </c>
      <c r="AQ110" s="14" t="s">
        <v>191</v>
      </c>
      <c r="AV110" s="17">
        <f t="shared" si="40"/>
        <v>0</v>
      </c>
      <c r="AW110" s="17">
        <f t="shared" si="41"/>
        <v>0</v>
      </c>
      <c r="AX110" s="17">
        <f t="shared" si="42"/>
        <v>0</v>
      </c>
      <c r="AY110" s="14" t="s">
        <v>76</v>
      </c>
      <c r="AZ110" s="14" t="s">
        <v>414</v>
      </c>
      <c r="BA110" s="7" t="s">
        <v>294</v>
      </c>
      <c r="BC110" s="17">
        <f t="shared" si="43"/>
        <v>0</v>
      </c>
      <c r="BD110" s="17">
        <f t="shared" si="44"/>
        <v>0</v>
      </c>
      <c r="BE110" s="17">
        <v>0</v>
      </c>
      <c r="BF110" s="17">
        <f>110</f>
        <v>110</v>
      </c>
      <c r="BH110" s="17">
        <f t="shared" si="45"/>
        <v>0</v>
      </c>
      <c r="BI110" s="17">
        <f t="shared" si="46"/>
        <v>0</v>
      </c>
      <c r="BJ110" s="17">
        <f t="shared" si="47"/>
        <v>0</v>
      </c>
      <c r="BK110" s="17"/>
      <c r="BL110" s="17"/>
    </row>
    <row r="111" spans="1:64" ht="15" customHeight="1">
      <c r="A111" s="10" t="s">
        <v>299</v>
      </c>
      <c r="B111" s="4" t="s">
        <v>282</v>
      </c>
      <c r="C111" s="53" t="s">
        <v>10</v>
      </c>
      <c r="D111" s="53"/>
      <c r="E111" s="53"/>
      <c r="F111" s="53"/>
      <c r="G111" s="4" t="s">
        <v>90</v>
      </c>
      <c r="H111" s="17">
        <v>2</v>
      </c>
      <c r="I111" s="17">
        <v>0</v>
      </c>
      <c r="J111" s="17">
        <f t="shared" si="24"/>
        <v>0</v>
      </c>
      <c r="K111" s="17">
        <f t="shared" si="25"/>
        <v>0</v>
      </c>
      <c r="L111" s="17">
        <f t="shared" si="26"/>
        <v>0</v>
      </c>
      <c r="M111" s="25" t="s">
        <v>322</v>
      </c>
      <c r="Z111" s="17">
        <f t="shared" si="27"/>
        <v>0</v>
      </c>
      <c r="AB111" s="17">
        <f t="shared" si="28"/>
        <v>0</v>
      </c>
      <c r="AC111" s="17">
        <f t="shared" si="29"/>
        <v>0</v>
      </c>
      <c r="AD111" s="17">
        <f t="shared" si="30"/>
        <v>0</v>
      </c>
      <c r="AE111" s="17">
        <f t="shared" si="31"/>
        <v>0</v>
      </c>
      <c r="AF111" s="17">
        <f t="shared" si="32"/>
        <v>0</v>
      </c>
      <c r="AG111" s="17">
        <f t="shared" si="33"/>
        <v>0</v>
      </c>
      <c r="AH111" s="17">
        <f t="shared" si="34"/>
        <v>0</v>
      </c>
      <c r="AI111" s="7" t="s">
        <v>266</v>
      </c>
      <c r="AJ111" s="17">
        <f t="shared" si="35"/>
        <v>0</v>
      </c>
      <c r="AK111" s="17">
        <f t="shared" si="36"/>
        <v>0</v>
      </c>
      <c r="AL111" s="17">
        <f t="shared" si="37"/>
        <v>0</v>
      </c>
      <c r="AN111" s="17">
        <v>21</v>
      </c>
      <c r="AO111" s="17">
        <f t="shared" si="38"/>
        <v>0</v>
      </c>
      <c r="AP111" s="17">
        <f t="shared" si="39"/>
        <v>0</v>
      </c>
      <c r="AQ111" s="14" t="s">
        <v>191</v>
      </c>
      <c r="AV111" s="17">
        <f t="shared" si="40"/>
        <v>0</v>
      </c>
      <c r="AW111" s="17">
        <f t="shared" si="41"/>
        <v>0</v>
      </c>
      <c r="AX111" s="17">
        <f t="shared" si="42"/>
        <v>0</v>
      </c>
      <c r="AY111" s="14" t="s">
        <v>76</v>
      </c>
      <c r="AZ111" s="14" t="s">
        <v>414</v>
      </c>
      <c r="BA111" s="7" t="s">
        <v>294</v>
      </c>
      <c r="BC111" s="17">
        <f t="shared" si="43"/>
        <v>0</v>
      </c>
      <c r="BD111" s="17">
        <f t="shared" si="44"/>
        <v>0</v>
      </c>
      <c r="BE111" s="17">
        <v>0</v>
      </c>
      <c r="BF111" s="17">
        <f>111</f>
        <v>111</v>
      </c>
      <c r="BH111" s="17">
        <f t="shared" si="45"/>
        <v>0</v>
      </c>
      <c r="BI111" s="17">
        <f t="shared" si="46"/>
        <v>0</v>
      </c>
      <c r="BJ111" s="17">
        <f t="shared" si="47"/>
        <v>0</v>
      </c>
      <c r="BK111" s="17"/>
      <c r="BL111" s="17"/>
    </row>
    <row r="112" spans="1:64" ht="15" customHeight="1">
      <c r="A112" s="10" t="s">
        <v>232</v>
      </c>
      <c r="B112" s="4" t="s">
        <v>137</v>
      </c>
      <c r="C112" s="53" t="s">
        <v>408</v>
      </c>
      <c r="D112" s="53"/>
      <c r="E112" s="53"/>
      <c r="F112" s="53"/>
      <c r="G112" s="4" t="s">
        <v>90</v>
      </c>
      <c r="H112" s="17">
        <v>3</v>
      </c>
      <c r="I112" s="17">
        <v>0</v>
      </c>
      <c r="J112" s="17">
        <f t="shared" si="24"/>
        <v>0</v>
      </c>
      <c r="K112" s="17">
        <f t="shared" si="25"/>
        <v>0</v>
      </c>
      <c r="L112" s="17">
        <f t="shared" si="26"/>
        <v>0</v>
      </c>
      <c r="M112" s="25" t="s">
        <v>322</v>
      </c>
      <c r="Z112" s="17">
        <f t="shared" si="27"/>
        <v>0</v>
      </c>
      <c r="AB112" s="17">
        <f t="shared" si="28"/>
        <v>0</v>
      </c>
      <c r="AC112" s="17">
        <f t="shared" si="29"/>
        <v>0</v>
      </c>
      <c r="AD112" s="17">
        <f t="shared" si="30"/>
        <v>0</v>
      </c>
      <c r="AE112" s="17">
        <f t="shared" si="31"/>
        <v>0</v>
      </c>
      <c r="AF112" s="17">
        <f t="shared" si="32"/>
        <v>0</v>
      </c>
      <c r="AG112" s="17">
        <f t="shared" si="33"/>
        <v>0</v>
      </c>
      <c r="AH112" s="17">
        <f t="shared" si="34"/>
        <v>0</v>
      </c>
      <c r="AI112" s="7" t="s">
        <v>266</v>
      </c>
      <c r="AJ112" s="17">
        <f t="shared" si="35"/>
        <v>0</v>
      </c>
      <c r="AK112" s="17">
        <f t="shared" si="36"/>
        <v>0</v>
      </c>
      <c r="AL112" s="17">
        <f t="shared" si="37"/>
        <v>0</v>
      </c>
      <c r="AN112" s="17">
        <v>21</v>
      </c>
      <c r="AO112" s="17">
        <f t="shared" si="38"/>
        <v>0</v>
      </c>
      <c r="AP112" s="17">
        <f t="shared" si="39"/>
        <v>0</v>
      </c>
      <c r="AQ112" s="14" t="s">
        <v>191</v>
      </c>
      <c r="AV112" s="17">
        <f t="shared" si="40"/>
        <v>0</v>
      </c>
      <c r="AW112" s="17">
        <f t="shared" si="41"/>
        <v>0</v>
      </c>
      <c r="AX112" s="17">
        <f t="shared" si="42"/>
        <v>0</v>
      </c>
      <c r="AY112" s="14" t="s">
        <v>76</v>
      </c>
      <c r="AZ112" s="14" t="s">
        <v>414</v>
      </c>
      <c r="BA112" s="7" t="s">
        <v>294</v>
      </c>
      <c r="BC112" s="17">
        <f t="shared" si="43"/>
        <v>0</v>
      </c>
      <c r="BD112" s="17">
        <f t="shared" si="44"/>
        <v>0</v>
      </c>
      <c r="BE112" s="17">
        <v>0</v>
      </c>
      <c r="BF112" s="17">
        <f>112</f>
        <v>112</v>
      </c>
      <c r="BH112" s="17">
        <f t="shared" si="45"/>
        <v>0</v>
      </c>
      <c r="BI112" s="17">
        <f t="shared" si="46"/>
        <v>0</v>
      </c>
      <c r="BJ112" s="17">
        <f t="shared" si="47"/>
        <v>0</v>
      </c>
      <c r="BK112" s="17"/>
      <c r="BL112" s="17"/>
    </row>
    <row r="113" spans="1:64" ht="15" customHeight="1">
      <c r="A113" s="10" t="s">
        <v>384</v>
      </c>
      <c r="B113" s="4" t="s">
        <v>208</v>
      </c>
      <c r="C113" s="53" t="s">
        <v>115</v>
      </c>
      <c r="D113" s="53"/>
      <c r="E113" s="53"/>
      <c r="F113" s="53"/>
      <c r="G113" s="4" t="s">
        <v>90</v>
      </c>
      <c r="H113" s="17">
        <v>1</v>
      </c>
      <c r="I113" s="17">
        <v>0</v>
      </c>
      <c r="J113" s="17">
        <f t="shared" si="24"/>
        <v>0</v>
      </c>
      <c r="K113" s="17">
        <f t="shared" si="25"/>
        <v>0</v>
      </c>
      <c r="L113" s="17">
        <f t="shared" si="26"/>
        <v>0</v>
      </c>
      <c r="M113" s="25" t="s">
        <v>322</v>
      </c>
      <c r="Z113" s="17">
        <f t="shared" si="27"/>
        <v>0</v>
      </c>
      <c r="AB113" s="17">
        <f t="shared" si="28"/>
        <v>0</v>
      </c>
      <c r="AC113" s="17">
        <f t="shared" si="29"/>
        <v>0</v>
      </c>
      <c r="AD113" s="17">
        <f t="shared" si="30"/>
        <v>0</v>
      </c>
      <c r="AE113" s="17">
        <f t="shared" si="31"/>
        <v>0</v>
      </c>
      <c r="AF113" s="17">
        <f t="shared" si="32"/>
        <v>0</v>
      </c>
      <c r="AG113" s="17">
        <f t="shared" si="33"/>
        <v>0</v>
      </c>
      <c r="AH113" s="17">
        <f t="shared" si="34"/>
        <v>0</v>
      </c>
      <c r="AI113" s="7" t="s">
        <v>266</v>
      </c>
      <c r="AJ113" s="17">
        <f t="shared" si="35"/>
        <v>0</v>
      </c>
      <c r="AK113" s="17">
        <f t="shared" si="36"/>
        <v>0</v>
      </c>
      <c r="AL113" s="17">
        <f t="shared" si="37"/>
        <v>0</v>
      </c>
      <c r="AN113" s="17">
        <v>21</v>
      </c>
      <c r="AO113" s="17">
        <f t="shared" si="38"/>
        <v>0</v>
      </c>
      <c r="AP113" s="17">
        <f t="shared" si="39"/>
        <v>0</v>
      </c>
      <c r="AQ113" s="14" t="s">
        <v>191</v>
      </c>
      <c r="AV113" s="17">
        <f t="shared" si="40"/>
        <v>0</v>
      </c>
      <c r="AW113" s="17">
        <f t="shared" si="41"/>
        <v>0</v>
      </c>
      <c r="AX113" s="17">
        <f t="shared" si="42"/>
        <v>0</v>
      </c>
      <c r="AY113" s="14" t="s">
        <v>76</v>
      </c>
      <c r="AZ113" s="14" t="s">
        <v>414</v>
      </c>
      <c r="BA113" s="7" t="s">
        <v>294</v>
      </c>
      <c r="BC113" s="17">
        <f t="shared" si="43"/>
        <v>0</v>
      </c>
      <c r="BD113" s="17">
        <f t="shared" si="44"/>
        <v>0</v>
      </c>
      <c r="BE113" s="17">
        <v>0</v>
      </c>
      <c r="BF113" s="17">
        <f>113</f>
        <v>113</v>
      </c>
      <c r="BH113" s="17">
        <f t="shared" si="45"/>
        <v>0</v>
      </c>
      <c r="BI113" s="17">
        <f t="shared" si="46"/>
        <v>0</v>
      </c>
      <c r="BJ113" s="17">
        <f t="shared" si="47"/>
        <v>0</v>
      </c>
      <c r="BK113" s="17"/>
      <c r="BL113" s="17"/>
    </row>
    <row r="114" spans="1:64" ht="15" customHeight="1">
      <c r="A114" s="10" t="s">
        <v>351</v>
      </c>
      <c r="B114" s="4" t="s">
        <v>392</v>
      </c>
      <c r="C114" s="53" t="s">
        <v>30</v>
      </c>
      <c r="D114" s="53"/>
      <c r="E114" s="53"/>
      <c r="F114" s="53"/>
      <c r="G114" s="4" t="s">
        <v>90</v>
      </c>
      <c r="H114" s="17">
        <v>2</v>
      </c>
      <c r="I114" s="17">
        <v>0</v>
      </c>
      <c r="J114" s="17">
        <f t="shared" si="24"/>
        <v>0</v>
      </c>
      <c r="K114" s="17">
        <f t="shared" si="25"/>
        <v>0</v>
      </c>
      <c r="L114" s="17">
        <f t="shared" si="26"/>
        <v>0</v>
      </c>
      <c r="M114" s="25" t="s">
        <v>322</v>
      </c>
      <c r="Z114" s="17">
        <f t="shared" si="27"/>
        <v>0</v>
      </c>
      <c r="AB114" s="17">
        <f t="shared" si="28"/>
        <v>0</v>
      </c>
      <c r="AC114" s="17">
        <f t="shared" si="29"/>
        <v>0</v>
      </c>
      <c r="AD114" s="17">
        <f t="shared" si="30"/>
        <v>0</v>
      </c>
      <c r="AE114" s="17">
        <f t="shared" si="31"/>
        <v>0</v>
      </c>
      <c r="AF114" s="17">
        <f t="shared" si="32"/>
        <v>0</v>
      </c>
      <c r="AG114" s="17">
        <f t="shared" si="33"/>
        <v>0</v>
      </c>
      <c r="AH114" s="17">
        <f t="shared" si="34"/>
        <v>0</v>
      </c>
      <c r="AI114" s="7" t="s">
        <v>266</v>
      </c>
      <c r="AJ114" s="17">
        <f t="shared" si="35"/>
        <v>0</v>
      </c>
      <c r="AK114" s="17">
        <f t="shared" si="36"/>
        <v>0</v>
      </c>
      <c r="AL114" s="17">
        <f t="shared" si="37"/>
        <v>0</v>
      </c>
      <c r="AN114" s="17">
        <v>21</v>
      </c>
      <c r="AO114" s="17">
        <f t="shared" si="38"/>
        <v>0</v>
      </c>
      <c r="AP114" s="17">
        <f t="shared" si="39"/>
        <v>0</v>
      </c>
      <c r="AQ114" s="14" t="s">
        <v>191</v>
      </c>
      <c r="AV114" s="17">
        <f t="shared" si="40"/>
        <v>0</v>
      </c>
      <c r="AW114" s="17">
        <f t="shared" si="41"/>
        <v>0</v>
      </c>
      <c r="AX114" s="17">
        <f t="shared" si="42"/>
        <v>0</v>
      </c>
      <c r="AY114" s="14" t="s">
        <v>76</v>
      </c>
      <c r="AZ114" s="14" t="s">
        <v>414</v>
      </c>
      <c r="BA114" s="7" t="s">
        <v>294</v>
      </c>
      <c r="BC114" s="17">
        <f t="shared" si="43"/>
        <v>0</v>
      </c>
      <c r="BD114" s="17">
        <f t="shared" si="44"/>
        <v>0</v>
      </c>
      <c r="BE114" s="17">
        <v>0</v>
      </c>
      <c r="BF114" s="17">
        <f>114</f>
        <v>114</v>
      </c>
      <c r="BH114" s="17">
        <f t="shared" si="45"/>
        <v>0</v>
      </c>
      <c r="BI114" s="17">
        <f t="shared" si="46"/>
        <v>0</v>
      </c>
      <c r="BJ114" s="17">
        <f t="shared" si="47"/>
        <v>0</v>
      </c>
      <c r="BK114" s="17"/>
      <c r="BL114" s="17"/>
    </row>
    <row r="115" spans="1:64" ht="15" customHeight="1">
      <c r="A115" s="10" t="s">
        <v>256</v>
      </c>
      <c r="B115" s="4" t="s">
        <v>13</v>
      </c>
      <c r="C115" s="53" t="s">
        <v>254</v>
      </c>
      <c r="D115" s="53"/>
      <c r="E115" s="53"/>
      <c r="F115" s="53"/>
      <c r="G115" s="4" t="s">
        <v>90</v>
      </c>
      <c r="H115" s="17">
        <v>3</v>
      </c>
      <c r="I115" s="17">
        <v>0</v>
      </c>
      <c r="J115" s="17">
        <f t="shared" si="24"/>
        <v>0</v>
      </c>
      <c r="K115" s="17">
        <f t="shared" si="25"/>
        <v>0</v>
      </c>
      <c r="L115" s="17">
        <f t="shared" si="26"/>
        <v>0</v>
      </c>
      <c r="M115" s="25" t="s">
        <v>322</v>
      </c>
      <c r="Z115" s="17">
        <f t="shared" si="27"/>
        <v>0</v>
      </c>
      <c r="AB115" s="17">
        <f t="shared" si="28"/>
        <v>0</v>
      </c>
      <c r="AC115" s="17">
        <f t="shared" si="29"/>
        <v>0</v>
      </c>
      <c r="AD115" s="17">
        <f t="shared" si="30"/>
        <v>0</v>
      </c>
      <c r="AE115" s="17">
        <f t="shared" si="31"/>
        <v>0</v>
      </c>
      <c r="AF115" s="17">
        <f t="shared" si="32"/>
        <v>0</v>
      </c>
      <c r="AG115" s="17">
        <f t="shared" si="33"/>
        <v>0</v>
      </c>
      <c r="AH115" s="17">
        <f t="shared" si="34"/>
        <v>0</v>
      </c>
      <c r="AI115" s="7" t="s">
        <v>266</v>
      </c>
      <c r="AJ115" s="17">
        <f t="shared" si="35"/>
        <v>0</v>
      </c>
      <c r="AK115" s="17">
        <f t="shared" si="36"/>
        <v>0</v>
      </c>
      <c r="AL115" s="17">
        <f t="shared" si="37"/>
        <v>0</v>
      </c>
      <c r="AN115" s="17">
        <v>21</v>
      </c>
      <c r="AO115" s="17">
        <f t="shared" si="38"/>
        <v>0</v>
      </c>
      <c r="AP115" s="17">
        <f t="shared" si="39"/>
        <v>0</v>
      </c>
      <c r="AQ115" s="14" t="s">
        <v>191</v>
      </c>
      <c r="AV115" s="17">
        <f t="shared" si="40"/>
        <v>0</v>
      </c>
      <c r="AW115" s="17">
        <f t="shared" si="41"/>
        <v>0</v>
      </c>
      <c r="AX115" s="17">
        <f t="shared" si="42"/>
        <v>0</v>
      </c>
      <c r="AY115" s="14" t="s">
        <v>76</v>
      </c>
      <c r="AZ115" s="14" t="s">
        <v>414</v>
      </c>
      <c r="BA115" s="7" t="s">
        <v>294</v>
      </c>
      <c r="BC115" s="17">
        <f t="shared" si="43"/>
        <v>0</v>
      </c>
      <c r="BD115" s="17">
        <f t="shared" si="44"/>
        <v>0</v>
      </c>
      <c r="BE115" s="17">
        <v>0</v>
      </c>
      <c r="BF115" s="17">
        <f>115</f>
        <v>115</v>
      </c>
      <c r="BH115" s="17">
        <f t="shared" si="45"/>
        <v>0</v>
      </c>
      <c r="BI115" s="17">
        <f t="shared" si="46"/>
        <v>0</v>
      </c>
      <c r="BJ115" s="17">
        <f t="shared" si="47"/>
        <v>0</v>
      </c>
      <c r="BK115" s="17"/>
      <c r="BL115" s="17"/>
    </row>
    <row r="116" spans="1:64" ht="15" customHeight="1">
      <c r="A116" s="10" t="s">
        <v>184</v>
      </c>
      <c r="B116" s="4" t="s">
        <v>143</v>
      </c>
      <c r="C116" s="53" t="s">
        <v>147</v>
      </c>
      <c r="D116" s="53"/>
      <c r="E116" s="53"/>
      <c r="F116" s="53"/>
      <c r="G116" s="4" t="s">
        <v>90</v>
      </c>
      <c r="H116" s="17">
        <v>1</v>
      </c>
      <c r="I116" s="17">
        <v>0</v>
      </c>
      <c r="J116" s="17">
        <f t="shared" si="24"/>
        <v>0</v>
      </c>
      <c r="K116" s="17">
        <f t="shared" si="25"/>
        <v>0</v>
      </c>
      <c r="L116" s="17">
        <f t="shared" si="26"/>
        <v>0</v>
      </c>
      <c r="M116" s="25" t="s">
        <v>322</v>
      </c>
      <c r="Z116" s="17">
        <f t="shared" si="27"/>
        <v>0</v>
      </c>
      <c r="AB116" s="17">
        <f t="shared" si="28"/>
        <v>0</v>
      </c>
      <c r="AC116" s="17">
        <f t="shared" si="29"/>
        <v>0</v>
      </c>
      <c r="AD116" s="17">
        <f t="shared" si="30"/>
        <v>0</v>
      </c>
      <c r="AE116" s="17">
        <f t="shared" si="31"/>
        <v>0</v>
      </c>
      <c r="AF116" s="17">
        <f t="shared" si="32"/>
        <v>0</v>
      </c>
      <c r="AG116" s="17">
        <f t="shared" si="33"/>
        <v>0</v>
      </c>
      <c r="AH116" s="17">
        <f t="shared" si="34"/>
        <v>0</v>
      </c>
      <c r="AI116" s="7" t="s">
        <v>266</v>
      </c>
      <c r="AJ116" s="17">
        <f t="shared" si="35"/>
        <v>0</v>
      </c>
      <c r="AK116" s="17">
        <f t="shared" si="36"/>
        <v>0</v>
      </c>
      <c r="AL116" s="17">
        <f t="shared" si="37"/>
        <v>0</v>
      </c>
      <c r="AN116" s="17">
        <v>21</v>
      </c>
      <c r="AO116" s="17">
        <f t="shared" si="38"/>
        <v>0</v>
      </c>
      <c r="AP116" s="17">
        <f t="shared" si="39"/>
        <v>0</v>
      </c>
      <c r="AQ116" s="14" t="s">
        <v>191</v>
      </c>
      <c r="AV116" s="17">
        <f t="shared" si="40"/>
        <v>0</v>
      </c>
      <c r="AW116" s="17">
        <f t="shared" si="41"/>
        <v>0</v>
      </c>
      <c r="AX116" s="17">
        <f t="shared" si="42"/>
        <v>0</v>
      </c>
      <c r="AY116" s="14" t="s">
        <v>76</v>
      </c>
      <c r="AZ116" s="14" t="s">
        <v>414</v>
      </c>
      <c r="BA116" s="7" t="s">
        <v>294</v>
      </c>
      <c r="BC116" s="17">
        <f t="shared" si="43"/>
        <v>0</v>
      </c>
      <c r="BD116" s="17">
        <f t="shared" si="44"/>
        <v>0</v>
      </c>
      <c r="BE116" s="17">
        <v>0</v>
      </c>
      <c r="BF116" s="17">
        <f>116</f>
        <v>116</v>
      </c>
      <c r="BH116" s="17">
        <f t="shared" si="45"/>
        <v>0</v>
      </c>
      <c r="BI116" s="17">
        <f t="shared" si="46"/>
        <v>0</v>
      </c>
      <c r="BJ116" s="17">
        <f t="shared" si="47"/>
        <v>0</v>
      </c>
      <c r="BK116" s="17"/>
      <c r="BL116" s="17"/>
    </row>
    <row r="117" spans="1:64" ht="15" customHeight="1">
      <c r="A117" s="10" t="s">
        <v>79</v>
      </c>
      <c r="B117" s="4" t="s">
        <v>108</v>
      </c>
      <c r="C117" s="53" t="s">
        <v>88</v>
      </c>
      <c r="D117" s="53"/>
      <c r="E117" s="53"/>
      <c r="F117" s="53"/>
      <c r="G117" s="4" t="s">
        <v>90</v>
      </c>
      <c r="H117" s="17">
        <v>6</v>
      </c>
      <c r="I117" s="17">
        <v>0</v>
      </c>
      <c r="J117" s="17">
        <f t="shared" si="24"/>
        <v>0</v>
      </c>
      <c r="K117" s="17">
        <f t="shared" si="25"/>
        <v>0</v>
      </c>
      <c r="L117" s="17">
        <f t="shared" si="26"/>
        <v>0</v>
      </c>
      <c r="M117" s="25" t="s">
        <v>322</v>
      </c>
      <c r="Z117" s="17">
        <f t="shared" si="27"/>
        <v>0</v>
      </c>
      <c r="AB117" s="17">
        <f t="shared" si="28"/>
        <v>0</v>
      </c>
      <c r="AC117" s="17">
        <f t="shared" si="29"/>
        <v>0</v>
      </c>
      <c r="AD117" s="17">
        <f t="shared" si="30"/>
        <v>0</v>
      </c>
      <c r="AE117" s="17">
        <f t="shared" si="31"/>
        <v>0</v>
      </c>
      <c r="AF117" s="17">
        <f t="shared" si="32"/>
        <v>0</v>
      </c>
      <c r="AG117" s="17">
        <f t="shared" si="33"/>
        <v>0</v>
      </c>
      <c r="AH117" s="17">
        <f t="shared" si="34"/>
        <v>0</v>
      </c>
      <c r="AI117" s="7" t="s">
        <v>266</v>
      </c>
      <c r="AJ117" s="17">
        <f t="shared" si="35"/>
        <v>0</v>
      </c>
      <c r="AK117" s="17">
        <f t="shared" si="36"/>
        <v>0</v>
      </c>
      <c r="AL117" s="17">
        <f t="shared" si="37"/>
        <v>0</v>
      </c>
      <c r="AN117" s="17">
        <v>21</v>
      </c>
      <c r="AO117" s="17">
        <f t="shared" si="38"/>
        <v>0</v>
      </c>
      <c r="AP117" s="17">
        <f t="shared" si="39"/>
        <v>0</v>
      </c>
      <c r="AQ117" s="14" t="s">
        <v>191</v>
      </c>
      <c r="AV117" s="17">
        <f t="shared" si="40"/>
        <v>0</v>
      </c>
      <c r="AW117" s="17">
        <f t="shared" si="41"/>
        <v>0</v>
      </c>
      <c r="AX117" s="17">
        <f t="shared" si="42"/>
        <v>0</v>
      </c>
      <c r="AY117" s="14" t="s">
        <v>76</v>
      </c>
      <c r="AZ117" s="14" t="s">
        <v>414</v>
      </c>
      <c r="BA117" s="7" t="s">
        <v>294</v>
      </c>
      <c r="BC117" s="17">
        <f t="shared" si="43"/>
        <v>0</v>
      </c>
      <c r="BD117" s="17">
        <f t="shared" si="44"/>
        <v>0</v>
      </c>
      <c r="BE117" s="17">
        <v>0</v>
      </c>
      <c r="BF117" s="17">
        <f>117</f>
        <v>117</v>
      </c>
      <c r="BH117" s="17">
        <f t="shared" si="45"/>
        <v>0</v>
      </c>
      <c r="BI117" s="17">
        <f t="shared" si="46"/>
        <v>0</v>
      </c>
      <c r="BJ117" s="17">
        <f t="shared" si="47"/>
        <v>0</v>
      </c>
      <c r="BK117" s="17"/>
      <c r="BL117" s="17"/>
    </row>
    <row r="118" spans="1:64" ht="15" customHeight="1">
      <c r="A118" s="10" t="s">
        <v>29</v>
      </c>
      <c r="B118" s="4" t="s">
        <v>51</v>
      </c>
      <c r="C118" s="53" t="s">
        <v>261</v>
      </c>
      <c r="D118" s="53"/>
      <c r="E118" s="53"/>
      <c r="F118" s="53"/>
      <c r="G118" s="4" t="s">
        <v>90</v>
      </c>
      <c r="H118" s="17">
        <v>2</v>
      </c>
      <c r="I118" s="17">
        <v>0</v>
      </c>
      <c r="J118" s="17">
        <f t="shared" si="24"/>
        <v>0</v>
      </c>
      <c r="K118" s="17">
        <f t="shared" si="25"/>
        <v>0</v>
      </c>
      <c r="L118" s="17">
        <f t="shared" si="26"/>
        <v>0</v>
      </c>
      <c r="M118" s="25" t="s">
        <v>322</v>
      </c>
      <c r="Z118" s="17">
        <f t="shared" si="27"/>
        <v>0</v>
      </c>
      <c r="AB118" s="17">
        <f t="shared" si="28"/>
        <v>0</v>
      </c>
      <c r="AC118" s="17">
        <f t="shared" si="29"/>
        <v>0</v>
      </c>
      <c r="AD118" s="17">
        <f t="shared" si="30"/>
        <v>0</v>
      </c>
      <c r="AE118" s="17">
        <f t="shared" si="31"/>
        <v>0</v>
      </c>
      <c r="AF118" s="17">
        <f t="shared" si="32"/>
        <v>0</v>
      </c>
      <c r="AG118" s="17">
        <f t="shared" si="33"/>
        <v>0</v>
      </c>
      <c r="AH118" s="17">
        <f t="shared" si="34"/>
        <v>0</v>
      </c>
      <c r="AI118" s="7" t="s">
        <v>266</v>
      </c>
      <c r="AJ118" s="17">
        <f t="shared" si="35"/>
        <v>0</v>
      </c>
      <c r="AK118" s="17">
        <f t="shared" si="36"/>
        <v>0</v>
      </c>
      <c r="AL118" s="17">
        <f t="shared" si="37"/>
        <v>0</v>
      </c>
      <c r="AN118" s="17">
        <v>21</v>
      </c>
      <c r="AO118" s="17">
        <f t="shared" si="38"/>
        <v>0</v>
      </c>
      <c r="AP118" s="17">
        <f t="shared" si="39"/>
        <v>0</v>
      </c>
      <c r="AQ118" s="14" t="s">
        <v>191</v>
      </c>
      <c r="AV118" s="17">
        <f t="shared" si="40"/>
        <v>0</v>
      </c>
      <c r="AW118" s="17">
        <f t="shared" si="41"/>
        <v>0</v>
      </c>
      <c r="AX118" s="17">
        <f t="shared" si="42"/>
        <v>0</v>
      </c>
      <c r="AY118" s="14" t="s">
        <v>76</v>
      </c>
      <c r="AZ118" s="14" t="s">
        <v>414</v>
      </c>
      <c r="BA118" s="7" t="s">
        <v>294</v>
      </c>
      <c r="BC118" s="17">
        <f t="shared" si="43"/>
        <v>0</v>
      </c>
      <c r="BD118" s="17">
        <f t="shared" si="44"/>
        <v>0</v>
      </c>
      <c r="BE118" s="17">
        <v>0</v>
      </c>
      <c r="BF118" s="17">
        <f>118</f>
        <v>118</v>
      </c>
      <c r="BH118" s="17">
        <f t="shared" si="45"/>
        <v>0</v>
      </c>
      <c r="BI118" s="17">
        <f t="shared" si="46"/>
        <v>0</v>
      </c>
      <c r="BJ118" s="17">
        <f t="shared" si="47"/>
        <v>0</v>
      </c>
      <c r="BK118" s="17"/>
      <c r="BL118" s="17"/>
    </row>
    <row r="119" spans="1:64" ht="15" customHeight="1">
      <c r="A119" s="10" t="s">
        <v>374</v>
      </c>
      <c r="B119" s="4" t="s">
        <v>407</v>
      </c>
      <c r="C119" s="53" t="s">
        <v>248</v>
      </c>
      <c r="D119" s="53"/>
      <c r="E119" s="53"/>
      <c r="F119" s="53"/>
      <c r="G119" s="4" t="s">
        <v>90</v>
      </c>
      <c r="H119" s="17">
        <v>3</v>
      </c>
      <c r="I119" s="17">
        <v>0</v>
      </c>
      <c r="J119" s="17">
        <f t="shared" si="24"/>
        <v>0</v>
      </c>
      <c r="K119" s="17">
        <f t="shared" si="25"/>
        <v>0</v>
      </c>
      <c r="L119" s="17">
        <f t="shared" si="26"/>
        <v>0</v>
      </c>
      <c r="M119" s="25" t="s">
        <v>322</v>
      </c>
      <c r="Z119" s="17">
        <f t="shared" si="27"/>
        <v>0</v>
      </c>
      <c r="AB119" s="17">
        <f t="shared" si="28"/>
        <v>0</v>
      </c>
      <c r="AC119" s="17">
        <f t="shared" si="29"/>
        <v>0</v>
      </c>
      <c r="AD119" s="17">
        <f t="shared" si="30"/>
        <v>0</v>
      </c>
      <c r="AE119" s="17">
        <f t="shared" si="31"/>
        <v>0</v>
      </c>
      <c r="AF119" s="17">
        <f t="shared" si="32"/>
        <v>0</v>
      </c>
      <c r="AG119" s="17">
        <f t="shared" si="33"/>
        <v>0</v>
      </c>
      <c r="AH119" s="17">
        <f t="shared" si="34"/>
        <v>0</v>
      </c>
      <c r="AI119" s="7" t="s">
        <v>266</v>
      </c>
      <c r="AJ119" s="17">
        <f t="shared" si="35"/>
        <v>0</v>
      </c>
      <c r="AK119" s="17">
        <f t="shared" si="36"/>
        <v>0</v>
      </c>
      <c r="AL119" s="17">
        <f t="shared" si="37"/>
        <v>0</v>
      </c>
      <c r="AN119" s="17">
        <v>21</v>
      </c>
      <c r="AO119" s="17">
        <f t="shared" si="38"/>
        <v>0</v>
      </c>
      <c r="AP119" s="17">
        <f t="shared" si="39"/>
        <v>0</v>
      </c>
      <c r="AQ119" s="14" t="s">
        <v>191</v>
      </c>
      <c r="AV119" s="17">
        <f t="shared" si="40"/>
        <v>0</v>
      </c>
      <c r="AW119" s="17">
        <f t="shared" si="41"/>
        <v>0</v>
      </c>
      <c r="AX119" s="17">
        <f t="shared" si="42"/>
        <v>0</v>
      </c>
      <c r="AY119" s="14" t="s">
        <v>76</v>
      </c>
      <c r="AZ119" s="14" t="s">
        <v>414</v>
      </c>
      <c r="BA119" s="7" t="s">
        <v>294</v>
      </c>
      <c r="BC119" s="17">
        <f t="shared" si="43"/>
        <v>0</v>
      </c>
      <c r="BD119" s="17">
        <f t="shared" si="44"/>
        <v>0</v>
      </c>
      <c r="BE119" s="17">
        <v>0</v>
      </c>
      <c r="BF119" s="17">
        <f>119</f>
        <v>119</v>
      </c>
      <c r="BH119" s="17">
        <f t="shared" si="45"/>
        <v>0</v>
      </c>
      <c r="BI119" s="17">
        <f t="shared" si="46"/>
        <v>0</v>
      </c>
      <c r="BJ119" s="17">
        <f t="shared" si="47"/>
        <v>0</v>
      </c>
      <c r="BK119" s="17"/>
      <c r="BL119" s="17"/>
    </row>
    <row r="120" spans="1:64" ht="15" customHeight="1">
      <c r="A120" s="5" t="s">
        <v>58</v>
      </c>
      <c r="B120" s="33" t="s">
        <v>258</v>
      </c>
      <c r="C120" s="56" t="s">
        <v>70</v>
      </c>
      <c r="D120" s="56"/>
      <c r="E120" s="56"/>
      <c r="F120" s="56"/>
      <c r="G120" s="33" t="s">
        <v>90</v>
      </c>
      <c r="H120" s="21">
        <v>1</v>
      </c>
      <c r="I120" s="21">
        <v>0</v>
      </c>
      <c r="J120" s="21">
        <f t="shared" si="24"/>
        <v>0</v>
      </c>
      <c r="K120" s="21">
        <f t="shared" si="25"/>
        <v>0</v>
      </c>
      <c r="L120" s="21">
        <f t="shared" si="26"/>
        <v>0</v>
      </c>
      <c r="M120" s="15" t="s">
        <v>322</v>
      </c>
      <c r="Z120" s="17">
        <f t="shared" si="27"/>
        <v>0</v>
      </c>
      <c r="AB120" s="17">
        <f t="shared" si="28"/>
        <v>0</v>
      </c>
      <c r="AC120" s="17">
        <f t="shared" si="29"/>
        <v>0</v>
      </c>
      <c r="AD120" s="17">
        <f t="shared" si="30"/>
        <v>0</v>
      </c>
      <c r="AE120" s="17">
        <f t="shared" si="31"/>
        <v>0</v>
      </c>
      <c r="AF120" s="17">
        <f t="shared" si="32"/>
        <v>0</v>
      </c>
      <c r="AG120" s="17">
        <f t="shared" si="33"/>
        <v>0</v>
      </c>
      <c r="AH120" s="17">
        <f t="shared" si="34"/>
        <v>0</v>
      </c>
      <c r="AI120" s="7" t="s">
        <v>266</v>
      </c>
      <c r="AJ120" s="17">
        <f t="shared" si="35"/>
        <v>0</v>
      </c>
      <c r="AK120" s="17">
        <f t="shared" si="36"/>
        <v>0</v>
      </c>
      <c r="AL120" s="17">
        <f t="shared" si="37"/>
        <v>0</v>
      </c>
      <c r="AN120" s="17">
        <v>21</v>
      </c>
      <c r="AO120" s="17">
        <f t="shared" si="38"/>
        <v>0</v>
      </c>
      <c r="AP120" s="17">
        <f t="shared" si="39"/>
        <v>0</v>
      </c>
      <c r="AQ120" s="14" t="s">
        <v>191</v>
      </c>
      <c r="AV120" s="17">
        <f t="shared" si="40"/>
        <v>0</v>
      </c>
      <c r="AW120" s="17">
        <f t="shared" si="41"/>
        <v>0</v>
      </c>
      <c r="AX120" s="17">
        <f t="shared" si="42"/>
        <v>0</v>
      </c>
      <c r="AY120" s="14" t="s">
        <v>76</v>
      </c>
      <c r="AZ120" s="14" t="s">
        <v>414</v>
      </c>
      <c r="BA120" s="7" t="s">
        <v>294</v>
      </c>
      <c r="BC120" s="17">
        <f t="shared" si="43"/>
        <v>0</v>
      </c>
      <c r="BD120" s="17">
        <f t="shared" si="44"/>
        <v>0</v>
      </c>
      <c r="BE120" s="17">
        <v>0</v>
      </c>
      <c r="BF120" s="17">
        <f>120</f>
        <v>120</v>
      </c>
      <c r="BH120" s="17">
        <f t="shared" si="45"/>
        <v>0</v>
      </c>
      <c r="BI120" s="17">
        <f t="shared" si="46"/>
        <v>0</v>
      </c>
      <c r="BJ120" s="17">
        <f t="shared" si="47"/>
        <v>0</v>
      </c>
      <c r="BK120" s="17"/>
      <c r="BL120" s="17"/>
    </row>
    <row r="121" spans="10:12" ht="15" customHeight="1">
      <c r="J121" s="61" t="s">
        <v>308</v>
      </c>
      <c r="K121" s="61"/>
      <c r="L121" s="29">
        <f>L13+L18+L20+L23+L27+L29+L31+L33+L37+L41+L44+L46+L74+L76+L78+L80+L82+L84+L86+L88+L92+L94+L96+L99+L101+L104+L106</f>
        <v>0</v>
      </c>
    </row>
    <row r="122" ht="15" customHeight="1">
      <c r="A122" s="22" t="s">
        <v>27</v>
      </c>
    </row>
    <row r="123" spans="1:13" ht="27" customHeight="1">
      <c r="A123" s="58" t="s">
        <v>173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</row>
  </sheetData>
  <sheetProtection/>
  <mergeCells count="139">
    <mergeCell ref="C118:F118"/>
    <mergeCell ref="C119:F119"/>
    <mergeCell ref="C120:F120"/>
    <mergeCell ref="J121:K121"/>
    <mergeCell ref="A123:M123"/>
    <mergeCell ref="C112:F112"/>
    <mergeCell ref="C113:F113"/>
    <mergeCell ref="C114:F114"/>
    <mergeCell ref="C115:F115"/>
    <mergeCell ref="C116:F116"/>
    <mergeCell ref="C117:F117"/>
    <mergeCell ref="C106:F106"/>
    <mergeCell ref="C107:F107"/>
    <mergeCell ref="C108:F108"/>
    <mergeCell ref="C109:F109"/>
    <mergeCell ref="C110:F110"/>
    <mergeCell ref="C111:F111"/>
    <mergeCell ref="C100:F100"/>
    <mergeCell ref="C101:F101"/>
    <mergeCell ref="C102:F102"/>
    <mergeCell ref="C103:F103"/>
    <mergeCell ref="C104:F104"/>
    <mergeCell ref="C105:F105"/>
    <mergeCell ref="C94:F94"/>
    <mergeCell ref="C95:F95"/>
    <mergeCell ref="C96:F96"/>
    <mergeCell ref="C97:F97"/>
    <mergeCell ref="C98:F98"/>
    <mergeCell ref="C99:F99"/>
    <mergeCell ref="C88:F88"/>
    <mergeCell ref="C89:F89"/>
    <mergeCell ref="C90:F90"/>
    <mergeCell ref="C91:F91"/>
    <mergeCell ref="C92:F92"/>
    <mergeCell ref="C93:F93"/>
    <mergeCell ref="C82:F82"/>
    <mergeCell ref="C83:F83"/>
    <mergeCell ref="C84:F84"/>
    <mergeCell ref="C85:F85"/>
    <mergeCell ref="C86:F86"/>
    <mergeCell ref="C87:F87"/>
    <mergeCell ref="C76:F76"/>
    <mergeCell ref="C77:F77"/>
    <mergeCell ref="C78:F78"/>
    <mergeCell ref="C79:F79"/>
    <mergeCell ref="C80:F80"/>
    <mergeCell ref="C81:F81"/>
    <mergeCell ref="C70:F70"/>
    <mergeCell ref="C71:F71"/>
    <mergeCell ref="C72:F72"/>
    <mergeCell ref="C73:F73"/>
    <mergeCell ref="C74:F74"/>
    <mergeCell ref="C75:F75"/>
    <mergeCell ref="C64:F64"/>
    <mergeCell ref="C65:F65"/>
    <mergeCell ref="C66:F66"/>
    <mergeCell ref="C67:F67"/>
    <mergeCell ref="C68:F68"/>
    <mergeCell ref="C69:F69"/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1:F11"/>
    <mergeCell ref="J10:L10"/>
    <mergeCell ref="C12:F12"/>
    <mergeCell ref="C13:F13"/>
    <mergeCell ref="C14:F14"/>
    <mergeCell ref="C15:F15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</mergeCells>
  <printOptions/>
  <pageMargins left="0.394" right="0.394" top="0.591" bottom="0.591" header="0" footer="0"/>
  <pageSetup firstPageNumber="0" useFirstPageNumber="1"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Motl</cp:lastModifiedBy>
  <dcterms:created xsi:type="dcterms:W3CDTF">2021-06-10T20:06:38Z</dcterms:created>
  <dcterms:modified xsi:type="dcterms:W3CDTF">2023-01-11T13:16:25Z</dcterms:modified>
  <cp:category/>
  <cp:version/>
  <cp:contentType/>
  <cp:contentStatus/>
</cp:coreProperties>
</file>