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defaultThemeVersion="166925"/>
  <xr:revisionPtr revIDLastSave="0" documentId="13_ncr:1_{2945FC7B-71A3-418D-95B3-125DA4D00E17}" xr6:coauthVersionLast="47" xr6:coauthVersionMax="47" xr10:uidLastSave="{00000000-0000-0000-0000-000000000000}"/>
  <bookViews>
    <workbookView xWindow="-28920" yWindow="-120" windowWidth="29040" windowHeight="17520" activeTab="1" xr2:uid="{00000000-000D-0000-FFFF-FFFF00000000}"/>
  </bookViews>
  <sheets>
    <sheet name="Stavební rozpočet" sheetId="1" r:id="rId1"/>
    <sheet name="Krycí list rozpočt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2" l="1"/>
  <c r="F2" i="2"/>
  <c r="C4" i="2"/>
  <c r="F4" i="2"/>
  <c r="C6" i="2"/>
  <c r="F6" i="2"/>
  <c r="C8" i="2"/>
  <c r="F8" i="2"/>
  <c r="C10" i="2"/>
  <c r="F10" i="2"/>
  <c r="I10" i="2"/>
  <c r="C14" i="2"/>
  <c r="C15" i="2"/>
  <c r="C16" i="2"/>
  <c r="C17" i="2"/>
  <c r="C18" i="2"/>
  <c r="C19" i="2"/>
  <c r="C20" i="2"/>
  <c r="C21" i="2"/>
  <c r="C22" i="2"/>
  <c r="F22" i="2"/>
  <c r="I22" i="2"/>
  <c r="C27" i="2"/>
  <c r="C28" i="2"/>
  <c r="F28" i="2"/>
  <c r="I28" i="2"/>
  <c r="C29" i="2"/>
  <c r="F29" i="2"/>
  <c r="I29" i="2"/>
  <c r="J12" i="1"/>
  <c r="K12" i="1"/>
  <c r="L12" i="1"/>
  <c r="AS12" i="1"/>
  <c r="AT12" i="1"/>
  <c r="AU12" i="1"/>
  <c r="J13" i="1"/>
  <c r="K13" i="1"/>
  <c r="L13" i="1"/>
  <c r="Z13" i="1"/>
  <c r="AB13" i="1"/>
  <c r="AC13" i="1"/>
  <c r="AD13" i="1"/>
  <c r="AE13" i="1"/>
  <c r="AF13" i="1"/>
  <c r="AG13" i="1"/>
  <c r="AH13" i="1"/>
  <c r="AJ13" i="1"/>
  <c r="AK13" i="1"/>
  <c r="AL13" i="1"/>
  <c r="AO13" i="1"/>
  <c r="AP13" i="1"/>
  <c r="AV13" i="1"/>
  <c r="AW13" i="1"/>
  <c r="AX13" i="1"/>
  <c r="BC13" i="1"/>
  <c r="BD13" i="1"/>
  <c r="BF13" i="1"/>
  <c r="BH13" i="1"/>
  <c r="BI13" i="1"/>
  <c r="BJ13" i="1"/>
  <c r="J16" i="1"/>
  <c r="K16" i="1"/>
  <c r="L16" i="1"/>
  <c r="Z16" i="1"/>
  <c r="AB16" i="1"/>
  <c r="AC16" i="1"/>
  <c r="AD16" i="1"/>
  <c r="AE16" i="1"/>
  <c r="AF16" i="1"/>
  <c r="AG16" i="1"/>
  <c r="AH16" i="1"/>
  <c r="AJ16" i="1"/>
  <c r="AK16" i="1"/>
  <c r="AL16" i="1"/>
  <c r="AO16" i="1"/>
  <c r="AP16" i="1"/>
  <c r="AV16" i="1"/>
  <c r="AW16" i="1"/>
  <c r="AX16" i="1"/>
  <c r="BC16" i="1"/>
  <c r="BD16" i="1"/>
  <c r="BF16" i="1"/>
  <c r="BH16" i="1"/>
  <c r="BI16" i="1"/>
  <c r="BJ16" i="1"/>
  <c r="J19" i="1"/>
  <c r="K19" i="1"/>
  <c r="L19" i="1"/>
  <c r="Z19" i="1"/>
  <c r="AB19" i="1"/>
  <c r="AC19" i="1"/>
  <c r="AD19" i="1"/>
  <c r="AE19" i="1"/>
  <c r="AF19" i="1"/>
  <c r="AG19" i="1"/>
  <c r="AH19" i="1"/>
  <c r="AJ19" i="1"/>
  <c r="AK19" i="1"/>
  <c r="AL19" i="1"/>
  <c r="AO19" i="1"/>
  <c r="AP19" i="1"/>
  <c r="AV19" i="1"/>
  <c r="AW19" i="1"/>
  <c r="AX19" i="1"/>
  <c r="BC19" i="1"/>
  <c r="BD19" i="1"/>
  <c r="BF19" i="1"/>
  <c r="BH19" i="1"/>
  <c r="BI19" i="1"/>
  <c r="BJ19" i="1"/>
  <c r="J22" i="1"/>
  <c r="K22" i="1"/>
  <c r="L22" i="1"/>
  <c r="AS22" i="1"/>
  <c r="AT22" i="1"/>
  <c r="AU22" i="1"/>
  <c r="J23" i="1"/>
  <c r="K23" i="1"/>
  <c r="L23" i="1"/>
  <c r="Z23" i="1"/>
  <c r="AB23" i="1"/>
  <c r="AC23" i="1"/>
  <c r="AD23" i="1"/>
  <c r="AE23" i="1"/>
  <c r="AF23" i="1"/>
  <c r="AG23" i="1"/>
  <c r="AH23" i="1"/>
  <c r="AJ23" i="1"/>
  <c r="AK23" i="1"/>
  <c r="AL23" i="1"/>
  <c r="AO23" i="1"/>
  <c r="AP23" i="1"/>
  <c r="AV23" i="1"/>
  <c r="AW23" i="1"/>
  <c r="AX23" i="1"/>
  <c r="BC23" i="1"/>
  <c r="BD23" i="1"/>
  <c r="BF23" i="1"/>
  <c r="BH23" i="1"/>
  <c r="BI23" i="1"/>
  <c r="BJ23" i="1"/>
  <c r="J40" i="1"/>
  <c r="K40" i="1"/>
  <c r="L40" i="1"/>
  <c r="Z40" i="1"/>
  <c r="AB40" i="1"/>
  <c r="AC40" i="1"/>
  <c r="AD40" i="1"/>
  <c r="AE40" i="1"/>
  <c r="AF40" i="1"/>
  <c r="AG40" i="1"/>
  <c r="AH40" i="1"/>
  <c r="AJ40" i="1"/>
  <c r="AK40" i="1"/>
  <c r="AL40" i="1"/>
  <c r="AO40" i="1"/>
  <c r="AP40" i="1"/>
  <c r="AV40" i="1"/>
  <c r="AW40" i="1"/>
  <c r="AX40" i="1"/>
  <c r="BC40" i="1"/>
  <c r="BD40" i="1"/>
  <c r="BF40" i="1"/>
  <c r="BH40" i="1"/>
  <c r="BI40" i="1"/>
  <c r="BJ40" i="1"/>
  <c r="J44" i="1"/>
  <c r="K44" i="1"/>
  <c r="L44" i="1"/>
  <c r="Z44" i="1"/>
  <c r="AB44" i="1"/>
  <c r="AC44" i="1"/>
  <c r="AD44" i="1"/>
  <c r="AE44" i="1"/>
  <c r="AF44" i="1"/>
  <c r="AG44" i="1"/>
  <c r="AH44" i="1"/>
  <c r="AJ44" i="1"/>
  <c r="AK44" i="1"/>
  <c r="AL44" i="1"/>
  <c r="AO44" i="1"/>
  <c r="AP44" i="1"/>
  <c r="AV44" i="1"/>
  <c r="AW44" i="1"/>
  <c r="AX44" i="1"/>
  <c r="BC44" i="1"/>
  <c r="BD44" i="1"/>
  <c r="BF44" i="1"/>
  <c r="BH44" i="1"/>
  <c r="BI44" i="1"/>
  <c r="BJ44" i="1"/>
  <c r="J48" i="1"/>
  <c r="K48" i="1"/>
  <c r="L48" i="1"/>
  <c r="Z48" i="1"/>
  <c r="AB48" i="1"/>
  <c r="AC48" i="1"/>
  <c r="AD48" i="1"/>
  <c r="AE48" i="1"/>
  <c r="AF48" i="1"/>
  <c r="AG48" i="1"/>
  <c r="AH48" i="1"/>
  <c r="AJ48" i="1"/>
  <c r="AK48" i="1"/>
  <c r="AL48" i="1"/>
  <c r="AO48" i="1"/>
  <c r="AP48" i="1"/>
  <c r="AV48" i="1"/>
  <c r="AW48" i="1"/>
  <c r="AX48" i="1"/>
  <c r="BC48" i="1"/>
  <c r="BD48" i="1"/>
  <c r="BF48" i="1"/>
  <c r="BH48" i="1"/>
  <c r="BI48" i="1"/>
  <c r="BJ48" i="1"/>
  <c r="J50" i="1"/>
  <c r="K50" i="1"/>
  <c r="L50" i="1"/>
  <c r="AS50" i="1"/>
  <c r="AT50" i="1"/>
  <c r="AU50" i="1"/>
  <c r="J51" i="1"/>
  <c r="K51" i="1"/>
  <c r="L51" i="1"/>
  <c r="Z51" i="1"/>
  <c r="AB51" i="1"/>
  <c r="AC51" i="1"/>
  <c r="AD51" i="1"/>
  <c r="AE51" i="1"/>
  <c r="AF51" i="1"/>
  <c r="AG51" i="1"/>
  <c r="AH51" i="1"/>
  <c r="AJ51" i="1"/>
  <c r="AK51" i="1"/>
  <c r="AL51" i="1"/>
  <c r="AO51" i="1"/>
  <c r="AP51" i="1"/>
  <c r="AV51" i="1"/>
  <c r="AW51" i="1"/>
  <c r="AX51" i="1"/>
  <c r="BC51" i="1"/>
  <c r="BD51" i="1"/>
  <c r="BF51" i="1"/>
  <c r="BH51" i="1"/>
  <c r="BI51" i="1"/>
  <c r="BJ51" i="1"/>
  <c r="J54" i="1"/>
  <c r="K54" i="1"/>
  <c r="L54" i="1"/>
  <c r="Z54" i="1"/>
  <c r="AB54" i="1"/>
  <c r="AC54" i="1"/>
  <c r="AD54" i="1"/>
  <c r="AE54" i="1"/>
  <c r="AF54" i="1"/>
  <c r="AG54" i="1"/>
  <c r="AH54" i="1"/>
  <c r="AJ54" i="1"/>
  <c r="AK54" i="1"/>
  <c r="AL54" i="1"/>
  <c r="AO54" i="1"/>
  <c r="AP54" i="1"/>
  <c r="AV54" i="1"/>
  <c r="AW54" i="1"/>
  <c r="AX54" i="1"/>
  <c r="BC54" i="1"/>
  <c r="BD54" i="1"/>
  <c r="BF54" i="1"/>
  <c r="BH54" i="1"/>
  <c r="BI54" i="1"/>
  <c r="BJ54" i="1"/>
  <c r="J56" i="1"/>
  <c r="K56" i="1"/>
  <c r="L56" i="1"/>
  <c r="AS56" i="1"/>
  <c r="AT56" i="1"/>
  <c r="AU56" i="1"/>
  <c r="J57" i="1"/>
  <c r="K57" i="1"/>
  <c r="L57" i="1"/>
  <c r="Z57" i="1"/>
  <c r="AB57" i="1"/>
  <c r="AC57" i="1"/>
  <c r="AD57" i="1"/>
  <c r="AE57" i="1"/>
  <c r="AF57" i="1"/>
  <c r="AG57" i="1"/>
  <c r="AH57" i="1"/>
  <c r="AJ57" i="1"/>
  <c r="AK57" i="1"/>
  <c r="AL57" i="1"/>
  <c r="AO57" i="1"/>
  <c r="AP57" i="1"/>
  <c r="AV57" i="1"/>
  <c r="AW57" i="1"/>
  <c r="AX57" i="1"/>
  <c r="BC57" i="1"/>
  <c r="BD57" i="1"/>
  <c r="BF57" i="1"/>
  <c r="BH57" i="1"/>
  <c r="BI57" i="1"/>
  <c r="BJ57" i="1"/>
  <c r="J61" i="1"/>
  <c r="K61" i="1"/>
  <c r="L61" i="1"/>
  <c r="AS61" i="1"/>
  <c r="AT61" i="1"/>
  <c r="AU61" i="1"/>
  <c r="J62" i="1"/>
  <c r="K62" i="1"/>
  <c r="L62" i="1"/>
  <c r="Z62" i="1"/>
  <c r="AB62" i="1"/>
  <c r="AC62" i="1"/>
  <c r="AD62" i="1"/>
  <c r="AE62" i="1"/>
  <c r="AF62" i="1"/>
  <c r="AG62" i="1"/>
  <c r="AH62" i="1"/>
  <c r="AJ62" i="1"/>
  <c r="AK62" i="1"/>
  <c r="AL62" i="1"/>
  <c r="AO62" i="1"/>
  <c r="AP62" i="1"/>
  <c r="AV62" i="1"/>
  <c r="AW62" i="1"/>
  <c r="AX62" i="1"/>
  <c r="BC62" i="1"/>
  <c r="BD62" i="1"/>
  <c r="BF62" i="1"/>
  <c r="BH62" i="1"/>
  <c r="BI62" i="1"/>
  <c r="BJ62" i="1"/>
  <c r="J66" i="1"/>
  <c r="K66" i="1"/>
  <c r="L66" i="1"/>
  <c r="Z66" i="1"/>
  <c r="AB66" i="1"/>
  <c r="AC66" i="1"/>
  <c r="AD66" i="1"/>
  <c r="AE66" i="1"/>
  <c r="AF66" i="1"/>
  <c r="AG66" i="1"/>
  <c r="AH66" i="1"/>
  <c r="AJ66" i="1"/>
  <c r="AK66" i="1"/>
  <c r="AL66" i="1"/>
  <c r="AO66" i="1"/>
  <c r="AP66" i="1"/>
  <c r="AV66" i="1"/>
  <c r="AW66" i="1"/>
  <c r="AX66" i="1"/>
  <c r="BC66" i="1"/>
  <c r="BD66" i="1"/>
  <c r="BF66" i="1"/>
  <c r="BH66" i="1"/>
  <c r="BI66" i="1"/>
  <c r="BJ66" i="1"/>
  <c r="J69" i="1"/>
  <c r="K69" i="1"/>
  <c r="L69" i="1"/>
  <c r="Z69" i="1"/>
  <c r="AB69" i="1"/>
  <c r="AC69" i="1"/>
  <c r="AD69" i="1"/>
  <c r="AE69" i="1"/>
  <c r="AF69" i="1"/>
  <c r="AG69" i="1"/>
  <c r="AH69" i="1"/>
  <c r="AJ69" i="1"/>
  <c r="AK69" i="1"/>
  <c r="AL69" i="1"/>
  <c r="AO69" i="1"/>
  <c r="AP69" i="1"/>
  <c r="AV69" i="1"/>
  <c r="AW69" i="1"/>
  <c r="AX69" i="1"/>
  <c r="BC69" i="1"/>
  <c r="BD69" i="1"/>
  <c r="BF69" i="1"/>
  <c r="BH69" i="1"/>
  <c r="BI69" i="1"/>
  <c r="BJ69" i="1"/>
  <c r="J72" i="1"/>
  <c r="K72" i="1"/>
  <c r="L72" i="1"/>
  <c r="Z72" i="1"/>
  <c r="AB72" i="1"/>
  <c r="AC72" i="1"/>
  <c r="AD72" i="1"/>
  <c r="AE72" i="1"/>
  <c r="AF72" i="1"/>
  <c r="AG72" i="1"/>
  <c r="AH72" i="1"/>
  <c r="AJ72" i="1"/>
  <c r="AK72" i="1"/>
  <c r="AL72" i="1"/>
  <c r="AO72" i="1"/>
  <c r="AP72" i="1"/>
  <c r="AV72" i="1"/>
  <c r="AW72" i="1"/>
  <c r="AX72" i="1"/>
  <c r="BC72" i="1"/>
  <c r="BD72" i="1"/>
  <c r="BF72" i="1"/>
  <c r="BH72" i="1"/>
  <c r="BI72" i="1"/>
  <c r="BJ72" i="1"/>
  <c r="J77" i="1"/>
  <c r="K77" i="1"/>
  <c r="L77" i="1"/>
  <c r="AS77" i="1"/>
  <c r="AT77" i="1"/>
  <c r="AU77" i="1"/>
  <c r="J78" i="1"/>
  <c r="K78" i="1"/>
  <c r="L78" i="1"/>
  <c r="Z78" i="1"/>
  <c r="AB78" i="1"/>
  <c r="AC78" i="1"/>
  <c r="AD78" i="1"/>
  <c r="AE78" i="1"/>
  <c r="AF78" i="1"/>
  <c r="AG78" i="1"/>
  <c r="AH78" i="1"/>
  <c r="AJ78" i="1"/>
  <c r="AK78" i="1"/>
  <c r="AL78" i="1"/>
  <c r="AO78" i="1"/>
  <c r="AP78" i="1"/>
  <c r="AV78" i="1"/>
  <c r="AW78" i="1"/>
  <c r="AX78" i="1"/>
  <c r="BC78" i="1"/>
  <c r="BD78" i="1"/>
  <c r="BF78" i="1"/>
  <c r="BH78" i="1"/>
  <c r="BI78" i="1"/>
  <c r="BJ78" i="1"/>
  <c r="J81" i="1"/>
  <c r="K81" i="1"/>
  <c r="L81" i="1"/>
  <c r="Z81" i="1"/>
  <c r="AB81" i="1"/>
  <c r="AC81" i="1"/>
  <c r="AD81" i="1"/>
  <c r="AE81" i="1"/>
  <c r="AF81" i="1"/>
  <c r="AG81" i="1"/>
  <c r="AH81" i="1"/>
  <c r="AJ81" i="1"/>
  <c r="AK81" i="1"/>
  <c r="AL81" i="1"/>
  <c r="AO81" i="1"/>
  <c r="AP81" i="1"/>
  <c r="AV81" i="1"/>
  <c r="AW81" i="1"/>
  <c r="AX81" i="1"/>
  <c r="BC81" i="1"/>
  <c r="BD81" i="1"/>
  <c r="BF81" i="1"/>
  <c r="BH81" i="1"/>
  <c r="BI81" i="1"/>
  <c r="BJ81" i="1"/>
  <c r="J83" i="1"/>
  <c r="K83" i="1"/>
  <c r="L83" i="1"/>
  <c r="AS83" i="1"/>
  <c r="AT83" i="1"/>
  <c r="AU83" i="1"/>
  <c r="J84" i="1"/>
  <c r="K84" i="1"/>
  <c r="L84" i="1"/>
  <c r="Z84" i="1"/>
  <c r="AB84" i="1"/>
  <c r="AC84" i="1"/>
  <c r="AD84" i="1"/>
  <c r="AE84" i="1"/>
  <c r="AF84" i="1"/>
  <c r="AG84" i="1"/>
  <c r="AH84" i="1"/>
  <c r="AJ84" i="1"/>
  <c r="AK84" i="1"/>
  <c r="AL84" i="1"/>
  <c r="AO84" i="1"/>
  <c r="AP84" i="1"/>
  <c r="AV84" i="1"/>
  <c r="AW84" i="1"/>
  <c r="AX84" i="1"/>
  <c r="BC84" i="1"/>
  <c r="BD84" i="1"/>
  <c r="BF84" i="1"/>
  <c r="BH84" i="1"/>
  <c r="BI84" i="1"/>
  <c r="BJ84" i="1"/>
  <c r="J87" i="1"/>
  <c r="K87" i="1"/>
  <c r="L87" i="1"/>
  <c r="Z87" i="1"/>
  <c r="AB87" i="1"/>
  <c r="AC87" i="1"/>
  <c r="AD87" i="1"/>
  <c r="AE87" i="1"/>
  <c r="AF87" i="1"/>
  <c r="AG87" i="1"/>
  <c r="AH87" i="1"/>
  <c r="AJ87" i="1"/>
  <c r="AK87" i="1"/>
  <c r="AL87" i="1"/>
  <c r="AO87" i="1"/>
  <c r="AP87" i="1"/>
  <c r="AV87" i="1"/>
  <c r="AW87" i="1"/>
  <c r="AX87" i="1"/>
  <c r="BC87" i="1"/>
  <c r="BD87" i="1"/>
  <c r="BF87" i="1"/>
  <c r="BH87" i="1"/>
  <c r="BI87" i="1"/>
  <c r="BJ87" i="1"/>
  <c r="J90" i="1"/>
  <c r="K90" i="1"/>
  <c r="L90" i="1"/>
  <c r="Z90" i="1"/>
  <c r="AB90" i="1"/>
  <c r="AC90" i="1"/>
  <c r="AD90" i="1"/>
  <c r="AE90" i="1"/>
  <c r="AF90" i="1"/>
  <c r="AG90" i="1"/>
  <c r="AH90" i="1"/>
  <c r="AJ90" i="1"/>
  <c r="AK90" i="1"/>
  <c r="AL90" i="1"/>
  <c r="AO90" i="1"/>
  <c r="AP90" i="1"/>
  <c r="AV90" i="1"/>
  <c r="AW90" i="1"/>
  <c r="AX90" i="1"/>
  <c r="BC90" i="1"/>
  <c r="BD90" i="1"/>
  <c r="BF90" i="1"/>
  <c r="BH90" i="1"/>
  <c r="BI90" i="1"/>
  <c r="BJ90" i="1"/>
  <c r="J93" i="1"/>
  <c r="K93" i="1"/>
  <c r="L93" i="1"/>
  <c r="Z93" i="1"/>
  <c r="AB93" i="1"/>
  <c r="AC93" i="1"/>
  <c r="AD93" i="1"/>
  <c r="AE93" i="1"/>
  <c r="AF93" i="1"/>
  <c r="AG93" i="1"/>
  <c r="AH93" i="1"/>
  <c r="AJ93" i="1"/>
  <c r="AK93" i="1"/>
  <c r="AL93" i="1"/>
  <c r="AO93" i="1"/>
  <c r="AP93" i="1"/>
  <c r="AV93" i="1"/>
  <c r="AW93" i="1"/>
  <c r="AX93" i="1"/>
  <c r="BC93" i="1"/>
  <c r="BD93" i="1"/>
  <c r="BF93" i="1"/>
  <c r="BH93" i="1"/>
  <c r="BI93" i="1"/>
  <c r="BJ93" i="1"/>
  <c r="J95" i="1"/>
  <c r="K95" i="1"/>
  <c r="L95" i="1"/>
  <c r="Z95" i="1"/>
  <c r="AB95" i="1"/>
  <c r="AC95" i="1"/>
  <c r="AD95" i="1"/>
  <c r="AE95" i="1"/>
  <c r="AF95" i="1"/>
  <c r="AG95" i="1"/>
  <c r="AH95" i="1"/>
  <c r="AJ95" i="1"/>
  <c r="AK95" i="1"/>
  <c r="AL95" i="1"/>
  <c r="AO95" i="1"/>
  <c r="AP95" i="1"/>
  <c r="AV95" i="1"/>
  <c r="AW95" i="1"/>
  <c r="AX95" i="1"/>
  <c r="BC95" i="1"/>
  <c r="BD95" i="1"/>
  <c r="BF95" i="1"/>
  <c r="BH95" i="1"/>
  <c r="BI95" i="1"/>
  <c r="BJ95" i="1"/>
  <c r="J97" i="1"/>
  <c r="K97" i="1"/>
  <c r="L97" i="1"/>
  <c r="AS97" i="1"/>
  <c r="AT97" i="1"/>
  <c r="AU97" i="1"/>
  <c r="J98" i="1"/>
  <c r="K98" i="1"/>
  <c r="L98" i="1"/>
  <c r="Z98" i="1"/>
  <c r="AB98" i="1"/>
  <c r="AC98" i="1"/>
  <c r="AD98" i="1"/>
  <c r="AE98" i="1"/>
  <c r="AF98" i="1"/>
  <c r="AG98" i="1"/>
  <c r="AH98" i="1"/>
  <c r="AJ98" i="1"/>
  <c r="AK98" i="1"/>
  <c r="AL98" i="1"/>
  <c r="AO98" i="1"/>
  <c r="AP98" i="1"/>
  <c r="AV98" i="1"/>
  <c r="AW98" i="1"/>
  <c r="AX98" i="1"/>
  <c r="BC98" i="1"/>
  <c r="BD98" i="1"/>
  <c r="BF98" i="1"/>
  <c r="BH98" i="1"/>
  <c r="BI98" i="1"/>
  <c r="BJ98" i="1"/>
  <c r="J101" i="1"/>
  <c r="K101" i="1"/>
  <c r="L101" i="1"/>
  <c r="Z101" i="1"/>
  <c r="AB101" i="1"/>
  <c r="AC101" i="1"/>
  <c r="AD101" i="1"/>
  <c r="AE101" i="1"/>
  <c r="AF101" i="1"/>
  <c r="AG101" i="1"/>
  <c r="AH101" i="1"/>
  <c r="AJ101" i="1"/>
  <c r="AK101" i="1"/>
  <c r="AL101" i="1"/>
  <c r="AO101" i="1"/>
  <c r="AP101" i="1"/>
  <c r="AV101" i="1"/>
  <c r="AW101" i="1"/>
  <c r="AX101" i="1"/>
  <c r="BC101" i="1"/>
  <c r="BD101" i="1"/>
  <c r="BF101" i="1"/>
  <c r="BH101" i="1"/>
  <c r="BI101" i="1"/>
  <c r="BJ101" i="1"/>
  <c r="J102" i="1"/>
  <c r="K102" i="1"/>
  <c r="L102" i="1"/>
  <c r="AS102" i="1"/>
  <c r="AT102" i="1"/>
  <c r="AU102" i="1"/>
  <c r="J103" i="1"/>
  <c r="K103" i="1"/>
  <c r="L103" i="1"/>
  <c r="Z103" i="1"/>
  <c r="AB103" i="1"/>
  <c r="AC103" i="1"/>
  <c r="AD103" i="1"/>
  <c r="AE103" i="1"/>
  <c r="AF103" i="1"/>
  <c r="AG103" i="1"/>
  <c r="AH103" i="1"/>
  <c r="AJ103" i="1"/>
  <c r="AK103" i="1"/>
  <c r="AL103" i="1"/>
  <c r="AO103" i="1"/>
  <c r="AP103" i="1"/>
  <c r="AV103" i="1"/>
  <c r="AW103" i="1"/>
  <c r="AX103" i="1"/>
  <c r="BC103" i="1"/>
  <c r="BD103" i="1"/>
  <c r="BF103" i="1"/>
  <c r="BH103" i="1"/>
  <c r="BI103" i="1"/>
  <c r="BJ103" i="1"/>
  <c r="J105" i="1"/>
  <c r="K105" i="1"/>
  <c r="L105" i="1"/>
  <c r="AS105" i="1"/>
  <c r="AT105" i="1"/>
  <c r="AU105" i="1"/>
  <c r="J106" i="1"/>
  <c r="K106" i="1"/>
  <c r="L106" i="1"/>
  <c r="Z106" i="1"/>
  <c r="AB106" i="1"/>
  <c r="AC106" i="1"/>
  <c r="AD106" i="1"/>
  <c r="AE106" i="1"/>
  <c r="AF106" i="1"/>
  <c r="AG106" i="1"/>
  <c r="AH106" i="1"/>
  <c r="AJ106" i="1"/>
  <c r="AK106" i="1"/>
  <c r="AL106" i="1"/>
  <c r="AO106" i="1"/>
  <c r="AP106" i="1"/>
  <c r="AV106" i="1"/>
  <c r="AW106" i="1"/>
  <c r="AX106" i="1"/>
  <c r="BC106" i="1"/>
  <c r="BD106" i="1"/>
  <c r="BF106" i="1"/>
  <c r="BH106" i="1"/>
  <c r="BI106" i="1"/>
  <c r="BJ106" i="1"/>
  <c r="J108" i="1"/>
  <c r="K108" i="1"/>
  <c r="L108" i="1"/>
  <c r="AS108" i="1"/>
  <c r="AT108" i="1"/>
  <c r="AU108" i="1"/>
  <c r="J109" i="1"/>
  <c r="K109" i="1"/>
  <c r="L109" i="1"/>
  <c r="Z109" i="1"/>
  <c r="AB109" i="1"/>
  <c r="AC109" i="1"/>
  <c r="AD109" i="1"/>
  <c r="AE109" i="1"/>
  <c r="AF109" i="1"/>
  <c r="AG109" i="1"/>
  <c r="AH109" i="1"/>
  <c r="AJ109" i="1"/>
  <c r="AK109" i="1"/>
  <c r="AL109" i="1"/>
  <c r="AO109" i="1"/>
  <c r="AP109" i="1"/>
  <c r="AV109" i="1"/>
  <c r="AW109" i="1"/>
  <c r="AX109" i="1"/>
  <c r="BC109" i="1"/>
  <c r="BD109" i="1"/>
  <c r="BF109" i="1"/>
  <c r="BH109" i="1"/>
  <c r="BI109" i="1"/>
  <c r="BJ109" i="1"/>
  <c r="J111" i="1"/>
  <c r="K111" i="1"/>
  <c r="L111" i="1"/>
  <c r="Z111" i="1"/>
  <c r="AB111" i="1"/>
  <c r="AC111" i="1"/>
  <c r="AD111" i="1"/>
  <c r="AE111" i="1"/>
  <c r="AF111" i="1"/>
  <c r="AG111" i="1"/>
  <c r="AH111" i="1"/>
  <c r="AJ111" i="1"/>
  <c r="AK111" i="1"/>
  <c r="AL111" i="1"/>
  <c r="AO111" i="1"/>
  <c r="AP111" i="1"/>
  <c r="AV111" i="1"/>
  <c r="AW111" i="1"/>
  <c r="AX111" i="1"/>
  <c r="BC111" i="1"/>
  <c r="BD111" i="1"/>
  <c r="BF111" i="1"/>
  <c r="BH111" i="1"/>
  <c r="BI111" i="1"/>
  <c r="BJ111" i="1"/>
  <c r="J113" i="1"/>
  <c r="K113" i="1"/>
  <c r="L113" i="1"/>
  <c r="Z113" i="1"/>
  <c r="AB113" i="1"/>
  <c r="AC113" i="1"/>
  <c r="AD113" i="1"/>
  <c r="AE113" i="1"/>
  <c r="AF113" i="1"/>
  <c r="AG113" i="1"/>
  <c r="AH113" i="1"/>
  <c r="AJ113" i="1"/>
  <c r="AK113" i="1"/>
  <c r="AL113" i="1"/>
  <c r="AO113" i="1"/>
  <c r="AP113" i="1"/>
  <c r="AV113" i="1"/>
  <c r="AW113" i="1"/>
  <c r="AX113" i="1"/>
  <c r="BC113" i="1"/>
  <c r="BD113" i="1"/>
  <c r="BF113" i="1"/>
  <c r="BH113" i="1"/>
  <c r="BI113" i="1"/>
  <c r="BJ113" i="1"/>
  <c r="J116" i="1"/>
  <c r="K116" i="1"/>
  <c r="L116" i="1"/>
  <c r="Z116" i="1"/>
  <c r="AB116" i="1"/>
  <c r="AC116" i="1"/>
  <c r="AD116" i="1"/>
  <c r="AE116" i="1"/>
  <c r="AF116" i="1"/>
  <c r="AG116" i="1"/>
  <c r="AH116" i="1"/>
  <c r="AJ116" i="1"/>
  <c r="AK116" i="1"/>
  <c r="AL116" i="1"/>
  <c r="AO116" i="1"/>
  <c r="AP116" i="1"/>
  <c r="AV116" i="1"/>
  <c r="AW116" i="1"/>
  <c r="AX116" i="1"/>
  <c r="BC116" i="1"/>
  <c r="BD116" i="1"/>
  <c r="BF116" i="1"/>
  <c r="BH116" i="1"/>
  <c r="BI116" i="1"/>
  <c r="BJ116" i="1"/>
  <c r="J118" i="1"/>
  <c r="K118" i="1"/>
  <c r="L118" i="1"/>
  <c r="Z118" i="1"/>
  <c r="AB118" i="1"/>
  <c r="AC118" i="1"/>
  <c r="AD118" i="1"/>
  <c r="AE118" i="1"/>
  <c r="AF118" i="1"/>
  <c r="AG118" i="1"/>
  <c r="AH118" i="1"/>
  <c r="AJ118" i="1"/>
  <c r="AK118" i="1"/>
  <c r="AL118" i="1"/>
  <c r="AO118" i="1"/>
  <c r="AP118" i="1"/>
  <c r="AV118" i="1"/>
  <c r="AW118" i="1"/>
  <c r="AX118" i="1"/>
  <c r="BC118" i="1"/>
  <c r="BD118" i="1"/>
  <c r="BF118" i="1"/>
  <c r="BH118" i="1"/>
  <c r="BI118" i="1"/>
  <c r="BJ118" i="1"/>
  <c r="J121" i="1"/>
  <c r="K121" i="1"/>
  <c r="L121" i="1"/>
  <c r="Z121" i="1"/>
  <c r="AB121" i="1"/>
  <c r="AC121" i="1"/>
  <c r="AD121" i="1"/>
  <c r="AE121" i="1"/>
  <c r="AF121" i="1"/>
  <c r="AG121" i="1"/>
  <c r="AH121" i="1"/>
  <c r="AJ121" i="1"/>
  <c r="AK121" i="1"/>
  <c r="AL121" i="1"/>
  <c r="AO121" i="1"/>
  <c r="AP121" i="1"/>
  <c r="AV121" i="1"/>
  <c r="AW121" i="1"/>
  <c r="AX121" i="1"/>
  <c r="BC121" i="1"/>
  <c r="BD121" i="1"/>
  <c r="BF121" i="1"/>
  <c r="BH121" i="1"/>
  <c r="BI121" i="1"/>
  <c r="BJ121" i="1"/>
  <c r="J122" i="1"/>
  <c r="K122" i="1"/>
  <c r="L122" i="1"/>
  <c r="AS122" i="1"/>
  <c r="AT122" i="1"/>
  <c r="AU122" i="1"/>
  <c r="J123" i="1"/>
  <c r="K123" i="1"/>
  <c r="L123" i="1"/>
  <c r="Z123" i="1"/>
  <c r="AB123" i="1"/>
  <c r="AC123" i="1"/>
  <c r="AD123" i="1"/>
  <c r="AE123" i="1"/>
  <c r="AF123" i="1"/>
  <c r="AG123" i="1"/>
  <c r="AH123" i="1"/>
  <c r="AJ123" i="1"/>
  <c r="AK123" i="1"/>
  <c r="AL123" i="1"/>
  <c r="AO123" i="1"/>
  <c r="AP123" i="1"/>
  <c r="AV123" i="1"/>
  <c r="AW123" i="1"/>
  <c r="AX123" i="1"/>
  <c r="BC123" i="1"/>
  <c r="BD123" i="1"/>
  <c r="BF123" i="1"/>
  <c r="BH123" i="1"/>
  <c r="BI123" i="1"/>
  <c r="BJ123" i="1"/>
  <c r="J125" i="1"/>
  <c r="K125" i="1"/>
  <c r="L125" i="1"/>
  <c r="AS125" i="1"/>
  <c r="AT125" i="1"/>
  <c r="AU125" i="1"/>
  <c r="J126" i="1"/>
  <c r="K126" i="1"/>
  <c r="L126" i="1"/>
  <c r="Z126" i="1"/>
  <c r="AB126" i="1"/>
  <c r="AC126" i="1"/>
  <c r="AD126" i="1"/>
  <c r="AE126" i="1"/>
  <c r="AF126" i="1"/>
  <c r="AG126" i="1"/>
  <c r="AH126" i="1"/>
  <c r="AJ126" i="1"/>
  <c r="AK126" i="1"/>
  <c r="AL126" i="1"/>
  <c r="AO126" i="1"/>
  <c r="AP126" i="1"/>
  <c r="AV126" i="1"/>
  <c r="AW126" i="1"/>
  <c r="AX126" i="1"/>
  <c r="BC126" i="1"/>
  <c r="BD126" i="1"/>
  <c r="BF126" i="1"/>
  <c r="BH126" i="1"/>
  <c r="BI126" i="1"/>
  <c r="BJ126" i="1"/>
  <c r="J145" i="1"/>
  <c r="K145" i="1"/>
  <c r="L145" i="1"/>
  <c r="Z145" i="1"/>
  <c r="AB145" i="1"/>
  <c r="AC145" i="1"/>
  <c r="AD145" i="1"/>
  <c r="AE145" i="1"/>
  <c r="AF145" i="1"/>
  <c r="AG145" i="1"/>
  <c r="AH145" i="1"/>
  <c r="AJ145" i="1"/>
  <c r="AK145" i="1"/>
  <c r="AL145" i="1"/>
  <c r="AO145" i="1"/>
  <c r="AP145" i="1"/>
  <c r="AV145" i="1"/>
  <c r="AW145" i="1"/>
  <c r="AX145" i="1"/>
  <c r="BC145" i="1"/>
  <c r="BD145" i="1"/>
  <c r="BF145" i="1"/>
  <c r="BH145" i="1"/>
  <c r="BI145" i="1"/>
  <c r="BJ145" i="1"/>
  <c r="J147" i="1"/>
  <c r="K147" i="1"/>
  <c r="L147" i="1"/>
  <c r="Z147" i="1"/>
  <c r="AB147" i="1"/>
  <c r="AC147" i="1"/>
  <c r="AD147" i="1"/>
  <c r="AE147" i="1"/>
  <c r="AF147" i="1"/>
  <c r="AG147" i="1"/>
  <c r="AH147" i="1"/>
  <c r="AJ147" i="1"/>
  <c r="AK147" i="1"/>
  <c r="AL147" i="1"/>
  <c r="AO147" i="1"/>
  <c r="AP147" i="1"/>
  <c r="AV147" i="1"/>
  <c r="AW147" i="1"/>
  <c r="AX147" i="1"/>
  <c r="BC147" i="1"/>
  <c r="BD147" i="1"/>
  <c r="BF147" i="1"/>
  <c r="BH147" i="1"/>
  <c r="BI147" i="1"/>
  <c r="BJ147" i="1"/>
  <c r="J150" i="1"/>
  <c r="K150" i="1"/>
  <c r="L150" i="1"/>
  <c r="Z150" i="1"/>
  <c r="AB150" i="1"/>
  <c r="AC150" i="1"/>
  <c r="AD150" i="1"/>
  <c r="AE150" i="1"/>
  <c r="AF150" i="1"/>
  <c r="AG150" i="1"/>
  <c r="AH150" i="1"/>
  <c r="AJ150" i="1"/>
  <c r="AK150" i="1"/>
  <c r="AL150" i="1"/>
  <c r="AO150" i="1"/>
  <c r="AP150" i="1"/>
  <c r="AV150" i="1"/>
  <c r="AW150" i="1"/>
  <c r="AX150" i="1"/>
  <c r="BC150" i="1"/>
  <c r="BD150" i="1"/>
  <c r="BF150" i="1"/>
  <c r="BH150" i="1"/>
  <c r="BI150" i="1"/>
  <c r="BJ150" i="1"/>
  <c r="J154" i="1"/>
  <c r="K154" i="1"/>
  <c r="L154" i="1"/>
  <c r="Z154" i="1"/>
  <c r="AB154" i="1"/>
  <c r="AC154" i="1"/>
  <c r="AD154" i="1"/>
  <c r="AE154" i="1"/>
  <c r="AF154" i="1"/>
  <c r="AG154" i="1"/>
  <c r="AH154" i="1"/>
  <c r="AJ154" i="1"/>
  <c r="AK154" i="1"/>
  <c r="AL154" i="1"/>
  <c r="AO154" i="1"/>
  <c r="AP154" i="1"/>
  <c r="AV154" i="1"/>
  <c r="AW154" i="1"/>
  <c r="AX154" i="1"/>
  <c r="BC154" i="1"/>
  <c r="BD154" i="1"/>
  <c r="BF154" i="1"/>
  <c r="BH154" i="1"/>
  <c r="BI154" i="1"/>
  <c r="BJ154" i="1"/>
  <c r="J157" i="1"/>
  <c r="K157" i="1"/>
  <c r="L157" i="1"/>
  <c r="Z157" i="1"/>
  <c r="AB157" i="1"/>
  <c r="AC157" i="1"/>
  <c r="AD157" i="1"/>
  <c r="AE157" i="1"/>
  <c r="AF157" i="1"/>
  <c r="AG157" i="1"/>
  <c r="AH157" i="1"/>
  <c r="AJ157" i="1"/>
  <c r="AK157" i="1"/>
  <c r="AL157" i="1"/>
  <c r="AO157" i="1"/>
  <c r="AP157" i="1"/>
  <c r="AV157" i="1"/>
  <c r="AW157" i="1"/>
  <c r="AX157" i="1"/>
  <c r="BC157" i="1"/>
  <c r="BD157" i="1"/>
  <c r="BF157" i="1"/>
  <c r="BH157" i="1"/>
  <c r="BI157" i="1"/>
  <c r="BJ157" i="1"/>
  <c r="J160" i="1"/>
  <c r="K160" i="1"/>
  <c r="L160" i="1"/>
  <c r="Z160" i="1"/>
  <c r="AB160" i="1"/>
  <c r="AC160" i="1"/>
  <c r="AD160" i="1"/>
  <c r="AE160" i="1"/>
  <c r="AF160" i="1"/>
  <c r="AG160" i="1"/>
  <c r="AH160" i="1"/>
  <c r="AJ160" i="1"/>
  <c r="AK160" i="1"/>
  <c r="AL160" i="1"/>
  <c r="AO160" i="1"/>
  <c r="AP160" i="1"/>
  <c r="AV160" i="1"/>
  <c r="AW160" i="1"/>
  <c r="AX160" i="1"/>
  <c r="BC160" i="1"/>
  <c r="BD160" i="1"/>
  <c r="BF160" i="1"/>
  <c r="BH160" i="1"/>
  <c r="BI160" i="1"/>
  <c r="BJ160" i="1"/>
  <c r="J161" i="1"/>
  <c r="K161" i="1"/>
  <c r="L161" i="1"/>
  <c r="AS161" i="1"/>
  <c r="AT161" i="1"/>
  <c r="AU161" i="1"/>
  <c r="J162" i="1"/>
  <c r="K162" i="1"/>
  <c r="L162" i="1"/>
  <c r="Z162" i="1"/>
  <c r="AB162" i="1"/>
  <c r="AC162" i="1"/>
  <c r="AD162" i="1"/>
  <c r="AE162" i="1"/>
  <c r="AF162" i="1"/>
  <c r="AG162" i="1"/>
  <c r="AH162" i="1"/>
  <c r="AJ162" i="1"/>
  <c r="AK162" i="1"/>
  <c r="AL162" i="1"/>
  <c r="AO162" i="1"/>
  <c r="AP162" i="1"/>
  <c r="AV162" i="1"/>
  <c r="AW162" i="1"/>
  <c r="AX162" i="1"/>
  <c r="BC162" i="1"/>
  <c r="BD162" i="1"/>
  <c r="BF162" i="1"/>
  <c r="BH162" i="1"/>
  <c r="BI162" i="1"/>
  <c r="BJ162" i="1"/>
  <c r="J164" i="1"/>
  <c r="K164" i="1"/>
  <c r="L164" i="1"/>
  <c r="Z164" i="1"/>
  <c r="AB164" i="1"/>
  <c r="AC164" i="1"/>
  <c r="AD164" i="1"/>
  <c r="AE164" i="1"/>
  <c r="AF164" i="1"/>
  <c r="AG164" i="1"/>
  <c r="AH164" i="1"/>
  <c r="AJ164" i="1"/>
  <c r="AK164" i="1"/>
  <c r="AL164" i="1"/>
  <c r="AO164" i="1"/>
  <c r="AP164" i="1"/>
  <c r="AV164" i="1"/>
  <c r="AW164" i="1"/>
  <c r="AX164" i="1"/>
  <c r="BC164" i="1"/>
  <c r="BD164" i="1"/>
  <c r="BF164" i="1"/>
  <c r="BH164" i="1"/>
  <c r="BI164" i="1"/>
  <c r="BJ164" i="1"/>
  <c r="J184" i="1"/>
  <c r="K184" i="1"/>
  <c r="L184" i="1"/>
  <c r="Z184" i="1"/>
  <c r="AB184" i="1"/>
  <c r="AC184" i="1"/>
  <c r="AD184" i="1"/>
  <c r="AE184" i="1"/>
  <c r="AF184" i="1"/>
  <c r="AG184" i="1"/>
  <c r="AH184" i="1"/>
  <c r="AJ184" i="1"/>
  <c r="AK184" i="1"/>
  <c r="AL184" i="1"/>
  <c r="AO184" i="1"/>
  <c r="AP184" i="1"/>
  <c r="AV184" i="1"/>
  <c r="AW184" i="1"/>
  <c r="AX184" i="1"/>
  <c r="BC184" i="1"/>
  <c r="BD184" i="1"/>
  <c r="BF184" i="1"/>
  <c r="BH184" i="1"/>
  <c r="BI184" i="1"/>
  <c r="BJ184" i="1"/>
  <c r="J187" i="1"/>
  <c r="K187" i="1"/>
  <c r="L187" i="1"/>
  <c r="Z187" i="1"/>
  <c r="AB187" i="1"/>
  <c r="AC187" i="1"/>
  <c r="AD187" i="1"/>
  <c r="AE187" i="1"/>
  <c r="AF187" i="1"/>
  <c r="AG187" i="1"/>
  <c r="AH187" i="1"/>
  <c r="AJ187" i="1"/>
  <c r="AK187" i="1"/>
  <c r="AL187" i="1"/>
  <c r="AO187" i="1"/>
  <c r="AP187" i="1"/>
  <c r="AV187" i="1"/>
  <c r="AW187" i="1"/>
  <c r="AX187" i="1"/>
  <c r="BC187" i="1"/>
  <c r="BD187" i="1"/>
  <c r="BF187" i="1"/>
  <c r="BH187" i="1"/>
  <c r="BI187" i="1"/>
  <c r="BJ187" i="1"/>
  <c r="J188" i="1"/>
  <c r="K188" i="1"/>
  <c r="L188" i="1"/>
  <c r="AS188" i="1"/>
  <c r="AT188" i="1"/>
  <c r="AU188" i="1"/>
  <c r="J189" i="1"/>
  <c r="K189" i="1"/>
  <c r="L189" i="1"/>
  <c r="Z189" i="1"/>
  <c r="AB189" i="1"/>
  <c r="AC189" i="1"/>
  <c r="AD189" i="1"/>
  <c r="AE189" i="1"/>
  <c r="AF189" i="1"/>
  <c r="AG189" i="1"/>
  <c r="AH189" i="1"/>
  <c r="AJ189" i="1"/>
  <c r="AK189" i="1"/>
  <c r="AL189" i="1"/>
  <c r="AO189" i="1"/>
  <c r="AP189" i="1"/>
  <c r="AV189" i="1"/>
  <c r="AW189" i="1"/>
  <c r="AX189" i="1"/>
  <c r="BC189" i="1"/>
  <c r="BD189" i="1"/>
  <c r="BF189" i="1"/>
  <c r="BH189" i="1"/>
  <c r="BI189" i="1"/>
  <c r="BJ189" i="1"/>
  <c r="J192" i="1"/>
  <c r="K192" i="1"/>
  <c r="L192" i="1"/>
  <c r="AS192" i="1"/>
  <c r="AT192" i="1"/>
  <c r="AU192" i="1"/>
  <c r="J193" i="1"/>
  <c r="K193" i="1"/>
  <c r="L193" i="1"/>
  <c r="Z193" i="1"/>
  <c r="AB193" i="1"/>
  <c r="AC193" i="1"/>
  <c r="AD193" i="1"/>
  <c r="AE193" i="1"/>
  <c r="AF193" i="1"/>
  <c r="AG193" i="1"/>
  <c r="AH193" i="1"/>
  <c r="AJ193" i="1"/>
  <c r="AK193" i="1"/>
  <c r="AL193" i="1"/>
  <c r="AO193" i="1"/>
  <c r="AP193" i="1"/>
  <c r="AV193" i="1"/>
  <c r="AW193" i="1"/>
  <c r="AX193" i="1"/>
  <c r="BC193" i="1"/>
  <c r="BD193" i="1"/>
  <c r="BF193" i="1"/>
  <c r="BH193" i="1"/>
  <c r="BI193" i="1"/>
  <c r="BJ193" i="1"/>
  <c r="J199" i="1"/>
  <c r="K199" i="1"/>
  <c r="L199" i="1"/>
  <c r="Z199" i="1"/>
  <c r="AB199" i="1"/>
  <c r="AC199" i="1"/>
  <c r="AD199" i="1"/>
  <c r="AE199" i="1"/>
  <c r="AF199" i="1"/>
  <c r="AG199" i="1"/>
  <c r="AH199" i="1"/>
  <c r="AJ199" i="1"/>
  <c r="AK199" i="1"/>
  <c r="AL199" i="1"/>
  <c r="AO199" i="1"/>
  <c r="AP199" i="1"/>
  <c r="AV199" i="1"/>
  <c r="AW199" i="1"/>
  <c r="AX199" i="1"/>
  <c r="BC199" i="1"/>
  <c r="BD199" i="1"/>
  <c r="BF199" i="1"/>
  <c r="BH199" i="1"/>
  <c r="BI199" i="1"/>
  <c r="BJ199" i="1"/>
  <c r="J205" i="1"/>
  <c r="K205" i="1"/>
  <c r="L205" i="1"/>
  <c r="AS205" i="1"/>
  <c r="AT205" i="1"/>
  <c r="AU205" i="1"/>
  <c r="J206" i="1"/>
  <c r="K206" i="1"/>
  <c r="L206" i="1"/>
  <c r="Z206" i="1"/>
  <c r="AB206" i="1"/>
  <c r="AC206" i="1"/>
  <c r="AD206" i="1"/>
  <c r="AE206" i="1"/>
  <c r="AF206" i="1"/>
  <c r="AG206" i="1"/>
  <c r="AH206" i="1"/>
  <c r="AJ206" i="1"/>
  <c r="AK206" i="1"/>
  <c r="AL206" i="1"/>
  <c r="AO206" i="1"/>
  <c r="AP206" i="1"/>
  <c r="AV206" i="1"/>
  <c r="AW206" i="1"/>
  <c r="AX206" i="1"/>
  <c r="BC206" i="1"/>
  <c r="BD206" i="1"/>
  <c r="BF206" i="1"/>
  <c r="BH206" i="1"/>
  <c r="BI206" i="1"/>
  <c r="BJ206" i="1"/>
  <c r="J208" i="1"/>
  <c r="K208" i="1"/>
  <c r="L208" i="1"/>
  <c r="AS208" i="1"/>
  <c r="AT208" i="1"/>
  <c r="AU208" i="1"/>
  <c r="J209" i="1"/>
  <c r="K209" i="1"/>
  <c r="L209" i="1"/>
  <c r="Z209" i="1"/>
  <c r="AB209" i="1"/>
  <c r="AC209" i="1"/>
  <c r="AD209" i="1"/>
  <c r="AE209" i="1"/>
  <c r="AF209" i="1"/>
  <c r="AG209" i="1"/>
  <c r="AH209" i="1"/>
  <c r="AJ209" i="1"/>
  <c r="AK209" i="1"/>
  <c r="AL209" i="1"/>
  <c r="AO209" i="1"/>
  <c r="AP209" i="1"/>
  <c r="AV209" i="1"/>
  <c r="AW209" i="1"/>
  <c r="AX209" i="1"/>
  <c r="BC209" i="1"/>
  <c r="BD209" i="1"/>
  <c r="BF209" i="1"/>
  <c r="BH209" i="1"/>
  <c r="BI209" i="1"/>
  <c r="BJ209" i="1"/>
  <c r="J211" i="1"/>
  <c r="K211" i="1"/>
  <c r="L211" i="1"/>
  <c r="Z211" i="1"/>
  <c r="AB211" i="1"/>
  <c r="AC211" i="1"/>
  <c r="AD211" i="1"/>
  <c r="AE211" i="1"/>
  <c r="AF211" i="1"/>
  <c r="AG211" i="1"/>
  <c r="AH211" i="1"/>
  <c r="AJ211" i="1"/>
  <c r="AK211" i="1"/>
  <c r="AL211" i="1"/>
  <c r="AO211" i="1"/>
  <c r="AP211" i="1"/>
  <c r="AV211" i="1"/>
  <c r="AW211" i="1"/>
  <c r="AX211" i="1"/>
  <c r="BC211" i="1"/>
  <c r="BD211" i="1"/>
  <c r="BF211" i="1"/>
  <c r="BH211" i="1"/>
  <c r="BI211" i="1"/>
  <c r="BJ211" i="1"/>
  <c r="J213" i="1"/>
  <c r="K213" i="1"/>
  <c r="L213" i="1"/>
  <c r="Z213" i="1"/>
  <c r="AB213" i="1"/>
  <c r="AC213" i="1"/>
  <c r="AD213" i="1"/>
  <c r="AE213" i="1"/>
  <c r="AF213" i="1"/>
  <c r="AG213" i="1"/>
  <c r="AH213" i="1"/>
  <c r="AJ213" i="1"/>
  <c r="AK213" i="1"/>
  <c r="AL213" i="1"/>
  <c r="AO213" i="1"/>
  <c r="AP213" i="1"/>
  <c r="AV213" i="1"/>
  <c r="AW213" i="1"/>
  <c r="AX213" i="1"/>
  <c r="BC213" i="1"/>
  <c r="BD213" i="1"/>
  <c r="BF213" i="1"/>
  <c r="BH213" i="1"/>
  <c r="BI213" i="1"/>
  <c r="BJ213" i="1"/>
  <c r="J215" i="1"/>
  <c r="K215" i="1"/>
  <c r="L215" i="1"/>
  <c r="AS215" i="1"/>
  <c r="AT215" i="1"/>
  <c r="AU215" i="1"/>
  <c r="J216" i="1"/>
  <c r="K216" i="1"/>
  <c r="L216" i="1"/>
  <c r="Z216" i="1"/>
  <c r="AB216" i="1"/>
  <c r="AC216" i="1"/>
  <c r="AD216" i="1"/>
  <c r="AE216" i="1"/>
  <c r="AF216" i="1"/>
  <c r="AG216" i="1"/>
  <c r="AH216" i="1"/>
  <c r="AJ216" i="1"/>
  <c r="AK216" i="1"/>
  <c r="AL216" i="1"/>
  <c r="AO216" i="1"/>
  <c r="AP216" i="1"/>
  <c r="AV216" i="1"/>
  <c r="AW216" i="1"/>
  <c r="AX216" i="1"/>
  <c r="BC216" i="1"/>
  <c r="BD216" i="1"/>
  <c r="BF216" i="1"/>
  <c r="BH216" i="1"/>
  <c r="BI216" i="1"/>
  <c r="BJ216" i="1"/>
  <c r="J241" i="1"/>
  <c r="K241" i="1"/>
  <c r="L241" i="1"/>
  <c r="Z241" i="1"/>
  <c r="AB241" i="1"/>
  <c r="AC241" i="1"/>
  <c r="AD241" i="1"/>
  <c r="AE241" i="1"/>
  <c r="AF241" i="1"/>
  <c r="AG241" i="1"/>
  <c r="AH241" i="1"/>
  <c r="AJ241" i="1"/>
  <c r="AK241" i="1"/>
  <c r="AL241" i="1"/>
  <c r="AO241" i="1"/>
  <c r="AP241" i="1"/>
  <c r="AV241" i="1"/>
  <c r="AW241" i="1"/>
  <c r="AX241" i="1"/>
  <c r="BC241" i="1"/>
  <c r="BD241" i="1"/>
  <c r="BF241" i="1"/>
  <c r="BH241" i="1"/>
  <c r="BI241" i="1"/>
  <c r="BJ241" i="1"/>
  <c r="J244" i="1"/>
  <c r="K244" i="1"/>
  <c r="L244" i="1"/>
  <c r="Z244" i="1"/>
  <c r="AB244" i="1"/>
  <c r="AC244" i="1"/>
  <c r="AD244" i="1"/>
  <c r="AE244" i="1"/>
  <c r="AF244" i="1"/>
  <c r="AG244" i="1"/>
  <c r="AH244" i="1"/>
  <c r="AJ244" i="1"/>
  <c r="AK244" i="1"/>
  <c r="AL244" i="1"/>
  <c r="AO244" i="1"/>
  <c r="AP244" i="1"/>
  <c r="AV244" i="1"/>
  <c r="AW244" i="1"/>
  <c r="AX244" i="1"/>
  <c r="BC244" i="1"/>
  <c r="BD244" i="1"/>
  <c r="BF244" i="1"/>
  <c r="BH244" i="1"/>
  <c r="BI244" i="1"/>
  <c r="BJ244" i="1"/>
  <c r="J246" i="1"/>
  <c r="K246" i="1"/>
  <c r="L246" i="1"/>
  <c r="Z246" i="1"/>
  <c r="AB246" i="1"/>
  <c r="AC246" i="1"/>
  <c r="AD246" i="1"/>
  <c r="AE246" i="1"/>
  <c r="AF246" i="1"/>
  <c r="AG246" i="1"/>
  <c r="AH246" i="1"/>
  <c r="AJ246" i="1"/>
  <c r="AK246" i="1"/>
  <c r="AL246" i="1"/>
  <c r="AO246" i="1"/>
  <c r="AP246" i="1"/>
  <c r="AV246" i="1"/>
  <c r="AW246" i="1"/>
  <c r="AX246" i="1"/>
  <c r="BC246" i="1"/>
  <c r="BD246" i="1"/>
  <c r="BF246" i="1"/>
  <c r="BH246" i="1"/>
  <c r="BI246" i="1"/>
  <c r="BJ246" i="1"/>
  <c r="J248" i="1"/>
  <c r="K248" i="1"/>
  <c r="L248" i="1"/>
  <c r="Z248" i="1"/>
  <c r="AB248" i="1"/>
  <c r="AC248" i="1"/>
  <c r="AD248" i="1"/>
  <c r="AE248" i="1"/>
  <c r="AF248" i="1"/>
  <c r="AG248" i="1"/>
  <c r="AH248" i="1"/>
  <c r="AJ248" i="1"/>
  <c r="AK248" i="1"/>
  <c r="AL248" i="1"/>
  <c r="AO248" i="1"/>
  <c r="AP248" i="1"/>
  <c r="AV248" i="1"/>
  <c r="AW248" i="1"/>
  <c r="AX248" i="1"/>
  <c r="BC248" i="1"/>
  <c r="BD248" i="1"/>
  <c r="BF248" i="1"/>
  <c r="BH248" i="1"/>
  <c r="BI248" i="1"/>
  <c r="BJ248" i="1"/>
  <c r="J252" i="1"/>
  <c r="K252" i="1"/>
  <c r="L252" i="1"/>
  <c r="Z252" i="1"/>
  <c r="AB252" i="1"/>
  <c r="AC252" i="1"/>
  <c r="AD252" i="1"/>
  <c r="AE252" i="1"/>
  <c r="AF252" i="1"/>
  <c r="AG252" i="1"/>
  <c r="AH252" i="1"/>
  <c r="AJ252" i="1"/>
  <c r="AK252" i="1"/>
  <c r="AL252" i="1"/>
  <c r="AO252" i="1"/>
  <c r="AP252" i="1"/>
  <c r="AV252" i="1"/>
  <c r="AW252" i="1"/>
  <c r="AX252" i="1"/>
  <c r="BC252" i="1"/>
  <c r="BD252" i="1"/>
  <c r="BF252" i="1"/>
  <c r="BH252" i="1"/>
  <c r="BI252" i="1"/>
  <c r="BJ252" i="1"/>
  <c r="J254" i="1"/>
  <c r="K254" i="1"/>
  <c r="L254" i="1"/>
  <c r="Z254" i="1"/>
  <c r="AB254" i="1"/>
  <c r="AC254" i="1"/>
  <c r="AD254" i="1"/>
  <c r="AE254" i="1"/>
  <c r="AF254" i="1"/>
  <c r="AG254" i="1"/>
  <c r="AH254" i="1"/>
  <c r="AJ254" i="1"/>
  <c r="AK254" i="1"/>
  <c r="AL254" i="1"/>
  <c r="AO254" i="1"/>
  <c r="AP254" i="1"/>
  <c r="AV254" i="1"/>
  <c r="AW254" i="1"/>
  <c r="AX254" i="1"/>
  <c r="BC254" i="1"/>
  <c r="BD254" i="1"/>
  <c r="BF254" i="1"/>
  <c r="BH254" i="1"/>
  <c r="BI254" i="1"/>
  <c r="BJ254" i="1"/>
  <c r="J257" i="1"/>
  <c r="K257" i="1"/>
  <c r="L257" i="1"/>
  <c r="Z257" i="1"/>
  <c r="AB257" i="1"/>
  <c r="AC257" i="1"/>
  <c r="AD257" i="1"/>
  <c r="AE257" i="1"/>
  <c r="AF257" i="1"/>
  <c r="AG257" i="1"/>
  <c r="AH257" i="1"/>
  <c r="AJ257" i="1"/>
  <c r="AK257" i="1"/>
  <c r="AL257" i="1"/>
  <c r="AO257" i="1"/>
  <c r="AP257" i="1"/>
  <c r="AV257" i="1"/>
  <c r="AW257" i="1"/>
  <c r="AX257" i="1"/>
  <c r="BC257" i="1"/>
  <c r="BD257" i="1"/>
  <c r="BF257" i="1"/>
  <c r="BH257" i="1"/>
  <c r="BI257" i="1"/>
  <c r="BJ257" i="1"/>
  <c r="J260" i="1"/>
  <c r="K260" i="1"/>
  <c r="L260" i="1"/>
  <c r="Z260" i="1"/>
  <c r="AB260" i="1"/>
  <c r="AC260" i="1"/>
  <c r="AD260" i="1"/>
  <c r="AE260" i="1"/>
  <c r="AF260" i="1"/>
  <c r="AG260" i="1"/>
  <c r="AH260" i="1"/>
  <c r="AJ260" i="1"/>
  <c r="AK260" i="1"/>
  <c r="AL260" i="1"/>
  <c r="AO260" i="1"/>
  <c r="AP260" i="1"/>
  <c r="AV260" i="1"/>
  <c r="AW260" i="1"/>
  <c r="AX260" i="1"/>
  <c r="BC260" i="1"/>
  <c r="BD260" i="1"/>
  <c r="BF260" i="1"/>
  <c r="BH260" i="1"/>
  <c r="BI260" i="1"/>
  <c r="BJ260" i="1"/>
  <c r="J263" i="1"/>
  <c r="K263" i="1"/>
  <c r="L263" i="1"/>
  <c r="Z263" i="1"/>
  <c r="AB263" i="1"/>
  <c r="AC263" i="1"/>
  <c r="AD263" i="1"/>
  <c r="AE263" i="1"/>
  <c r="AF263" i="1"/>
  <c r="AG263" i="1"/>
  <c r="AH263" i="1"/>
  <c r="AJ263" i="1"/>
  <c r="AK263" i="1"/>
  <c r="AL263" i="1"/>
  <c r="AO263" i="1"/>
  <c r="AP263" i="1"/>
  <c r="AV263" i="1"/>
  <c r="AW263" i="1"/>
  <c r="AX263" i="1"/>
  <c r="BC263" i="1"/>
  <c r="BD263" i="1"/>
  <c r="BF263" i="1"/>
  <c r="BH263" i="1"/>
  <c r="BI263" i="1"/>
  <c r="BJ263" i="1"/>
  <c r="J265" i="1"/>
  <c r="K265" i="1"/>
  <c r="L265" i="1"/>
  <c r="Z265" i="1"/>
  <c r="AB265" i="1"/>
  <c r="AC265" i="1"/>
  <c r="AD265" i="1"/>
  <c r="AE265" i="1"/>
  <c r="AF265" i="1"/>
  <c r="AG265" i="1"/>
  <c r="AH265" i="1"/>
  <c r="AJ265" i="1"/>
  <c r="AK265" i="1"/>
  <c r="AL265" i="1"/>
  <c r="AO265" i="1"/>
  <c r="AP265" i="1"/>
  <c r="AV265" i="1"/>
  <c r="AW265" i="1"/>
  <c r="AX265" i="1"/>
  <c r="BC265" i="1"/>
  <c r="BD265" i="1"/>
  <c r="BF265" i="1"/>
  <c r="BH265" i="1"/>
  <c r="BI265" i="1"/>
  <c r="BJ265" i="1"/>
  <c r="J268" i="1"/>
  <c r="K268" i="1"/>
  <c r="L268" i="1"/>
  <c r="Z268" i="1"/>
  <c r="AB268" i="1"/>
  <c r="AC268" i="1"/>
  <c r="AD268" i="1"/>
  <c r="AE268" i="1"/>
  <c r="AF268" i="1"/>
  <c r="AG268" i="1"/>
  <c r="AH268" i="1"/>
  <c r="AJ268" i="1"/>
  <c r="AK268" i="1"/>
  <c r="AL268" i="1"/>
  <c r="AO268" i="1"/>
  <c r="AP268" i="1"/>
  <c r="AV268" i="1"/>
  <c r="AW268" i="1"/>
  <c r="AX268" i="1"/>
  <c r="BC268" i="1"/>
  <c r="BD268" i="1"/>
  <c r="BF268" i="1"/>
  <c r="BH268" i="1"/>
  <c r="BI268" i="1"/>
  <c r="BJ268" i="1"/>
  <c r="J270" i="1"/>
  <c r="K270" i="1"/>
  <c r="L270" i="1"/>
  <c r="AS270" i="1"/>
  <c r="AT270" i="1"/>
  <c r="AU270" i="1"/>
  <c r="J271" i="1"/>
  <c r="K271" i="1"/>
  <c r="L271" i="1"/>
  <c r="Z271" i="1"/>
  <c r="AB271" i="1"/>
  <c r="AC271" i="1"/>
  <c r="AD271" i="1"/>
  <c r="AE271" i="1"/>
  <c r="AF271" i="1"/>
  <c r="AG271" i="1"/>
  <c r="AH271" i="1"/>
  <c r="AJ271" i="1"/>
  <c r="AK271" i="1"/>
  <c r="AL271" i="1"/>
  <c r="AO271" i="1"/>
  <c r="AP271" i="1"/>
  <c r="AV271" i="1"/>
  <c r="AW271" i="1"/>
  <c r="AX271" i="1"/>
  <c r="BC271" i="1"/>
  <c r="BD271" i="1"/>
  <c r="BF271" i="1"/>
  <c r="BH271" i="1"/>
  <c r="BI271" i="1"/>
  <c r="BJ271" i="1"/>
  <c r="J280" i="1"/>
  <c r="K280" i="1"/>
  <c r="L280" i="1"/>
  <c r="AS280" i="1"/>
  <c r="AT280" i="1"/>
  <c r="AU280" i="1"/>
  <c r="J281" i="1"/>
  <c r="K281" i="1"/>
  <c r="L281" i="1"/>
  <c r="Z281" i="1"/>
  <c r="AB281" i="1"/>
  <c r="AC281" i="1"/>
  <c r="AD281" i="1"/>
  <c r="AE281" i="1"/>
  <c r="AF281" i="1"/>
  <c r="AG281" i="1"/>
  <c r="AH281" i="1"/>
  <c r="AJ281" i="1"/>
  <c r="AK281" i="1"/>
  <c r="AL281" i="1"/>
  <c r="AO281" i="1"/>
  <c r="AP281" i="1"/>
  <c r="AV281" i="1"/>
  <c r="AW281" i="1"/>
  <c r="AX281" i="1"/>
  <c r="BC281" i="1"/>
  <c r="BD281" i="1"/>
  <c r="BF281" i="1"/>
  <c r="BH281" i="1"/>
  <c r="BI281" i="1"/>
  <c r="BJ281" i="1"/>
  <c r="J282" i="1"/>
  <c r="K282" i="1"/>
  <c r="L282" i="1"/>
  <c r="AS282" i="1"/>
  <c r="AT282" i="1"/>
  <c r="AU282" i="1"/>
  <c r="J283" i="1"/>
  <c r="K283" i="1"/>
  <c r="L283" i="1"/>
  <c r="Z283" i="1"/>
  <c r="AB283" i="1"/>
  <c r="AC283" i="1"/>
  <c r="AD283" i="1"/>
  <c r="AE283" i="1"/>
  <c r="AF283" i="1"/>
  <c r="AG283" i="1"/>
  <c r="AH283" i="1"/>
  <c r="AJ283" i="1"/>
  <c r="AK283" i="1"/>
  <c r="AL283" i="1"/>
  <c r="AO283" i="1"/>
  <c r="AP283" i="1"/>
  <c r="AV283" i="1"/>
  <c r="AW283" i="1"/>
  <c r="AX283" i="1"/>
  <c r="BC283" i="1"/>
  <c r="BD283" i="1"/>
  <c r="BF283" i="1"/>
  <c r="BH283" i="1"/>
  <c r="BI283" i="1"/>
  <c r="BJ283" i="1"/>
  <c r="J285" i="1"/>
  <c r="K285" i="1"/>
  <c r="L285" i="1"/>
  <c r="AS285" i="1"/>
  <c r="AT285" i="1"/>
  <c r="AU285" i="1"/>
  <c r="J286" i="1"/>
  <c r="K286" i="1"/>
  <c r="L286" i="1"/>
  <c r="Z286" i="1"/>
  <c r="AB286" i="1"/>
  <c r="AC286" i="1"/>
  <c r="AD286" i="1"/>
  <c r="AE286" i="1"/>
  <c r="AF286" i="1"/>
  <c r="AG286" i="1"/>
  <c r="AH286" i="1"/>
  <c r="AJ286" i="1"/>
  <c r="AK286" i="1"/>
  <c r="AL286" i="1"/>
  <c r="AO286" i="1"/>
  <c r="AP286" i="1"/>
  <c r="AV286" i="1"/>
  <c r="AW286" i="1"/>
  <c r="AX286" i="1"/>
  <c r="BC286" i="1"/>
  <c r="BD286" i="1"/>
  <c r="BF286" i="1"/>
  <c r="BH286" i="1"/>
  <c r="BI286" i="1"/>
  <c r="BJ286" i="1"/>
  <c r="J287" i="1"/>
  <c r="K287" i="1"/>
  <c r="L287" i="1"/>
  <c r="Z287" i="1"/>
  <c r="AB287" i="1"/>
  <c r="AC287" i="1"/>
  <c r="AD287" i="1"/>
  <c r="AE287" i="1"/>
  <c r="AF287" i="1"/>
  <c r="AG287" i="1"/>
  <c r="AH287" i="1"/>
  <c r="AJ287" i="1"/>
  <c r="AK287" i="1"/>
  <c r="AL287" i="1"/>
  <c r="AO287" i="1"/>
  <c r="AP287" i="1"/>
  <c r="AV287" i="1"/>
  <c r="AW287" i="1"/>
  <c r="AX287" i="1"/>
  <c r="BC287" i="1"/>
  <c r="BD287" i="1"/>
  <c r="BF287" i="1"/>
  <c r="BH287" i="1"/>
  <c r="BI287" i="1"/>
  <c r="BJ287" i="1"/>
  <c r="J289" i="1"/>
  <c r="K289" i="1"/>
  <c r="L289" i="1"/>
  <c r="Z289" i="1"/>
  <c r="AB289" i="1"/>
  <c r="AC289" i="1"/>
  <c r="AD289" i="1"/>
  <c r="AE289" i="1"/>
  <c r="AF289" i="1"/>
  <c r="AG289" i="1"/>
  <c r="AH289" i="1"/>
  <c r="AJ289" i="1"/>
  <c r="AK289" i="1"/>
  <c r="AL289" i="1"/>
  <c r="AO289" i="1"/>
  <c r="AP289" i="1"/>
  <c r="AV289" i="1"/>
  <c r="AW289" i="1"/>
  <c r="AX289" i="1"/>
  <c r="BC289" i="1"/>
  <c r="BD289" i="1"/>
  <c r="BF289" i="1"/>
  <c r="BH289" i="1"/>
  <c r="BI289" i="1"/>
  <c r="BJ289" i="1"/>
  <c r="J291" i="1"/>
  <c r="K291" i="1"/>
  <c r="L291" i="1"/>
  <c r="Z291" i="1"/>
  <c r="AB291" i="1"/>
  <c r="AC291" i="1"/>
  <c r="AD291" i="1"/>
  <c r="AE291" i="1"/>
  <c r="AF291" i="1"/>
  <c r="AG291" i="1"/>
  <c r="AH291" i="1"/>
  <c r="AJ291" i="1"/>
  <c r="AK291" i="1"/>
  <c r="AL291" i="1"/>
  <c r="AO291" i="1"/>
  <c r="AP291" i="1"/>
  <c r="AV291" i="1"/>
  <c r="AW291" i="1"/>
  <c r="AX291" i="1"/>
  <c r="BC291" i="1"/>
  <c r="BD291" i="1"/>
  <c r="BF291" i="1"/>
  <c r="BH291" i="1"/>
  <c r="BI291" i="1"/>
  <c r="BJ291" i="1"/>
  <c r="J293" i="1"/>
  <c r="K293" i="1"/>
  <c r="L293" i="1"/>
  <c r="Z293" i="1"/>
  <c r="AB293" i="1"/>
  <c r="AC293" i="1"/>
  <c r="AD293" i="1"/>
  <c r="AE293" i="1"/>
  <c r="AF293" i="1"/>
  <c r="AG293" i="1"/>
  <c r="AH293" i="1"/>
  <c r="AJ293" i="1"/>
  <c r="AK293" i="1"/>
  <c r="AL293" i="1"/>
  <c r="AO293" i="1"/>
  <c r="AP293" i="1"/>
  <c r="AV293" i="1"/>
  <c r="AW293" i="1"/>
  <c r="AX293" i="1"/>
  <c r="BC293" i="1"/>
  <c r="BD293" i="1"/>
  <c r="BF293" i="1"/>
  <c r="BH293" i="1"/>
  <c r="BI293" i="1"/>
  <c r="BJ293" i="1"/>
  <c r="J295" i="1"/>
  <c r="K295" i="1"/>
  <c r="L295" i="1"/>
  <c r="Z295" i="1"/>
  <c r="AB295" i="1"/>
  <c r="AC295" i="1"/>
  <c r="AD295" i="1"/>
  <c r="AE295" i="1"/>
  <c r="AF295" i="1"/>
  <c r="AG295" i="1"/>
  <c r="AH295" i="1"/>
  <c r="AJ295" i="1"/>
  <c r="AK295" i="1"/>
  <c r="AL295" i="1"/>
  <c r="AO295" i="1"/>
  <c r="AP295" i="1"/>
  <c r="AV295" i="1"/>
  <c r="AW295" i="1"/>
  <c r="AX295" i="1"/>
  <c r="BC295" i="1"/>
  <c r="BD295" i="1"/>
  <c r="BF295" i="1"/>
  <c r="BH295" i="1"/>
  <c r="BI295" i="1"/>
  <c r="BJ295" i="1"/>
  <c r="J297" i="1"/>
  <c r="K297" i="1"/>
  <c r="L297" i="1"/>
  <c r="Z297" i="1"/>
  <c r="AB297" i="1"/>
  <c r="AC297" i="1"/>
  <c r="AD297" i="1"/>
  <c r="AE297" i="1"/>
  <c r="AF297" i="1"/>
  <c r="AG297" i="1"/>
  <c r="AH297" i="1"/>
  <c r="AJ297" i="1"/>
  <c r="AK297" i="1"/>
  <c r="AL297" i="1"/>
  <c r="AO297" i="1"/>
  <c r="AP297" i="1"/>
  <c r="AV297" i="1"/>
  <c r="AW297" i="1"/>
  <c r="AX297" i="1"/>
  <c r="BC297" i="1"/>
  <c r="BD297" i="1"/>
  <c r="BF297" i="1"/>
  <c r="BH297" i="1"/>
  <c r="BI297" i="1"/>
  <c r="BJ297" i="1"/>
  <c r="J299" i="1"/>
  <c r="K299" i="1"/>
  <c r="L299" i="1"/>
  <c r="Z299" i="1"/>
  <c r="AB299" i="1"/>
  <c r="AC299" i="1"/>
  <c r="AD299" i="1"/>
  <c r="AE299" i="1"/>
  <c r="AF299" i="1"/>
  <c r="AG299" i="1"/>
  <c r="AH299" i="1"/>
  <c r="AJ299" i="1"/>
  <c r="AK299" i="1"/>
  <c r="AL299" i="1"/>
  <c r="AO299" i="1"/>
  <c r="AP299" i="1"/>
  <c r="AV299" i="1"/>
  <c r="AW299" i="1"/>
  <c r="AX299" i="1"/>
  <c r="BC299" i="1"/>
  <c r="BD299" i="1"/>
  <c r="BF299" i="1"/>
  <c r="BH299" i="1"/>
  <c r="BI299" i="1"/>
  <c r="BJ299" i="1"/>
  <c r="J300" i="1"/>
  <c r="K300" i="1"/>
  <c r="L300" i="1"/>
  <c r="Z300" i="1"/>
  <c r="AB300" i="1"/>
  <c r="AC300" i="1"/>
  <c r="AD300" i="1"/>
  <c r="AE300" i="1"/>
  <c r="AF300" i="1"/>
  <c r="AG300" i="1"/>
  <c r="AH300" i="1"/>
  <c r="AJ300" i="1"/>
  <c r="AK300" i="1"/>
  <c r="AL300" i="1"/>
  <c r="AO300" i="1"/>
  <c r="AP300" i="1"/>
  <c r="AV300" i="1"/>
  <c r="AW300" i="1"/>
  <c r="AX300" i="1"/>
  <c r="BC300" i="1"/>
  <c r="BD300" i="1"/>
  <c r="BF300" i="1"/>
  <c r="BH300" i="1"/>
  <c r="BI300" i="1"/>
  <c r="BJ300" i="1"/>
  <c r="L301" i="1"/>
</calcChain>
</file>

<file path=xl/sharedStrings.xml><?xml version="1.0" encoding="utf-8"?>
<sst xmlns="http://schemas.openxmlformats.org/spreadsheetml/2006/main" count="1283" uniqueCount="585">
  <si>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</si>
  <si>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</si>
  <si>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</si>
  <si>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</si>
  <si>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</si>
  <si>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</si>
  <si>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</si>
  <si>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</si>
  <si>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</si>
  <si>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</si>
  <si>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</si>
  <si>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</si>
  <si>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</si>
  <si>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</si>
  <si>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</si>
  <si>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</si>
  <si>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</si>
  <si>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</si>
  <si>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</si>
  <si>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</si>
  <si>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</si>
  <si>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</si>
  <si>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</si>
  <si>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</si>
  <si>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</si>
  <si>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</si>
  <si>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</si>
  <si>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</si>
  <si>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</si>
  <si>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</si>
  <si>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</si>
  <si>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</si>
  <si>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</si>
  <si>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</si>
  <si>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</si>
  <si>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</si>
  <si>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</si>
  <si>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</si>
  <si>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</si>
  <si>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</si>
  <si>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</si>
  <si>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</si>
  <si>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</si>
  <si>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</si>
  <si>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</si>
  <si>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</si>
  <si>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</si>
  <si>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</si>
  <si>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</si>
  <si>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</si>
  <si>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</si>
  <si>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</si>
  <si>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</si>
  <si>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</si>
  <si>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</si>
  <si>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</si>
  <si>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</si>
  <si>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</si>
  <si>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</si>
  <si>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</si>
  <si>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</si>
  <si>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</si>
  <si>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</si>
  <si>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</si>
  <si>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</si>
  <si>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</si>
  <si>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</si>
  <si>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</si>
  <si>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</si>
  <si>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</si>
  <si>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</si>
  <si>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</si>
  <si>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</si>
  <si>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</si>
  <si>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</si>
  <si>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</si>
  <si>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</si>
  <si>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</si>
  <si>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</si>
  <si>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</si>
  <si>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</si>
  <si>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Poznámka:</t>
  </si>
  <si>
    <t>Kód</t>
  </si>
  <si>
    <t>317121044RU1</t>
  </si>
  <si>
    <t>Varianta:</t>
  </si>
  <si>
    <t>317121047RT2</t>
  </si>
  <si>
    <t>317121047RT4</t>
  </si>
  <si>
    <t>342255024RT1</t>
  </si>
  <si>
    <t>342255028RT1</t>
  </si>
  <si>
    <t>342255032RT1</t>
  </si>
  <si>
    <t>347014113R00</t>
  </si>
  <si>
    <t>416021121R00</t>
  </si>
  <si>
    <t>416021123R00</t>
  </si>
  <si>
    <t>602016191R00</t>
  </si>
  <si>
    <t>612421637R00</t>
  </si>
  <si>
    <t>610991111R0A</t>
  </si>
  <si>
    <t>612100030RAA</t>
  </si>
  <si>
    <t>612481211RT2</t>
  </si>
  <si>
    <t>632415110R00</t>
  </si>
  <si>
    <t>632415108R00</t>
  </si>
  <si>
    <t>642942111RT3</t>
  </si>
  <si>
    <t>642942111RT4</t>
  </si>
  <si>
    <t>642942111RT5</t>
  </si>
  <si>
    <t>642944999RTA</t>
  </si>
  <si>
    <t>642945299TAA</t>
  </si>
  <si>
    <t>711</t>
  </si>
  <si>
    <t>711212001R00</t>
  </si>
  <si>
    <t>998711102R00</t>
  </si>
  <si>
    <t>725</t>
  </si>
  <si>
    <t>725219999R0A</t>
  </si>
  <si>
    <t>766</t>
  </si>
  <si>
    <t>766666999R0A</t>
  </si>
  <si>
    <t>771</t>
  </si>
  <si>
    <t>771101210R00</t>
  </si>
  <si>
    <t>771475014R00</t>
  </si>
  <si>
    <t>59764241</t>
  </si>
  <si>
    <t>771571111R00</t>
  </si>
  <si>
    <t>597642030</t>
  </si>
  <si>
    <t>998771102R00</t>
  </si>
  <si>
    <t>775</t>
  </si>
  <si>
    <t>775531800R00</t>
  </si>
  <si>
    <t>776</t>
  </si>
  <si>
    <t>776401800RT1</t>
  </si>
  <si>
    <t>776421100R00</t>
  </si>
  <si>
    <t>28342451</t>
  </si>
  <si>
    <t>776511810RT2</t>
  </si>
  <si>
    <t>776521100RT1</t>
  </si>
  <si>
    <t>28410301</t>
  </si>
  <si>
    <t>998712102R00</t>
  </si>
  <si>
    <t>781</t>
  </si>
  <si>
    <t>781101210R00</t>
  </si>
  <si>
    <t>781470010RAI</t>
  </si>
  <si>
    <t>597813620</t>
  </si>
  <si>
    <t>998781102R00</t>
  </si>
  <si>
    <t>783</t>
  </si>
  <si>
    <t>783896210R00</t>
  </si>
  <si>
    <t>784</t>
  </si>
  <si>
    <t>784165811R00</t>
  </si>
  <si>
    <t>784450025RA0</t>
  </si>
  <si>
    <t>94</t>
  </si>
  <si>
    <t>941955001R00</t>
  </si>
  <si>
    <t>95</t>
  </si>
  <si>
    <t>952901111R00</t>
  </si>
  <si>
    <t>950000101R0A</t>
  </si>
  <si>
    <t>959000101R0A</t>
  </si>
  <si>
    <t>96</t>
  </si>
  <si>
    <t>962032231R00</t>
  </si>
  <si>
    <t>965042141RT1</t>
  </si>
  <si>
    <t>965048150R00</t>
  </si>
  <si>
    <t>965081702R00</t>
  </si>
  <si>
    <t>965081713RT1</t>
  </si>
  <si>
    <t>966068001R01</t>
  </si>
  <si>
    <t>966068102R0A</t>
  </si>
  <si>
    <t>966077151R0A</t>
  </si>
  <si>
    <t>968061125R00</t>
  </si>
  <si>
    <t>968061126R00</t>
  </si>
  <si>
    <t>968072455R00</t>
  </si>
  <si>
    <t>968072456R00</t>
  </si>
  <si>
    <t>97</t>
  </si>
  <si>
    <t>978059531R00</t>
  </si>
  <si>
    <t>H99</t>
  </si>
  <si>
    <t>999281108R00</t>
  </si>
  <si>
    <t>M</t>
  </si>
  <si>
    <t>202      RA</t>
  </si>
  <si>
    <t>S</t>
  </si>
  <si>
    <t>979017111R00</t>
  </si>
  <si>
    <t>979083117R00</t>
  </si>
  <si>
    <t>979087311R00</t>
  </si>
  <si>
    <t>979087391R00</t>
  </si>
  <si>
    <t>979093111R00</t>
  </si>
  <si>
    <t>979094211R00</t>
  </si>
  <si>
    <t>979990101R00</t>
  </si>
  <si>
    <t>979990122R00</t>
  </si>
  <si>
    <t>979990111R00</t>
  </si>
  <si>
    <t>PBa03 Stavební úpravy kanceláří v kulturním domě</t>
  </si>
  <si>
    <t>Zábřeh</t>
  </si>
  <si>
    <t>Zkrácený popis / Varianta</t>
  </si>
  <si>
    <t>Rozměry</t>
  </si>
  <si>
    <t>Zdi podpěrné a volné</t>
  </si>
  <si>
    <t>Překlad nosný pórobeton, světlost otv. do 180 cm</t>
  </si>
  <si>
    <t>překlad nosný NOP 300-1500, 149 x 24,9 x 30 cm</t>
  </si>
  <si>
    <t>Překlad nenosný pórobeton, světlost otv. do 105 cm</t>
  </si>
  <si>
    <t>překlad nenosný NEP 100-1250, 124 x 24,9 x 10 cm</t>
  </si>
  <si>
    <t>překlad nenosný NEP 150-1250, 124 x 24,9 x 15 cm</t>
  </si>
  <si>
    <t>Stěny a příčky</t>
  </si>
  <si>
    <t>(1,6+2,57+2,54+1,6)*2,25</t>
  </si>
  <si>
    <t>-0,8*2,0*4</t>
  </si>
  <si>
    <t>3,38*3,35*2</t>
  </si>
  <si>
    <t>-1,0*2,0</t>
  </si>
  <si>
    <t>(4,73+4,17+4,97)*3,35</t>
  </si>
  <si>
    <t>(3,07+1,37+2,03+1,23+1,7)*3,35</t>
  </si>
  <si>
    <t>-0,9*2,0*2</t>
  </si>
  <si>
    <t>-0,8*2,0*3</t>
  </si>
  <si>
    <t>(3,6+1,29+2,08)*2,25</t>
  </si>
  <si>
    <t>-0,8*2,0*2</t>
  </si>
  <si>
    <t>(2,35+1,45*2)*2,25</t>
  </si>
  <si>
    <t>-0,7*2,0</t>
  </si>
  <si>
    <t>0,65*0,16*2,0</t>
  </si>
  <si>
    <t>0,9*0,16*2,0+1,55*0,16*2,0</t>
  </si>
  <si>
    <t>0,93*0,2*2,0</t>
  </si>
  <si>
    <t>0,9*0,2*2,0</t>
  </si>
  <si>
    <t>Předstěna SDK, tl.55 mm,1 x ocel. kce CD, 1 x RBI 12,5 mm, bez izolace</t>
  </si>
  <si>
    <t>(6,48+5,04+5,2)*1,5</t>
  </si>
  <si>
    <t>Stropy a stropní konstrukce (pro pozemní stavby)</t>
  </si>
  <si>
    <t>Podhledy SDK, kovová.kce CD. 1x deska RB 12,5 mm</t>
  </si>
  <si>
    <t>536,62</t>
  </si>
  <si>
    <t>;ztratné 5%; 26,831</t>
  </si>
  <si>
    <t>Podhledy SDK, kovová.kce CD. 1x deska RBI 12,5 mm</t>
  </si>
  <si>
    <t>55,62</t>
  </si>
  <si>
    <t>Omítky ze suchých směsí</t>
  </si>
  <si>
    <t>123,394*2</t>
  </si>
  <si>
    <t>0,922*2</t>
  </si>
  <si>
    <t>0,732*2</t>
  </si>
  <si>
    <t>Úprava povrchů vnitřní</t>
  </si>
  <si>
    <t>Omítka vnitřní zdiva, MVC, štuková</t>
  </si>
  <si>
    <t>Zakrývání výplní vnitřních otvorů</t>
  </si>
  <si>
    <t>po dobu rekonstrukce, vč. odstranění, likvidace</t>
  </si>
  <si>
    <t>Omítka stěn vnitřní vápenocementová štuková</t>
  </si>
  <si>
    <t>otlučení a zřizení ze 100 %, malba</t>
  </si>
  <si>
    <t>Montáž výztužné sítě(perlinky)do stěrky-vnit.stěny</t>
  </si>
  <si>
    <t>Podlahy a podlahové konstrukce</t>
  </si>
  <si>
    <t>72,72</t>
  </si>
  <si>
    <t>371,02</t>
  </si>
  <si>
    <t>17,1</t>
  </si>
  <si>
    <t>Výplně otvorů</t>
  </si>
  <si>
    <t>Osazení zárubní dveřních ocelových, pl. do 2,5 m2</t>
  </si>
  <si>
    <t>včetně dodávky zárubně 700 x 1970 x 100 mm</t>
  </si>
  <si>
    <t>včetně dodávky zárubně 800 x 1970 x 100 mm</t>
  </si>
  <si>
    <t>včetně dodávky zárubně 900 x 1970 x 100 mm</t>
  </si>
  <si>
    <t>Oprava stávajícíh ocelových zárubní, vč. nátěru</t>
  </si>
  <si>
    <t>Dodávka a montáž posuvné stěny</t>
  </si>
  <si>
    <t>Izolace proti vodě</t>
  </si>
  <si>
    <t>Hydroizolační povlak - nátěr</t>
  </si>
  <si>
    <t>165,6</t>
  </si>
  <si>
    <t>Přesun hmot pro izolace proti vodě, výšky do 12 m</t>
  </si>
  <si>
    <t>Zařizovací předměty</t>
  </si>
  <si>
    <t>Dodávka a montáž, zprovoznění hygienického zařízení</t>
  </si>
  <si>
    <t>Konstrukce truhlářské</t>
  </si>
  <si>
    <t>Dodávka a montáž dveří do osazených ocelových zárubní</t>
  </si>
  <si>
    <t>Podlahy z dlaždic</t>
  </si>
  <si>
    <t>Penetrace podkladu pod dlažby</t>
  </si>
  <si>
    <t>Obklad soklíků keram.rovných, tmel,výška 10 cm</t>
  </si>
  <si>
    <t>11,0-0,8</t>
  </si>
  <si>
    <t>10,2/0,3</t>
  </si>
  <si>
    <t>;ztratné 5%; 1,7</t>
  </si>
  <si>
    <t>Montáž podlah keram.,režné hladké, do MC, 40x30 cm</t>
  </si>
  <si>
    <t>;ztratné 5%; 3,636</t>
  </si>
  <si>
    <t>Přesun hmot pro podlahy z dlaždic, výšky do 12 m</t>
  </si>
  <si>
    <t>Podlahy vlysové a parketové</t>
  </si>
  <si>
    <t>Demontáž parketových tabulí lepených včetně lišt</t>
  </si>
  <si>
    <t>Podlahy povlakové</t>
  </si>
  <si>
    <t>Demontáž soklíků nebo lišt, pryžových nebo z PVC</t>
  </si>
  <si>
    <t>odstranění a uložení na hromady</t>
  </si>
  <si>
    <t>12,7-0,8</t>
  </si>
  <si>
    <t>14,1-0,8</t>
  </si>
  <si>
    <t>5,3-0,6</t>
  </si>
  <si>
    <t>32-0,8*5-1,25</t>
  </si>
  <si>
    <t>11-0,8</t>
  </si>
  <si>
    <t>16,5-0,8*5</t>
  </si>
  <si>
    <t>14,7-0,8*2</t>
  </si>
  <si>
    <t>9,3-0,8*2</t>
  </si>
  <si>
    <t>26,5-0,8*2</t>
  </si>
  <si>
    <t>24,8-0,8-0,6-0,8</t>
  </si>
  <si>
    <t>20,24-0,8</t>
  </si>
  <si>
    <t>14,2-0,8</t>
  </si>
  <si>
    <t>13,84-0,8</t>
  </si>
  <si>
    <t>Lepení podlahových soklíků z PVC a vinylu</t>
  </si>
  <si>
    <t>203,28</t>
  </si>
  <si>
    <t>;ztratné 5%; 10,164</t>
  </si>
  <si>
    <t>Odstranění PVC a koberců lepených bez podložky</t>
  </si>
  <si>
    <t>z ploch 10 - 20 m2</t>
  </si>
  <si>
    <t>147,7</t>
  </si>
  <si>
    <t>82,9</t>
  </si>
  <si>
    <t>pouze položení - PVC ve specifikaci</t>
  </si>
  <si>
    <t>;ztratné 5%; 18,551</t>
  </si>
  <si>
    <t>Přesun hmot pro povlakové krytiny, výšky do 12 m</t>
  </si>
  <si>
    <t>Obklady (keramické)</t>
  </si>
  <si>
    <t>Penetrace podkladu pod obklady</t>
  </si>
  <si>
    <t>Obklad vnitřní keramický 20 x 20 cm</t>
  </si>
  <si>
    <t>do malty, obklad ve specifikaci</t>
  </si>
  <si>
    <t>8,5*1,5-0,8*1,5-0,7*1,5*2</t>
  </si>
  <si>
    <t>6,0*1,5-0,7*1,5</t>
  </si>
  <si>
    <t>5,4*1,5-0,7*1,5</t>
  </si>
  <si>
    <t>5,9*1,5-0,7*1,5</t>
  </si>
  <si>
    <t>9,2*1,5-0,7*1,5</t>
  </si>
  <si>
    <t>6,8*1,5-0,9*1,5</t>
  </si>
  <si>
    <t>4,6*1,5-0,7*1,5</t>
  </si>
  <si>
    <t>4,5*1,5-0,7*1,5</t>
  </si>
  <si>
    <t>10,3*1,5-0,7*1,5*2-0,8*1,5</t>
  </si>
  <si>
    <t>4,7*1,5-0,7*1,5</t>
  </si>
  <si>
    <t>14,1*1,5-0,7*1,5-0,8*1,5</t>
  </si>
  <si>
    <t>12,5*1,5-0,8*1,5-0,7*1,5</t>
  </si>
  <si>
    <t>5,3*1,5-0,7*1,5</t>
  </si>
  <si>
    <t>7,2*1,5-0,8*1,5-0,7*1,5*2</t>
  </si>
  <si>
    <t>Obkládačka 20x20 šedá mat</t>
  </si>
  <si>
    <t>;ztratné 8%; 13,248</t>
  </si>
  <si>
    <t>Přesun hmot pro obklady keramické, výšky do 12 m</t>
  </si>
  <si>
    <t>Nátěry</t>
  </si>
  <si>
    <t>Malby</t>
  </si>
  <si>
    <t>536,62+55,62</t>
  </si>
  <si>
    <t>-165,6</t>
  </si>
  <si>
    <t>Lešení a stavební výtahy</t>
  </si>
  <si>
    <t>Lešení lehké pomocné, výška podlahy do 1,2 m</t>
  </si>
  <si>
    <t>Různé dokončovací konstrukce a práce na pozemních stavbách</t>
  </si>
  <si>
    <t>Vyčištění budov o výšce podlaží do 4 m</t>
  </si>
  <si>
    <t>592,24</t>
  </si>
  <si>
    <t>Dodávka, osazení, zprovoznění schodolezu</t>
  </si>
  <si>
    <t>Dodávka a montáž kuchyňské linky</t>
  </si>
  <si>
    <t>Bourání konstrukcí</t>
  </si>
  <si>
    <t>Bourání zdiva z cihel pálených na MVC</t>
  </si>
  <si>
    <t>(1,5+1,4+1,34+1,05)*2,15*0,1</t>
  </si>
  <si>
    <t>-0,7*2,0*0,1*2</t>
  </si>
  <si>
    <t>-0,9*2,0*0,1*1</t>
  </si>
  <si>
    <t>(5,95+2,9+3,3+3,67+3,4+1,8+0,85+2,49+2,1)*3,35*0,1</t>
  </si>
  <si>
    <t>-0,9*2,0*0,1*6</t>
  </si>
  <si>
    <t>-0,7*2,0*0,1</t>
  </si>
  <si>
    <t>(1,57+1,45*2+1,65+1,36+1,56+2,59)*2,15*0,1</t>
  </si>
  <si>
    <t>-0,9*2,0*0,1</t>
  </si>
  <si>
    <t>3,21*3,35*0,15</t>
  </si>
  <si>
    <t>-0,7*2,0*0,15</t>
  </si>
  <si>
    <t>-0,9*2,0*0,15</t>
  </si>
  <si>
    <t>1,05*3,35*0,08</t>
  </si>
  <si>
    <t>5,3*3,5*0,12</t>
  </si>
  <si>
    <t>0,9*2,0*0,15</t>
  </si>
  <si>
    <t>0,07*0,3*2,25</t>
  </si>
  <si>
    <t>0,1*0,15*2,25+0,1*0,3*2,25</t>
  </si>
  <si>
    <t>0,29*2,21*2,25+1,2*0,17*2,25</t>
  </si>
  <si>
    <t>0,1*0,15*2,25</t>
  </si>
  <si>
    <t>Bourání mazanin betonových tl. 10 cm, nad 4 m2</t>
  </si>
  <si>
    <t>ručně tl. mazaniny 5 - 8 cm</t>
  </si>
  <si>
    <t>17,1*0,08</t>
  </si>
  <si>
    <t>Dočištění povrchu po vybourání dlažeb, tmel do 50%</t>
  </si>
  <si>
    <t>42,3</t>
  </si>
  <si>
    <t>Bourání soklíků z dlažeb keramických</t>
  </si>
  <si>
    <t>7,39-0,8+5,78-0,6+5,3-0,8+9,0-0,8</t>
  </si>
  <si>
    <t>Bourání dlažeb keramických tl.10 mm, nad 1 m2</t>
  </si>
  <si>
    <t>ručně, dlaždice keramické</t>
  </si>
  <si>
    <t>1,7+3,0</t>
  </si>
  <si>
    <t>Demontáž dřevěných stěn - příčka</t>
  </si>
  <si>
    <t>3,89*3,35</t>
  </si>
  <si>
    <t>Odstranění dřevěného podia 2.18/2.61</t>
  </si>
  <si>
    <t>vč. odvozu, likvidace</t>
  </si>
  <si>
    <t>Odstranění ocelové konstrukce v 2.21/2.62</t>
  </si>
  <si>
    <t>vč. odvozu a likvidace</t>
  </si>
  <si>
    <t>Vyvěšení dřevěných dveřních křídel pl. do 2 m2</t>
  </si>
  <si>
    <t>Vyvěšení dřevěných dveřních křídel pl. nad 2 m2</t>
  </si>
  <si>
    <t>Vybourání kovových dveřních zárubní pl. do 2 m2</t>
  </si>
  <si>
    <t>0,7*2,0*9</t>
  </si>
  <si>
    <t>0,9*2,0*10</t>
  </si>
  <si>
    <t>Vybourání kovových dveřních zárubní pl. nad 2 m2</t>
  </si>
  <si>
    <t>1,5*2,0</t>
  </si>
  <si>
    <t>Prorážení otvorů a ostatní bourací práce</t>
  </si>
  <si>
    <t>Odsekání vnitřních obkladů stěn nad 2 m2</t>
  </si>
  <si>
    <t>8,46*1,5-0,8*1,5*2</t>
  </si>
  <si>
    <t>11,34*1,5-0,6*1,5*2-0,8*1,5</t>
  </si>
  <si>
    <t>5*1,5-0,6*1,5</t>
  </si>
  <si>
    <t>6,8*1,5-0,8*1,5</t>
  </si>
  <si>
    <t>7*1,5-0,8*1,5*2</t>
  </si>
  <si>
    <t>11,7*1,5-0,6*1,5</t>
  </si>
  <si>
    <t>5,5*1,5-0,8*1,5*2</t>
  </si>
  <si>
    <t>17,8*2,15-0,6*1,5-0,8*1,5</t>
  </si>
  <si>
    <t>Ostatní přesuny hmot</t>
  </si>
  <si>
    <t>Přesun hmot pro opravy a údržbu do výšky 12 m</t>
  </si>
  <si>
    <t>Montážní přirážky</t>
  </si>
  <si>
    <t>Zednické výpomoci HSV</t>
  </si>
  <si>
    <t>500</t>
  </si>
  <si>
    <t>Přesuny sutí</t>
  </si>
  <si>
    <t>Svislé přemístění suti nošením na H do 3,5 m</t>
  </si>
  <si>
    <t>Vodorovné přemístění suti na skládku do 6000 m</t>
  </si>
  <si>
    <t>44,91</t>
  </si>
  <si>
    <t>Vodorovné přemístění suti nošením do 10 m</t>
  </si>
  <si>
    <t>Příplatek za nošení suti každých dalších 10 m</t>
  </si>
  <si>
    <t>44,91*4</t>
  </si>
  <si>
    <t>Uložení suti na skládku bez zhutnění</t>
  </si>
  <si>
    <t>Nakládání nebo překládání vybourané suti</t>
  </si>
  <si>
    <t>Poplatek za uložení směsi betonu a cihel skupina 170101 a 170102</t>
  </si>
  <si>
    <t>36,468</t>
  </si>
  <si>
    <t>Poplatek za uložení suti - PVC střešní krytina, skupina odpadu 170203</t>
  </si>
  <si>
    <t>Poplatek za uložení suti - stavební keramika, skupina odpadu 170103</t>
  </si>
  <si>
    <t>Doba výstavby:</t>
  </si>
  <si>
    <t>Začátek výstavby:</t>
  </si>
  <si>
    <t>Konec výstavby:</t>
  </si>
  <si>
    <t>Zpracováno dne:</t>
  </si>
  <si>
    <t>31.08.2022</t>
  </si>
  <si>
    <t>Objednatel:</t>
  </si>
  <si>
    <t>Projektant:</t>
  </si>
  <si>
    <t>Zhotovitel:</t>
  </si>
  <si>
    <t>Zpracoval:</t>
  </si>
  <si>
    <t>2.49-2.53</t>
  </si>
  <si>
    <t>2.63</t>
  </si>
  <si>
    <t>2.65-2.71</t>
  </si>
  <si>
    <t>2.55-2.58</t>
  </si>
  <si>
    <t>2.59-2.60</t>
  </si>
  <si>
    <t>2.48</t>
  </si>
  <si>
    <t>2.61</t>
  </si>
  <si>
    <t>2.54</t>
  </si>
  <si>
    <t>WC, předsíňky</t>
  </si>
  <si>
    <t>příčky tl. 100 mm</t>
  </si>
  <si>
    <t>příčky tl. 150 mm</t>
  </si>
  <si>
    <t>příčky tl. 200 mm</t>
  </si>
  <si>
    <t>oprava stávajících omítek, napojení - odhad</t>
  </si>
  <si>
    <t>pod dlažbu</t>
  </si>
  <si>
    <t>pod vinyl</t>
  </si>
  <si>
    <t>2.11</t>
  </si>
  <si>
    <t>Otvor mezi 2.61-2.62</t>
  </si>
  <si>
    <t>pod obklady</t>
  </si>
  <si>
    <t>PVC</t>
  </si>
  <si>
    <t>koberec</t>
  </si>
  <si>
    <t>vinyl</t>
  </si>
  <si>
    <t>2.49</t>
  </si>
  <si>
    <t>2.50</t>
  </si>
  <si>
    <t>2.51</t>
  </si>
  <si>
    <t>2.52</t>
  </si>
  <si>
    <t>2.53</t>
  </si>
  <si>
    <t>2.55</t>
  </si>
  <si>
    <t>2.56</t>
  </si>
  <si>
    <t>2.57</t>
  </si>
  <si>
    <t>2.58</t>
  </si>
  <si>
    <t>2.59</t>
  </si>
  <si>
    <t>2.60</t>
  </si>
  <si>
    <t>2.66</t>
  </si>
  <si>
    <t>2.67</t>
  </si>
  <si>
    <t>2.68</t>
  </si>
  <si>
    <t>2.69</t>
  </si>
  <si>
    <t>2.70</t>
  </si>
  <si>
    <t>pod vinylem</t>
  </si>
  <si>
    <t>SDK podhled</t>
  </si>
  <si>
    <t>odpočet obklady</t>
  </si>
  <si>
    <t>tl. 100 mm</t>
  </si>
  <si>
    <t>2.03-2.08</t>
  </si>
  <si>
    <t>2.28-2.35</t>
  </si>
  <si>
    <t>2.43-2.47</t>
  </si>
  <si>
    <t>tl. 150 mm</t>
  </si>
  <si>
    <t>tl. 80 mm</t>
  </si>
  <si>
    <t>tl. 120 mm</t>
  </si>
  <si>
    <t>2.18</t>
  </si>
  <si>
    <t>otvory pro nové dveře</t>
  </si>
  <si>
    <t>2.03</t>
  </si>
  <si>
    <t>2.27-2.28</t>
  </si>
  <si>
    <t>2.36</t>
  </si>
  <si>
    <t>2.08</t>
  </si>
  <si>
    <t>keramická dlažba</t>
  </si>
  <si>
    <t>mramorová dlažba 2.12,  2.13</t>
  </si>
  <si>
    <t>2.40-2.41</t>
  </si>
  <si>
    <t>600</t>
  </si>
  <si>
    <t>800</t>
  </si>
  <si>
    <t>1450*2000</t>
  </si>
  <si>
    <t>2.04</t>
  </si>
  <si>
    <t>2.05</t>
  </si>
  <si>
    <t>2.06</t>
  </si>
  <si>
    <t>2.07</t>
  </si>
  <si>
    <t>2.43</t>
  </si>
  <si>
    <t>2.44</t>
  </si>
  <si>
    <t>do 50 m</t>
  </si>
  <si>
    <t> </t>
  </si>
  <si>
    <t>MJ</t>
  </si>
  <si>
    <t>kus</t>
  </si>
  <si>
    <t>m2</t>
  </si>
  <si>
    <t>kpl</t>
  </si>
  <si>
    <t>t</t>
  </si>
  <si>
    <t>m</t>
  </si>
  <si>
    <t>m3</t>
  </si>
  <si>
    <t>hod</t>
  </si>
  <si>
    <t>Množství</t>
  </si>
  <si>
    <t>Cena/MJ</t>
  </si>
  <si>
    <t>(Kč)</t>
  </si>
  <si>
    <t>Náklady (Kč)</t>
  </si>
  <si>
    <t>Dodávka</t>
  </si>
  <si>
    <t>Celkem:</t>
  </si>
  <si>
    <t>Montáž</t>
  </si>
  <si>
    <t>Celkem</t>
  </si>
  <si>
    <t>Cenová</t>
  </si>
  <si>
    <t>soustava</t>
  </si>
  <si>
    <t>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</si>
  <si>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</si>
  <si>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</si>
  <si>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</si>
  <si>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</si>
  <si>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</si>
  <si>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</si>
  <si>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</si>
  <si>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</si>
  <si>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</si>
  <si>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31_</t>
  </si>
  <si>
    <t>34_</t>
  </si>
  <si>
    <t>41_</t>
  </si>
  <si>
    <t>60_</t>
  </si>
  <si>
    <t>61_</t>
  </si>
  <si>
    <t>63_</t>
  </si>
  <si>
    <t>64_</t>
  </si>
  <si>
    <t>711_</t>
  </si>
  <si>
    <t>725_</t>
  </si>
  <si>
    <t>766_</t>
  </si>
  <si>
    <t>771_</t>
  </si>
  <si>
    <t>775_</t>
  </si>
  <si>
    <t>776_</t>
  </si>
  <si>
    <t>781_</t>
  </si>
  <si>
    <t>783_</t>
  </si>
  <si>
    <t>784_</t>
  </si>
  <si>
    <t>94_</t>
  </si>
  <si>
    <t>95_</t>
  </si>
  <si>
    <t>96_</t>
  </si>
  <si>
    <t>97_</t>
  </si>
  <si>
    <t>H99_</t>
  </si>
  <si>
    <t>M_</t>
  </si>
  <si>
    <t>S_</t>
  </si>
  <si>
    <t>3_</t>
  </si>
  <si>
    <t>4_</t>
  </si>
  <si>
    <t>6_</t>
  </si>
  <si>
    <t>71_</t>
  </si>
  <si>
    <t>72_</t>
  </si>
  <si>
    <t>76_</t>
  </si>
  <si>
    <t>77_</t>
  </si>
  <si>
    <t>78_</t>
  </si>
  <si>
    <t>9_</t>
  </si>
  <si>
    <t>_</t>
  </si>
  <si>
    <t>MAT</t>
  </si>
  <si>
    <t>WORK</t>
  </si>
  <si>
    <t>CELK</t>
  </si>
  <si>
    <t>ISWORK</t>
  </si>
  <si>
    <t>P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</si>
  <si>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</si>
  <si>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</si>
  <si>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</si>
  <si>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</si>
  <si>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</si>
  <si>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</si>
  <si>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</si>
  <si>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</si>
  <si>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</si>
  <si>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</si>
  <si>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</si>
  <si>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</si>
  <si>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</si>
  <si>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</si>
  <si>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</si>
  <si>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</si>
  <si>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</si>
  <si>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</si>
  <si>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</si>
  <si>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</si>
  <si>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</si>
  <si>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</si>
  <si>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</si>
  <si>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</si>
  <si>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</si>
  <si>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</si>
  <si>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</si>
  <si>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</si>
  <si>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</si>
  <si>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</si>
  <si>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</si>
  <si>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</si>
  <si>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</si>
  <si>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</si>
  <si>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</si>
  <si>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</si>
  <si>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</si>
  <si>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</si>
  <si>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</si>
  <si>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</si>
  <si>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</si>
  <si>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</si>
  <si>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</si>
  <si>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</si>
  <si>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</si>
  <si>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RTS II / 2022</t>
  </si>
  <si>
    <t>Dlažba matná sokl 300x80x9 mm</t>
  </si>
  <si>
    <t>Dlažba matná 300x300x9 mm</t>
  </si>
  <si>
    <t>Lišta soklová PVC pro vinyl 58x11,8 mm</t>
  </si>
  <si>
    <t>Podlaha lepená Vinyl 908x2020x2 mm</t>
  </si>
  <si>
    <t>Malba pro SDK, bílá, bez pen., 1 x</t>
  </si>
  <si>
    <t>Malba ze směsi na SDK, penetrace 1x, bílá 2x</t>
  </si>
  <si>
    <t>Penetrace betonových podkladů 1x</t>
  </si>
  <si>
    <t>Lepení povlak.podlah z pásů PVC na lepidlo</t>
  </si>
  <si>
    <t>Potěr samonivelační ručně tl. 8 mm</t>
  </si>
  <si>
    <t>Potěr samonivelační ručně tl. 10 mm</t>
  </si>
  <si>
    <t>včetně výztužné sítě a stěrkového tmelu</t>
  </si>
  <si>
    <t>Penetrační nátěr stěn</t>
  </si>
  <si>
    <t>Příčky z desek porobetonových tl. 10 cm</t>
  </si>
  <si>
    <t>Příčky z desek porobetonových tl. 15 cm</t>
  </si>
  <si>
    <t>Příčky z desek porobetonových tl. 20 cm</t>
  </si>
  <si>
    <t>desky 599 x 249 x 150 mm</t>
  </si>
  <si>
    <t>desky 599 x 249 x 200 mm</t>
  </si>
  <si>
    <t>desky 599 x 249 x 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</si>
</sst>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i/>
      <sz val="10"/>
      <color indexed="58"/>
      <name val="Arial"/>
      <family val="2"/>
      <charset val="238"/>
    </font>
    <font>
      <i/>
      <sz val="10"/>
      <color indexed="59"/>
      <name val="Arial"/>
      <family val="2"/>
      <charset val="238"/>
    </font>
    <font>
      <i/>
      <sz val="10"/>
      <color indexed="63"/>
      <name val="Arial"/>
      <family val="2"/>
      <charset val="238"/>
    </font>
    <font>
      <i/>
      <sz val="10"/>
      <color indexed="50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1" fillId="0" borderId="0" xfId="0" applyFont="1" applyAlignment="1">
      <alignment vertical="center"/>
    </xf>
    <xf numFmtId="49" fontId="3" fillId="0" borderId="5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49" fontId="4" fillId="2" borderId="3" xfId="0" applyNumberFormat="1" applyFont="1" applyFill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3" fillId="0" borderId="11" xfId="0" applyNumberFormat="1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top"/>
    </xf>
    <xf numFmtId="49" fontId="8" fillId="2" borderId="0" xfId="0" applyNumberFormat="1" applyFont="1" applyFill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49" fontId="4" fillId="2" borderId="13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  <xf numFmtId="49" fontId="3" fillId="0" borderId="1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right" vertical="center"/>
    </xf>
    <xf numFmtId="49" fontId="5" fillId="0" borderId="25" xfId="0" applyNumberFormat="1" applyFont="1" applyBorder="1" applyAlignment="1">
      <alignment horizontal="right" vertical="center"/>
    </xf>
    <xf numFmtId="0" fontId="1" fillId="0" borderId="25" xfId="0" applyFont="1" applyBorder="1" applyAlignment="1">
      <alignment vertical="center"/>
    </xf>
    <xf numFmtId="49" fontId="8" fillId="2" borderId="25" xfId="0" applyNumberFormat="1" applyFont="1" applyFill="1" applyBorder="1" applyAlignment="1">
      <alignment horizontal="right" vertical="center"/>
    </xf>
    <xf numFmtId="49" fontId="6" fillId="0" borderId="25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right" vertical="center"/>
    </xf>
    <xf numFmtId="0" fontId="1" fillId="0" borderId="29" xfId="0" applyFont="1" applyBorder="1" applyAlignment="1">
      <alignment vertical="center"/>
    </xf>
    <xf numFmtId="49" fontId="8" fillId="2" borderId="0" xfId="0" applyNumberFormat="1" applyFont="1" applyFill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" fontId="8" fillId="2" borderId="13" xfId="0" applyNumberFormat="1" applyFont="1" applyFill="1" applyBorder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49" fontId="14" fillId="3" borderId="31" xfId="0" applyNumberFormat="1" applyFont="1" applyFill="1" applyBorder="1" applyAlignment="1">
      <alignment horizontal="center" vertical="center"/>
    </xf>
    <xf numFmtId="49" fontId="15" fillId="0" borderId="32" xfId="0" applyNumberFormat="1" applyFont="1" applyBorder="1" applyAlignment="1">
      <alignment horizontal="left" vertical="center"/>
    </xf>
    <xf numFmtId="49" fontId="15" fillId="0" borderId="33" xfId="0" applyNumberFormat="1" applyFont="1" applyBorder="1" applyAlignment="1">
      <alignment horizontal="left" vertical="center"/>
    </xf>
    <xf numFmtId="0" fontId="1" fillId="0" borderId="35" xfId="0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49" fontId="16" fillId="0" borderId="31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6" fillId="0" borderId="31" xfId="0" applyNumberFormat="1" applyFont="1" applyBorder="1" applyAlignment="1">
      <alignment horizontal="right" vertical="center"/>
    </xf>
    <xf numFmtId="49" fontId="16" fillId="0" borderId="31" xfId="0" applyNumberFormat="1" applyFont="1" applyBorder="1" applyAlignment="1">
      <alignment horizontal="right" vertical="center"/>
    </xf>
    <xf numFmtId="4" fontId="16" fillId="0" borderId="21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4" fontId="15" fillId="3" borderId="38" xfId="0" applyNumberFormat="1" applyFont="1" applyFill="1" applyBorder="1" applyAlignment="1">
      <alignment horizontal="right" vertical="center"/>
    </xf>
    <xf numFmtId="0" fontId="1" fillId="0" borderId="1" xfId="0" applyFont="1" applyBorder="1"/>
    <xf numFmtId="164" fontId="5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3" fillId="0" borderId="30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49" fontId="17" fillId="0" borderId="34" xfId="0" applyNumberFormat="1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49" fontId="16" fillId="0" borderId="34" xfId="0" applyNumberFormat="1" applyFont="1" applyBorder="1" applyAlignment="1">
      <alignment horizontal="left" vertical="center"/>
    </xf>
    <xf numFmtId="0" fontId="16" fillId="0" borderId="38" xfId="0" applyFont="1" applyBorder="1" applyAlignment="1">
      <alignment horizontal="left" vertical="center"/>
    </xf>
    <xf numFmtId="49" fontId="15" fillId="0" borderId="34" xfId="0" applyNumberFormat="1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49" fontId="15" fillId="3" borderId="34" xfId="0" applyNumberFormat="1" applyFont="1" applyFill="1" applyBorder="1" applyAlignment="1">
      <alignment horizontal="left" vertical="center"/>
    </xf>
    <xf numFmtId="0" fontId="15" fillId="3" borderId="30" xfId="0" applyFont="1" applyFill="1" applyBorder="1" applyAlignment="1">
      <alignment horizontal="left" vertical="center"/>
    </xf>
    <xf numFmtId="49" fontId="16" fillId="0" borderId="36" xfId="0" applyNumberFormat="1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39" xfId="0" applyFont="1" applyBorder="1" applyAlignment="1">
      <alignment horizontal="left" vertical="center"/>
    </xf>
    <xf numFmtId="49" fontId="16" fillId="0" borderId="29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40" xfId="0" applyFont="1" applyBorder="1" applyAlignment="1">
      <alignment horizontal="left" vertical="center"/>
    </xf>
    <xf numFmtId="49" fontId="16" fillId="0" borderId="37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4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8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8000"/>
      <rgbColor rgb="00000000"/>
      <rgbColor rgb="000000FF"/>
      <rgbColor rgb="00800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966C79EA-EE10-512D-A65E-5BCCC0B9E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B92429CA-7769-B1E7-A3CB-E07B1CC6C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303"/>
  <sheetViews>
    <sheetView workbookViewId="0">
      <pane ySplit="11" topLeftCell="A189" activePane="bottomLeft" state="frozenSplit"/>
      <selection pane="bottomLeft" activeCell="C25" sqref="C25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46.42578125" customWidth="1"/>
    <col min="4" max="4" width="36.140625" customWidth="1"/>
    <col min="7" max="7" width="4.28515625" customWidth="1"/>
    <col min="8" max="8" width="12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 x14ac:dyDescent="0.35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64" x14ac:dyDescent="0.2">
      <c r="A2" s="79" t="s">
        <v>1</v>
      </c>
      <c r="B2" s="80"/>
      <c r="C2" s="81" t="s">
        <v>174</v>
      </c>
      <c r="D2" s="83" t="s">
        <v>379</v>
      </c>
      <c r="E2" s="83" t="s">
        <v>6</v>
      </c>
      <c r="F2" s="84" t="s">
        <v>384</v>
      </c>
      <c r="G2" s="83" t="s">
        <v>454</v>
      </c>
      <c r="H2" s="80"/>
      <c r="I2" s="80"/>
      <c r="J2" s="80"/>
      <c r="K2" s="80"/>
      <c r="L2" s="80"/>
      <c r="M2" s="85"/>
      <c r="N2" s="5"/>
    </row>
    <row r="3" spans="1:64" x14ac:dyDescent="0.2">
      <c r="A3" s="73"/>
      <c r="B3" s="72"/>
      <c r="C3" s="82"/>
      <c r="D3" s="72"/>
      <c r="E3" s="72"/>
      <c r="F3" s="72"/>
      <c r="G3" s="72"/>
      <c r="H3" s="72"/>
      <c r="I3" s="72"/>
      <c r="J3" s="72"/>
      <c r="K3" s="72"/>
      <c r="L3" s="72"/>
      <c r="M3" s="76"/>
      <c r="N3" s="5"/>
    </row>
    <row r="4" spans="1:64" x14ac:dyDescent="0.2">
      <c r="A4" s="71" t="s">
        <v>2</v>
      </c>
      <c r="B4" s="72"/>
      <c r="C4" s="74" t="s">
        <v>6</v>
      </c>
      <c r="D4" s="75" t="s">
        <v>380</v>
      </c>
      <c r="E4" s="75" t="s">
        <v>383</v>
      </c>
      <c r="F4" s="74" t="s">
        <v>385</v>
      </c>
      <c r="G4" s="75" t="s">
        <v>454</v>
      </c>
      <c r="H4" s="72"/>
      <c r="I4" s="72"/>
      <c r="J4" s="72"/>
      <c r="K4" s="72"/>
      <c r="L4" s="72"/>
      <c r="M4" s="76"/>
      <c r="N4" s="5"/>
    </row>
    <row r="5" spans="1:64" x14ac:dyDescent="0.2">
      <c r="A5" s="73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6"/>
      <c r="N5" s="5"/>
    </row>
    <row r="6" spans="1:64" x14ac:dyDescent="0.2">
      <c r="A6" s="71" t="s">
        <v>3</v>
      </c>
      <c r="B6" s="72"/>
      <c r="C6" s="74" t="s">
        <v>175</v>
      </c>
      <c r="D6" s="75" t="s">
        <v>381</v>
      </c>
      <c r="E6" s="75" t="s">
        <v>6</v>
      </c>
      <c r="F6" s="74" t="s">
        <v>386</v>
      </c>
      <c r="G6" s="75" t="s">
        <v>454</v>
      </c>
      <c r="H6" s="72"/>
      <c r="I6" s="72"/>
      <c r="J6" s="72"/>
      <c r="K6" s="72"/>
      <c r="L6" s="72"/>
      <c r="M6" s="76"/>
      <c r="N6" s="5"/>
    </row>
    <row r="7" spans="1:64" x14ac:dyDescent="0.2">
      <c r="A7" s="73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6"/>
      <c r="N7" s="5"/>
    </row>
    <row r="8" spans="1:64" x14ac:dyDescent="0.2">
      <c r="A8" s="71" t="s">
        <v>4</v>
      </c>
      <c r="B8" s="72"/>
      <c r="C8" s="74" t="s">
        <v>6</v>
      </c>
      <c r="D8" s="75" t="s">
        <v>382</v>
      </c>
      <c r="E8" s="75" t="s">
        <v>383</v>
      </c>
      <c r="F8" s="74" t="s">
        <v>387</v>
      </c>
      <c r="G8" s="75" t="s">
        <v>454</v>
      </c>
      <c r="H8" s="72"/>
      <c r="I8" s="72"/>
      <c r="J8" s="72"/>
      <c r="K8" s="72"/>
      <c r="L8" s="72"/>
      <c r="M8" s="76"/>
      <c r="N8" s="5"/>
    </row>
    <row r="9" spans="1:64" x14ac:dyDescent="0.2">
      <c r="A9" s="86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8"/>
      <c r="N9" s="5"/>
    </row>
    <row r="10" spans="1:64" x14ac:dyDescent="0.2">
      <c r="A10" s="1" t="s">
        <v>5</v>
      </c>
      <c r="B10" s="11" t="s">
        <v>82</v>
      </c>
      <c r="C10" s="96" t="s">
        <v>176</v>
      </c>
      <c r="D10" s="97"/>
      <c r="E10" s="97"/>
      <c r="F10" s="98"/>
      <c r="G10" s="11" t="s">
        <v>455</v>
      </c>
      <c r="H10" s="23" t="s">
        <v>463</v>
      </c>
      <c r="I10" s="27" t="s">
        <v>464</v>
      </c>
      <c r="J10" s="99" t="s">
        <v>466</v>
      </c>
      <c r="K10" s="100"/>
      <c r="L10" s="101"/>
      <c r="M10" s="32" t="s">
        <v>471</v>
      </c>
      <c r="N10" s="40"/>
      <c r="BK10" s="41" t="s">
        <v>519</v>
      </c>
      <c r="BL10" s="46" t="s">
        <v>521</v>
      </c>
    </row>
    <row r="11" spans="1:64" x14ac:dyDescent="0.2">
      <c r="A11" s="2" t="s">
        <v>6</v>
      </c>
      <c r="B11" s="12" t="s">
        <v>6</v>
      </c>
      <c r="C11" s="102" t="s">
        <v>177</v>
      </c>
      <c r="D11" s="103"/>
      <c r="E11" s="103"/>
      <c r="F11" s="104"/>
      <c r="G11" s="12" t="s">
        <v>6</v>
      </c>
      <c r="H11" s="12" t="s">
        <v>6</v>
      </c>
      <c r="I11" s="28" t="s">
        <v>465</v>
      </c>
      <c r="J11" s="29" t="s">
        <v>467</v>
      </c>
      <c r="K11" s="30" t="s">
        <v>469</v>
      </c>
      <c r="L11" s="31" t="s">
        <v>470</v>
      </c>
      <c r="M11" s="33" t="s">
        <v>472</v>
      </c>
      <c r="N11" s="40"/>
      <c r="Z11" s="41" t="s">
        <v>474</v>
      </c>
      <c r="AA11" s="41" t="s">
        <v>475</v>
      </c>
      <c r="AB11" s="41" t="s">
        <v>476</v>
      </c>
      <c r="AC11" s="41" t="s">
        <v>477</v>
      </c>
      <c r="AD11" s="41" t="s">
        <v>478</v>
      </c>
      <c r="AE11" s="41" t="s">
        <v>479</v>
      </c>
      <c r="AF11" s="41" t="s">
        <v>480</v>
      </c>
      <c r="AG11" s="41" t="s">
        <v>481</v>
      </c>
      <c r="AH11" s="41" t="s">
        <v>482</v>
      </c>
      <c r="BH11" s="41" t="s">
        <v>516</v>
      </c>
      <c r="BI11" s="41" t="s">
        <v>517</v>
      </c>
      <c r="BJ11" s="41" t="s">
        <v>518</v>
      </c>
    </row>
    <row r="12" spans="1:64" x14ac:dyDescent="0.2">
      <c r="A12" s="3"/>
      <c r="B12" s="13" t="s">
        <v>37</v>
      </c>
      <c r="C12" s="105" t="s">
        <v>178</v>
      </c>
      <c r="D12" s="106"/>
      <c r="E12" s="106"/>
      <c r="F12" s="106"/>
      <c r="G12" s="21" t="s">
        <v>6</v>
      </c>
      <c r="H12" s="21" t="s">
        <v>6</v>
      </c>
      <c r="I12" s="21" t="s">
        <v>6</v>
      </c>
      <c r="J12" s="47">
        <f>SUM(J13:J19)</f>
        <v>0</v>
      </c>
      <c r="K12" s="47">
        <f>SUM(K13:K19)</f>
        <v>0</v>
      </c>
      <c r="L12" s="47">
        <f>SUM(L13:L19)</f>
        <v>0</v>
      </c>
      <c r="M12" s="34"/>
      <c r="N12" s="5"/>
      <c r="AI12" s="41"/>
      <c r="AS12" s="48">
        <f>SUM(AJ13:AJ19)</f>
        <v>0</v>
      </c>
      <c r="AT12" s="48">
        <f>SUM(AK13:AK19)</f>
        <v>0</v>
      </c>
      <c r="AU12" s="48">
        <f>SUM(AL13:AL19)</f>
        <v>0</v>
      </c>
    </row>
    <row r="13" spans="1:64" x14ac:dyDescent="0.2">
      <c r="A13" s="4" t="s">
        <v>7</v>
      </c>
      <c r="B13" s="14" t="s">
        <v>83</v>
      </c>
      <c r="C13" s="89" t="s">
        <v>179</v>
      </c>
      <c r="D13" s="90"/>
      <c r="E13" s="90"/>
      <c r="F13" s="90"/>
      <c r="G13" s="14" t="s">
        <v>456</v>
      </c>
      <c r="H13" s="67">
        <v>2</v>
      </c>
      <c r="I13" s="24">
        <v>0</v>
      </c>
      <c r="J13" s="24">
        <f>H13*AO13</f>
        <v>0</v>
      </c>
      <c r="K13" s="24">
        <f>H13*AP13</f>
        <v>0</v>
      </c>
      <c r="L13" s="24">
        <f>H13*I13</f>
        <v>0</v>
      </c>
      <c r="M13" s="35" t="s">
        <v>566</v>
      </c>
      <c r="N13" s="5"/>
      <c r="Z13" s="42">
        <f>IF(AQ13="5",BJ13,0)</f>
        <v>0</v>
      </c>
      <c r="AB13" s="42">
        <f>IF(AQ13="1",BH13,0)</f>
        <v>0</v>
      </c>
      <c r="AC13" s="42">
        <f>IF(AQ13="1",BI13,0)</f>
        <v>0</v>
      </c>
      <c r="AD13" s="42">
        <f>IF(AQ13="7",BH13,0)</f>
        <v>0</v>
      </c>
      <c r="AE13" s="42">
        <f>IF(AQ13="7",BI13,0)</f>
        <v>0</v>
      </c>
      <c r="AF13" s="42">
        <f>IF(AQ13="2",BH13,0)</f>
        <v>0</v>
      </c>
      <c r="AG13" s="42">
        <f>IF(AQ13="2",BI13,0)</f>
        <v>0</v>
      </c>
      <c r="AH13" s="42">
        <f>IF(AQ13="0",BJ13,0)</f>
        <v>0</v>
      </c>
      <c r="AI13" s="41"/>
      <c r="AJ13" s="24">
        <f>IF(AN13=0,L13,0)</f>
        <v>0</v>
      </c>
      <c r="AK13" s="24">
        <f>IF(AN13=15,L13,0)</f>
        <v>0</v>
      </c>
      <c r="AL13" s="24">
        <f>IF(AN13=21,L13,0)</f>
        <v>0</v>
      </c>
      <c r="AN13" s="42">
        <v>21</v>
      </c>
      <c r="AO13" s="42">
        <f>I13*0.929570093457944</f>
        <v>0</v>
      </c>
      <c r="AP13" s="42">
        <f>I13*(1-0.929570093457944)</f>
        <v>0</v>
      </c>
      <c r="AQ13" s="43" t="s">
        <v>7</v>
      </c>
      <c r="AV13" s="42">
        <f>AW13+AX13</f>
        <v>0</v>
      </c>
      <c r="AW13" s="42">
        <f>H13*AO13</f>
        <v>0</v>
      </c>
      <c r="AX13" s="42">
        <f>H13*AP13</f>
        <v>0</v>
      </c>
      <c r="AY13" s="45" t="s">
        <v>483</v>
      </c>
      <c r="AZ13" s="45" t="s">
        <v>506</v>
      </c>
      <c r="BA13" s="41" t="s">
        <v>515</v>
      </c>
      <c r="BC13" s="42">
        <f>AW13+AX13</f>
        <v>0</v>
      </c>
      <c r="BD13" s="42">
        <f>I13/(100-BE13)*100</f>
        <v>0</v>
      </c>
      <c r="BE13" s="42">
        <v>0</v>
      </c>
      <c r="BF13" s="42">
        <f>13</f>
        <v>13</v>
      </c>
      <c r="BH13" s="24">
        <f>H13*AO13</f>
        <v>0</v>
      </c>
      <c r="BI13" s="24">
        <f>H13*AP13</f>
        <v>0</v>
      </c>
      <c r="BJ13" s="24">
        <f>H13*I13</f>
        <v>0</v>
      </c>
      <c r="BK13" s="24" t="s">
        <v>520</v>
      </c>
      <c r="BL13" s="42">
        <v>31</v>
      </c>
    </row>
    <row r="14" spans="1:64" x14ac:dyDescent="0.2">
      <c r="A14" s="5"/>
      <c r="B14" s="15" t="s">
        <v>84</v>
      </c>
      <c r="C14" s="91" t="s">
        <v>180</v>
      </c>
      <c r="D14" s="92"/>
      <c r="E14" s="92"/>
      <c r="F14" s="92"/>
      <c r="G14" s="92"/>
      <c r="H14" s="92"/>
      <c r="I14" s="92"/>
      <c r="J14" s="92"/>
      <c r="K14" s="92"/>
      <c r="L14" s="92"/>
      <c r="M14" s="93"/>
      <c r="N14" s="5"/>
    </row>
    <row r="15" spans="1:64" x14ac:dyDescent="0.2">
      <c r="A15" s="5"/>
      <c r="C15" s="19" t="s">
        <v>8</v>
      </c>
      <c r="F15" s="20"/>
      <c r="H15" s="68">
        <v>2</v>
      </c>
      <c r="M15" s="36"/>
      <c r="N15" s="5"/>
    </row>
    <row r="16" spans="1:64" x14ac:dyDescent="0.2">
      <c r="A16" s="4" t="s">
        <v>8</v>
      </c>
      <c r="B16" s="14" t="s">
        <v>85</v>
      </c>
      <c r="C16" s="89" t="s">
        <v>181</v>
      </c>
      <c r="D16" s="90"/>
      <c r="E16" s="90"/>
      <c r="F16" s="90"/>
      <c r="G16" s="14" t="s">
        <v>456</v>
      </c>
      <c r="H16" s="67">
        <v>14</v>
      </c>
      <c r="I16" s="24">
        <v>0</v>
      </c>
      <c r="J16" s="24">
        <f>H16*AO16</f>
        <v>0</v>
      </c>
      <c r="K16" s="24">
        <f>H16*AP16</f>
        <v>0</v>
      </c>
      <c r="L16" s="24">
        <f>H16*I16</f>
        <v>0</v>
      </c>
      <c r="M16" s="35" t="s">
        <v>566</v>
      </c>
      <c r="N16" s="5"/>
      <c r="Z16" s="42">
        <f>IF(AQ16="5",BJ16,0)</f>
        <v>0</v>
      </c>
      <c r="AB16" s="42">
        <f>IF(AQ16="1",BH16,0)</f>
        <v>0</v>
      </c>
      <c r="AC16" s="42">
        <f>IF(AQ16="1",BI16,0)</f>
        <v>0</v>
      </c>
      <c r="AD16" s="42">
        <f>IF(AQ16="7",BH16,0)</f>
        <v>0</v>
      </c>
      <c r="AE16" s="42">
        <f>IF(AQ16="7",BI16,0)</f>
        <v>0</v>
      </c>
      <c r="AF16" s="42">
        <f>IF(AQ16="2",BH16,0)</f>
        <v>0</v>
      </c>
      <c r="AG16" s="42">
        <f>IF(AQ16="2",BI16,0)</f>
        <v>0</v>
      </c>
      <c r="AH16" s="42">
        <f>IF(AQ16="0",BJ16,0)</f>
        <v>0</v>
      </c>
      <c r="AI16" s="41"/>
      <c r="AJ16" s="24">
        <f>IF(AN16=0,L16,0)</f>
        <v>0</v>
      </c>
      <c r="AK16" s="24">
        <f>IF(AN16=15,L16,0)</f>
        <v>0</v>
      </c>
      <c r="AL16" s="24">
        <f>IF(AN16=21,L16,0)</f>
        <v>0</v>
      </c>
      <c r="AN16" s="42">
        <v>21</v>
      </c>
      <c r="AO16" s="42">
        <f>I16*0.857603898877063</f>
        <v>0</v>
      </c>
      <c r="AP16" s="42">
        <f>I16*(1-0.857603898877063)</f>
        <v>0</v>
      </c>
      <c r="AQ16" s="43" t="s">
        <v>7</v>
      </c>
      <c r="AV16" s="42">
        <f>AW16+AX16</f>
        <v>0</v>
      </c>
      <c r="AW16" s="42">
        <f>H16*AO16</f>
        <v>0</v>
      </c>
      <c r="AX16" s="42">
        <f>H16*AP16</f>
        <v>0</v>
      </c>
      <c r="AY16" s="45" t="s">
        <v>483</v>
      </c>
      <c r="AZ16" s="45" t="s">
        <v>506</v>
      </c>
      <c r="BA16" s="41" t="s">
        <v>515</v>
      </c>
      <c r="BC16" s="42">
        <f>AW16+AX16</f>
        <v>0</v>
      </c>
      <c r="BD16" s="42">
        <f>I16/(100-BE16)*100</f>
        <v>0</v>
      </c>
      <c r="BE16" s="42">
        <v>0</v>
      </c>
      <c r="BF16" s="42">
        <f>16</f>
        <v>16</v>
      </c>
      <c r="BH16" s="24">
        <f>H16*AO16</f>
        <v>0</v>
      </c>
      <c r="BI16" s="24">
        <f>H16*AP16</f>
        <v>0</v>
      </c>
      <c r="BJ16" s="24">
        <f>H16*I16</f>
        <v>0</v>
      </c>
      <c r="BK16" s="24" t="s">
        <v>520</v>
      </c>
      <c r="BL16" s="42">
        <v>31</v>
      </c>
    </row>
    <row r="17" spans="1:64" x14ac:dyDescent="0.2">
      <c r="A17" s="5"/>
      <c r="B17" s="15" t="s">
        <v>84</v>
      </c>
      <c r="C17" s="91" t="s">
        <v>182</v>
      </c>
      <c r="D17" s="92"/>
      <c r="E17" s="92"/>
      <c r="F17" s="92"/>
      <c r="G17" s="92"/>
      <c r="H17" s="92"/>
      <c r="I17" s="92"/>
      <c r="J17" s="92"/>
      <c r="K17" s="92"/>
      <c r="L17" s="92"/>
      <c r="M17" s="93"/>
      <c r="N17" s="5"/>
    </row>
    <row r="18" spans="1:64" x14ac:dyDescent="0.2">
      <c r="A18" s="5"/>
      <c r="C18" s="19" t="s">
        <v>20</v>
      </c>
      <c r="F18" s="20"/>
      <c r="H18" s="68">
        <v>14</v>
      </c>
      <c r="M18" s="36"/>
      <c r="N18" s="5"/>
    </row>
    <row r="19" spans="1:64" x14ac:dyDescent="0.2">
      <c r="A19" s="4" t="s">
        <v>9</v>
      </c>
      <c r="B19" s="14" t="s">
        <v>86</v>
      </c>
      <c r="C19" s="89" t="s">
        <v>181</v>
      </c>
      <c r="D19" s="90"/>
      <c r="E19" s="90"/>
      <c r="F19" s="90"/>
      <c r="G19" s="14" t="s">
        <v>456</v>
      </c>
      <c r="H19" s="67">
        <v>5</v>
      </c>
      <c r="I19" s="24">
        <v>0</v>
      </c>
      <c r="J19" s="24">
        <f>H19*AO19</f>
        <v>0</v>
      </c>
      <c r="K19" s="24">
        <f>H19*AP19</f>
        <v>0</v>
      </c>
      <c r="L19" s="24">
        <f>H19*I19</f>
        <v>0</v>
      </c>
      <c r="M19" s="35" t="s">
        <v>566</v>
      </c>
      <c r="N19" s="5"/>
      <c r="Z19" s="42">
        <f>IF(AQ19="5",BJ19,0)</f>
        <v>0</v>
      </c>
      <c r="AB19" s="42">
        <f>IF(AQ19="1",BH19,0)</f>
        <v>0</v>
      </c>
      <c r="AC19" s="42">
        <f>IF(AQ19="1",BI19,0)</f>
        <v>0</v>
      </c>
      <c r="AD19" s="42">
        <f>IF(AQ19="7",BH19,0)</f>
        <v>0</v>
      </c>
      <c r="AE19" s="42">
        <f>IF(AQ19="7",BI19,0)</f>
        <v>0</v>
      </c>
      <c r="AF19" s="42">
        <f>IF(AQ19="2",BH19,0)</f>
        <v>0</v>
      </c>
      <c r="AG19" s="42">
        <f>IF(AQ19="2",BI19,0)</f>
        <v>0</v>
      </c>
      <c r="AH19" s="42">
        <f>IF(AQ19="0",BJ19,0)</f>
        <v>0</v>
      </c>
      <c r="AI19" s="41"/>
      <c r="AJ19" s="24">
        <f>IF(AN19=0,L19,0)</f>
        <v>0</v>
      </c>
      <c r="AK19" s="24">
        <f>IF(AN19=15,L19,0)</f>
        <v>0</v>
      </c>
      <c r="AL19" s="24">
        <f>IF(AN19=21,L19,0)</f>
        <v>0</v>
      </c>
      <c r="AN19" s="42">
        <v>21</v>
      </c>
      <c r="AO19" s="42">
        <f>I19*0.900434426229508</f>
        <v>0</v>
      </c>
      <c r="AP19" s="42">
        <f>I19*(1-0.900434426229508)</f>
        <v>0</v>
      </c>
      <c r="AQ19" s="43" t="s">
        <v>7</v>
      </c>
      <c r="AV19" s="42">
        <f>AW19+AX19</f>
        <v>0</v>
      </c>
      <c r="AW19" s="42">
        <f>H19*AO19</f>
        <v>0</v>
      </c>
      <c r="AX19" s="42">
        <f>H19*AP19</f>
        <v>0</v>
      </c>
      <c r="AY19" s="45" t="s">
        <v>483</v>
      </c>
      <c r="AZ19" s="45" t="s">
        <v>506</v>
      </c>
      <c r="BA19" s="41" t="s">
        <v>515</v>
      </c>
      <c r="BC19" s="42">
        <f>AW19+AX19</f>
        <v>0</v>
      </c>
      <c r="BD19" s="42">
        <f>I19/(100-BE19)*100</f>
        <v>0</v>
      </c>
      <c r="BE19" s="42">
        <v>0</v>
      </c>
      <c r="BF19" s="42">
        <f>19</f>
        <v>19</v>
      </c>
      <c r="BH19" s="24">
        <f>H19*AO19</f>
        <v>0</v>
      </c>
      <c r="BI19" s="24">
        <f>H19*AP19</f>
        <v>0</v>
      </c>
      <c r="BJ19" s="24">
        <f>H19*I19</f>
        <v>0</v>
      </c>
      <c r="BK19" s="24" t="s">
        <v>520</v>
      </c>
      <c r="BL19" s="42">
        <v>31</v>
      </c>
    </row>
    <row r="20" spans="1:64" x14ac:dyDescent="0.2">
      <c r="A20" s="5"/>
      <c r="B20" s="15" t="s">
        <v>84</v>
      </c>
      <c r="C20" s="91" t="s">
        <v>183</v>
      </c>
      <c r="D20" s="92"/>
      <c r="E20" s="92"/>
      <c r="F20" s="92"/>
      <c r="G20" s="92"/>
      <c r="H20" s="92"/>
      <c r="I20" s="92"/>
      <c r="J20" s="92"/>
      <c r="K20" s="92"/>
      <c r="L20" s="92"/>
      <c r="M20" s="93"/>
      <c r="N20" s="5"/>
    </row>
    <row r="21" spans="1:64" x14ac:dyDescent="0.2">
      <c r="A21" s="5"/>
      <c r="C21" s="19" t="s">
        <v>11</v>
      </c>
      <c r="F21" s="20"/>
      <c r="H21" s="68">
        <v>5</v>
      </c>
      <c r="M21" s="36"/>
      <c r="N21" s="5"/>
    </row>
    <row r="22" spans="1:64" x14ac:dyDescent="0.2">
      <c r="A22" s="6"/>
      <c r="B22" s="16" t="s">
        <v>40</v>
      </c>
      <c r="C22" s="94" t="s">
        <v>184</v>
      </c>
      <c r="D22" s="95"/>
      <c r="E22" s="95"/>
      <c r="F22" s="95"/>
      <c r="G22" s="22" t="s">
        <v>6</v>
      </c>
      <c r="H22" s="22" t="s">
        <v>6</v>
      </c>
      <c r="I22" s="22" t="s">
        <v>6</v>
      </c>
      <c r="J22" s="48">
        <f>SUM(J23:J48)</f>
        <v>0</v>
      </c>
      <c r="K22" s="48">
        <f>SUM(K23:K48)</f>
        <v>0</v>
      </c>
      <c r="L22" s="48">
        <f>SUM(L23:L48)</f>
        <v>0</v>
      </c>
      <c r="M22" s="37"/>
      <c r="N22" s="5"/>
      <c r="AI22" s="41"/>
      <c r="AS22" s="48">
        <f>SUM(AJ23:AJ48)</f>
        <v>0</v>
      </c>
      <c r="AT22" s="48">
        <f>SUM(AK23:AK48)</f>
        <v>0</v>
      </c>
      <c r="AU22" s="48">
        <f>SUM(AL23:AL48)</f>
        <v>0</v>
      </c>
    </row>
    <row r="23" spans="1:64" x14ac:dyDescent="0.2">
      <c r="A23" s="4" t="s">
        <v>10</v>
      </c>
      <c r="B23" s="14" t="s">
        <v>87</v>
      </c>
      <c r="C23" s="89" t="s">
        <v>579</v>
      </c>
      <c r="D23" s="90"/>
      <c r="E23" s="90"/>
      <c r="F23" s="90"/>
      <c r="G23" s="14" t="s">
        <v>457</v>
      </c>
      <c r="H23" s="67">
        <v>123.39400000000001</v>
      </c>
      <c r="I23" s="24">
        <v>0</v>
      </c>
      <c r="J23" s="24">
        <f>H23*AO23</f>
        <v>0</v>
      </c>
      <c r="K23" s="24">
        <f>H23*AP23</f>
        <v>0</v>
      </c>
      <c r="L23" s="24">
        <f>H23*I23</f>
        <v>0</v>
      </c>
      <c r="M23" s="35" t="s">
        <v>566</v>
      </c>
      <c r="N23" s="5"/>
      <c r="Z23" s="42">
        <f>IF(AQ23="5",BJ23,0)</f>
        <v>0</v>
      </c>
      <c r="AB23" s="42">
        <f>IF(AQ23="1",BH23,0)</f>
        <v>0</v>
      </c>
      <c r="AC23" s="42">
        <f>IF(AQ23="1",BI23,0)</f>
        <v>0</v>
      </c>
      <c r="AD23" s="42">
        <f>IF(AQ23="7",BH23,0)</f>
        <v>0</v>
      </c>
      <c r="AE23" s="42">
        <f>IF(AQ23="7",BI23,0)</f>
        <v>0</v>
      </c>
      <c r="AF23" s="42">
        <f>IF(AQ23="2",BH23,0)</f>
        <v>0</v>
      </c>
      <c r="AG23" s="42">
        <f>IF(AQ23="2",BI23,0)</f>
        <v>0</v>
      </c>
      <c r="AH23" s="42">
        <f>IF(AQ23="0",BJ23,0)</f>
        <v>0</v>
      </c>
      <c r="AI23" s="41"/>
      <c r="AJ23" s="24">
        <f>IF(AN23=0,L23,0)</f>
        <v>0</v>
      </c>
      <c r="AK23" s="24">
        <f>IF(AN23=15,L23,0)</f>
        <v>0</v>
      </c>
      <c r="AL23" s="24">
        <f>IF(AN23=21,L23,0)</f>
        <v>0</v>
      </c>
      <c r="AN23" s="42">
        <v>21</v>
      </c>
      <c r="AO23" s="42">
        <f>I23*0.670606389980354</f>
        <v>0</v>
      </c>
      <c r="AP23" s="42">
        <f>I23*(1-0.670606389980354)</f>
        <v>0</v>
      </c>
      <c r="AQ23" s="43" t="s">
        <v>7</v>
      </c>
      <c r="AV23" s="42">
        <f>AW23+AX23</f>
        <v>0</v>
      </c>
      <c r="AW23" s="42">
        <f>H23*AO23</f>
        <v>0</v>
      </c>
      <c r="AX23" s="42">
        <f>H23*AP23</f>
        <v>0</v>
      </c>
      <c r="AY23" s="45" t="s">
        <v>484</v>
      </c>
      <c r="AZ23" s="45" t="s">
        <v>506</v>
      </c>
      <c r="BA23" s="41" t="s">
        <v>515</v>
      </c>
      <c r="BC23" s="42">
        <f>AW23+AX23</f>
        <v>0</v>
      </c>
      <c r="BD23" s="42">
        <f>I23/(100-BE23)*100</f>
        <v>0</v>
      </c>
      <c r="BE23" s="42">
        <v>0</v>
      </c>
      <c r="BF23" s="42">
        <f>23</f>
        <v>23</v>
      </c>
      <c r="BH23" s="24">
        <f>H23*AO23</f>
        <v>0</v>
      </c>
      <c r="BI23" s="24">
        <f>H23*AP23</f>
        <v>0</v>
      </c>
      <c r="BJ23" s="24">
        <f>H23*I23</f>
        <v>0</v>
      </c>
      <c r="BK23" s="24" t="s">
        <v>520</v>
      </c>
      <c r="BL23" s="42">
        <v>34</v>
      </c>
    </row>
    <row r="24" spans="1:64" x14ac:dyDescent="0.2">
      <c r="A24" s="5"/>
      <c r="B24" s="15" t="s">
        <v>84</v>
      </c>
      <c r="C24" s="91" t="s">
        <v>584</v>
      </c>
      <c r="D24" s="92"/>
      <c r="E24" s="92"/>
      <c r="F24" s="92"/>
      <c r="G24" s="92"/>
      <c r="H24" s="92"/>
      <c r="I24" s="92"/>
      <c r="J24" s="92"/>
      <c r="K24" s="92"/>
      <c r="L24" s="92"/>
      <c r="M24" s="93"/>
      <c r="N24" s="5"/>
    </row>
    <row r="25" spans="1:64" x14ac:dyDescent="0.2">
      <c r="A25" s="5"/>
      <c r="C25" s="19" t="s">
        <v>185</v>
      </c>
      <c r="F25" s="20" t="s">
        <v>388</v>
      </c>
      <c r="H25" s="68">
        <v>18.698</v>
      </c>
      <c r="M25" s="36"/>
      <c r="N25" s="5"/>
    </row>
    <row r="26" spans="1:64" x14ac:dyDescent="0.2">
      <c r="A26" s="5"/>
      <c r="C26" s="19" t="s">
        <v>186</v>
      </c>
      <c r="F26" s="20"/>
      <c r="H26" s="68">
        <v>-6.4</v>
      </c>
      <c r="M26" s="36"/>
      <c r="N26" s="5"/>
    </row>
    <row r="27" spans="1:64" x14ac:dyDescent="0.2">
      <c r="A27" s="5"/>
      <c r="C27" s="19" t="s">
        <v>187</v>
      </c>
      <c r="F27" s="20" t="s">
        <v>389</v>
      </c>
      <c r="H27" s="68">
        <v>22.646000000000001</v>
      </c>
      <c r="M27" s="36"/>
      <c r="N27" s="5"/>
    </row>
    <row r="28" spans="1:64" x14ac:dyDescent="0.2">
      <c r="A28" s="5"/>
      <c r="C28" s="19" t="s">
        <v>188</v>
      </c>
      <c r="F28" s="20"/>
      <c r="H28" s="68">
        <v>-2</v>
      </c>
      <c r="M28" s="36"/>
      <c r="N28" s="5"/>
    </row>
    <row r="29" spans="1:64" x14ac:dyDescent="0.2">
      <c r="A29" s="5"/>
      <c r="C29" s="19" t="s">
        <v>189</v>
      </c>
      <c r="F29" s="20" t="s">
        <v>390</v>
      </c>
      <c r="H29" s="68">
        <v>46.465000000000003</v>
      </c>
      <c r="M29" s="36"/>
      <c r="N29" s="5"/>
    </row>
    <row r="30" spans="1:64" x14ac:dyDescent="0.2">
      <c r="A30" s="5"/>
      <c r="C30" s="19" t="s">
        <v>190</v>
      </c>
      <c r="F30" s="20" t="s">
        <v>390</v>
      </c>
      <c r="H30" s="68">
        <v>31.49</v>
      </c>
      <c r="M30" s="36"/>
      <c r="N30" s="5"/>
    </row>
    <row r="31" spans="1:64" x14ac:dyDescent="0.2">
      <c r="A31" s="5"/>
      <c r="C31" s="19" t="s">
        <v>188</v>
      </c>
      <c r="F31" s="20"/>
      <c r="H31" s="68">
        <v>-2</v>
      </c>
      <c r="M31" s="36"/>
      <c r="N31" s="5"/>
    </row>
    <row r="32" spans="1:64" x14ac:dyDescent="0.2">
      <c r="A32" s="5"/>
      <c r="C32" s="19" t="s">
        <v>191</v>
      </c>
      <c r="F32" s="20"/>
      <c r="H32" s="68">
        <v>-3.6</v>
      </c>
      <c r="M32" s="36"/>
      <c r="N32" s="5"/>
    </row>
    <row r="33" spans="1:64" x14ac:dyDescent="0.2">
      <c r="A33" s="5"/>
      <c r="C33" s="19" t="s">
        <v>192</v>
      </c>
      <c r="F33" s="20"/>
      <c r="H33" s="68">
        <v>-4.8</v>
      </c>
      <c r="M33" s="36"/>
      <c r="N33" s="5"/>
    </row>
    <row r="34" spans="1:64" x14ac:dyDescent="0.2">
      <c r="A34" s="5"/>
      <c r="C34" s="19"/>
      <c r="F34" s="20" t="s">
        <v>391</v>
      </c>
      <c r="H34" s="68">
        <v>0</v>
      </c>
      <c r="M34" s="36"/>
      <c r="N34" s="5"/>
    </row>
    <row r="35" spans="1:64" x14ac:dyDescent="0.2">
      <c r="A35" s="5"/>
      <c r="C35" s="19" t="s">
        <v>193</v>
      </c>
      <c r="F35" s="20"/>
      <c r="H35" s="68">
        <v>15.682</v>
      </c>
      <c r="M35" s="36"/>
      <c r="N35" s="5"/>
    </row>
    <row r="36" spans="1:64" x14ac:dyDescent="0.2">
      <c r="A36" s="5"/>
      <c r="C36" s="19" t="s">
        <v>194</v>
      </c>
      <c r="F36" s="20"/>
      <c r="H36" s="68">
        <v>-3.2</v>
      </c>
      <c r="M36" s="36"/>
      <c r="N36" s="5"/>
    </row>
    <row r="37" spans="1:64" x14ac:dyDescent="0.2">
      <c r="A37" s="5"/>
      <c r="C37" s="19"/>
      <c r="F37" s="20" t="s">
        <v>392</v>
      </c>
      <c r="H37" s="68">
        <v>0</v>
      </c>
      <c r="M37" s="36"/>
      <c r="N37" s="5"/>
    </row>
    <row r="38" spans="1:64" x14ac:dyDescent="0.2">
      <c r="A38" s="5"/>
      <c r="C38" s="19" t="s">
        <v>195</v>
      </c>
      <c r="F38" s="20"/>
      <c r="H38" s="68">
        <v>11.813000000000001</v>
      </c>
      <c r="M38" s="36"/>
      <c r="N38" s="5"/>
    </row>
    <row r="39" spans="1:64" x14ac:dyDescent="0.2">
      <c r="A39" s="5"/>
      <c r="C39" s="19" t="s">
        <v>196</v>
      </c>
      <c r="F39" s="20"/>
      <c r="H39" s="68">
        <v>-1.4</v>
      </c>
      <c r="M39" s="36"/>
      <c r="N39" s="5"/>
    </row>
    <row r="40" spans="1:64" x14ac:dyDescent="0.2">
      <c r="A40" s="4" t="s">
        <v>11</v>
      </c>
      <c r="B40" s="14" t="s">
        <v>88</v>
      </c>
      <c r="C40" s="89" t="s">
        <v>580</v>
      </c>
      <c r="D40" s="90"/>
      <c r="E40" s="90"/>
      <c r="F40" s="90"/>
      <c r="G40" s="14" t="s">
        <v>457</v>
      </c>
      <c r="H40" s="67">
        <v>0.99199999999999999</v>
      </c>
      <c r="I40" s="24">
        <v>0</v>
      </c>
      <c r="J40" s="24">
        <f>H40*AO40</f>
        <v>0</v>
      </c>
      <c r="K40" s="24">
        <f>H40*AP40</f>
        <v>0</v>
      </c>
      <c r="L40" s="24">
        <f>H40*I40</f>
        <v>0</v>
      </c>
      <c r="M40" s="35" t="s">
        <v>566</v>
      </c>
      <c r="N40" s="5"/>
      <c r="Z40" s="42">
        <f>IF(AQ40="5",BJ40,0)</f>
        <v>0</v>
      </c>
      <c r="AB40" s="42">
        <f>IF(AQ40="1",BH40,0)</f>
        <v>0</v>
      </c>
      <c r="AC40" s="42">
        <f>IF(AQ40="1",BI40,0)</f>
        <v>0</v>
      </c>
      <c r="AD40" s="42">
        <f>IF(AQ40="7",BH40,0)</f>
        <v>0</v>
      </c>
      <c r="AE40" s="42">
        <f>IF(AQ40="7",BI40,0)</f>
        <v>0</v>
      </c>
      <c r="AF40" s="42">
        <f>IF(AQ40="2",BH40,0)</f>
        <v>0</v>
      </c>
      <c r="AG40" s="42">
        <f>IF(AQ40="2",BI40,0)</f>
        <v>0</v>
      </c>
      <c r="AH40" s="42">
        <f>IF(AQ40="0",BJ40,0)</f>
        <v>0</v>
      </c>
      <c r="AI40" s="41"/>
      <c r="AJ40" s="24">
        <f>IF(AN40=0,L40,0)</f>
        <v>0</v>
      </c>
      <c r="AK40" s="24">
        <f>IF(AN40=15,L40,0)</f>
        <v>0</v>
      </c>
      <c r="AL40" s="24">
        <f>IF(AN40=21,L40,0)</f>
        <v>0</v>
      </c>
      <c r="AN40" s="42">
        <v>21</v>
      </c>
      <c r="AO40" s="42">
        <f>I40*0.745764133283414</f>
        <v>0</v>
      </c>
      <c r="AP40" s="42">
        <f>I40*(1-0.745764133283414)</f>
        <v>0</v>
      </c>
      <c r="AQ40" s="43" t="s">
        <v>7</v>
      </c>
      <c r="AV40" s="42">
        <f>AW40+AX40</f>
        <v>0</v>
      </c>
      <c r="AW40" s="42">
        <f>H40*AO40</f>
        <v>0</v>
      </c>
      <c r="AX40" s="42">
        <f>H40*AP40</f>
        <v>0</v>
      </c>
      <c r="AY40" s="45" t="s">
        <v>484</v>
      </c>
      <c r="AZ40" s="45" t="s">
        <v>506</v>
      </c>
      <c r="BA40" s="41" t="s">
        <v>515</v>
      </c>
      <c r="BC40" s="42">
        <f>AW40+AX40</f>
        <v>0</v>
      </c>
      <c r="BD40" s="42">
        <f>I40/(100-BE40)*100</f>
        <v>0</v>
      </c>
      <c r="BE40" s="42">
        <v>0</v>
      </c>
      <c r="BF40" s="42">
        <f>40</f>
        <v>40</v>
      </c>
      <c r="BH40" s="24">
        <f>H40*AO40</f>
        <v>0</v>
      </c>
      <c r="BI40" s="24">
        <f>H40*AP40</f>
        <v>0</v>
      </c>
      <c r="BJ40" s="24">
        <f>H40*I40</f>
        <v>0</v>
      </c>
      <c r="BK40" s="24" t="s">
        <v>520</v>
      </c>
      <c r="BL40" s="42">
        <v>34</v>
      </c>
    </row>
    <row r="41" spans="1:64" x14ac:dyDescent="0.2">
      <c r="A41" s="5"/>
      <c r="B41" s="15" t="s">
        <v>84</v>
      </c>
      <c r="C41" s="91" t="s">
        <v>582</v>
      </c>
      <c r="D41" s="92"/>
      <c r="E41" s="92"/>
      <c r="F41" s="92"/>
      <c r="G41" s="92"/>
      <c r="H41" s="92"/>
      <c r="I41" s="92"/>
      <c r="J41" s="92"/>
      <c r="K41" s="92"/>
      <c r="L41" s="92"/>
      <c r="M41" s="93"/>
      <c r="N41" s="5"/>
    </row>
    <row r="42" spans="1:64" x14ac:dyDescent="0.2">
      <c r="A42" s="5"/>
      <c r="C42" s="19" t="s">
        <v>197</v>
      </c>
      <c r="F42" s="20" t="s">
        <v>393</v>
      </c>
      <c r="H42" s="68">
        <v>0.20799999999999999</v>
      </c>
      <c r="M42" s="36"/>
      <c r="N42" s="5"/>
    </row>
    <row r="43" spans="1:64" x14ac:dyDescent="0.2">
      <c r="A43" s="5"/>
      <c r="C43" s="19" t="s">
        <v>198</v>
      </c>
      <c r="F43" s="20" t="s">
        <v>394</v>
      </c>
      <c r="H43" s="68">
        <v>0.78400000000000003</v>
      </c>
      <c r="M43" s="36"/>
      <c r="N43" s="5"/>
    </row>
    <row r="44" spans="1:64" x14ac:dyDescent="0.2">
      <c r="A44" s="4" t="s">
        <v>12</v>
      </c>
      <c r="B44" s="14" t="s">
        <v>89</v>
      </c>
      <c r="C44" s="89" t="s">
        <v>581</v>
      </c>
      <c r="D44" s="90"/>
      <c r="E44" s="90"/>
      <c r="F44" s="90"/>
      <c r="G44" s="14" t="s">
        <v>457</v>
      </c>
      <c r="H44" s="67">
        <v>0.73199999999999998</v>
      </c>
      <c r="I44" s="24">
        <v>0</v>
      </c>
      <c r="J44" s="24">
        <f>H44*AO44</f>
        <v>0</v>
      </c>
      <c r="K44" s="24">
        <f>H44*AP44</f>
        <v>0</v>
      </c>
      <c r="L44" s="24">
        <f>H44*I44</f>
        <v>0</v>
      </c>
      <c r="M44" s="35" t="s">
        <v>566</v>
      </c>
      <c r="N44" s="5"/>
      <c r="Z44" s="42">
        <f>IF(AQ44="5",BJ44,0)</f>
        <v>0</v>
      </c>
      <c r="AB44" s="42">
        <f>IF(AQ44="1",BH44,0)</f>
        <v>0</v>
      </c>
      <c r="AC44" s="42">
        <f>IF(AQ44="1",BI44,0)</f>
        <v>0</v>
      </c>
      <c r="AD44" s="42">
        <f>IF(AQ44="7",BH44,0)</f>
        <v>0</v>
      </c>
      <c r="AE44" s="42">
        <f>IF(AQ44="7",BI44,0)</f>
        <v>0</v>
      </c>
      <c r="AF44" s="42">
        <f>IF(AQ44="2",BH44,0)</f>
        <v>0</v>
      </c>
      <c r="AG44" s="42">
        <f>IF(AQ44="2",BI44,0)</f>
        <v>0</v>
      </c>
      <c r="AH44" s="42">
        <f>IF(AQ44="0",BJ44,0)</f>
        <v>0</v>
      </c>
      <c r="AI44" s="41"/>
      <c r="AJ44" s="24">
        <f>IF(AN44=0,L44,0)</f>
        <v>0</v>
      </c>
      <c r="AK44" s="24">
        <f>IF(AN44=15,L44,0)</f>
        <v>0</v>
      </c>
      <c r="AL44" s="24">
        <f>IF(AN44=21,L44,0)</f>
        <v>0</v>
      </c>
      <c r="AN44" s="42">
        <v>21</v>
      </c>
      <c r="AO44" s="42">
        <f>I44*0.762124741805119</f>
        <v>0</v>
      </c>
      <c r="AP44" s="42">
        <f>I44*(1-0.762124741805119)</f>
        <v>0</v>
      </c>
      <c r="AQ44" s="43" t="s">
        <v>7</v>
      </c>
      <c r="AV44" s="42">
        <f>AW44+AX44</f>
        <v>0</v>
      </c>
      <c r="AW44" s="42">
        <f>H44*AO44</f>
        <v>0</v>
      </c>
      <c r="AX44" s="42">
        <f>H44*AP44</f>
        <v>0</v>
      </c>
      <c r="AY44" s="45" t="s">
        <v>484</v>
      </c>
      <c r="AZ44" s="45" t="s">
        <v>506</v>
      </c>
      <c r="BA44" s="41" t="s">
        <v>515</v>
      </c>
      <c r="BC44" s="42">
        <f>AW44+AX44</f>
        <v>0</v>
      </c>
      <c r="BD44" s="42">
        <f>I44/(100-BE44)*100</f>
        <v>0</v>
      </c>
      <c r="BE44" s="42">
        <v>0</v>
      </c>
      <c r="BF44" s="42">
        <f>44</f>
        <v>44</v>
      </c>
      <c r="BH44" s="24">
        <f>H44*AO44</f>
        <v>0</v>
      </c>
      <c r="BI44" s="24">
        <f>H44*AP44</f>
        <v>0</v>
      </c>
      <c r="BJ44" s="24">
        <f>H44*I44</f>
        <v>0</v>
      </c>
      <c r="BK44" s="24" t="s">
        <v>520</v>
      </c>
      <c r="BL44" s="42">
        <v>34</v>
      </c>
    </row>
    <row r="45" spans="1:64" x14ac:dyDescent="0.2">
      <c r="A45" s="5"/>
      <c r="B45" s="15" t="s">
        <v>84</v>
      </c>
      <c r="C45" s="91" t="s">
        <v>583</v>
      </c>
      <c r="D45" s="92"/>
      <c r="E45" s="92"/>
      <c r="F45" s="92"/>
      <c r="G45" s="92"/>
      <c r="H45" s="92"/>
      <c r="I45" s="92"/>
      <c r="J45" s="92"/>
      <c r="K45" s="92"/>
      <c r="L45" s="92"/>
      <c r="M45" s="93"/>
      <c r="N45" s="5"/>
    </row>
    <row r="46" spans="1:64" x14ac:dyDescent="0.2">
      <c r="A46" s="5"/>
      <c r="C46" s="19" t="s">
        <v>199</v>
      </c>
      <c r="F46" s="20" t="s">
        <v>395</v>
      </c>
      <c r="H46" s="68">
        <v>0.372</v>
      </c>
      <c r="M46" s="36"/>
      <c r="N46" s="5"/>
    </row>
    <row r="47" spans="1:64" x14ac:dyDescent="0.2">
      <c r="A47" s="5"/>
      <c r="C47" s="19" t="s">
        <v>200</v>
      </c>
      <c r="F47" s="20" t="s">
        <v>394</v>
      </c>
      <c r="H47" s="68">
        <v>0.36</v>
      </c>
      <c r="M47" s="36"/>
      <c r="N47" s="5"/>
    </row>
    <row r="48" spans="1:64" x14ac:dyDescent="0.2">
      <c r="A48" s="4" t="s">
        <v>13</v>
      </c>
      <c r="B48" s="14" t="s">
        <v>90</v>
      </c>
      <c r="C48" s="89" t="s">
        <v>201</v>
      </c>
      <c r="D48" s="90"/>
      <c r="E48" s="90"/>
      <c r="F48" s="90"/>
      <c r="G48" s="14" t="s">
        <v>457</v>
      </c>
      <c r="H48" s="67">
        <v>25.08</v>
      </c>
      <c r="I48" s="24">
        <v>0</v>
      </c>
      <c r="J48" s="24">
        <f>H48*AO48</f>
        <v>0</v>
      </c>
      <c r="K48" s="24">
        <f>H48*AP48</f>
        <v>0</v>
      </c>
      <c r="L48" s="24">
        <f>H48*I48</f>
        <v>0</v>
      </c>
      <c r="M48" s="35" t="s">
        <v>566</v>
      </c>
      <c r="N48" s="5"/>
      <c r="Z48" s="42">
        <f>IF(AQ48="5",BJ48,0)</f>
        <v>0</v>
      </c>
      <c r="AB48" s="42">
        <f>IF(AQ48="1",BH48,0)</f>
        <v>0</v>
      </c>
      <c r="AC48" s="42">
        <f>IF(AQ48="1",BI48,0)</f>
        <v>0</v>
      </c>
      <c r="AD48" s="42">
        <f>IF(AQ48="7",BH48,0)</f>
        <v>0</v>
      </c>
      <c r="AE48" s="42">
        <f>IF(AQ48="7",BI48,0)</f>
        <v>0</v>
      </c>
      <c r="AF48" s="42">
        <f>IF(AQ48="2",BH48,0)</f>
        <v>0</v>
      </c>
      <c r="AG48" s="42">
        <f>IF(AQ48="2",BI48,0)</f>
        <v>0</v>
      </c>
      <c r="AH48" s="42">
        <f>IF(AQ48="0",BJ48,0)</f>
        <v>0</v>
      </c>
      <c r="AI48" s="41"/>
      <c r="AJ48" s="24">
        <f>IF(AN48=0,L48,0)</f>
        <v>0</v>
      </c>
      <c r="AK48" s="24">
        <f>IF(AN48=15,L48,0)</f>
        <v>0</v>
      </c>
      <c r="AL48" s="24">
        <f>IF(AN48=21,L48,0)</f>
        <v>0</v>
      </c>
      <c r="AN48" s="42">
        <v>21</v>
      </c>
      <c r="AO48" s="42">
        <f>I48*0.43554054054054</f>
        <v>0</v>
      </c>
      <c r="AP48" s="42">
        <f>I48*(1-0.43554054054054)</f>
        <v>0</v>
      </c>
      <c r="AQ48" s="43" t="s">
        <v>7</v>
      </c>
      <c r="AV48" s="42">
        <f>AW48+AX48</f>
        <v>0</v>
      </c>
      <c r="AW48" s="42">
        <f>H48*AO48</f>
        <v>0</v>
      </c>
      <c r="AX48" s="42">
        <f>H48*AP48</f>
        <v>0</v>
      </c>
      <c r="AY48" s="45" t="s">
        <v>484</v>
      </c>
      <c r="AZ48" s="45" t="s">
        <v>506</v>
      </c>
      <c r="BA48" s="41" t="s">
        <v>515</v>
      </c>
      <c r="BC48" s="42">
        <f>AW48+AX48</f>
        <v>0</v>
      </c>
      <c r="BD48" s="42">
        <f>I48/(100-BE48)*100</f>
        <v>0</v>
      </c>
      <c r="BE48" s="42">
        <v>0</v>
      </c>
      <c r="BF48" s="42">
        <f>48</f>
        <v>48</v>
      </c>
      <c r="BH48" s="24">
        <f>H48*AO48</f>
        <v>0</v>
      </c>
      <c r="BI48" s="24">
        <f>H48*AP48</f>
        <v>0</v>
      </c>
      <c r="BJ48" s="24">
        <f>H48*I48</f>
        <v>0</v>
      </c>
      <c r="BK48" s="24" t="s">
        <v>520</v>
      </c>
      <c r="BL48" s="42">
        <v>34</v>
      </c>
    </row>
    <row r="49" spans="1:64" x14ac:dyDescent="0.2">
      <c r="A49" s="5"/>
      <c r="C49" s="19" t="s">
        <v>202</v>
      </c>
      <c r="F49" s="20"/>
      <c r="H49" s="68">
        <v>25.08</v>
      </c>
      <c r="M49" s="36"/>
      <c r="N49" s="5"/>
    </row>
    <row r="50" spans="1:64" x14ac:dyDescent="0.2">
      <c r="A50" s="6"/>
      <c r="B50" s="16" t="s">
        <v>47</v>
      </c>
      <c r="C50" s="94" t="s">
        <v>203</v>
      </c>
      <c r="D50" s="95"/>
      <c r="E50" s="95"/>
      <c r="F50" s="95"/>
      <c r="G50" s="22" t="s">
        <v>6</v>
      </c>
      <c r="H50" s="22" t="s">
        <v>6</v>
      </c>
      <c r="I50" s="22" t="s">
        <v>6</v>
      </c>
      <c r="J50" s="48">
        <f>SUM(J51:J54)</f>
        <v>0</v>
      </c>
      <c r="K50" s="48">
        <f>SUM(K51:K54)</f>
        <v>0</v>
      </c>
      <c r="L50" s="48">
        <f>SUM(L51:L54)</f>
        <v>0</v>
      </c>
      <c r="M50" s="37"/>
      <c r="N50" s="5"/>
      <c r="AI50" s="41"/>
      <c r="AS50" s="48">
        <f>SUM(AJ51:AJ54)</f>
        <v>0</v>
      </c>
      <c r="AT50" s="48">
        <f>SUM(AK51:AK54)</f>
        <v>0</v>
      </c>
      <c r="AU50" s="48">
        <f>SUM(AL51:AL54)</f>
        <v>0</v>
      </c>
    </row>
    <row r="51" spans="1:64" x14ac:dyDescent="0.2">
      <c r="A51" s="4" t="s">
        <v>14</v>
      </c>
      <c r="B51" s="14" t="s">
        <v>91</v>
      </c>
      <c r="C51" s="89" t="s">
        <v>204</v>
      </c>
      <c r="D51" s="90"/>
      <c r="E51" s="90"/>
      <c r="F51" s="90"/>
      <c r="G51" s="14" t="s">
        <v>457</v>
      </c>
      <c r="H51" s="67">
        <v>563.45100000000002</v>
      </c>
      <c r="I51" s="24">
        <v>0</v>
      </c>
      <c r="J51" s="24">
        <f>H51*AO51</f>
        <v>0</v>
      </c>
      <c r="K51" s="24">
        <f>H51*AP51</f>
        <v>0</v>
      </c>
      <c r="L51" s="24">
        <f>H51*I51</f>
        <v>0</v>
      </c>
      <c r="M51" s="35" t="s">
        <v>566</v>
      </c>
      <c r="N51" s="5"/>
      <c r="Z51" s="42">
        <f>IF(AQ51="5",BJ51,0)</f>
        <v>0</v>
      </c>
      <c r="AB51" s="42">
        <f>IF(AQ51="1",BH51,0)</f>
        <v>0</v>
      </c>
      <c r="AC51" s="42">
        <f>IF(AQ51="1",BI51,0)</f>
        <v>0</v>
      </c>
      <c r="AD51" s="42">
        <f>IF(AQ51="7",BH51,0)</f>
        <v>0</v>
      </c>
      <c r="AE51" s="42">
        <f>IF(AQ51="7",BI51,0)</f>
        <v>0</v>
      </c>
      <c r="AF51" s="42">
        <f>IF(AQ51="2",BH51,0)</f>
        <v>0</v>
      </c>
      <c r="AG51" s="42">
        <f>IF(AQ51="2",BI51,0)</f>
        <v>0</v>
      </c>
      <c r="AH51" s="42">
        <f>IF(AQ51="0",BJ51,0)</f>
        <v>0</v>
      </c>
      <c r="AI51" s="41"/>
      <c r="AJ51" s="24">
        <f>IF(AN51=0,L51,0)</f>
        <v>0</v>
      </c>
      <c r="AK51" s="24">
        <f>IF(AN51=15,L51,0)</f>
        <v>0</v>
      </c>
      <c r="AL51" s="24">
        <f>IF(AN51=21,L51,0)</f>
        <v>0</v>
      </c>
      <c r="AN51" s="42">
        <v>21</v>
      </c>
      <c r="AO51" s="42">
        <f>I51*0.38993176344621</f>
        <v>0</v>
      </c>
      <c r="AP51" s="42">
        <f>I51*(1-0.38993176344621)</f>
        <v>0</v>
      </c>
      <c r="AQ51" s="43" t="s">
        <v>7</v>
      </c>
      <c r="AV51" s="42">
        <f>AW51+AX51</f>
        <v>0</v>
      </c>
      <c r="AW51" s="42">
        <f>H51*AO51</f>
        <v>0</v>
      </c>
      <c r="AX51" s="42">
        <f>H51*AP51</f>
        <v>0</v>
      </c>
      <c r="AY51" s="45" t="s">
        <v>485</v>
      </c>
      <c r="AZ51" s="45" t="s">
        <v>507</v>
      </c>
      <c r="BA51" s="41" t="s">
        <v>515</v>
      </c>
      <c r="BC51" s="42">
        <f>AW51+AX51</f>
        <v>0</v>
      </c>
      <c r="BD51" s="42">
        <f>I51/(100-BE51)*100</f>
        <v>0</v>
      </c>
      <c r="BE51" s="42">
        <v>0</v>
      </c>
      <c r="BF51" s="42">
        <f>51</f>
        <v>51</v>
      </c>
      <c r="BH51" s="24">
        <f>H51*AO51</f>
        <v>0</v>
      </c>
      <c r="BI51" s="24">
        <f>H51*AP51</f>
        <v>0</v>
      </c>
      <c r="BJ51" s="24">
        <f>H51*I51</f>
        <v>0</v>
      </c>
      <c r="BK51" s="24" t="s">
        <v>520</v>
      </c>
      <c r="BL51" s="42">
        <v>41</v>
      </c>
    </row>
    <row r="52" spans="1:64" x14ac:dyDescent="0.2">
      <c r="A52" s="5"/>
      <c r="C52" s="19" t="s">
        <v>205</v>
      </c>
      <c r="F52" s="20"/>
      <c r="H52" s="68">
        <v>536.62</v>
      </c>
      <c r="M52" s="36"/>
      <c r="N52" s="5"/>
    </row>
    <row r="53" spans="1:64" x14ac:dyDescent="0.2">
      <c r="A53" s="5"/>
      <c r="C53" s="19" t="s">
        <v>206</v>
      </c>
      <c r="F53" s="20"/>
      <c r="H53" s="68">
        <v>26.831</v>
      </c>
      <c r="M53" s="36"/>
      <c r="N53" s="5"/>
    </row>
    <row r="54" spans="1:64" x14ac:dyDescent="0.2">
      <c r="A54" s="4" t="s">
        <v>15</v>
      </c>
      <c r="B54" s="14" t="s">
        <v>92</v>
      </c>
      <c r="C54" s="89" t="s">
        <v>207</v>
      </c>
      <c r="D54" s="90"/>
      <c r="E54" s="90"/>
      <c r="F54" s="90"/>
      <c r="G54" s="14" t="s">
        <v>457</v>
      </c>
      <c r="H54" s="67">
        <v>55.62</v>
      </c>
      <c r="I54" s="24">
        <v>0</v>
      </c>
      <c r="J54" s="24">
        <f>H54*AO54</f>
        <v>0</v>
      </c>
      <c r="K54" s="24">
        <f>H54*AP54</f>
        <v>0</v>
      </c>
      <c r="L54" s="24">
        <f>H54*I54</f>
        <v>0</v>
      </c>
      <c r="M54" s="35" t="s">
        <v>566</v>
      </c>
      <c r="N54" s="5"/>
      <c r="Z54" s="42">
        <f>IF(AQ54="5",BJ54,0)</f>
        <v>0</v>
      </c>
      <c r="AB54" s="42">
        <f>IF(AQ54="1",BH54,0)</f>
        <v>0</v>
      </c>
      <c r="AC54" s="42">
        <f>IF(AQ54="1",BI54,0)</f>
        <v>0</v>
      </c>
      <c r="AD54" s="42">
        <f>IF(AQ54="7",BH54,0)</f>
        <v>0</v>
      </c>
      <c r="AE54" s="42">
        <f>IF(AQ54="7",BI54,0)</f>
        <v>0</v>
      </c>
      <c r="AF54" s="42">
        <f>IF(AQ54="2",BH54,0)</f>
        <v>0</v>
      </c>
      <c r="AG54" s="42">
        <f>IF(AQ54="2",BI54,0)</f>
        <v>0</v>
      </c>
      <c r="AH54" s="42">
        <f>IF(AQ54="0",BJ54,0)</f>
        <v>0</v>
      </c>
      <c r="AI54" s="41"/>
      <c r="AJ54" s="24">
        <f>IF(AN54=0,L54,0)</f>
        <v>0</v>
      </c>
      <c r="AK54" s="24">
        <f>IF(AN54=15,L54,0)</f>
        <v>0</v>
      </c>
      <c r="AL54" s="24">
        <f>IF(AN54=21,L54,0)</f>
        <v>0</v>
      </c>
      <c r="AN54" s="42">
        <v>21</v>
      </c>
      <c r="AO54" s="42">
        <f>I54*0.425856367097794</f>
        <v>0</v>
      </c>
      <c r="AP54" s="42">
        <f>I54*(1-0.425856367097794)</f>
        <v>0</v>
      </c>
      <c r="AQ54" s="43" t="s">
        <v>7</v>
      </c>
      <c r="AV54" s="42">
        <f>AW54+AX54</f>
        <v>0</v>
      </c>
      <c r="AW54" s="42">
        <f>H54*AO54</f>
        <v>0</v>
      </c>
      <c r="AX54" s="42">
        <f>H54*AP54</f>
        <v>0</v>
      </c>
      <c r="AY54" s="45" t="s">
        <v>485</v>
      </c>
      <c r="AZ54" s="45" t="s">
        <v>507</v>
      </c>
      <c r="BA54" s="41" t="s">
        <v>515</v>
      </c>
      <c r="BC54" s="42">
        <f>AW54+AX54</f>
        <v>0</v>
      </c>
      <c r="BD54" s="42">
        <f>I54/(100-BE54)*100</f>
        <v>0</v>
      </c>
      <c r="BE54" s="42">
        <v>0</v>
      </c>
      <c r="BF54" s="42">
        <f>54</f>
        <v>54</v>
      </c>
      <c r="BH54" s="24">
        <f>H54*AO54</f>
        <v>0</v>
      </c>
      <c r="BI54" s="24">
        <f>H54*AP54</f>
        <v>0</v>
      </c>
      <c r="BJ54" s="24">
        <f>H54*I54</f>
        <v>0</v>
      </c>
      <c r="BK54" s="24" t="s">
        <v>520</v>
      </c>
      <c r="BL54" s="42">
        <v>41</v>
      </c>
    </row>
    <row r="55" spans="1:64" x14ac:dyDescent="0.2">
      <c r="A55" s="5"/>
      <c r="C55" s="19" t="s">
        <v>208</v>
      </c>
      <c r="F55" s="20" t="s">
        <v>396</v>
      </c>
      <c r="H55" s="68">
        <v>55.62</v>
      </c>
      <c r="M55" s="36"/>
      <c r="N55" s="5"/>
    </row>
    <row r="56" spans="1:64" x14ac:dyDescent="0.2">
      <c r="A56" s="6"/>
      <c r="B56" s="16" t="s">
        <v>66</v>
      </c>
      <c r="C56" s="94" t="s">
        <v>209</v>
      </c>
      <c r="D56" s="95"/>
      <c r="E56" s="95"/>
      <c r="F56" s="95"/>
      <c r="G56" s="22" t="s">
        <v>6</v>
      </c>
      <c r="H56" s="22" t="s">
        <v>6</v>
      </c>
      <c r="I56" s="22" t="s">
        <v>6</v>
      </c>
      <c r="J56" s="48">
        <f>SUM(J57:J57)</f>
        <v>0</v>
      </c>
      <c r="K56" s="48">
        <f>SUM(K57:K57)</f>
        <v>0</v>
      </c>
      <c r="L56" s="48">
        <f>SUM(L57:L57)</f>
        <v>0</v>
      </c>
      <c r="M56" s="37"/>
      <c r="N56" s="5"/>
      <c r="AI56" s="41"/>
      <c r="AS56" s="48">
        <f>SUM(AJ57:AJ57)</f>
        <v>0</v>
      </c>
      <c r="AT56" s="48">
        <f>SUM(AK57:AK57)</f>
        <v>0</v>
      </c>
      <c r="AU56" s="48">
        <f>SUM(AL57:AL57)</f>
        <v>0</v>
      </c>
    </row>
    <row r="57" spans="1:64" x14ac:dyDescent="0.2">
      <c r="A57" s="4" t="s">
        <v>16</v>
      </c>
      <c r="B57" s="14" t="s">
        <v>93</v>
      </c>
      <c r="C57" s="89" t="s">
        <v>578</v>
      </c>
      <c r="D57" s="90"/>
      <c r="E57" s="90"/>
      <c r="F57" s="90"/>
      <c r="G57" s="14" t="s">
        <v>457</v>
      </c>
      <c r="H57" s="67">
        <v>250.096</v>
      </c>
      <c r="I57" s="24">
        <v>0</v>
      </c>
      <c r="J57" s="24">
        <f>H57*AO57</f>
        <v>0</v>
      </c>
      <c r="K57" s="24">
        <f>H57*AP57</f>
        <v>0</v>
      </c>
      <c r="L57" s="24">
        <f>H57*I57</f>
        <v>0</v>
      </c>
      <c r="M57" s="35" t="s">
        <v>566</v>
      </c>
      <c r="N57" s="5"/>
      <c r="Z57" s="42">
        <f>IF(AQ57="5",BJ57,0)</f>
        <v>0</v>
      </c>
      <c r="AB57" s="42">
        <f>IF(AQ57="1",BH57,0)</f>
        <v>0</v>
      </c>
      <c r="AC57" s="42">
        <f>IF(AQ57="1",BI57,0)</f>
        <v>0</v>
      </c>
      <c r="AD57" s="42">
        <f>IF(AQ57="7",BH57,0)</f>
        <v>0</v>
      </c>
      <c r="AE57" s="42">
        <f>IF(AQ57="7",BI57,0)</f>
        <v>0</v>
      </c>
      <c r="AF57" s="42">
        <f>IF(AQ57="2",BH57,0)</f>
        <v>0</v>
      </c>
      <c r="AG57" s="42">
        <f>IF(AQ57="2",BI57,0)</f>
        <v>0</v>
      </c>
      <c r="AH57" s="42">
        <f>IF(AQ57="0",BJ57,0)</f>
        <v>0</v>
      </c>
      <c r="AI57" s="41"/>
      <c r="AJ57" s="24">
        <f>IF(AN57=0,L57,0)</f>
        <v>0</v>
      </c>
      <c r="AK57" s="24">
        <f>IF(AN57=15,L57,0)</f>
        <v>0</v>
      </c>
      <c r="AL57" s="24">
        <f>IF(AN57=21,L57,0)</f>
        <v>0</v>
      </c>
      <c r="AN57" s="42">
        <v>21</v>
      </c>
      <c r="AO57" s="42">
        <f>I57*0.402966863682356</f>
        <v>0</v>
      </c>
      <c r="AP57" s="42">
        <f>I57*(1-0.402966863682356)</f>
        <v>0</v>
      </c>
      <c r="AQ57" s="43" t="s">
        <v>7</v>
      </c>
      <c r="AV57" s="42">
        <f>AW57+AX57</f>
        <v>0</v>
      </c>
      <c r="AW57" s="42">
        <f>H57*AO57</f>
        <v>0</v>
      </c>
      <c r="AX57" s="42">
        <f>H57*AP57</f>
        <v>0</v>
      </c>
      <c r="AY57" s="45" t="s">
        <v>486</v>
      </c>
      <c r="AZ57" s="45" t="s">
        <v>508</v>
      </c>
      <c r="BA57" s="41" t="s">
        <v>515</v>
      </c>
      <c r="BC57" s="42">
        <f>AW57+AX57</f>
        <v>0</v>
      </c>
      <c r="BD57" s="42">
        <f>I57/(100-BE57)*100</f>
        <v>0</v>
      </c>
      <c r="BE57" s="42">
        <v>0</v>
      </c>
      <c r="BF57" s="42">
        <f>57</f>
        <v>57</v>
      </c>
      <c r="BH57" s="24">
        <f>H57*AO57</f>
        <v>0</v>
      </c>
      <c r="BI57" s="24">
        <f>H57*AP57</f>
        <v>0</v>
      </c>
      <c r="BJ57" s="24">
        <f>H57*I57</f>
        <v>0</v>
      </c>
      <c r="BK57" s="24" t="s">
        <v>520</v>
      </c>
      <c r="BL57" s="42">
        <v>60</v>
      </c>
    </row>
    <row r="58" spans="1:64" x14ac:dyDescent="0.2">
      <c r="A58" s="5"/>
      <c r="C58" s="19" t="s">
        <v>210</v>
      </c>
      <c r="F58" s="20" t="s">
        <v>397</v>
      </c>
      <c r="H58" s="68">
        <v>246.78800000000001</v>
      </c>
      <c r="M58" s="36"/>
      <c r="N58" s="5"/>
    </row>
    <row r="59" spans="1:64" x14ac:dyDescent="0.2">
      <c r="A59" s="5"/>
      <c r="C59" s="19" t="s">
        <v>211</v>
      </c>
      <c r="F59" s="20" t="s">
        <v>398</v>
      </c>
      <c r="H59" s="68">
        <v>1.8440000000000001</v>
      </c>
      <c r="M59" s="36"/>
      <c r="N59" s="5"/>
    </row>
    <row r="60" spans="1:64" x14ac:dyDescent="0.2">
      <c r="A60" s="5"/>
      <c r="C60" s="19" t="s">
        <v>212</v>
      </c>
      <c r="F60" s="20" t="s">
        <v>399</v>
      </c>
      <c r="H60" s="68">
        <v>1.464</v>
      </c>
      <c r="M60" s="36"/>
      <c r="N60" s="5"/>
    </row>
    <row r="61" spans="1:64" x14ac:dyDescent="0.2">
      <c r="A61" s="6"/>
      <c r="B61" s="16" t="s">
        <v>67</v>
      </c>
      <c r="C61" s="94" t="s">
        <v>213</v>
      </c>
      <c r="D61" s="95"/>
      <c r="E61" s="95"/>
      <c r="F61" s="95"/>
      <c r="G61" s="22" t="s">
        <v>6</v>
      </c>
      <c r="H61" s="22" t="s">
        <v>6</v>
      </c>
      <c r="I61" s="22" t="s">
        <v>6</v>
      </c>
      <c r="J61" s="48">
        <f>SUM(J62:J72)</f>
        <v>0</v>
      </c>
      <c r="K61" s="48">
        <f>SUM(K62:K72)</f>
        <v>0</v>
      </c>
      <c r="L61" s="48">
        <f>SUM(L62:L72)</f>
        <v>0</v>
      </c>
      <c r="M61" s="37"/>
      <c r="N61" s="5"/>
      <c r="AI61" s="41"/>
      <c r="AS61" s="48">
        <f>SUM(AJ62:AJ72)</f>
        <v>0</v>
      </c>
      <c r="AT61" s="48">
        <f>SUM(AK62:AK72)</f>
        <v>0</v>
      </c>
      <c r="AU61" s="48">
        <f>SUM(AL62:AL72)</f>
        <v>0</v>
      </c>
    </row>
    <row r="62" spans="1:64" x14ac:dyDescent="0.2">
      <c r="A62" s="4" t="s">
        <v>17</v>
      </c>
      <c r="B62" s="14" t="s">
        <v>94</v>
      </c>
      <c r="C62" s="89" t="s">
        <v>214</v>
      </c>
      <c r="D62" s="90"/>
      <c r="E62" s="90"/>
      <c r="F62" s="90"/>
      <c r="G62" s="14" t="s">
        <v>457</v>
      </c>
      <c r="H62" s="67">
        <v>250.096</v>
      </c>
      <c r="I62" s="24">
        <v>0</v>
      </c>
      <c r="J62" s="24">
        <f>H62*AO62</f>
        <v>0</v>
      </c>
      <c r="K62" s="24">
        <f>H62*AP62</f>
        <v>0</v>
      </c>
      <c r="L62" s="24">
        <f>H62*I62</f>
        <v>0</v>
      </c>
      <c r="M62" s="35" t="s">
        <v>566</v>
      </c>
      <c r="N62" s="5"/>
      <c r="Z62" s="42">
        <f>IF(AQ62="5",BJ62,0)</f>
        <v>0</v>
      </c>
      <c r="AB62" s="42">
        <f>IF(AQ62="1",BH62,0)</f>
        <v>0</v>
      </c>
      <c r="AC62" s="42">
        <f>IF(AQ62="1",BI62,0)</f>
        <v>0</v>
      </c>
      <c r="AD62" s="42">
        <f>IF(AQ62="7",BH62,0)</f>
        <v>0</v>
      </c>
      <c r="AE62" s="42">
        <f>IF(AQ62="7",BI62,0)</f>
        <v>0</v>
      </c>
      <c r="AF62" s="42">
        <f>IF(AQ62="2",BH62,0)</f>
        <v>0</v>
      </c>
      <c r="AG62" s="42">
        <f>IF(AQ62="2",BI62,0)</f>
        <v>0</v>
      </c>
      <c r="AH62" s="42">
        <f>IF(AQ62="0",BJ62,0)</f>
        <v>0</v>
      </c>
      <c r="AI62" s="41"/>
      <c r="AJ62" s="24">
        <f>IF(AN62=0,L62,0)</f>
        <v>0</v>
      </c>
      <c r="AK62" s="24">
        <f>IF(AN62=15,L62,0)</f>
        <v>0</v>
      </c>
      <c r="AL62" s="24">
        <f>IF(AN62=21,L62,0)</f>
        <v>0</v>
      </c>
      <c r="AN62" s="42">
        <v>21</v>
      </c>
      <c r="AO62" s="42">
        <f>I62*0.105012983218928</f>
        <v>0</v>
      </c>
      <c r="AP62" s="42">
        <f>I62*(1-0.105012983218928)</f>
        <v>0</v>
      </c>
      <c r="AQ62" s="43" t="s">
        <v>7</v>
      </c>
      <c r="AV62" s="42">
        <f>AW62+AX62</f>
        <v>0</v>
      </c>
      <c r="AW62" s="42">
        <f>H62*AO62</f>
        <v>0</v>
      </c>
      <c r="AX62" s="42">
        <f>H62*AP62</f>
        <v>0</v>
      </c>
      <c r="AY62" s="45" t="s">
        <v>487</v>
      </c>
      <c r="AZ62" s="45" t="s">
        <v>508</v>
      </c>
      <c r="BA62" s="41" t="s">
        <v>515</v>
      </c>
      <c r="BC62" s="42">
        <f>AW62+AX62</f>
        <v>0</v>
      </c>
      <c r="BD62" s="42">
        <f>I62/(100-BE62)*100</f>
        <v>0</v>
      </c>
      <c r="BE62" s="42">
        <v>0</v>
      </c>
      <c r="BF62" s="42">
        <f>62</f>
        <v>62</v>
      </c>
      <c r="BH62" s="24">
        <f>H62*AO62</f>
        <v>0</v>
      </c>
      <c r="BI62" s="24">
        <f>H62*AP62</f>
        <v>0</v>
      </c>
      <c r="BJ62" s="24">
        <f>H62*I62</f>
        <v>0</v>
      </c>
      <c r="BK62" s="24" t="s">
        <v>520</v>
      </c>
      <c r="BL62" s="42">
        <v>61</v>
      </c>
    </row>
    <row r="63" spans="1:64" x14ac:dyDescent="0.2">
      <c r="A63" s="5"/>
      <c r="C63" s="19" t="s">
        <v>210</v>
      </c>
      <c r="F63" s="20" t="s">
        <v>397</v>
      </c>
      <c r="H63" s="68">
        <v>246.78800000000001</v>
      </c>
      <c r="M63" s="36"/>
      <c r="N63" s="5"/>
    </row>
    <row r="64" spans="1:64" x14ac:dyDescent="0.2">
      <c r="A64" s="5"/>
      <c r="C64" s="19" t="s">
        <v>211</v>
      </c>
      <c r="F64" s="20" t="s">
        <v>398</v>
      </c>
      <c r="H64" s="68">
        <v>1.8440000000000001</v>
      </c>
      <c r="M64" s="36"/>
      <c r="N64" s="5"/>
    </row>
    <row r="65" spans="1:64" x14ac:dyDescent="0.2">
      <c r="A65" s="5"/>
      <c r="C65" s="19" t="s">
        <v>212</v>
      </c>
      <c r="F65" s="20" t="s">
        <v>399</v>
      </c>
      <c r="H65" s="68">
        <v>1.464</v>
      </c>
      <c r="M65" s="36"/>
      <c r="N65" s="5"/>
    </row>
    <row r="66" spans="1:64" x14ac:dyDescent="0.2">
      <c r="A66" s="4" t="s">
        <v>18</v>
      </c>
      <c r="B66" s="14" t="s">
        <v>95</v>
      </c>
      <c r="C66" s="89" t="s">
        <v>215</v>
      </c>
      <c r="D66" s="90"/>
      <c r="E66" s="90"/>
      <c r="F66" s="90"/>
      <c r="G66" s="14" t="s">
        <v>458</v>
      </c>
      <c r="H66" s="67">
        <v>1</v>
      </c>
      <c r="I66" s="24">
        <v>0</v>
      </c>
      <c r="J66" s="24">
        <f>H66*AO66</f>
        <v>0</v>
      </c>
      <c r="K66" s="24">
        <f>H66*AP66</f>
        <v>0</v>
      </c>
      <c r="L66" s="24">
        <f>H66*I66</f>
        <v>0</v>
      </c>
      <c r="M66" s="35"/>
      <c r="N66" s="5"/>
      <c r="Z66" s="42">
        <f>IF(AQ66="5",BJ66,0)</f>
        <v>0</v>
      </c>
      <c r="AB66" s="42">
        <f>IF(AQ66="1",BH66,0)</f>
        <v>0</v>
      </c>
      <c r="AC66" s="42">
        <f>IF(AQ66="1",BI66,0)</f>
        <v>0</v>
      </c>
      <c r="AD66" s="42">
        <f>IF(AQ66="7",BH66,0)</f>
        <v>0</v>
      </c>
      <c r="AE66" s="42">
        <f>IF(AQ66="7",BI66,0)</f>
        <v>0</v>
      </c>
      <c r="AF66" s="42">
        <f>IF(AQ66="2",BH66,0)</f>
        <v>0</v>
      </c>
      <c r="AG66" s="42">
        <f>IF(AQ66="2",BI66,0)</f>
        <v>0</v>
      </c>
      <c r="AH66" s="42">
        <f>IF(AQ66="0",BJ66,0)</f>
        <v>0</v>
      </c>
      <c r="AI66" s="41"/>
      <c r="AJ66" s="24">
        <f>IF(AN66=0,L66,0)</f>
        <v>0</v>
      </c>
      <c r="AK66" s="24">
        <f>IF(AN66=15,L66,0)</f>
        <v>0</v>
      </c>
      <c r="AL66" s="24">
        <f>IF(AN66=21,L66,0)</f>
        <v>0</v>
      </c>
      <c r="AN66" s="42">
        <v>21</v>
      </c>
      <c r="AO66" s="42">
        <f>I66*0</f>
        <v>0</v>
      </c>
      <c r="AP66" s="42">
        <f>I66*(1-0)</f>
        <v>0</v>
      </c>
      <c r="AQ66" s="43" t="s">
        <v>7</v>
      </c>
      <c r="AV66" s="42">
        <f>AW66+AX66</f>
        <v>0</v>
      </c>
      <c r="AW66" s="42">
        <f>H66*AO66</f>
        <v>0</v>
      </c>
      <c r="AX66" s="42">
        <f>H66*AP66</f>
        <v>0</v>
      </c>
      <c r="AY66" s="45" t="s">
        <v>487</v>
      </c>
      <c r="AZ66" s="45" t="s">
        <v>508</v>
      </c>
      <c r="BA66" s="41" t="s">
        <v>515</v>
      </c>
      <c r="BC66" s="42">
        <f>AW66+AX66</f>
        <v>0</v>
      </c>
      <c r="BD66" s="42">
        <f>I66/(100-BE66)*100</f>
        <v>0</v>
      </c>
      <c r="BE66" s="42">
        <v>0</v>
      </c>
      <c r="BF66" s="42">
        <f>66</f>
        <v>66</v>
      </c>
      <c r="BH66" s="24">
        <f>H66*AO66</f>
        <v>0</v>
      </c>
      <c r="BI66" s="24">
        <f>H66*AP66</f>
        <v>0</v>
      </c>
      <c r="BJ66" s="24">
        <f>H66*I66</f>
        <v>0</v>
      </c>
      <c r="BK66" s="24" t="s">
        <v>520</v>
      </c>
      <c r="BL66" s="42">
        <v>61</v>
      </c>
    </row>
    <row r="67" spans="1:64" x14ac:dyDescent="0.2">
      <c r="A67" s="5"/>
      <c r="B67" s="15" t="s">
        <v>84</v>
      </c>
      <c r="C67" s="91" t="s">
        <v>216</v>
      </c>
      <c r="D67" s="92"/>
      <c r="E67" s="92"/>
      <c r="F67" s="92"/>
      <c r="G67" s="92"/>
      <c r="H67" s="92"/>
      <c r="I67" s="92"/>
      <c r="J67" s="92"/>
      <c r="K67" s="92"/>
      <c r="L67" s="92"/>
      <c r="M67" s="93"/>
      <c r="N67" s="5"/>
    </row>
    <row r="68" spans="1:64" x14ac:dyDescent="0.2">
      <c r="A68" s="5"/>
      <c r="C68" s="19" t="s">
        <v>7</v>
      </c>
      <c r="F68" s="20"/>
      <c r="H68" s="68">
        <v>1</v>
      </c>
      <c r="M68" s="36"/>
      <c r="N68" s="5"/>
    </row>
    <row r="69" spans="1:64" x14ac:dyDescent="0.2">
      <c r="A69" s="4" t="s">
        <v>19</v>
      </c>
      <c r="B69" s="14" t="s">
        <v>96</v>
      </c>
      <c r="C69" s="89" t="s">
        <v>217</v>
      </c>
      <c r="D69" s="90"/>
      <c r="E69" s="90"/>
      <c r="F69" s="90"/>
      <c r="G69" s="14" t="s">
        <v>457</v>
      </c>
      <c r="H69" s="67">
        <v>20</v>
      </c>
      <c r="I69" s="24">
        <v>0</v>
      </c>
      <c r="J69" s="24">
        <f>H69*AO69</f>
        <v>0</v>
      </c>
      <c r="K69" s="24">
        <f>H69*AP69</f>
        <v>0</v>
      </c>
      <c r="L69" s="24">
        <f>H69*I69</f>
        <v>0</v>
      </c>
      <c r="M69" s="35" t="s">
        <v>566</v>
      </c>
      <c r="N69" s="5"/>
      <c r="Z69" s="42">
        <f>IF(AQ69="5",BJ69,0)</f>
        <v>0</v>
      </c>
      <c r="AB69" s="42">
        <f>IF(AQ69="1",BH69,0)</f>
        <v>0</v>
      </c>
      <c r="AC69" s="42">
        <f>IF(AQ69="1",BI69,0)</f>
        <v>0</v>
      </c>
      <c r="AD69" s="42">
        <f>IF(AQ69="7",BH69,0)</f>
        <v>0</v>
      </c>
      <c r="AE69" s="42">
        <f>IF(AQ69="7",BI69,0)</f>
        <v>0</v>
      </c>
      <c r="AF69" s="42">
        <f>IF(AQ69="2",BH69,0)</f>
        <v>0</v>
      </c>
      <c r="AG69" s="42">
        <f>IF(AQ69="2",BI69,0)</f>
        <v>0</v>
      </c>
      <c r="AH69" s="42">
        <f>IF(AQ69="0",BJ69,0)</f>
        <v>0</v>
      </c>
      <c r="AI69" s="41"/>
      <c r="AJ69" s="24">
        <f>IF(AN69=0,L69,0)</f>
        <v>0</v>
      </c>
      <c r="AK69" s="24">
        <f>IF(AN69=15,L69,0)</f>
        <v>0</v>
      </c>
      <c r="AL69" s="24">
        <f>IF(AN69=21,L69,0)</f>
        <v>0</v>
      </c>
      <c r="AN69" s="42">
        <v>21</v>
      </c>
      <c r="AO69" s="42">
        <f>I69*0.0802624471350839</f>
        <v>0</v>
      </c>
      <c r="AP69" s="42">
        <f>I69*(1-0.0802624471350839)</f>
        <v>0</v>
      </c>
      <c r="AQ69" s="43" t="s">
        <v>7</v>
      </c>
      <c r="AV69" s="42">
        <f>AW69+AX69</f>
        <v>0</v>
      </c>
      <c r="AW69" s="42">
        <f>H69*AO69</f>
        <v>0</v>
      </c>
      <c r="AX69" s="42">
        <f>H69*AP69</f>
        <v>0</v>
      </c>
      <c r="AY69" s="45" t="s">
        <v>487</v>
      </c>
      <c r="AZ69" s="45" t="s">
        <v>508</v>
      </c>
      <c r="BA69" s="41" t="s">
        <v>515</v>
      </c>
      <c r="BC69" s="42">
        <f>AW69+AX69</f>
        <v>0</v>
      </c>
      <c r="BD69" s="42">
        <f>I69/(100-BE69)*100</f>
        <v>0</v>
      </c>
      <c r="BE69" s="42">
        <v>0</v>
      </c>
      <c r="BF69" s="42">
        <f>69</f>
        <v>69</v>
      </c>
      <c r="BH69" s="24">
        <f>H69*AO69</f>
        <v>0</v>
      </c>
      <c r="BI69" s="24">
        <f>H69*AP69</f>
        <v>0</v>
      </c>
      <c r="BJ69" s="24">
        <f>H69*I69</f>
        <v>0</v>
      </c>
      <c r="BK69" s="24" t="s">
        <v>520</v>
      </c>
      <c r="BL69" s="42">
        <v>61</v>
      </c>
    </row>
    <row r="70" spans="1:64" x14ac:dyDescent="0.2">
      <c r="A70" s="5"/>
      <c r="B70" s="15" t="s">
        <v>84</v>
      </c>
      <c r="C70" s="91" t="s">
        <v>218</v>
      </c>
      <c r="D70" s="92"/>
      <c r="E70" s="92"/>
      <c r="F70" s="92"/>
      <c r="G70" s="92"/>
      <c r="H70" s="92"/>
      <c r="I70" s="92"/>
      <c r="J70" s="92"/>
      <c r="K70" s="92"/>
      <c r="L70" s="92"/>
      <c r="M70" s="93"/>
      <c r="N70" s="5"/>
    </row>
    <row r="71" spans="1:64" x14ac:dyDescent="0.2">
      <c r="A71" s="5"/>
      <c r="C71" s="19" t="s">
        <v>26</v>
      </c>
      <c r="F71" s="20" t="s">
        <v>400</v>
      </c>
      <c r="H71" s="68">
        <v>20</v>
      </c>
      <c r="M71" s="36"/>
      <c r="N71" s="5"/>
    </row>
    <row r="72" spans="1:64" x14ac:dyDescent="0.2">
      <c r="A72" s="4" t="s">
        <v>20</v>
      </c>
      <c r="B72" s="14" t="s">
        <v>97</v>
      </c>
      <c r="C72" s="89" t="s">
        <v>219</v>
      </c>
      <c r="D72" s="90"/>
      <c r="E72" s="90"/>
      <c r="F72" s="90"/>
      <c r="G72" s="14" t="s">
        <v>457</v>
      </c>
      <c r="H72" s="67">
        <v>250.096</v>
      </c>
      <c r="I72" s="24">
        <v>0</v>
      </c>
      <c r="J72" s="24">
        <f>H72*AO72</f>
        <v>0</v>
      </c>
      <c r="K72" s="24">
        <f>H72*AP72</f>
        <v>0</v>
      </c>
      <c r="L72" s="24">
        <f>H72*I72</f>
        <v>0</v>
      </c>
      <c r="M72" s="35" t="s">
        <v>566</v>
      </c>
      <c r="N72" s="5"/>
      <c r="Z72" s="42">
        <f>IF(AQ72="5",BJ72,0)</f>
        <v>0</v>
      </c>
      <c r="AB72" s="42">
        <f>IF(AQ72="1",BH72,0)</f>
        <v>0</v>
      </c>
      <c r="AC72" s="42">
        <f>IF(AQ72="1",BI72,0)</f>
        <v>0</v>
      </c>
      <c r="AD72" s="42">
        <f>IF(AQ72="7",BH72,0)</f>
        <v>0</v>
      </c>
      <c r="AE72" s="42">
        <f>IF(AQ72="7",BI72,0)</f>
        <v>0</v>
      </c>
      <c r="AF72" s="42">
        <f>IF(AQ72="2",BH72,0)</f>
        <v>0</v>
      </c>
      <c r="AG72" s="42">
        <f>IF(AQ72="2",BI72,0)</f>
        <v>0</v>
      </c>
      <c r="AH72" s="42">
        <f>IF(AQ72="0",BJ72,0)</f>
        <v>0</v>
      </c>
      <c r="AI72" s="41"/>
      <c r="AJ72" s="24">
        <f>IF(AN72=0,L72,0)</f>
        <v>0</v>
      </c>
      <c r="AK72" s="24">
        <f>IF(AN72=15,L72,0)</f>
        <v>0</v>
      </c>
      <c r="AL72" s="24">
        <f>IF(AN72=21,L72,0)</f>
        <v>0</v>
      </c>
      <c r="AN72" s="42">
        <v>21</v>
      </c>
      <c r="AO72" s="42">
        <f>I72*0.264961207046815</f>
        <v>0</v>
      </c>
      <c r="AP72" s="42">
        <f>I72*(1-0.264961207046815)</f>
        <v>0</v>
      </c>
      <c r="AQ72" s="43" t="s">
        <v>7</v>
      </c>
      <c r="AV72" s="42">
        <f>AW72+AX72</f>
        <v>0</v>
      </c>
      <c r="AW72" s="42">
        <f>H72*AO72</f>
        <v>0</v>
      </c>
      <c r="AX72" s="42">
        <f>H72*AP72</f>
        <v>0</v>
      </c>
      <c r="AY72" s="45" t="s">
        <v>487</v>
      </c>
      <c r="AZ72" s="45" t="s">
        <v>508</v>
      </c>
      <c r="BA72" s="41" t="s">
        <v>515</v>
      </c>
      <c r="BC72" s="42">
        <f>AW72+AX72</f>
        <v>0</v>
      </c>
      <c r="BD72" s="42">
        <f>I72/(100-BE72)*100</f>
        <v>0</v>
      </c>
      <c r="BE72" s="42">
        <v>0</v>
      </c>
      <c r="BF72" s="42">
        <f>72</f>
        <v>72</v>
      </c>
      <c r="BH72" s="24">
        <f>H72*AO72</f>
        <v>0</v>
      </c>
      <c r="BI72" s="24">
        <f>H72*AP72</f>
        <v>0</v>
      </c>
      <c r="BJ72" s="24">
        <f>H72*I72</f>
        <v>0</v>
      </c>
      <c r="BK72" s="24" t="s">
        <v>520</v>
      </c>
      <c r="BL72" s="42">
        <v>61</v>
      </c>
    </row>
    <row r="73" spans="1:64" x14ac:dyDescent="0.2">
      <c r="A73" s="5"/>
      <c r="B73" s="15" t="s">
        <v>84</v>
      </c>
      <c r="C73" s="91" t="s">
        <v>577</v>
      </c>
      <c r="D73" s="92"/>
      <c r="E73" s="92"/>
      <c r="F73" s="92"/>
      <c r="G73" s="92"/>
      <c r="H73" s="92"/>
      <c r="I73" s="92"/>
      <c r="J73" s="92"/>
      <c r="K73" s="92"/>
      <c r="L73" s="92"/>
      <c r="M73" s="93"/>
      <c r="N73" s="5"/>
    </row>
    <row r="74" spans="1:64" x14ac:dyDescent="0.2">
      <c r="A74" s="5"/>
      <c r="C74" s="19" t="s">
        <v>210</v>
      </c>
      <c r="F74" s="20" t="s">
        <v>397</v>
      </c>
      <c r="H74" s="68">
        <v>246.78800000000001</v>
      </c>
      <c r="M74" s="36"/>
      <c r="N74" s="5"/>
    </row>
    <row r="75" spans="1:64" x14ac:dyDescent="0.2">
      <c r="A75" s="5"/>
      <c r="C75" s="19" t="s">
        <v>211</v>
      </c>
      <c r="F75" s="20" t="s">
        <v>398</v>
      </c>
      <c r="H75" s="68">
        <v>1.8440000000000001</v>
      </c>
      <c r="M75" s="36"/>
      <c r="N75" s="5"/>
    </row>
    <row r="76" spans="1:64" x14ac:dyDescent="0.2">
      <c r="A76" s="5"/>
      <c r="C76" s="19" t="s">
        <v>212</v>
      </c>
      <c r="F76" s="20" t="s">
        <v>399</v>
      </c>
      <c r="H76" s="68">
        <v>1.464</v>
      </c>
      <c r="M76" s="36"/>
      <c r="N76" s="5"/>
    </row>
    <row r="77" spans="1:64" x14ac:dyDescent="0.2">
      <c r="A77" s="6"/>
      <c r="B77" s="16" t="s">
        <v>69</v>
      </c>
      <c r="C77" s="94" t="s">
        <v>220</v>
      </c>
      <c r="D77" s="95"/>
      <c r="E77" s="95"/>
      <c r="F77" s="95"/>
      <c r="G77" s="22" t="s">
        <v>6</v>
      </c>
      <c r="H77" s="22" t="s">
        <v>6</v>
      </c>
      <c r="I77" s="22" t="s">
        <v>6</v>
      </c>
      <c r="J77" s="48">
        <f>SUM(J78:J81)</f>
        <v>0</v>
      </c>
      <c r="K77" s="48">
        <f>SUM(K78:K81)</f>
        <v>0</v>
      </c>
      <c r="L77" s="48">
        <f>SUM(L78:L81)</f>
        <v>0</v>
      </c>
      <c r="M77" s="37"/>
      <c r="N77" s="5"/>
      <c r="AI77" s="41"/>
      <c r="AS77" s="48">
        <f>SUM(AJ78:AJ81)</f>
        <v>0</v>
      </c>
      <c r="AT77" s="48">
        <f>SUM(AK78:AK81)</f>
        <v>0</v>
      </c>
      <c r="AU77" s="48">
        <f>SUM(AL78:AL81)</f>
        <v>0</v>
      </c>
    </row>
    <row r="78" spans="1:64" x14ac:dyDescent="0.2">
      <c r="A78" s="4" t="s">
        <v>21</v>
      </c>
      <c r="B78" s="14" t="s">
        <v>98</v>
      </c>
      <c r="C78" s="89" t="s">
        <v>576</v>
      </c>
      <c r="D78" s="90"/>
      <c r="E78" s="90"/>
      <c r="F78" s="90"/>
      <c r="G78" s="14" t="s">
        <v>457</v>
      </c>
      <c r="H78" s="67">
        <v>443.74</v>
      </c>
      <c r="I78" s="24">
        <v>0</v>
      </c>
      <c r="J78" s="24">
        <f>H78*AO78</f>
        <v>0</v>
      </c>
      <c r="K78" s="24">
        <f>H78*AP78</f>
        <v>0</v>
      </c>
      <c r="L78" s="24">
        <f>H78*I78</f>
        <v>0</v>
      </c>
      <c r="M78" s="35" t="s">
        <v>566</v>
      </c>
      <c r="N78" s="5"/>
      <c r="Z78" s="42">
        <f>IF(AQ78="5",BJ78,0)</f>
        <v>0</v>
      </c>
      <c r="AB78" s="42">
        <f>IF(AQ78="1",BH78,0)</f>
        <v>0</v>
      </c>
      <c r="AC78" s="42">
        <f>IF(AQ78="1",BI78,0)</f>
        <v>0</v>
      </c>
      <c r="AD78" s="42">
        <f>IF(AQ78="7",BH78,0)</f>
        <v>0</v>
      </c>
      <c r="AE78" s="42">
        <f>IF(AQ78="7",BI78,0)</f>
        <v>0</v>
      </c>
      <c r="AF78" s="42">
        <f>IF(AQ78="2",BH78,0)</f>
        <v>0</v>
      </c>
      <c r="AG78" s="42">
        <f>IF(AQ78="2",BI78,0)</f>
        <v>0</v>
      </c>
      <c r="AH78" s="42">
        <f>IF(AQ78="0",BJ78,0)</f>
        <v>0</v>
      </c>
      <c r="AI78" s="41"/>
      <c r="AJ78" s="24">
        <f>IF(AN78=0,L78,0)</f>
        <v>0</v>
      </c>
      <c r="AK78" s="24">
        <f>IF(AN78=15,L78,0)</f>
        <v>0</v>
      </c>
      <c r="AL78" s="24">
        <f>IF(AN78=21,L78,0)</f>
        <v>0</v>
      </c>
      <c r="AN78" s="42">
        <v>21</v>
      </c>
      <c r="AO78" s="42">
        <f>I78*0.609443195998969</f>
        <v>0</v>
      </c>
      <c r="AP78" s="42">
        <f>I78*(1-0.609443195998969)</f>
        <v>0</v>
      </c>
      <c r="AQ78" s="43" t="s">
        <v>7</v>
      </c>
      <c r="AV78" s="42">
        <f>AW78+AX78</f>
        <v>0</v>
      </c>
      <c r="AW78" s="42">
        <f>H78*AO78</f>
        <v>0</v>
      </c>
      <c r="AX78" s="42">
        <f>H78*AP78</f>
        <v>0</v>
      </c>
      <c r="AY78" s="45" t="s">
        <v>488</v>
      </c>
      <c r="AZ78" s="45" t="s">
        <v>508</v>
      </c>
      <c r="BA78" s="41" t="s">
        <v>515</v>
      </c>
      <c r="BC78" s="42">
        <f>AW78+AX78</f>
        <v>0</v>
      </c>
      <c r="BD78" s="42">
        <f>I78/(100-BE78)*100</f>
        <v>0</v>
      </c>
      <c r="BE78" s="42">
        <v>0</v>
      </c>
      <c r="BF78" s="42">
        <f>78</f>
        <v>78</v>
      </c>
      <c r="BH78" s="24">
        <f>H78*AO78</f>
        <v>0</v>
      </c>
      <c r="BI78" s="24">
        <f>H78*AP78</f>
        <v>0</v>
      </c>
      <c r="BJ78" s="24">
        <f>H78*I78</f>
        <v>0</v>
      </c>
      <c r="BK78" s="24" t="s">
        <v>520</v>
      </c>
      <c r="BL78" s="42">
        <v>63</v>
      </c>
    </row>
    <row r="79" spans="1:64" x14ac:dyDescent="0.2">
      <c r="A79" s="5"/>
      <c r="C79" s="19" t="s">
        <v>221</v>
      </c>
      <c r="F79" s="20" t="s">
        <v>401</v>
      </c>
      <c r="H79" s="68">
        <v>72.72</v>
      </c>
      <c r="M79" s="36"/>
      <c r="N79" s="5"/>
    </row>
    <row r="80" spans="1:64" x14ac:dyDescent="0.2">
      <c r="A80" s="5"/>
      <c r="C80" s="19" t="s">
        <v>222</v>
      </c>
      <c r="F80" s="20" t="s">
        <v>402</v>
      </c>
      <c r="H80" s="68">
        <v>371.02</v>
      </c>
      <c r="M80" s="36"/>
      <c r="N80" s="5"/>
    </row>
    <row r="81" spans="1:64" x14ac:dyDescent="0.2">
      <c r="A81" s="4" t="s">
        <v>22</v>
      </c>
      <c r="B81" s="14" t="s">
        <v>99</v>
      </c>
      <c r="C81" s="89" t="s">
        <v>575</v>
      </c>
      <c r="D81" s="90"/>
      <c r="E81" s="90"/>
      <c r="F81" s="90"/>
      <c r="G81" s="14" t="s">
        <v>457</v>
      </c>
      <c r="H81" s="67">
        <v>17.100000000000001</v>
      </c>
      <c r="I81" s="24">
        <v>0</v>
      </c>
      <c r="J81" s="24">
        <f>H81*AO81</f>
        <v>0</v>
      </c>
      <c r="K81" s="24">
        <f>H81*AP81</f>
        <v>0</v>
      </c>
      <c r="L81" s="24">
        <f>H81*I81</f>
        <v>0</v>
      </c>
      <c r="M81" s="35" t="s">
        <v>566</v>
      </c>
      <c r="N81" s="5"/>
      <c r="Z81" s="42">
        <f>IF(AQ81="5",BJ81,0)</f>
        <v>0</v>
      </c>
      <c r="AB81" s="42">
        <f>IF(AQ81="1",BH81,0)</f>
        <v>0</v>
      </c>
      <c r="AC81" s="42">
        <f>IF(AQ81="1",BI81,0)</f>
        <v>0</v>
      </c>
      <c r="AD81" s="42">
        <f>IF(AQ81="7",BH81,0)</f>
        <v>0</v>
      </c>
      <c r="AE81" s="42">
        <f>IF(AQ81="7",BI81,0)</f>
        <v>0</v>
      </c>
      <c r="AF81" s="42">
        <f>IF(AQ81="2",BH81,0)</f>
        <v>0</v>
      </c>
      <c r="AG81" s="42">
        <f>IF(AQ81="2",BI81,0)</f>
        <v>0</v>
      </c>
      <c r="AH81" s="42">
        <f>IF(AQ81="0",BJ81,0)</f>
        <v>0</v>
      </c>
      <c r="AI81" s="41"/>
      <c r="AJ81" s="24">
        <f>IF(AN81=0,L81,0)</f>
        <v>0</v>
      </c>
      <c r="AK81" s="24">
        <f>IF(AN81=15,L81,0)</f>
        <v>0</v>
      </c>
      <c r="AL81" s="24">
        <f>IF(AN81=21,L81,0)</f>
        <v>0</v>
      </c>
      <c r="AN81" s="42">
        <v>21</v>
      </c>
      <c r="AO81" s="42">
        <f>I81*0.568167702309028</f>
        <v>0</v>
      </c>
      <c r="AP81" s="42">
        <f>I81*(1-0.568167702309028)</f>
        <v>0</v>
      </c>
      <c r="AQ81" s="43" t="s">
        <v>7</v>
      </c>
      <c r="AV81" s="42">
        <f>AW81+AX81</f>
        <v>0</v>
      </c>
      <c r="AW81" s="42">
        <f>H81*AO81</f>
        <v>0</v>
      </c>
      <c r="AX81" s="42">
        <f>H81*AP81</f>
        <v>0</v>
      </c>
      <c r="AY81" s="45" t="s">
        <v>488</v>
      </c>
      <c r="AZ81" s="45" t="s">
        <v>508</v>
      </c>
      <c r="BA81" s="41" t="s">
        <v>515</v>
      </c>
      <c r="BC81" s="42">
        <f>AW81+AX81</f>
        <v>0</v>
      </c>
      <c r="BD81" s="42">
        <f>I81/(100-BE81)*100</f>
        <v>0</v>
      </c>
      <c r="BE81" s="42">
        <v>0</v>
      </c>
      <c r="BF81" s="42">
        <f>81</f>
        <v>81</v>
      </c>
      <c r="BH81" s="24">
        <f>H81*AO81</f>
        <v>0</v>
      </c>
      <c r="BI81" s="24">
        <f>H81*AP81</f>
        <v>0</v>
      </c>
      <c r="BJ81" s="24">
        <f>H81*I81</f>
        <v>0</v>
      </c>
      <c r="BK81" s="24" t="s">
        <v>520</v>
      </c>
      <c r="BL81" s="42">
        <v>63</v>
      </c>
    </row>
    <row r="82" spans="1:64" x14ac:dyDescent="0.2">
      <c r="A82" s="5"/>
      <c r="C82" s="19" t="s">
        <v>223</v>
      </c>
      <c r="F82" s="20" t="s">
        <v>403</v>
      </c>
      <c r="H82" s="68">
        <v>17.100000000000001</v>
      </c>
      <c r="M82" s="36"/>
      <c r="N82" s="5"/>
    </row>
    <row r="83" spans="1:64" x14ac:dyDescent="0.2">
      <c r="A83" s="6"/>
      <c r="B83" s="16" t="s">
        <v>70</v>
      </c>
      <c r="C83" s="94" t="s">
        <v>224</v>
      </c>
      <c r="D83" s="95"/>
      <c r="E83" s="95"/>
      <c r="F83" s="95"/>
      <c r="G83" s="22" t="s">
        <v>6</v>
      </c>
      <c r="H83" s="22" t="s">
        <v>6</v>
      </c>
      <c r="I83" s="22" t="s">
        <v>6</v>
      </c>
      <c r="J83" s="48">
        <f>SUM(J84:J95)</f>
        <v>0</v>
      </c>
      <c r="K83" s="48">
        <f>SUM(K84:K95)</f>
        <v>0</v>
      </c>
      <c r="L83" s="48">
        <f>SUM(L84:L95)</f>
        <v>0</v>
      </c>
      <c r="M83" s="37"/>
      <c r="N83" s="5"/>
      <c r="AI83" s="41"/>
      <c r="AS83" s="48">
        <f>SUM(AJ84:AJ95)</f>
        <v>0</v>
      </c>
      <c r="AT83" s="48">
        <f>SUM(AK84:AK95)</f>
        <v>0</v>
      </c>
      <c r="AU83" s="48">
        <f>SUM(AL84:AL95)</f>
        <v>0</v>
      </c>
    </row>
    <row r="84" spans="1:64" x14ac:dyDescent="0.2">
      <c r="A84" s="4" t="s">
        <v>23</v>
      </c>
      <c r="B84" s="14" t="s">
        <v>100</v>
      </c>
      <c r="C84" s="89" t="s">
        <v>225</v>
      </c>
      <c r="D84" s="90"/>
      <c r="E84" s="90"/>
      <c r="F84" s="90"/>
      <c r="G84" s="14" t="s">
        <v>456</v>
      </c>
      <c r="H84" s="67">
        <v>11</v>
      </c>
      <c r="I84" s="24">
        <v>0</v>
      </c>
      <c r="J84" s="24">
        <f>H84*AO84</f>
        <v>0</v>
      </c>
      <c r="K84" s="24">
        <f>H84*AP84</f>
        <v>0</v>
      </c>
      <c r="L84" s="24">
        <f>H84*I84</f>
        <v>0</v>
      </c>
      <c r="M84" s="35" t="s">
        <v>566</v>
      </c>
      <c r="N84" s="5"/>
      <c r="Z84" s="42">
        <f>IF(AQ84="5",BJ84,0)</f>
        <v>0</v>
      </c>
      <c r="AB84" s="42">
        <f>IF(AQ84="1",BH84,0)</f>
        <v>0</v>
      </c>
      <c r="AC84" s="42">
        <f>IF(AQ84="1",BI84,0)</f>
        <v>0</v>
      </c>
      <c r="AD84" s="42">
        <f>IF(AQ84="7",BH84,0)</f>
        <v>0</v>
      </c>
      <c r="AE84" s="42">
        <f>IF(AQ84="7",BI84,0)</f>
        <v>0</v>
      </c>
      <c r="AF84" s="42">
        <f>IF(AQ84="2",BH84,0)</f>
        <v>0</v>
      </c>
      <c r="AG84" s="42">
        <f>IF(AQ84="2",BI84,0)</f>
        <v>0</v>
      </c>
      <c r="AH84" s="42">
        <f>IF(AQ84="0",BJ84,0)</f>
        <v>0</v>
      </c>
      <c r="AI84" s="41"/>
      <c r="AJ84" s="24">
        <f>IF(AN84=0,L84,0)</f>
        <v>0</v>
      </c>
      <c r="AK84" s="24">
        <f>IF(AN84=15,L84,0)</f>
        <v>0</v>
      </c>
      <c r="AL84" s="24">
        <f>IF(AN84=21,L84,0)</f>
        <v>0</v>
      </c>
      <c r="AN84" s="42">
        <v>21</v>
      </c>
      <c r="AO84" s="42">
        <f>I84*0.644019120458891</f>
        <v>0</v>
      </c>
      <c r="AP84" s="42">
        <f>I84*(1-0.644019120458891)</f>
        <v>0</v>
      </c>
      <c r="AQ84" s="43" t="s">
        <v>7</v>
      </c>
      <c r="AV84" s="42">
        <f>AW84+AX84</f>
        <v>0</v>
      </c>
      <c r="AW84" s="42">
        <f>H84*AO84</f>
        <v>0</v>
      </c>
      <c r="AX84" s="42">
        <f>H84*AP84</f>
        <v>0</v>
      </c>
      <c r="AY84" s="45" t="s">
        <v>489</v>
      </c>
      <c r="AZ84" s="45" t="s">
        <v>508</v>
      </c>
      <c r="BA84" s="41" t="s">
        <v>515</v>
      </c>
      <c r="BC84" s="42">
        <f>AW84+AX84</f>
        <v>0</v>
      </c>
      <c r="BD84" s="42">
        <f>I84/(100-BE84)*100</f>
        <v>0</v>
      </c>
      <c r="BE84" s="42">
        <v>0</v>
      </c>
      <c r="BF84" s="42">
        <f>84</f>
        <v>84</v>
      </c>
      <c r="BH84" s="24">
        <f>H84*AO84</f>
        <v>0</v>
      </c>
      <c r="BI84" s="24">
        <f>H84*AP84</f>
        <v>0</v>
      </c>
      <c r="BJ84" s="24">
        <f>H84*I84</f>
        <v>0</v>
      </c>
      <c r="BK84" s="24" t="s">
        <v>520</v>
      </c>
      <c r="BL84" s="42">
        <v>64</v>
      </c>
    </row>
    <row r="85" spans="1:64" x14ac:dyDescent="0.2">
      <c r="A85" s="5"/>
      <c r="B85" s="15" t="s">
        <v>84</v>
      </c>
      <c r="C85" s="91" t="s">
        <v>226</v>
      </c>
      <c r="D85" s="92"/>
      <c r="E85" s="92"/>
      <c r="F85" s="92"/>
      <c r="G85" s="92"/>
      <c r="H85" s="92"/>
      <c r="I85" s="92"/>
      <c r="J85" s="92"/>
      <c r="K85" s="92"/>
      <c r="L85" s="92"/>
      <c r="M85" s="93"/>
      <c r="N85" s="5"/>
    </row>
    <row r="86" spans="1:64" x14ac:dyDescent="0.2">
      <c r="A86" s="5"/>
      <c r="C86" s="19" t="s">
        <v>17</v>
      </c>
      <c r="F86" s="20"/>
      <c r="H86" s="68">
        <v>11</v>
      </c>
      <c r="M86" s="36"/>
      <c r="N86" s="5"/>
    </row>
    <row r="87" spans="1:64" x14ac:dyDescent="0.2">
      <c r="A87" s="4" t="s">
        <v>24</v>
      </c>
      <c r="B87" s="14" t="s">
        <v>101</v>
      </c>
      <c r="C87" s="89" t="s">
        <v>225</v>
      </c>
      <c r="D87" s="90"/>
      <c r="E87" s="90"/>
      <c r="F87" s="90"/>
      <c r="G87" s="14" t="s">
        <v>456</v>
      </c>
      <c r="H87" s="67">
        <v>7</v>
      </c>
      <c r="I87" s="24">
        <v>0</v>
      </c>
      <c r="J87" s="24">
        <f>H87*AO87</f>
        <v>0</v>
      </c>
      <c r="K87" s="24">
        <f>H87*AP87</f>
        <v>0</v>
      </c>
      <c r="L87" s="24">
        <f>H87*I87</f>
        <v>0</v>
      </c>
      <c r="M87" s="35" t="s">
        <v>566</v>
      </c>
      <c r="N87" s="5"/>
      <c r="Z87" s="42">
        <f>IF(AQ87="5",BJ87,0)</f>
        <v>0</v>
      </c>
      <c r="AB87" s="42">
        <f>IF(AQ87="1",BH87,0)</f>
        <v>0</v>
      </c>
      <c r="AC87" s="42">
        <f>IF(AQ87="1",BI87,0)</f>
        <v>0</v>
      </c>
      <c r="AD87" s="42">
        <f>IF(AQ87="7",BH87,0)</f>
        <v>0</v>
      </c>
      <c r="AE87" s="42">
        <f>IF(AQ87="7",BI87,0)</f>
        <v>0</v>
      </c>
      <c r="AF87" s="42">
        <f>IF(AQ87="2",BH87,0)</f>
        <v>0</v>
      </c>
      <c r="AG87" s="42">
        <f>IF(AQ87="2",BI87,0)</f>
        <v>0</v>
      </c>
      <c r="AH87" s="42">
        <f>IF(AQ87="0",BJ87,0)</f>
        <v>0</v>
      </c>
      <c r="AI87" s="41"/>
      <c r="AJ87" s="24">
        <f>IF(AN87=0,L87,0)</f>
        <v>0</v>
      </c>
      <c r="AK87" s="24">
        <f>IF(AN87=15,L87,0)</f>
        <v>0</v>
      </c>
      <c r="AL87" s="24">
        <f>IF(AN87=21,L87,0)</f>
        <v>0</v>
      </c>
      <c r="AN87" s="42">
        <v>21</v>
      </c>
      <c r="AO87" s="42">
        <f>I87*0.648056710775047</f>
        <v>0</v>
      </c>
      <c r="AP87" s="42">
        <f>I87*(1-0.648056710775047)</f>
        <v>0</v>
      </c>
      <c r="AQ87" s="43" t="s">
        <v>7</v>
      </c>
      <c r="AV87" s="42">
        <f>AW87+AX87</f>
        <v>0</v>
      </c>
      <c r="AW87" s="42">
        <f>H87*AO87</f>
        <v>0</v>
      </c>
      <c r="AX87" s="42">
        <f>H87*AP87</f>
        <v>0</v>
      </c>
      <c r="AY87" s="45" t="s">
        <v>489</v>
      </c>
      <c r="AZ87" s="45" t="s">
        <v>508</v>
      </c>
      <c r="BA87" s="41" t="s">
        <v>515</v>
      </c>
      <c r="BC87" s="42">
        <f>AW87+AX87</f>
        <v>0</v>
      </c>
      <c r="BD87" s="42">
        <f>I87/(100-BE87)*100</f>
        <v>0</v>
      </c>
      <c r="BE87" s="42">
        <v>0</v>
      </c>
      <c r="BF87" s="42">
        <f>87</f>
        <v>87</v>
      </c>
      <c r="BH87" s="24">
        <f>H87*AO87</f>
        <v>0</v>
      </c>
      <c r="BI87" s="24">
        <f>H87*AP87</f>
        <v>0</v>
      </c>
      <c r="BJ87" s="24">
        <f>H87*I87</f>
        <v>0</v>
      </c>
      <c r="BK87" s="24" t="s">
        <v>520</v>
      </c>
      <c r="BL87" s="42">
        <v>64</v>
      </c>
    </row>
    <row r="88" spans="1:64" x14ac:dyDescent="0.2">
      <c r="A88" s="5"/>
      <c r="B88" s="15" t="s">
        <v>84</v>
      </c>
      <c r="C88" s="91" t="s">
        <v>227</v>
      </c>
      <c r="D88" s="92"/>
      <c r="E88" s="92"/>
      <c r="F88" s="92"/>
      <c r="G88" s="92"/>
      <c r="H88" s="92"/>
      <c r="I88" s="92"/>
      <c r="J88" s="92"/>
      <c r="K88" s="92"/>
      <c r="L88" s="92"/>
      <c r="M88" s="93"/>
      <c r="N88" s="5"/>
    </row>
    <row r="89" spans="1:64" x14ac:dyDescent="0.2">
      <c r="A89" s="5"/>
      <c r="C89" s="19" t="s">
        <v>13</v>
      </c>
      <c r="F89" s="20"/>
      <c r="H89" s="68">
        <v>7</v>
      </c>
      <c r="M89" s="36"/>
      <c r="N89" s="5"/>
    </row>
    <row r="90" spans="1:64" x14ac:dyDescent="0.2">
      <c r="A90" s="4" t="s">
        <v>25</v>
      </c>
      <c r="B90" s="14" t="s">
        <v>102</v>
      </c>
      <c r="C90" s="89" t="s">
        <v>225</v>
      </c>
      <c r="D90" s="90"/>
      <c r="E90" s="90"/>
      <c r="F90" s="90"/>
      <c r="G90" s="14" t="s">
        <v>456</v>
      </c>
      <c r="H90" s="67">
        <v>6</v>
      </c>
      <c r="I90" s="24">
        <v>0</v>
      </c>
      <c r="J90" s="24">
        <f>H90*AO90</f>
        <v>0</v>
      </c>
      <c r="K90" s="24">
        <f>H90*AP90</f>
        <v>0</v>
      </c>
      <c r="L90" s="24">
        <f>H90*I90</f>
        <v>0</v>
      </c>
      <c r="M90" s="35" t="s">
        <v>566</v>
      </c>
      <c r="N90" s="5"/>
      <c r="Z90" s="42">
        <f>IF(AQ90="5",BJ90,0)</f>
        <v>0</v>
      </c>
      <c r="AB90" s="42">
        <f>IF(AQ90="1",BH90,0)</f>
        <v>0</v>
      </c>
      <c r="AC90" s="42">
        <f>IF(AQ90="1",BI90,0)</f>
        <v>0</v>
      </c>
      <c r="AD90" s="42">
        <f>IF(AQ90="7",BH90,0)</f>
        <v>0</v>
      </c>
      <c r="AE90" s="42">
        <f>IF(AQ90="7",BI90,0)</f>
        <v>0</v>
      </c>
      <c r="AF90" s="42">
        <f>IF(AQ90="2",BH90,0)</f>
        <v>0</v>
      </c>
      <c r="AG90" s="42">
        <f>IF(AQ90="2",BI90,0)</f>
        <v>0</v>
      </c>
      <c r="AH90" s="42">
        <f>IF(AQ90="0",BJ90,0)</f>
        <v>0</v>
      </c>
      <c r="AI90" s="41"/>
      <c r="AJ90" s="24">
        <f>IF(AN90=0,L90,0)</f>
        <v>0</v>
      </c>
      <c r="AK90" s="24">
        <f>IF(AN90=15,L90,0)</f>
        <v>0</v>
      </c>
      <c r="AL90" s="24">
        <f>IF(AN90=21,L90,0)</f>
        <v>0</v>
      </c>
      <c r="AN90" s="42">
        <v>21</v>
      </c>
      <c r="AO90" s="42">
        <f>I90*0.652652985074627</f>
        <v>0</v>
      </c>
      <c r="AP90" s="42">
        <f>I90*(1-0.652652985074627)</f>
        <v>0</v>
      </c>
      <c r="AQ90" s="43" t="s">
        <v>7</v>
      </c>
      <c r="AV90" s="42">
        <f>AW90+AX90</f>
        <v>0</v>
      </c>
      <c r="AW90" s="42">
        <f>H90*AO90</f>
        <v>0</v>
      </c>
      <c r="AX90" s="42">
        <f>H90*AP90</f>
        <v>0</v>
      </c>
      <c r="AY90" s="45" t="s">
        <v>489</v>
      </c>
      <c r="AZ90" s="45" t="s">
        <v>508</v>
      </c>
      <c r="BA90" s="41" t="s">
        <v>515</v>
      </c>
      <c r="BC90" s="42">
        <f>AW90+AX90</f>
        <v>0</v>
      </c>
      <c r="BD90" s="42">
        <f>I90/(100-BE90)*100</f>
        <v>0</v>
      </c>
      <c r="BE90" s="42">
        <v>0</v>
      </c>
      <c r="BF90" s="42">
        <f>90</f>
        <v>90</v>
      </c>
      <c r="BH90" s="24">
        <f>H90*AO90</f>
        <v>0</v>
      </c>
      <c r="BI90" s="24">
        <f>H90*AP90</f>
        <v>0</v>
      </c>
      <c r="BJ90" s="24">
        <f>H90*I90</f>
        <v>0</v>
      </c>
      <c r="BK90" s="24" t="s">
        <v>520</v>
      </c>
      <c r="BL90" s="42">
        <v>64</v>
      </c>
    </row>
    <row r="91" spans="1:64" x14ac:dyDescent="0.2">
      <c r="A91" s="5"/>
      <c r="B91" s="15" t="s">
        <v>84</v>
      </c>
      <c r="C91" s="91" t="s">
        <v>228</v>
      </c>
      <c r="D91" s="92"/>
      <c r="E91" s="92"/>
      <c r="F91" s="92"/>
      <c r="G91" s="92"/>
      <c r="H91" s="92"/>
      <c r="I91" s="92"/>
      <c r="J91" s="92"/>
      <c r="K91" s="92"/>
      <c r="L91" s="92"/>
      <c r="M91" s="93"/>
      <c r="N91" s="5"/>
    </row>
    <row r="92" spans="1:64" x14ac:dyDescent="0.2">
      <c r="A92" s="5"/>
      <c r="C92" s="19" t="s">
        <v>12</v>
      </c>
      <c r="F92" s="20"/>
      <c r="H92" s="68">
        <v>6</v>
      </c>
      <c r="M92" s="36"/>
      <c r="N92" s="5"/>
    </row>
    <row r="93" spans="1:64" x14ac:dyDescent="0.2">
      <c r="A93" s="4" t="s">
        <v>26</v>
      </c>
      <c r="B93" s="14" t="s">
        <v>103</v>
      </c>
      <c r="C93" s="89" t="s">
        <v>229</v>
      </c>
      <c r="D93" s="90"/>
      <c r="E93" s="90"/>
      <c r="F93" s="90"/>
      <c r="G93" s="14" t="s">
        <v>458</v>
      </c>
      <c r="H93" s="67">
        <v>1</v>
      </c>
      <c r="I93" s="24">
        <v>0</v>
      </c>
      <c r="J93" s="24">
        <f>H93*AO93</f>
        <v>0</v>
      </c>
      <c r="K93" s="24">
        <f>H93*AP93</f>
        <v>0</v>
      </c>
      <c r="L93" s="24">
        <f>H93*I93</f>
        <v>0</v>
      </c>
      <c r="M93" s="35"/>
      <c r="N93" s="5"/>
      <c r="Z93" s="42">
        <f>IF(AQ93="5",BJ93,0)</f>
        <v>0</v>
      </c>
      <c r="AB93" s="42">
        <f>IF(AQ93="1",BH93,0)</f>
        <v>0</v>
      </c>
      <c r="AC93" s="42">
        <f>IF(AQ93="1",BI93,0)</f>
        <v>0</v>
      </c>
      <c r="AD93" s="42">
        <f>IF(AQ93="7",BH93,0)</f>
        <v>0</v>
      </c>
      <c r="AE93" s="42">
        <f>IF(AQ93="7",BI93,0)</f>
        <v>0</v>
      </c>
      <c r="AF93" s="42">
        <f>IF(AQ93="2",BH93,0)</f>
        <v>0</v>
      </c>
      <c r="AG93" s="42">
        <f>IF(AQ93="2",BI93,0)</f>
        <v>0</v>
      </c>
      <c r="AH93" s="42">
        <f>IF(AQ93="0",BJ93,0)</f>
        <v>0</v>
      </c>
      <c r="AI93" s="41"/>
      <c r="AJ93" s="24">
        <f>IF(AN93=0,L93,0)</f>
        <v>0</v>
      </c>
      <c r="AK93" s="24">
        <f>IF(AN93=15,L93,0)</f>
        <v>0</v>
      </c>
      <c r="AL93" s="24">
        <f>IF(AN93=21,L93,0)</f>
        <v>0</v>
      </c>
      <c r="AN93" s="42">
        <v>21</v>
      </c>
      <c r="AO93" s="42">
        <f>I93*0</f>
        <v>0</v>
      </c>
      <c r="AP93" s="42">
        <f>I93*(1-0)</f>
        <v>0</v>
      </c>
      <c r="AQ93" s="43" t="s">
        <v>7</v>
      </c>
      <c r="AV93" s="42">
        <f>AW93+AX93</f>
        <v>0</v>
      </c>
      <c r="AW93" s="42">
        <f>H93*AO93</f>
        <v>0</v>
      </c>
      <c r="AX93" s="42">
        <f>H93*AP93</f>
        <v>0</v>
      </c>
      <c r="AY93" s="45" t="s">
        <v>489</v>
      </c>
      <c r="AZ93" s="45" t="s">
        <v>508</v>
      </c>
      <c r="BA93" s="41" t="s">
        <v>515</v>
      </c>
      <c r="BC93" s="42">
        <f>AW93+AX93</f>
        <v>0</v>
      </c>
      <c r="BD93" s="42">
        <f>I93/(100-BE93)*100</f>
        <v>0</v>
      </c>
      <c r="BE93" s="42">
        <v>0</v>
      </c>
      <c r="BF93" s="42">
        <f>93</f>
        <v>93</v>
      </c>
      <c r="BH93" s="24">
        <f>H93*AO93</f>
        <v>0</v>
      </c>
      <c r="BI93" s="24">
        <f>H93*AP93</f>
        <v>0</v>
      </c>
      <c r="BJ93" s="24">
        <f>H93*I93</f>
        <v>0</v>
      </c>
      <c r="BK93" s="24" t="s">
        <v>520</v>
      </c>
      <c r="BL93" s="42">
        <v>64</v>
      </c>
    </row>
    <row r="94" spans="1:64" x14ac:dyDescent="0.2">
      <c r="A94" s="5"/>
      <c r="C94" s="19" t="s">
        <v>7</v>
      </c>
      <c r="F94" s="20"/>
      <c r="H94" s="68">
        <v>1</v>
      </c>
      <c r="M94" s="36"/>
      <c r="N94" s="5"/>
    </row>
    <row r="95" spans="1:64" x14ac:dyDescent="0.2">
      <c r="A95" s="4" t="s">
        <v>27</v>
      </c>
      <c r="B95" s="14" t="s">
        <v>104</v>
      </c>
      <c r="C95" s="89" t="s">
        <v>230</v>
      </c>
      <c r="D95" s="90"/>
      <c r="E95" s="90"/>
      <c r="F95" s="90"/>
      <c r="G95" s="14" t="s">
        <v>456</v>
      </c>
      <c r="H95" s="67">
        <v>1</v>
      </c>
      <c r="I95" s="24">
        <v>0</v>
      </c>
      <c r="J95" s="24">
        <f>H95*AO95</f>
        <v>0</v>
      </c>
      <c r="K95" s="24">
        <f>H95*AP95</f>
        <v>0</v>
      </c>
      <c r="L95" s="24">
        <f>H95*I95</f>
        <v>0</v>
      </c>
      <c r="M95" s="35"/>
      <c r="N95" s="5"/>
      <c r="Z95" s="42">
        <f>IF(AQ95="5",BJ95,0)</f>
        <v>0</v>
      </c>
      <c r="AB95" s="42">
        <f>IF(AQ95="1",BH95,0)</f>
        <v>0</v>
      </c>
      <c r="AC95" s="42">
        <f>IF(AQ95="1",BI95,0)</f>
        <v>0</v>
      </c>
      <c r="AD95" s="42">
        <f>IF(AQ95="7",BH95,0)</f>
        <v>0</v>
      </c>
      <c r="AE95" s="42">
        <f>IF(AQ95="7",BI95,0)</f>
        <v>0</v>
      </c>
      <c r="AF95" s="42">
        <f>IF(AQ95="2",BH95,0)</f>
        <v>0</v>
      </c>
      <c r="AG95" s="42">
        <f>IF(AQ95="2",BI95,0)</f>
        <v>0</v>
      </c>
      <c r="AH95" s="42">
        <f>IF(AQ95="0",BJ95,0)</f>
        <v>0</v>
      </c>
      <c r="AI95" s="41"/>
      <c r="AJ95" s="24">
        <f>IF(AN95=0,L95,0)</f>
        <v>0</v>
      </c>
      <c r="AK95" s="24">
        <f>IF(AN95=15,L95,0)</f>
        <v>0</v>
      </c>
      <c r="AL95" s="24">
        <f>IF(AN95=21,L95,0)</f>
        <v>0</v>
      </c>
      <c r="AN95" s="42">
        <v>21</v>
      </c>
      <c r="AO95" s="42">
        <f>I95*0</f>
        <v>0</v>
      </c>
      <c r="AP95" s="42">
        <f>I95*(1-0)</f>
        <v>0</v>
      </c>
      <c r="AQ95" s="43" t="s">
        <v>7</v>
      </c>
      <c r="AV95" s="42">
        <f>AW95+AX95</f>
        <v>0</v>
      </c>
      <c r="AW95" s="42">
        <f>H95*AO95</f>
        <v>0</v>
      </c>
      <c r="AX95" s="42">
        <f>H95*AP95</f>
        <v>0</v>
      </c>
      <c r="AY95" s="45" t="s">
        <v>489</v>
      </c>
      <c r="AZ95" s="45" t="s">
        <v>508</v>
      </c>
      <c r="BA95" s="41" t="s">
        <v>515</v>
      </c>
      <c r="BC95" s="42">
        <f>AW95+AX95</f>
        <v>0</v>
      </c>
      <c r="BD95" s="42">
        <f>I95/(100-BE95)*100</f>
        <v>0</v>
      </c>
      <c r="BE95" s="42">
        <v>0</v>
      </c>
      <c r="BF95" s="42">
        <f>95</f>
        <v>95</v>
      </c>
      <c r="BH95" s="24">
        <f>H95*AO95</f>
        <v>0</v>
      </c>
      <c r="BI95" s="24">
        <f>H95*AP95</f>
        <v>0</v>
      </c>
      <c r="BJ95" s="24">
        <f>H95*I95</f>
        <v>0</v>
      </c>
      <c r="BK95" s="24" t="s">
        <v>520</v>
      </c>
      <c r="BL95" s="42">
        <v>64</v>
      </c>
    </row>
    <row r="96" spans="1:64" x14ac:dyDescent="0.2">
      <c r="A96" s="5"/>
      <c r="C96" s="19" t="s">
        <v>7</v>
      </c>
      <c r="F96" s="20" t="s">
        <v>404</v>
      </c>
      <c r="H96" s="68">
        <v>1</v>
      </c>
      <c r="M96" s="36"/>
      <c r="N96" s="5"/>
    </row>
    <row r="97" spans="1:64" x14ac:dyDescent="0.2">
      <c r="A97" s="6"/>
      <c r="B97" s="16" t="s">
        <v>105</v>
      </c>
      <c r="C97" s="94" t="s">
        <v>231</v>
      </c>
      <c r="D97" s="95"/>
      <c r="E97" s="95"/>
      <c r="F97" s="95"/>
      <c r="G97" s="22" t="s">
        <v>6</v>
      </c>
      <c r="H97" s="22" t="s">
        <v>6</v>
      </c>
      <c r="I97" s="22" t="s">
        <v>6</v>
      </c>
      <c r="J97" s="48">
        <f>SUM(J98:J101)</f>
        <v>0</v>
      </c>
      <c r="K97" s="48">
        <f>SUM(K98:K101)</f>
        <v>0</v>
      </c>
      <c r="L97" s="48">
        <f>SUM(L98:L101)</f>
        <v>0</v>
      </c>
      <c r="M97" s="37"/>
      <c r="N97" s="5"/>
      <c r="AI97" s="41"/>
      <c r="AS97" s="48">
        <f>SUM(AJ98:AJ101)</f>
        <v>0</v>
      </c>
      <c r="AT97" s="48">
        <f>SUM(AK98:AK101)</f>
        <v>0</v>
      </c>
      <c r="AU97" s="48">
        <f>SUM(AL98:AL101)</f>
        <v>0</v>
      </c>
    </row>
    <row r="98" spans="1:64" x14ac:dyDescent="0.2">
      <c r="A98" s="4" t="s">
        <v>28</v>
      </c>
      <c r="B98" s="14" t="s">
        <v>106</v>
      </c>
      <c r="C98" s="89" t="s">
        <v>232</v>
      </c>
      <c r="D98" s="90"/>
      <c r="E98" s="90"/>
      <c r="F98" s="90"/>
      <c r="G98" s="14" t="s">
        <v>457</v>
      </c>
      <c r="H98" s="67">
        <v>238.32</v>
      </c>
      <c r="I98" s="24">
        <v>0</v>
      </c>
      <c r="J98" s="24">
        <f>H98*AO98</f>
        <v>0</v>
      </c>
      <c r="K98" s="24">
        <f>H98*AP98</f>
        <v>0</v>
      </c>
      <c r="L98" s="24">
        <f>H98*I98</f>
        <v>0</v>
      </c>
      <c r="M98" s="35" t="s">
        <v>566</v>
      </c>
      <c r="N98" s="5"/>
      <c r="Z98" s="42">
        <f>IF(AQ98="5",BJ98,0)</f>
        <v>0</v>
      </c>
      <c r="AB98" s="42">
        <f>IF(AQ98="1",BH98,0)</f>
        <v>0</v>
      </c>
      <c r="AC98" s="42">
        <f>IF(AQ98="1",BI98,0)</f>
        <v>0</v>
      </c>
      <c r="AD98" s="42">
        <f>IF(AQ98="7",BH98,0)</f>
        <v>0</v>
      </c>
      <c r="AE98" s="42">
        <f>IF(AQ98="7",BI98,0)</f>
        <v>0</v>
      </c>
      <c r="AF98" s="42">
        <f>IF(AQ98="2",BH98,0)</f>
        <v>0</v>
      </c>
      <c r="AG98" s="42">
        <f>IF(AQ98="2",BI98,0)</f>
        <v>0</v>
      </c>
      <c r="AH98" s="42">
        <f>IF(AQ98="0",BJ98,0)</f>
        <v>0</v>
      </c>
      <c r="AI98" s="41"/>
      <c r="AJ98" s="24">
        <f>IF(AN98=0,L98,0)</f>
        <v>0</v>
      </c>
      <c r="AK98" s="24">
        <f>IF(AN98=15,L98,0)</f>
        <v>0</v>
      </c>
      <c r="AL98" s="24">
        <f>IF(AN98=21,L98,0)</f>
        <v>0</v>
      </c>
      <c r="AN98" s="42">
        <v>21</v>
      </c>
      <c r="AO98" s="42">
        <f>I98*0.545474285486763</f>
        <v>0</v>
      </c>
      <c r="AP98" s="42">
        <f>I98*(1-0.545474285486763)</f>
        <v>0</v>
      </c>
      <c r="AQ98" s="43" t="s">
        <v>13</v>
      </c>
      <c r="AV98" s="42">
        <f>AW98+AX98</f>
        <v>0</v>
      </c>
      <c r="AW98" s="42">
        <f>H98*AO98</f>
        <v>0</v>
      </c>
      <c r="AX98" s="42">
        <f>H98*AP98</f>
        <v>0</v>
      </c>
      <c r="AY98" s="45" t="s">
        <v>490</v>
      </c>
      <c r="AZ98" s="45" t="s">
        <v>509</v>
      </c>
      <c r="BA98" s="41" t="s">
        <v>515</v>
      </c>
      <c r="BC98" s="42">
        <f>AW98+AX98</f>
        <v>0</v>
      </c>
      <c r="BD98" s="42">
        <f>I98/(100-BE98)*100</f>
        <v>0</v>
      </c>
      <c r="BE98" s="42">
        <v>0</v>
      </c>
      <c r="BF98" s="42">
        <f>98</f>
        <v>98</v>
      </c>
      <c r="BH98" s="24">
        <f>H98*AO98</f>
        <v>0</v>
      </c>
      <c r="BI98" s="24">
        <f>H98*AP98</f>
        <v>0</v>
      </c>
      <c r="BJ98" s="24">
        <f>H98*I98</f>
        <v>0</v>
      </c>
      <c r="BK98" s="24" t="s">
        <v>520</v>
      </c>
      <c r="BL98" s="42">
        <v>711</v>
      </c>
    </row>
    <row r="99" spans="1:64" x14ac:dyDescent="0.2">
      <c r="A99" s="5"/>
      <c r="C99" s="19" t="s">
        <v>221</v>
      </c>
      <c r="F99" s="20" t="s">
        <v>401</v>
      </c>
      <c r="H99" s="68">
        <v>72.72</v>
      </c>
      <c r="M99" s="36"/>
      <c r="N99" s="5"/>
    </row>
    <row r="100" spans="1:64" x14ac:dyDescent="0.2">
      <c r="A100" s="5"/>
      <c r="C100" s="19" t="s">
        <v>233</v>
      </c>
      <c r="F100" s="20" t="s">
        <v>405</v>
      </c>
      <c r="H100" s="68">
        <v>165.6</v>
      </c>
      <c r="M100" s="36"/>
      <c r="N100" s="5"/>
    </row>
    <row r="101" spans="1:64" x14ac:dyDescent="0.2">
      <c r="A101" s="4" t="s">
        <v>29</v>
      </c>
      <c r="B101" s="14" t="s">
        <v>107</v>
      </c>
      <c r="C101" s="89" t="s">
        <v>234</v>
      </c>
      <c r="D101" s="90"/>
      <c r="E101" s="90"/>
      <c r="F101" s="90"/>
      <c r="G101" s="14" t="s">
        <v>459</v>
      </c>
      <c r="H101" s="67">
        <v>0.3</v>
      </c>
      <c r="I101" s="24">
        <v>0</v>
      </c>
      <c r="J101" s="24">
        <f>H101*AO101</f>
        <v>0</v>
      </c>
      <c r="K101" s="24">
        <f>H101*AP101</f>
        <v>0</v>
      </c>
      <c r="L101" s="24">
        <f>H101*I101</f>
        <v>0</v>
      </c>
      <c r="M101" s="35" t="s">
        <v>566</v>
      </c>
      <c r="N101" s="5"/>
      <c r="Z101" s="42">
        <f>IF(AQ101="5",BJ101,0)</f>
        <v>0</v>
      </c>
      <c r="AB101" s="42">
        <f>IF(AQ101="1",BH101,0)</f>
        <v>0</v>
      </c>
      <c r="AC101" s="42">
        <f>IF(AQ101="1",BI101,0)</f>
        <v>0</v>
      </c>
      <c r="AD101" s="42">
        <f>IF(AQ101="7",BH101,0)</f>
        <v>0</v>
      </c>
      <c r="AE101" s="42">
        <f>IF(AQ101="7",BI101,0)</f>
        <v>0</v>
      </c>
      <c r="AF101" s="42">
        <f>IF(AQ101="2",BH101,0)</f>
        <v>0</v>
      </c>
      <c r="AG101" s="42">
        <f>IF(AQ101="2",BI101,0)</f>
        <v>0</v>
      </c>
      <c r="AH101" s="42">
        <f>IF(AQ101="0",BJ101,0)</f>
        <v>0</v>
      </c>
      <c r="AI101" s="41"/>
      <c r="AJ101" s="24">
        <f>IF(AN101=0,L101,0)</f>
        <v>0</v>
      </c>
      <c r="AK101" s="24">
        <f>IF(AN101=15,L101,0)</f>
        <v>0</v>
      </c>
      <c r="AL101" s="24">
        <f>IF(AN101=21,L101,0)</f>
        <v>0</v>
      </c>
      <c r="AN101" s="42">
        <v>21</v>
      </c>
      <c r="AO101" s="42">
        <f>I101*0</f>
        <v>0</v>
      </c>
      <c r="AP101" s="42">
        <f>I101*(1-0)</f>
        <v>0</v>
      </c>
      <c r="AQ101" s="43" t="s">
        <v>11</v>
      </c>
      <c r="AV101" s="42">
        <f>AW101+AX101</f>
        <v>0</v>
      </c>
      <c r="AW101" s="42">
        <f>H101*AO101</f>
        <v>0</v>
      </c>
      <c r="AX101" s="42">
        <f>H101*AP101</f>
        <v>0</v>
      </c>
      <c r="AY101" s="45" t="s">
        <v>490</v>
      </c>
      <c r="AZ101" s="45" t="s">
        <v>509</v>
      </c>
      <c r="BA101" s="41" t="s">
        <v>515</v>
      </c>
      <c r="BC101" s="42">
        <f>AW101+AX101</f>
        <v>0</v>
      </c>
      <c r="BD101" s="42">
        <f>I101/(100-BE101)*100</f>
        <v>0</v>
      </c>
      <c r="BE101" s="42">
        <v>0</v>
      </c>
      <c r="BF101" s="42">
        <f>101</f>
        <v>101</v>
      </c>
      <c r="BH101" s="24">
        <f>H101*AO101</f>
        <v>0</v>
      </c>
      <c r="BI101" s="24">
        <f>H101*AP101</f>
        <v>0</v>
      </c>
      <c r="BJ101" s="24">
        <f>H101*I101</f>
        <v>0</v>
      </c>
      <c r="BK101" s="24" t="s">
        <v>520</v>
      </c>
      <c r="BL101" s="42">
        <v>711</v>
      </c>
    </row>
    <row r="102" spans="1:64" x14ac:dyDescent="0.2">
      <c r="A102" s="6"/>
      <c r="B102" s="16" t="s">
        <v>108</v>
      </c>
      <c r="C102" s="94" t="s">
        <v>235</v>
      </c>
      <c r="D102" s="95"/>
      <c r="E102" s="95"/>
      <c r="F102" s="95"/>
      <c r="G102" s="22" t="s">
        <v>6</v>
      </c>
      <c r="H102" s="22" t="s">
        <v>6</v>
      </c>
      <c r="I102" s="22" t="s">
        <v>6</v>
      </c>
      <c r="J102" s="48">
        <f>SUM(J103:J103)</f>
        <v>0</v>
      </c>
      <c r="K102" s="48">
        <f>SUM(K103:K103)</f>
        <v>0</v>
      </c>
      <c r="L102" s="48">
        <f>SUM(L103:L103)</f>
        <v>0</v>
      </c>
      <c r="M102" s="37"/>
      <c r="N102" s="5"/>
      <c r="AI102" s="41"/>
      <c r="AS102" s="48">
        <f>SUM(AJ103:AJ103)</f>
        <v>0</v>
      </c>
      <c r="AT102" s="48">
        <f>SUM(AK103:AK103)</f>
        <v>0</v>
      </c>
      <c r="AU102" s="48">
        <f>SUM(AL103:AL103)</f>
        <v>0</v>
      </c>
    </row>
    <row r="103" spans="1:64" x14ac:dyDescent="0.2">
      <c r="A103" s="4" t="s">
        <v>30</v>
      </c>
      <c r="B103" s="14" t="s">
        <v>109</v>
      </c>
      <c r="C103" s="89" t="s">
        <v>236</v>
      </c>
      <c r="D103" s="90"/>
      <c r="E103" s="90"/>
      <c r="F103" s="90"/>
      <c r="G103" s="14" t="s">
        <v>458</v>
      </c>
      <c r="H103" s="67">
        <v>1</v>
      </c>
      <c r="I103" s="24">
        <v>0</v>
      </c>
      <c r="J103" s="24">
        <f>H103*AO103</f>
        <v>0</v>
      </c>
      <c r="K103" s="24">
        <f>H103*AP103</f>
        <v>0</v>
      </c>
      <c r="L103" s="24">
        <f>H103*I103</f>
        <v>0</v>
      </c>
      <c r="M103" s="35"/>
      <c r="N103" s="5"/>
      <c r="Z103" s="42">
        <f>IF(AQ103="5",BJ103,0)</f>
        <v>0</v>
      </c>
      <c r="AB103" s="42">
        <f>IF(AQ103="1",BH103,0)</f>
        <v>0</v>
      </c>
      <c r="AC103" s="42">
        <f>IF(AQ103="1",BI103,0)</f>
        <v>0</v>
      </c>
      <c r="AD103" s="42">
        <f>IF(AQ103="7",BH103,0)</f>
        <v>0</v>
      </c>
      <c r="AE103" s="42">
        <f>IF(AQ103="7",BI103,0)</f>
        <v>0</v>
      </c>
      <c r="AF103" s="42">
        <f>IF(AQ103="2",BH103,0)</f>
        <v>0</v>
      </c>
      <c r="AG103" s="42">
        <f>IF(AQ103="2",BI103,0)</f>
        <v>0</v>
      </c>
      <c r="AH103" s="42">
        <f>IF(AQ103="0",BJ103,0)</f>
        <v>0</v>
      </c>
      <c r="AI103" s="41"/>
      <c r="AJ103" s="24">
        <f>IF(AN103=0,L103,0)</f>
        <v>0</v>
      </c>
      <c r="AK103" s="24">
        <f>IF(AN103=15,L103,0)</f>
        <v>0</v>
      </c>
      <c r="AL103" s="24">
        <f>IF(AN103=21,L103,0)</f>
        <v>0</v>
      </c>
      <c r="AN103" s="42">
        <v>21</v>
      </c>
      <c r="AO103" s="42">
        <f>I103*0</f>
        <v>0</v>
      </c>
      <c r="AP103" s="42">
        <f>I103*(1-0)</f>
        <v>0</v>
      </c>
      <c r="AQ103" s="43" t="s">
        <v>13</v>
      </c>
      <c r="AV103" s="42">
        <f>AW103+AX103</f>
        <v>0</v>
      </c>
      <c r="AW103" s="42">
        <f>H103*AO103</f>
        <v>0</v>
      </c>
      <c r="AX103" s="42">
        <f>H103*AP103</f>
        <v>0</v>
      </c>
      <c r="AY103" s="45" t="s">
        <v>491</v>
      </c>
      <c r="AZ103" s="45" t="s">
        <v>510</v>
      </c>
      <c r="BA103" s="41" t="s">
        <v>515</v>
      </c>
      <c r="BC103" s="42">
        <f>AW103+AX103</f>
        <v>0</v>
      </c>
      <c r="BD103" s="42">
        <f>I103/(100-BE103)*100</f>
        <v>0</v>
      </c>
      <c r="BE103" s="42">
        <v>0</v>
      </c>
      <c r="BF103" s="42">
        <f>103</f>
        <v>103</v>
      </c>
      <c r="BH103" s="24">
        <f>H103*AO103</f>
        <v>0</v>
      </c>
      <c r="BI103" s="24">
        <f>H103*AP103</f>
        <v>0</v>
      </c>
      <c r="BJ103" s="24">
        <f>H103*I103</f>
        <v>0</v>
      </c>
      <c r="BK103" s="24" t="s">
        <v>520</v>
      </c>
      <c r="BL103" s="42">
        <v>725</v>
      </c>
    </row>
    <row r="104" spans="1:64" x14ac:dyDescent="0.2">
      <c r="A104" s="5"/>
      <c r="C104" s="19" t="s">
        <v>7</v>
      </c>
      <c r="F104" s="20"/>
      <c r="H104" s="68">
        <v>1</v>
      </c>
      <c r="M104" s="36"/>
      <c r="N104" s="5"/>
    </row>
    <row r="105" spans="1:64" x14ac:dyDescent="0.2">
      <c r="A105" s="6"/>
      <c r="B105" s="16" t="s">
        <v>110</v>
      </c>
      <c r="C105" s="94" t="s">
        <v>237</v>
      </c>
      <c r="D105" s="95"/>
      <c r="E105" s="95"/>
      <c r="F105" s="95"/>
      <c r="G105" s="22" t="s">
        <v>6</v>
      </c>
      <c r="H105" s="22" t="s">
        <v>6</v>
      </c>
      <c r="I105" s="22" t="s">
        <v>6</v>
      </c>
      <c r="J105" s="48">
        <f>SUM(J106:J106)</f>
        <v>0</v>
      </c>
      <c r="K105" s="48">
        <f>SUM(K106:K106)</f>
        <v>0</v>
      </c>
      <c r="L105" s="48">
        <f>SUM(L106:L106)</f>
        <v>0</v>
      </c>
      <c r="M105" s="37"/>
      <c r="N105" s="5"/>
      <c r="AI105" s="41"/>
      <c r="AS105" s="48">
        <f>SUM(AJ106:AJ106)</f>
        <v>0</v>
      </c>
      <c r="AT105" s="48">
        <f>SUM(AK106:AK106)</f>
        <v>0</v>
      </c>
      <c r="AU105" s="48">
        <f>SUM(AL106:AL106)</f>
        <v>0</v>
      </c>
    </row>
    <row r="106" spans="1:64" x14ac:dyDescent="0.2">
      <c r="A106" s="4" t="s">
        <v>31</v>
      </c>
      <c r="B106" s="14" t="s">
        <v>111</v>
      </c>
      <c r="C106" s="89" t="s">
        <v>238</v>
      </c>
      <c r="D106" s="90"/>
      <c r="E106" s="90"/>
      <c r="F106" s="90"/>
      <c r="G106" s="14" t="s">
        <v>458</v>
      </c>
      <c r="H106" s="67">
        <v>1</v>
      </c>
      <c r="I106" s="24">
        <v>0</v>
      </c>
      <c r="J106" s="24">
        <f>H106*AO106</f>
        <v>0</v>
      </c>
      <c r="K106" s="24">
        <f>H106*AP106</f>
        <v>0</v>
      </c>
      <c r="L106" s="24">
        <f>H106*I106</f>
        <v>0</v>
      </c>
      <c r="M106" s="35"/>
      <c r="N106" s="5"/>
      <c r="Z106" s="42">
        <f>IF(AQ106="5",BJ106,0)</f>
        <v>0</v>
      </c>
      <c r="AB106" s="42">
        <f>IF(AQ106="1",BH106,0)</f>
        <v>0</v>
      </c>
      <c r="AC106" s="42">
        <f>IF(AQ106="1",BI106,0)</f>
        <v>0</v>
      </c>
      <c r="AD106" s="42">
        <f>IF(AQ106="7",BH106,0)</f>
        <v>0</v>
      </c>
      <c r="AE106" s="42">
        <f>IF(AQ106="7",BI106,0)</f>
        <v>0</v>
      </c>
      <c r="AF106" s="42">
        <f>IF(AQ106="2",BH106,0)</f>
        <v>0</v>
      </c>
      <c r="AG106" s="42">
        <f>IF(AQ106="2",BI106,0)</f>
        <v>0</v>
      </c>
      <c r="AH106" s="42">
        <f>IF(AQ106="0",BJ106,0)</f>
        <v>0</v>
      </c>
      <c r="AI106" s="41"/>
      <c r="AJ106" s="24">
        <f>IF(AN106=0,L106,0)</f>
        <v>0</v>
      </c>
      <c r="AK106" s="24">
        <f>IF(AN106=15,L106,0)</f>
        <v>0</v>
      </c>
      <c r="AL106" s="24">
        <f>IF(AN106=21,L106,0)</f>
        <v>0</v>
      </c>
      <c r="AN106" s="42">
        <v>21</v>
      </c>
      <c r="AO106" s="42">
        <f>I106*0</f>
        <v>0</v>
      </c>
      <c r="AP106" s="42">
        <f>I106*(1-0)</f>
        <v>0</v>
      </c>
      <c r="AQ106" s="43" t="s">
        <v>13</v>
      </c>
      <c r="AV106" s="42">
        <f>AW106+AX106</f>
        <v>0</v>
      </c>
      <c r="AW106" s="42">
        <f>H106*AO106</f>
        <v>0</v>
      </c>
      <c r="AX106" s="42">
        <f>H106*AP106</f>
        <v>0</v>
      </c>
      <c r="AY106" s="45" t="s">
        <v>492</v>
      </c>
      <c r="AZ106" s="45" t="s">
        <v>511</v>
      </c>
      <c r="BA106" s="41" t="s">
        <v>515</v>
      </c>
      <c r="BC106" s="42">
        <f>AW106+AX106</f>
        <v>0</v>
      </c>
      <c r="BD106" s="42">
        <f>I106/(100-BE106)*100</f>
        <v>0</v>
      </c>
      <c r="BE106" s="42">
        <v>0</v>
      </c>
      <c r="BF106" s="42">
        <f>106</f>
        <v>106</v>
      </c>
      <c r="BH106" s="24">
        <f>H106*AO106</f>
        <v>0</v>
      </c>
      <c r="BI106" s="24">
        <f>H106*AP106</f>
        <v>0</v>
      </c>
      <c r="BJ106" s="24">
        <f>H106*I106</f>
        <v>0</v>
      </c>
      <c r="BK106" s="24" t="s">
        <v>520</v>
      </c>
      <c r="BL106" s="42">
        <v>766</v>
      </c>
    </row>
    <row r="107" spans="1:64" x14ac:dyDescent="0.2">
      <c r="A107" s="5"/>
      <c r="C107" s="19" t="s">
        <v>7</v>
      </c>
      <c r="F107" s="20"/>
      <c r="H107" s="68">
        <v>1</v>
      </c>
      <c r="M107" s="36"/>
      <c r="N107" s="5"/>
    </row>
    <row r="108" spans="1:64" x14ac:dyDescent="0.2">
      <c r="A108" s="6"/>
      <c r="B108" s="16" t="s">
        <v>112</v>
      </c>
      <c r="C108" s="94" t="s">
        <v>239</v>
      </c>
      <c r="D108" s="95"/>
      <c r="E108" s="95"/>
      <c r="F108" s="95"/>
      <c r="G108" s="22" t="s">
        <v>6</v>
      </c>
      <c r="H108" s="22" t="s">
        <v>6</v>
      </c>
      <c r="I108" s="22" t="s">
        <v>6</v>
      </c>
      <c r="J108" s="48">
        <f>SUM(J109:J121)</f>
        <v>0</v>
      </c>
      <c r="K108" s="48">
        <f>SUM(K109:K121)</f>
        <v>0</v>
      </c>
      <c r="L108" s="48">
        <f>SUM(L109:L121)</f>
        <v>0</v>
      </c>
      <c r="M108" s="37"/>
      <c r="N108" s="5"/>
      <c r="AI108" s="41"/>
      <c r="AS108" s="48">
        <f>SUM(AJ109:AJ121)</f>
        <v>0</v>
      </c>
      <c r="AT108" s="48">
        <f>SUM(AK109:AK121)</f>
        <v>0</v>
      </c>
      <c r="AU108" s="48">
        <f>SUM(AL109:AL121)</f>
        <v>0</v>
      </c>
    </row>
    <row r="109" spans="1:64" x14ac:dyDescent="0.2">
      <c r="A109" s="4" t="s">
        <v>32</v>
      </c>
      <c r="B109" s="14" t="s">
        <v>113</v>
      </c>
      <c r="C109" s="89" t="s">
        <v>240</v>
      </c>
      <c r="D109" s="90"/>
      <c r="E109" s="90"/>
      <c r="F109" s="90"/>
      <c r="G109" s="14" t="s">
        <v>457</v>
      </c>
      <c r="H109" s="67">
        <v>72.72</v>
      </c>
      <c r="I109" s="24">
        <v>0</v>
      </c>
      <c r="J109" s="24">
        <f>H109*AO109</f>
        <v>0</v>
      </c>
      <c r="K109" s="24">
        <f>H109*AP109</f>
        <v>0</v>
      </c>
      <c r="L109" s="24">
        <f>H109*I109</f>
        <v>0</v>
      </c>
      <c r="M109" s="35" t="s">
        <v>566</v>
      </c>
      <c r="N109" s="5"/>
      <c r="Z109" s="42">
        <f>IF(AQ109="5",BJ109,0)</f>
        <v>0</v>
      </c>
      <c r="AB109" s="42">
        <f>IF(AQ109="1",BH109,0)</f>
        <v>0</v>
      </c>
      <c r="AC109" s="42">
        <f>IF(AQ109="1",BI109,0)</f>
        <v>0</v>
      </c>
      <c r="AD109" s="42">
        <f>IF(AQ109="7",BH109,0)</f>
        <v>0</v>
      </c>
      <c r="AE109" s="42">
        <f>IF(AQ109="7",BI109,0)</f>
        <v>0</v>
      </c>
      <c r="AF109" s="42">
        <f>IF(AQ109="2",BH109,0)</f>
        <v>0</v>
      </c>
      <c r="AG109" s="42">
        <f>IF(AQ109="2",BI109,0)</f>
        <v>0</v>
      </c>
      <c r="AH109" s="42">
        <f>IF(AQ109="0",BJ109,0)</f>
        <v>0</v>
      </c>
      <c r="AI109" s="41"/>
      <c r="AJ109" s="24">
        <f>IF(AN109=0,L109,0)</f>
        <v>0</v>
      </c>
      <c r="AK109" s="24">
        <f>IF(AN109=15,L109,0)</f>
        <v>0</v>
      </c>
      <c r="AL109" s="24">
        <f>IF(AN109=21,L109,0)</f>
        <v>0</v>
      </c>
      <c r="AN109" s="42">
        <v>21</v>
      </c>
      <c r="AO109" s="42">
        <f>I109*0.506650283652715</f>
        <v>0</v>
      </c>
      <c r="AP109" s="42">
        <f>I109*(1-0.506650283652715)</f>
        <v>0</v>
      </c>
      <c r="AQ109" s="43" t="s">
        <v>13</v>
      </c>
      <c r="AV109" s="42">
        <f>AW109+AX109</f>
        <v>0</v>
      </c>
      <c r="AW109" s="42">
        <f>H109*AO109</f>
        <v>0</v>
      </c>
      <c r="AX109" s="42">
        <f>H109*AP109</f>
        <v>0</v>
      </c>
      <c r="AY109" s="45" t="s">
        <v>493</v>
      </c>
      <c r="AZ109" s="45" t="s">
        <v>512</v>
      </c>
      <c r="BA109" s="41" t="s">
        <v>515</v>
      </c>
      <c r="BC109" s="42">
        <f>AW109+AX109</f>
        <v>0</v>
      </c>
      <c r="BD109" s="42">
        <f>I109/(100-BE109)*100</f>
        <v>0</v>
      </c>
      <c r="BE109" s="42">
        <v>0</v>
      </c>
      <c r="BF109" s="42">
        <f>109</f>
        <v>109</v>
      </c>
      <c r="BH109" s="24">
        <f>H109*AO109</f>
        <v>0</v>
      </c>
      <c r="BI109" s="24">
        <f>H109*AP109</f>
        <v>0</v>
      </c>
      <c r="BJ109" s="24">
        <f>H109*I109</f>
        <v>0</v>
      </c>
      <c r="BK109" s="24" t="s">
        <v>520</v>
      </c>
      <c r="BL109" s="42">
        <v>771</v>
      </c>
    </row>
    <row r="110" spans="1:64" x14ac:dyDescent="0.2">
      <c r="A110" s="5"/>
      <c r="C110" s="19" t="s">
        <v>221</v>
      </c>
      <c r="F110" s="20"/>
      <c r="H110" s="68">
        <v>72.72</v>
      </c>
      <c r="M110" s="36"/>
      <c r="N110" s="5"/>
    </row>
    <row r="111" spans="1:64" x14ac:dyDescent="0.2">
      <c r="A111" s="4" t="s">
        <v>33</v>
      </c>
      <c r="B111" s="14" t="s">
        <v>114</v>
      </c>
      <c r="C111" s="89" t="s">
        <v>241</v>
      </c>
      <c r="D111" s="90"/>
      <c r="E111" s="90"/>
      <c r="F111" s="90"/>
      <c r="G111" s="14" t="s">
        <v>460</v>
      </c>
      <c r="H111" s="67">
        <v>10.199999999999999</v>
      </c>
      <c r="I111" s="24">
        <v>0</v>
      </c>
      <c r="J111" s="24">
        <f>H111*AO111</f>
        <v>0</v>
      </c>
      <c r="K111" s="24">
        <f>H111*AP111</f>
        <v>0</v>
      </c>
      <c r="L111" s="24">
        <f>H111*I111</f>
        <v>0</v>
      </c>
      <c r="M111" s="35" t="s">
        <v>566</v>
      </c>
      <c r="N111" s="5"/>
      <c r="Z111" s="42">
        <f>IF(AQ111="5",BJ111,0)</f>
        <v>0</v>
      </c>
      <c r="AB111" s="42">
        <f>IF(AQ111="1",BH111,0)</f>
        <v>0</v>
      </c>
      <c r="AC111" s="42">
        <f>IF(AQ111="1",BI111,0)</f>
        <v>0</v>
      </c>
      <c r="AD111" s="42">
        <f>IF(AQ111="7",BH111,0)</f>
        <v>0</v>
      </c>
      <c r="AE111" s="42">
        <f>IF(AQ111="7",BI111,0)</f>
        <v>0</v>
      </c>
      <c r="AF111" s="42">
        <f>IF(AQ111="2",BH111,0)</f>
        <v>0</v>
      </c>
      <c r="AG111" s="42">
        <f>IF(AQ111="2",BI111,0)</f>
        <v>0</v>
      </c>
      <c r="AH111" s="42">
        <f>IF(AQ111="0",BJ111,0)</f>
        <v>0</v>
      </c>
      <c r="AI111" s="41"/>
      <c r="AJ111" s="24">
        <f>IF(AN111=0,L111,0)</f>
        <v>0</v>
      </c>
      <c r="AK111" s="24">
        <f>IF(AN111=15,L111,0)</f>
        <v>0</v>
      </c>
      <c r="AL111" s="24">
        <f>IF(AN111=21,L111,0)</f>
        <v>0</v>
      </c>
      <c r="AN111" s="42">
        <v>21</v>
      </c>
      <c r="AO111" s="42">
        <f>I111*0.0793291559159602</f>
        <v>0</v>
      </c>
      <c r="AP111" s="42">
        <f>I111*(1-0.0793291559159602)</f>
        <v>0</v>
      </c>
      <c r="AQ111" s="43" t="s">
        <v>13</v>
      </c>
      <c r="AV111" s="42">
        <f>AW111+AX111</f>
        <v>0</v>
      </c>
      <c r="AW111" s="42">
        <f>H111*AO111</f>
        <v>0</v>
      </c>
      <c r="AX111" s="42">
        <f>H111*AP111</f>
        <v>0</v>
      </c>
      <c r="AY111" s="45" t="s">
        <v>493</v>
      </c>
      <c r="AZ111" s="45" t="s">
        <v>512</v>
      </c>
      <c r="BA111" s="41" t="s">
        <v>515</v>
      </c>
      <c r="BC111" s="42">
        <f>AW111+AX111</f>
        <v>0</v>
      </c>
      <c r="BD111" s="42">
        <f>I111/(100-BE111)*100</f>
        <v>0</v>
      </c>
      <c r="BE111" s="42">
        <v>0</v>
      </c>
      <c r="BF111" s="42">
        <f>111</f>
        <v>111</v>
      </c>
      <c r="BH111" s="24">
        <f>H111*AO111</f>
        <v>0</v>
      </c>
      <c r="BI111" s="24">
        <f>H111*AP111</f>
        <v>0</v>
      </c>
      <c r="BJ111" s="24">
        <f>H111*I111</f>
        <v>0</v>
      </c>
      <c r="BK111" s="24" t="s">
        <v>520</v>
      </c>
      <c r="BL111" s="42">
        <v>771</v>
      </c>
    </row>
    <row r="112" spans="1:64" x14ac:dyDescent="0.2">
      <c r="A112" s="5"/>
      <c r="C112" s="19" t="s">
        <v>242</v>
      </c>
      <c r="F112" s="20" t="s">
        <v>403</v>
      </c>
      <c r="H112" s="68">
        <v>10.199999999999999</v>
      </c>
      <c r="M112" s="36"/>
      <c r="N112" s="5"/>
    </row>
    <row r="113" spans="1:64" x14ac:dyDescent="0.2">
      <c r="A113" s="7" t="s">
        <v>34</v>
      </c>
      <c r="B113" s="17" t="s">
        <v>115</v>
      </c>
      <c r="C113" s="107" t="s">
        <v>567</v>
      </c>
      <c r="D113" s="108"/>
      <c r="E113" s="108"/>
      <c r="F113" s="108"/>
      <c r="G113" s="17" t="s">
        <v>456</v>
      </c>
      <c r="H113" s="69">
        <v>35.700000000000003</v>
      </c>
      <c r="I113" s="25">
        <v>0</v>
      </c>
      <c r="J113" s="25">
        <f>H113*AO113</f>
        <v>0</v>
      </c>
      <c r="K113" s="25">
        <f>H113*AP113</f>
        <v>0</v>
      </c>
      <c r="L113" s="25">
        <f>H113*I113</f>
        <v>0</v>
      </c>
      <c r="M113" s="38" t="s">
        <v>566</v>
      </c>
      <c r="N113" s="5"/>
      <c r="Z113" s="42">
        <f>IF(AQ113="5",BJ113,0)</f>
        <v>0</v>
      </c>
      <c r="AB113" s="42">
        <f>IF(AQ113="1",BH113,0)</f>
        <v>0</v>
      </c>
      <c r="AC113" s="42">
        <f>IF(AQ113="1",BI113,0)</f>
        <v>0</v>
      </c>
      <c r="AD113" s="42">
        <f>IF(AQ113="7",BH113,0)</f>
        <v>0</v>
      </c>
      <c r="AE113" s="42">
        <f>IF(AQ113="7",BI113,0)</f>
        <v>0</v>
      </c>
      <c r="AF113" s="42">
        <f>IF(AQ113="2",BH113,0)</f>
        <v>0</v>
      </c>
      <c r="AG113" s="42">
        <f>IF(AQ113="2",BI113,0)</f>
        <v>0</v>
      </c>
      <c r="AH113" s="42">
        <f>IF(AQ113="0",BJ113,0)</f>
        <v>0</v>
      </c>
      <c r="AI113" s="41"/>
      <c r="AJ113" s="25">
        <f>IF(AN113=0,L113,0)</f>
        <v>0</v>
      </c>
      <c r="AK113" s="25">
        <f>IF(AN113=15,L113,0)</f>
        <v>0</v>
      </c>
      <c r="AL113" s="25">
        <f>IF(AN113=21,L113,0)</f>
        <v>0</v>
      </c>
      <c r="AN113" s="42">
        <v>21</v>
      </c>
      <c r="AO113" s="42">
        <f>I113*1</f>
        <v>0</v>
      </c>
      <c r="AP113" s="42">
        <f>I113*(1-1)</f>
        <v>0</v>
      </c>
      <c r="AQ113" s="44" t="s">
        <v>13</v>
      </c>
      <c r="AV113" s="42">
        <f>AW113+AX113</f>
        <v>0</v>
      </c>
      <c r="AW113" s="42">
        <f>H113*AO113</f>
        <v>0</v>
      </c>
      <c r="AX113" s="42">
        <f>H113*AP113</f>
        <v>0</v>
      </c>
      <c r="AY113" s="45" t="s">
        <v>493</v>
      </c>
      <c r="AZ113" s="45" t="s">
        <v>512</v>
      </c>
      <c r="BA113" s="41" t="s">
        <v>515</v>
      </c>
      <c r="BC113" s="42">
        <f>AW113+AX113</f>
        <v>0</v>
      </c>
      <c r="BD113" s="42">
        <f>I113/(100-BE113)*100</f>
        <v>0</v>
      </c>
      <c r="BE113" s="42">
        <v>0</v>
      </c>
      <c r="BF113" s="42">
        <f>113</f>
        <v>113</v>
      </c>
      <c r="BH113" s="25">
        <f>H113*AO113</f>
        <v>0</v>
      </c>
      <c r="BI113" s="25">
        <f>H113*AP113</f>
        <v>0</v>
      </c>
      <c r="BJ113" s="25">
        <f>H113*I113</f>
        <v>0</v>
      </c>
      <c r="BK113" s="25" t="s">
        <v>162</v>
      </c>
      <c r="BL113" s="42">
        <v>771</v>
      </c>
    </row>
    <row r="114" spans="1:64" x14ac:dyDescent="0.2">
      <c r="A114" s="5"/>
      <c r="C114" s="19" t="s">
        <v>243</v>
      </c>
      <c r="F114" s="20"/>
      <c r="H114" s="68">
        <v>34</v>
      </c>
      <c r="M114" s="36"/>
      <c r="N114" s="5"/>
    </row>
    <row r="115" spans="1:64" x14ac:dyDescent="0.2">
      <c r="A115" s="5"/>
      <c r="C115" s="19" t="s">
        <v>244</v>
      </c>
      <c r="F115" s="20"/>
      <c r="H115" s="68">
        <v>1.7</v>
      </c>
      <c r="M115" s="36"/>
      <c r="N115" s="5"/>
    </row>
    <row r="116" spans="1:64" x14ac:dyDescent="0.2">
      <c r="A116" s="4" t="s">
        <v>35</v>
      </c>
      <c r="B116" s="14" t="s">
        <v>116</v>
      </c>
      <c r="C116" s="89" t="s">
        <v>245</v>
      </c>
      <c r="D116" s="90"/>
      <c r="E116" s="90"/>
      <c r="F116" s="90"/>
      <c r="G116" s="14" t="s">
        <v>457</v>
      </c>
      <c r="H116" s="67">
        <v>72.72</v>
      </c>
      <c r="I116" s="24">
        <v>0</v>
      </c>
      <c r="J116" s="24">
        <f>H116*AO116</f>
        <v>0</v>
      </c>
      <c r="K116" s="24">
        <f>H116*AP116</f>
        <v>0</v>
      </c>
      <c r="L116" s="24">
        <f>H116*I116</f>
        <v>0</v>
      </c>
      <c r="M116" s="35" t="s">
        <v>566</v>
      </c>
      <c r="N116" s="5"/>
      <c r="Z116" s="42">
        <f>IF(AQ116="5",BJ116,0)</f>
        <v>0</v>
      </c>
      <c r="AB116" s="42">
        <f>IF(AQ116="1",BH116,0)</f>
        <v>0</v>
      </c>
      <c r="AC116" s="42">
        <f>IF(AQ116="1",BI116,0)</f>
        <v>0</v>
      </c>
      <c r="AD116" s="42">
        <f>IF(AQ116="7",BH116,0)</f>
        <v>0</v>
      </c>
      <c r="AE116" s="42">
        <f>IF(AQ116="7",BI116,0)</f>
        <v>0</v>
      </c>
      <c r="AF116" s="42">
        <f>IF(AQ116="2",BH116,0)</f>
        <v>0</v>
      </c>
      <c r="AG116" s="42">
        <f>IF(AQ116="2",BI116,0)</f>
        <v>0</v>
      </c>
      <c r="AH116" s="42">
        <f>IF(AQ116="0",BJ116,0)</f>
        <v>0</v>
      </c>
      <c r="AI116" s="41"/>
      <c r="AJ116" s="24">
        <f>IF(AN116=0,L116,0)</f>
        <v>0</v>
      </c>
      <c r="AK116" s="24">
        <f>IF(AN116=15,L116,0)</f>
        <v>0</v>
      </c>
      <c r="AL116" s="24">
        <f>IF(AN116=21,L116,0)</f>
        <v>0</v>
      </c>
      <c r="AN116" s="42">
        <v>21</v>
      </c>
      <c r="AO116" s="42">
        <f>I116*0.111366078158904</f>
        <v>0</v>
      </c>
      <c r="AP116" s="42">
        <f>I116*(1-0.111366078158904)</f>
        <v>0</v>
      </c>
      <c r="AQ116" s="43" t="s">
        <v>13</v>
      </c>
      <c r="AV116" s="42">
        <f>AW116+AX116</f>
        <v>0</v>
      </c>
      <c r="AW116" s="42">
        <f>H116*AO116</f>
        <v>0</v>
      </c>
      <c r="AX116" s="42">
        <f>H116*AP116</f>
        <v>0</v>
      </c>
      <c r="AY116" s="45" t="s">
        <v>493</v>
      </c>
      <c r="AZ116" s="45" t="s">
        <v>512</v>
      </c>
      <c r="BA116" s="41" t="s">
        <v>515</v>
      </c>
      <c r="BC116" s="42">
        <f>AW116+AX116</f>
        <v>0</v>
      </c>
      <c r="BD116" s="42">
        <f>I116/(100-BE116)*100</f>
        <v>0</v>
      </c>
      <c r="BE116" s="42">
        <v>0</v>
      </c>
      <c r="BF116" s="42">
        <f>116</f>
        <v>116</v>
      </c>
      <c r="BH116" s="24">
        <f>H116*AO116</f>
        <v>0</v>
      </c>
      <c r="BI116" s="24">
        <f>H116*AP116</f>
        <v>0</v>
      </c>
      <c r="BJ116" s="24">
        <f>H116*I116</f>
        <v>0</v>
      </c>
      <c r="BK116" s="24" t="s">
        <v>520</v>
      </c>
      <c r="BL116" s="42">
        <v>771</v>
      </c>
    </row>
    <row r="117" spans="1:64" x14ac:dyDescent="0.2">
      <c r="A117" s="5"/>
      <c r="C117" s="19" t="s">
        <v>221</v>
      </c>
      <c r="F117" s="20"/>
      <c r="H117" s="68">
        <v>72.72</v>
      </c>
      <c r="M117" s="36"/>
      <c r="N117" s="5"/>
    </row>
    <row r="118" spans="1:64" x14ac:dyDescent="0.2">
      <c r="A118" s="7" t="s">
        <v>36</v>
      </c>
      <c r="B118" s="17" t="s">
        <v>117</v>
      </c>
      <c r="C118" s="107" t="s">
        <v>568</v>
      </c>
      <c r="D118" s="108"/>
      <c r="E118" s="108"/>
      <c r="F118" s="108"/>
      <c r="G118" s="17" t="s">
        <v>457</v>
      </c>
      <c r="H118" s="69">
        <v>76.355999999999995</v>
      </c>
      <c r="I118" s="25">
        <v>0</v>
      </c>
      <c r="J118" s="25">
        <f>H118*AO118</f>
        <v>0</v>
      </c>
      <c r="K118" s="25">
        <f>H118*AP118</f>
        <v>0</v>
      </c>
      <c r="L118" s="25">
        <f>H118*I118</f>
        <v>0</v>
      </c>
      <c r="M118" s="38" t="s">
        <v>566</v>
      </c>
      <c r="N118" s="5"/>
      <c r="Z118" s="42">
        <f>IF(AQ118="5",BJ118,0)</f>
        <v>0</v>
      </c>
      <c r="AB118" s="42">
        <f>IF(AQ118="1",BH118,0)</f>
        <v>0</v>
      </c>
      <c r="AC118" s="42">
        <f>IF(AQ118="1",BI118,0)</f>
        <v>0</v>
      </c>
      <c r="AD118" s="42">
        <f>IF(AQ118="7",BH118,0)</f>
        <v>0</v>
      </c>
      <c r="AE118" s="42">
        <f>IF(AQ118="7",BI118,0)</f>
        <v>0</v>
      </c>
      <c r="AF118" s="42">
        <f>IF(AQ118="2",BH118,0)</f>
        <v>0</v>
      </c>
      <c r="AG118" s="42">
        <f>IF(AQ118="2",BI118,0)</f>
        <v>0</v>
      </c>
      <c r="AH118" s="42">
        <f>IF(AQ118="0",BJ118,0)</f>
        <v>0</v>
      </c>
      <c r="AI118" s="41"/>
      <c r="AJ118" s="25">
        <f>IF(AN118=0,L118,0)</f>
        <v>0</v>
      </c>
      <c r="AK118" s="25">
        <f>IF(AN118=15,L118,0)</f>
        <v>0</v>
      </c>
      <c r="AL118" s="25">
        <f>IF(AN118=21,L118,0)</f>
        <v>0</v>
      </c>
      <c r="AN118" s="42">
        <v>21</v>
      </c>
      <c r="AO118" s="42">
        <f>I118*1</f>
        <v>0</v>
      </c>
      <c r="AP118" s="42">
        <f>I118*(1-1)</f>
        <v>0</v>
      </c>
      <c r="AQ118" s="44" t="s">
        <v>13</v>
      </c>
      <c r="AV118" s="42">
        <f>AW118+AX118</f>
        <v>0</v>
      </c>
      <c r="AW118" s="42">
        <f>H118*AO118</f>
        <v>0</v>
      </c>
      <c r="AX118" s="42">
        <f>H118*AP118</f>
        <v>0</v>
      </c>
      <c r="AY118" s="45" t="s">
        <v>493</v>
      </c>
      <c r="AZ118" s="45" t="s">
        <v>512</v>
      </c>
      <c r="BA118" s="41" t="s">
        <v>515</v>
      </c>
      <c r="BC118" s="42">
        <f>AW118+AX118</f>
        <v>0</v>
      </c>
      <c r="BD118" s="42">
        <f>I118/(100-BE118)*100</f>
        <v>0</v>
      </c>
      <c r="BE118" s="42">
        <v>0</v>
      </c>
      <c r="BF118" s="42">
        <f>118</f>
        <v>118</v>
      </c>
      <c r="BH118" s="25">
        <f>H118*AO118</f>
        <v>0</v>
      </c>
      <c r="BI118" s="25">
        <f>H118*AP118</f>
        <v>0</v>
      </c>
      <c r="BJ118" s="25">
        <f>H118*I118</f>
        <v>0</v>
      </c>
      <c r="BK118" s="25" t="s">
        <v>162</v>
      </c>
      <c r="BL118" s="42">
        <v>771</v>
      </c>
    </row>
    <row r="119" spans="1:64" x14ac:dyDescent="0.2">
      <c r="A119" s="5"/>
      <c r="C119" s="19" t="s">
        <v>221</v>
      </c>
      <c r="F119" s="20"/>
      <c r="H119" s="68">
        <v>72.72</v>
      </c>
      <c r="M119" s="36"/>
      <c r="N119" s="5"/>
    </row>
    <row r="120" spans="1:64" x14ac:dyDescent="0.2">
      <c r="A120" s="5"/>
      <c r="C120" s="19" t="s">
        <v>246</v>
      </c>
      <c r="F120" s="20"/>
      <c r="H120" s="68">
        <v>3.6360000000000001</v>
      </c>
      <c r="M120" s="36"/>
      <c r="N120" s="5"/>
    </row>
    <row r="121" spans="1:64" x14ac:dyDescent="0.2">
      <c r="A121" s="4" t="s">
        <v>37</v>
      </c>
      <c r="B121" s="14" t="s">
        <v>118</v>
      </c>
      <c r="C121" s="89" t="s">
        <v>247</v>
      </c>
      <c r="D121" s="90"/>
      <c r="E121" s="90"/>
      <c r="F121" s="90"/>
      <c r="G121" s="14" t="s">
        <v>459</v>
      </c>
      <c r="H121" s="67">
        <v>5.1879999999999997</v>
      </c>
      <c r="I121" s="24">
        <v>0</v>
      </c>
      <c r="J121" s="24">
        <f>H121*AO121</f>
        <v>0</v>
      </c>
      <c r="K121" s="24">
        <f>H121*AP121</f>
        <v>0</v>
      </c>
      <c r="L121" s="24">
        <f>H121*I121</f>
        <v>0</v>
      </c>
      <c r="M121" s="35" t="s">
        <v>566</v>
      </c>
      <c r="N121" s="5"/>
      <c r="Z121" s="42">
        <f>IF(AQ121="5",BJ121,0)</f>
        <v>0</v>
      </c>
      <c r="AB121" s="42">
        <f>IF(AQ121="1",BH121,0)</f>
        <v>0</v>
      </c>
      <c r="AC121" s="42">
        <f>IF(AQ121="1",BI121,0)</f>
        <v>0</v>
      </c>
      <c r="AD121" s="42">
        <f>IF(AQ121="7",BH121,0)</f>
        <v>0</v>
      </c>
      <c r="AE121" s="42">
        <f>IF(AQ121="7",BI121,0)</f>
        <v>0</v>
      </c>
      <c r="AF121" s="42">
        <f>IF(AQ121="2",BH121,0)</f>
        <v>0</v>
      </c>
      <c r="AG121" s="42">
        <f>IF(AQ121="2",BI121,0)</f>
        <v>0</v>
      </c>
      <c r="AH121" s="42">
        <f>IF(AQ121="0",BJ121,0)</f>
        <v>0</v>
      </c>
      <c r="AI121" s="41"/>
      <c r="AJ121" s="24">
        <f>IF(AN121=0,L121,0)</f>
        <v>0</v>
      </c>
      <c r="AK121" s="24">
        <f>IF(AN121=15,L121,0)</f>
        <v>0</v>
      </c>
      <c r="AL121" s="24">
        <f>IF(AN121=21,L121,0)</f>
        <v>0</v>
      </c>
      <c r="AN121" s="42">
        <v>21</v>
      </c>
      <c r="AO121" s="42">
        <f>I121*0</f>
        <v>0</v>
      </c>
      <c r="AP121" s="42">
        <f>I121*(1-0)</f>
        <v>0</v>
      </c>
      <c r="AQ121" s="43" t="s">
        <v>11</v>
      </c>
      <c r="AV121" s="42">
        <f>AW121+AX121</f>
        <v>0</v>
      </c>
      <c r="AW121" s="42">
        <f>H121*AO121</f>
        <v>0</v>
      </c>
      <c r="AX121" s="42">
        <f>H121*AP121</f>
        <v>0</v>
      </c>
      <c r="AY121" s="45" t="s">
        <v>493</v>
      </c>
      <c r="AZ121" s="45" t="s">
        <v>512</v>
      </c>
      <c r="BA121" s="41" t="s">
        <v>515</v>
      </c>
      <c r="BC121" s="42">
        <f>AW121+AX121</f>
        <v>0</v>
      </c>
      <c r="BD121" s="42">
        <f>I121/(100-BE121)*100</f>
        <v>0</v>
      </c>
      <c r="BE121" s="42">
        <v>0</v>
      </c>
      <c r="BF121" s="42">
        <f>121</f>
        <v>121</v>
      </c>
      <c r="BH121" s="24">
        <f>H121*AO121</f>
        <v>0</v>
      </c>
      <c r="BI121" s="24">
        <f>H121*AP121</f>
        <v>0</v>
      </c>
      <c r="BJ121" s="24">
        <f>H121*I121</f>
        <v>0</v>
      </c>
      <c r="BK121" s="24" t="s">
        <v>520</v>
      </c>
      <c r="BL121" s="42">
        <v>771</v>
      </c>
    </row>
    <row r="122" spans="1:64" x14ac:dyDescent="0.2">
      <c r="A122" s="6"/>
      <c r="B122" s="16" t="s">
        <v>119</v>
      </c>
      <c r="C122" s="94" t="s">
        <v>248</v>
      </c>
      <c r="D122" s="95"/>
      <c r="E122" s="95"/>
      <c r="F122" s="95"/>
      <c r="G122" s="22" t="s">
        <v>6</v>
      </c>
      <c r="H122" s="22" t="s">
        <v>6</v>
      </c>
      <c r="I122" s="22" t="s">
        <v>6</v>
      </c>
      <c r="J122" s="48">
        <f>SUM(J123:J123)</f>
        <v>0</v>
      </c>
      <c r="K122" s="48">
        <f>SUM(K123:K123)</f>
        <v>0</v>
      </c>
      <c r="L122" s="48">
        <f>SUM(L123:L123)</f>
        <v>0</v>
      </c>
      <c r="M122" s="37"/>
      <c r="N122" s="5"/>
      <c r="AI122" s="41"/>
      <c r="AS122" s="48">
        <f>SUM(AJ123:AJ123)</f>
        <v>0</v>
      </c>
      <c r="AT122" s="48">
        <f>SUM(AK123:AK123)</f>
        <v>0</v>
      </c>
      <c r="AU122" s="48">
        <f>SUM(AL123:AL123)</f>
        <v>0</v>
      </c>
    </row>
    <row r="123" spans="1:64" x14ac:dyDescent="0.2">
      <c r="A123" s="4" t="s">
        <v>38</v>
      </c>
      <c r="B123" s="14" t="s">
        <v>120</v>
      </c>
      <c r="C123" s="89" t="s">
        <v>249</v>
      </c>
      <c r="D123" s="90"/>
      <c r="E123" s="90"/>
      <c r="F123" s="90"/>
      <c r="G123" s="14" t="s">
        <v>457</v>
      </c>
      <c r="H123" s="67">
        <v>67</v>
      </c>
      <c r="I123" s="24">
        <v>0</v>
      </c>
      <c r="J123" s="24">
        <f>H123*AO123</f>
        <v>0</v>
      </c>
      <c r="K123" s="24">
        <f>H123*AP123</f>
        <v>0</v>
      </c>
      <c r="L123" s="24">
        <f>H123*I123</f>
        <v>0</v>
      </c>
      <c r="M123" s="35" t="s">
        <v>566</v>
      </c>
      <c r="N123" s="5"/>
      <c r="Z123" s="42">
        <f>IF(AQ123="5",BJ123,0)</f>
        <v>0</v>
      </c>
      <c r="AB123" s="42">
        <f>IF(AQ123="1",BH123,0)</f>
        <v>0</v>
      </c>
      <c r="AC123" s="42">
        <f>IF(AQ123="1",BI123,0)</f>
        <v>0</v>
      </c>
      <c r="AD123" s="42">
        <f>IF(AQ123="7",BH123,0)</f>
        <v>0</v>
      </c>
      <c r="AE123" s="42">
        <f>IF(AQ123="7",BI123,0)</f>
        <v>0</v>
      </c>
      <c r="AF123" s="42">
        <f>IF(AQ123="2",BH123,0)</f>
        <v>0</v>
      </c>
      <c r="AG123" s="42">
        <f>IF(AQ123="2",BI123,0)</f>
        <v>0</v>
      </c>
      <c r="AH123" s="42">
        <f>IF(AQ123="0",BJ123,0)</f>
        <v>0</v>
      </c>
      <c r="AI123" s="41"/>
      <c r="AJ123" s="24">
        <f>IF(AN123=0,L123,0)</f>
        <v>0</v>
      </c>
      <c r="AK123" s="24">
        <f>IF(AN123=15,L123,0)</f>
        <v>0</v>
      </c>
      <c r="AL123" s="24">
        <f>IF(AN123=21,L123,0)</f>
        <v>0</v>
      </c>
      <c r="AN123" s="42">
        <v>21</v>
      </c>
      <c r="AO123" s="42">
        <f>I123*0</f>
        <v>0</v>
      </c>
      <c r="AP123" s="42">
        <f>I123*(1-0)</f>
        <v>0</v>
      </c>
      <c r="AQ123" s="43" t="s">
        <v>13</v>
      </c>
      <c r="AV123" s="42">
        <f>AW123+AX123</f>
        <v>0</v>
      </c>
      <c r="AW123" s="42">
        <f>H123*AO123</f>
        <v>0</v>
      </c>
      <c r="AX123" s="42">
        <f>H123*AP123</f>
        <v>0</v>
      </c>
      <c r="AY123" s="45" t="s">
        <v>494</v>
      </c>
      <c r="AZ123" s="45" t="s">
        <v>512</v>
      </c>
      <c r="BA123" s="41" t="s">
        <v>515</v>
      </c>
      <c r="BC123" s="42">
        <f>AW123+AX123</f>
        <v>0</v>
      </c>
      <c r="BD123" s="42">
        <f>I123/(100-BE123)*100</f>
        <v>0</v>
      </c>
      <c r="BE123" s="42">
        <v>0</v>
      </c>
      <c r="BF123" s="42">
        <f>123</f>
        <v>123</v>
      </c>
      <c r="BH123" s="24">
        <f>H123*AO123</f>
        <v>0</v>
      </c>
      <c r="BI123" s="24">
        <f>H123*AP123</f>
        <v>0</v>
      </c>
      <c r="BJ123" s="24">
        <f>H123*I123</f>
        <v>0</v>
      </c>
      <c r="BK123" s="24" t="s">
        <v>520</v>
      </c>
      <c r="BL123" s="42">
        <v>775</v>
      </c>
    </row>
    <row r="124" spans="1:64" x14ac:dyDescent="0.2">
      <c r="A124" s="5"/>
      <c r="C124" s="19" t="s">
        <v>73</v>
      </c>
      <c r="F124" s="20"/>
      <c r="H124" s="68">
        <v>67</v>
      </c>
      <c r="M124" s="36"/>
      <c r="N124" s="5"/>
    </row>
    <row r="125" spans="1:64" x14ac:dyDescent="0.2">
      <c r="A125" s="6"/>
      <c r="B125" s="16" t="s">
        <v>121</v>
      </c>
      <c r="C125" s="94" t="s">
        <v>250</v>
      </c>
      <c r="D125" s="95"/>
      <c r="E125" s="95"/>
      <c r="F125" s="95"/>
      <c r="G125" s="22" t="s">
        <v>6</v>
      </c>
      <c r="H125" s="22" t="s">
        <v>6</v>
      </c>
      <c r="I125" s="22" t="s">
        <v>6</v>
      </c>
      <c r="J125" s="48">
        <f>SUM(J126:J160)</f>
        <v>0</v>
      </c>
      <c r="K125" s="48">
        <f>SUM(K126:K160)</f>
        <v>0</v>
      </c>
      <c r="L125" s="48">
        <f>SUM(L126:L160)</f>
        <v>0</v>
      </c>
      <c r="M125" s="37"/>
      <c r="N125" s="5"/>
      <c r="AI125" s="41"/>
      <c r="AS125" s="48">
        <f>SUM(AJ126:AJ160)</f>
        <v>0</v>
      </c>
      <c r="AT125" s="48">
        <f>SUM(AK126:AK160)</f>
        <v>0</v>
      </c>
      <c r="AU125" s="48">
        <f>SUM(AL126:AL160)</f>
        <v>0</v>
      </c>
    </row>
    <row r="126" spans="1:64" x14ac:dyDescent="0.2">
      <c r="A126" s="4" t="s">
        <v>39</v>
      </c>
      <c r="B126" s="14" t="s">
        <v>122</v>
      </c>
      <c r="C126" s="89" t="s">
        <v>251</v>
      </c>
      <c r="D126" s="90"/>
      <c r="E126" s="90"/>
      <c r="F126" s="90"/>
      <c r="G126" s="14" t="s">
        <v>460</v>
      </c>
      <c r="H126" s="67">
        <v>219.87</v>
      </c>
      <c r="I126" s="24">
        <v>0</v>
      </c>
      <c r="J126" s="24">
        <f>H126*AO126</f>
        <v>0</v>
      </c>
      <c r="K126" s="24">
        <f>H126*AP126</f>
        <v>0</v>
      </c>
      <c r="L126" s="24">
        <f>H126*I126</f>
        <v>0</v>
      </c>
      <c r="M126" s="35" t="s">
        <v>566</v>
      </c>
      <c r="N126" s="5"/>
      <c r="Z126" s="42">
        <f>IF(AQ126="5",BJ126,0)</f>
        <v>0</v>
      </c>
      <c r="AB126" s="42">
        <f>IF(AQ126="1",BH126,0)</f>
        <v>0</v>
      </c>
      <c r="AC126" s="42">
        <f>IF(AQ126="1",BI126,0)</f>
        <v>0</v>
      </c>
      <c r="AD126" s="42">
        <f>IF(AQ126="7",BH126,0)</f>
        <v>0</v>
      </c>
      <c r="AE126" s="42">
        <f>IF(AQ126="7",BI126,0)</f>
        <v>0</v>
      </c>
      <c r="AF126" s="42">
        <f>IF(AQ126="2",BH126,0)</f>
        <v>0</v>
      </c>
      <c r="AG126" s="42">
        <f>IF(AQ126="2",BI126,0)</f>
        <v>0</v>
      </c>
      <c r="AH126" s="42">
        <f>IF(AQ126="0",BJ126,0)</f>
        <v>0</v>
      </c>
      <c r="AI126" s="41"/>
      <c r="AJ126" s="24">
        <f>IF(AN126=0,L126,0)</f>
        <v>0</v>
      </c>
      <c r="AK126" s="24">
        <f>IF(AN126=15,L126,0)</f>
        <v>0</v>
      </c>
      <c r="AL126" s="24">
        <f>IF(AN126=21,L126,0)</f>
        <v>0</v>
      </c>
      <c r="AN126" s="42">
        <v>21</v>
      </c>
      <c r="AO126" s="42">
        <f>I126*0</f>
        <v>0</v>
      </c>
      <c r="AP126" s="42">
        <f>I126*(1-0)</f>
        <v>0</v>
      </c>
      <c r="AQ126" s="43" t="s">
        <v>13</v>
      </c>
      <c r="AV126" s="42">
        <f>AW126+AX126</f>
        <v>0</v>
      </c>
      <c r="AW126" s="42">
        <f>H126*AO126</f>
        <v>0</v>
      </c>
      <c r="AX126" s="42">
        <f>H126*AP126</f>
        <v>0</v>
      </c>
      <c r="AY126" s="45" t="s">
        <v>495</v>
      </c>
      <c r="AZ126" s="45" t="s">
        <v>512</v>
      </c>
      <c r="BA126" s="41" t="s">
        <v>515</v>
      </c>
      <c r="BC126" s="42">
        <f>AW126+AX126</f>
        <v>0</v>
      </c>
      <c r="BD126" s="42">
        <f>I126/(100-BE126)*100</f>
        <v>0</v>
      </c>
      <c r="BE126" s="42">
        <v>0</v>
      </c>
      <c r="BF126" s="42">
        <f>126</f>
        <v>126</v>
      </c>
      <c r="BH126" s="24">
        <f>H126*AO126</f>
        <v>0</v>
      </c>
      <c r="BI126" s="24">
        <f>H126*AP126</f>
        <v>0</v>
      </c>
      <c r="BJ126" s="24">
        <f>H126*I126</f>
        <v>0</v>
      </c>
      <c r="BK126" s="24" t="s">
        <v>520</v>
      </c>
      <c r="BL126" s="42">
        <v>776</v>
      </c>
    </row>
    <row r="127" spans="1:64" x14ac:dyDescent="0.2">
      <c r="A127" s="5"/>
      <c r="B127" s="15" t="s">
        <v>84</v>
      </c>
      <c r="C127" s="91" t="s">
        <v>252</v>
      </c>
      <c r="D127" s="92"/>
      <c r="E127" s="92"/>
      <c r="F127" s="92"/>
      <c r="G127" s="92"/>
      <c r="H127" s="92"/>
      <c r="I127" s="92"/>
      <c r="J127" s="92"/>
      <c r="K127" s="92"/>
      <c r="L127" s="92"/>
      <c r="M127" s="93"/>
      <c r="N127" s="5"/>
    </row>
    <row r="128" spans="1:64" x14ac:dyDescent="0.2">
      <c r="A128" s="5"/>
      <c r="C128" s="19"/>
      <c r="F128" s="20" t="s">
        <v>406</v>
      </c>
      <c r="H128" s="68">
        <v>0</v>
      </c>
      <c r="M128" s="36"/>
      <c r="N128" s="5"/>
    </row>
    <row r="129" spans="1:14" x14ac:dyDescent="0.2">
      <c r="A129" s="5"/>
      <c r="C129" s="19" t="s">
        <v>253</v>
      </c>
      <c r="F129" s="20"/>
      <c r="H129" s="68">
        <v>11.9</v>
      </c>
      <c r="M129" s="36"/>
      <c r="N129" s="5"/>
    </row>
    <row r="130" spans="1:14" x14ac:dyDescent="0.2">
      <c r="A130" s="5"/>
      <c r="C130" s="19" t="s">
        <v>254</v>
      </c>
      <c r="F130" s="20"/>
      <c r="H130" s="68">
        <v>13.3</v>
      </c>
      <c r="M130" s="36"/>
      <c r="N130" s="5"/>
    </row>
    <row r="131" spans="1:14" x14ac:dyDescent="0.2">
      <c r="A131" s="5"/>
      <c r="C131" s="19" t="s">
        <v>255</v>
      </c>
      <c r="F131" s="20"/>
      <c r="H131" s="68">
        <v>4.7</v>
      </c>
      <c r="M131" s="36"/>
      <c r="N131" s="5"/>
    </row>
    <row r="132" spans="1:14" x14ac:dyDescent="0.2">
      <c r="A132" s="5"/>
      <c r="C132" s="19" t="s">
        <v>256</v>
      </c>
      <c r="F132" s="20"/>
      <c r="H132" s="68">
        <v>26.75</v>
      </c>
      <c r="M132" s="36"/>
      <c r="N132" s="5"/>
    </row>
    <row r="133" spans="1:14" x14ac:dyDescent="0.2">
      <c r="A133" s="5"/>
      <c r="C133" s="19" t="s">
        <v>257</v>
      </c>
      <c r="F133" s="20"/>
      <c r="H133" s="68">
        <v>10.199999999999999</v>
      </c>
      <c r="M133" s="36"/>
      <c r="N133" s="5"/>
    </row>
    <row r="134" spans="1:14" x14ac:dyDescent="0.2">
      <c r="A134" s="5"/>
      <c r="C134" s="19" t="s">
        <v>258</v>
      </c>
      <c r="F134" s="20"/>
      <c r="H134" s="68">
        <v>12.5</v>
      </c>
      <c r="M134" s="36"/>
      <c r="N134" s="5"/>
    </row>
    <row r="135" spans="1:14" x14ac:dyDescent="0.2">
      <c r="A135" s="5"/>
      <c r="C135" s="19" t="s">
        <v>259</v>
      </c>
      <c r="F135" s="20"/>
      <c r="H135" s="68">
        <v>13.1</v>
      </c>
      <c r="M135" s="36"/>
      <c r="N135" s="5"/>
    </row>
    <row r="136" spans="1:14" x14ac:dyDescent="0.2">
      <c r="A136" s="5"/>
      <c r="C136" s="19" t="s">
        <v>254</v>
      </c>
      <c r="F136" s="20"/>
      <c r="H136" s="68">
        <v>13.3</v>
      </c>
      <c r="M136" s="36"/>
      <c r="N136" s="5"/>
    </row>
    <row r="137" spans="1:14" x14ac:dyDescent="0.2">
      <c r="A137" s="5"/>
      <c r="C137" s="19" t="s">
        <v>260</v>
      </c>
      <c r="F137" s="20"/>
      <c r="H137" s="68">
        <v>7.7</v>
      </c>
      <c r="M137" s="36"/>
      <c r="N137" s="5"/>
    </row>
    <row r="138" spans="1:14" x14ac:dyDescent="0.2">
      <c r="A138" s="5"/>
      <c r="C138" s="19" t="s">
        <v>261</v>
      </c>
      <c r="F138" s="20"/>
      <c r="H138" s="68">
        <v>24.9</v>
      </c>
      <c r="M138" s="36"/>
      <c r="N138" s="5"/>
    </row>
    <row r="139" spans="1:14" x14ac:dyDescent="0.2">
      <c r="A139" s="5"/>
      <c r="C139" s="19"/>
      <c r="F139" s="20" t="s">
        <v>407</v>
      </c>
      <c r="H139" s="68">
        <v>0</v>
      </c>
      <c r="M139" s="36"/>
      <c r="N139" s="5"/>
    </row>
    <row r="140" spans="1:14" x14ac:dyDescent="0.2">
      <c r="A140" s="5"/>
      <c r="C140" s="19" t="s">
        <v>262</v>
      </c>
      <c r="F140" s="20"/>
      <c r="H140" s="68">
        <v>22.6</v>
      </c>
      <c r="M140" s="36"/>
      <c r="N140" s="5"/>
    </row>
    <row r="141" spans="1:14" x14ac:dyDescent="0.2">
      <c r="A141" s="5"/>
      <c r="C141" s="19" t="s">
        <v>263</v>
      </c>
      <c r="F141" s="20"/>
      <c r="H141" s="68">
        <v>19.440000000000001</v>
      </c>
      <c r="M141" s="36"/>
      <c r="N141" s="5"/>
    </row>
    <row r="142" spans="1:14" x14ac:dyDescent="0.2">
      <c r="A142" s="5"/>
      <c r="C142" s="19" t="s">
        <v>264</v>
      </c>
      <c r="F142" s="20"/>
      <c r="H142" s="68">
        <v>13.4</v>
      </c>
      <c r="M142" s="36"/>
      <c r="N142" s="5"/>
    </row>
    <row r="143" spans="1:14" x14ac:dyDescent="0.2">
      <c r="A143" s="5"/>
      <c r="C143" s="19" t="s">
        <v>265</v>
      </c>
      <c r="F143" s="20"/>
      <c r="H143" s="68">
        <v>13.04</v>
      </c>
      <c r="M143" s="36"/>
      <c r="N143" s="5"/>
    </row>
    <row r="144" spans="1:14" x14ac:dyDescent="0.2">
      <c r="A144" s="5"/>
      <c r="C144" s="19" t="s">
        <v>265</v>
      </c>
      <c r="F144" s="20"/>
      <c r="H144" s="68">
        <v>13.04</v>
      </c>
      <c r="M144" s="36"/>
      <c r="N144" s="5"/>
    </row>
    <row r="145" spans="1:64" x14ac:dyDescent="0.2">
      <c r="A145" s="4" t="s">
        <v>40</v>
      </c>
      <c r="B145" s="14" t="s">
        <v>123</v>
      </c>
      <c r="C145" s="89" t="s">
        <v>266</v>
      </c>
      <c r="D145" s="90"/>
      <c r="E145" s="90"/>
      <c r="F145" s="90"/>
      <c r="G145" s="14" t="s">
        <v>460</v>
      </c>
      <c r="H145" s="67">
        <v>203.28</v>
      </c>
      <c r="I145" s="24">
        <v>0</v>
      </c>
      <c r="J145" s="24">
        <f>H145*AO145</f>
        <v>0</v>
      </c>
      <c r="K145" s="24">
        <f>H145*AP145</f>
        <v>0</v>
      </c>
      <c r="L145" s="24">
        <f>H145*I145</f>
        <v>0</v>
      </c>
      <c r="M145" s="35" t="s">
        <v>566</v>
      </c>
      <c r="N145" s="5"/>
      <c r="Z145" s="42">
        <f>IF(AQ145="5",BJ145,0)</f>
        <v>0</v>
      </c>
      <c r="AB145" s="42">
        <f>IF(AQ145="1",BH145,0)</f>
        <v>0</v>
      </c>
      <c r="AC145" s="42">
        <f>IF(AQ145="1",BI145,0)</f>
        <v>0</v>
      </c>
      <c r="AD145" s="42">
        <f>IF(AQ145="7",BH145,0)</f>
        <v>0</v>
      </c>
      <c r="AE145" s="42">
        <f>IF(AQ145="7",BI145,0)</f>
        <v>0</v>
      </c>
      <c r="AF145" s="42">
        <f>IF(AQ145="2",BH145,0)</f>
        <v>0</v>
      </c>
      <c r="AG145" s="42">
        <f>IF(AQ145="2",BI145,0)</f>
        <v>0</v>
      </c>
      <c r="AH145" s="42">
        <f>IF(AQ145="0",BJ145,0)</f>
        <v>0</v>
      </c>
      <c r="AI145" s="41"/>
      <c r="AJ145" s="24">
        <f>IF(AN145=0,L145,0)</f>
        <v>0</v>
      </c>
      <c r="AK145" s="24">
        <f>IF(AN145=15,L145,0)</f>
        <v>0</v>
      </c>
      <c r="AL145" s="24">
        <f>IF(AN145=21,L145,0)</f>
        <v>0</v>
      </c>
      <c r="AN145" s="42">
        <v>21</v>
      </c>
      <c r="AO145" s="42">
        <f>I145*0.11492545751574</f>
        <v>0</v>
      </c>
      <c r="AP145" s="42">
        <f>I145*(1-0.11492545751574)</f>
        <v>0</v>
      </c>
      <c r="AQ145" s="43" t="s">
        <v>13</v>
      </c>
      <c r="AV145" s="42">
        <f>AW145+AX145</f>
        <v>0</v>
      </c>
      <c r="AW145" s="42">
        <f>H145*AO145</f>
        <v>0</v>
      </c>
      <c r="AX145" s="42">
        <f>H145*AP145</f>
        <v>0</v>
      </c>
      <c r="AY145" s="45" t="s">
        <v>495</v>
      </c>
      <c r="AZ145" s="45" t="s">
        <v>512</v>
      </c>
      <c r="BA145" s="41" t="s">
        <v>515</v>
      </c>
      <c r="BC145" s="42">
        <f>AW145+AX145</f>
        <v>0</v>
      </c>
      <c r="BD145" s="42">
        <f>I145/(100-BE145)*100</f>
        <v>0</v>
      </c>
      <c r="BE145" s="42">
        <v>0</v>
      </c>
      <c r="BF145" s="42">
        <f>145</f>
        <v>145</v>
      </c>
      <c r="BH145" s="24">
        <f>H145*AO145</f>
        <v>0</v>
      </c>
      <c r="BI145" s="24">
        <f>H145*AP145</f>
        <v>0</v>
      </c>
      <c r="BJ145" s="24">
        <f>H145*I145</f>
        <v>0</v>
      </c>
      <c r="BK145" s="24" t="s">
        <v>520</v>
      </c>
      <c r="BL145" s="42">
        <v>776</v>
      </c>
    </row>
    <row r="146" spans="1:64" x14ac:dyDescent="0.2">
      <c r="A146" s="5"/>
      <c r="C146" s="19" t="s">
        <v>267</v>
      </c>
      <c r="F146" s="20"/>
      <c r="H146" s="68">
        <v>203.28</v>
      </c>
      <c r="M146" s="36"/>
      <c r="N146" s="5"/>
    </row>
    <row r="147" spans="1:64" x14ac:dyDescent="0.2">
      <c r="A147" s="7" t="s">
        <v>41</v>
      </c>
      <c r="B147" s="17" t="s">
        <v>124</v>
      </c>
      <c r="C147" s="107" t="s">
        <v>569</v>
      </c>
      <c r="D147" s="108"/>
      <c r="E147" s="108"/>
      <c r="F147" s="108"/>
      <c r="G147" s="17" t="s">
        <v>460</v>
      </c>
      <c r="H147" s="69">
        <v>213.44399999999999</v>
      </c>
      <c r="I147" s="25">
        <v>0</v>
      </c>
      <c r="J147" s="25">
        <f>H147*AO147</f>
        <v>0</v>
      </c>
      <c r="K147" s="25">
        <f>H147*AP147</f>
        <v>0</v>
      </c>
      <c r="L147" s="25">
        <f>H147*I147</f>
        <v>0</v>
      </c>
      <c r="M147" s="38" t="s">
        <v>566</v>
      </c>
      <c r="N147" s="5"/>
      <c r="Z147" s="42">
        <f>IF(AQ147="5",BJ147,0)</f>
        <v>0</v>
      </c>
      <c r="AB147" s="42">
        <f>IF(AQ147="1",BH147,0)</f>
        <v>0</v>
      </c>
      <c r="AC147" s="42">
        <f>IF(AQ147="1",BI147,0)</f>
        <v>0</v>
      </c>
      <c r="AD147" s="42">
        <f>IF(AQ147="7",BH147,0)</f>
        <v>0</v>
      </c>
      <c r="AE147" s="42">
        <f>IF(AQ147="7",BI147,0)</f>
        <v>0</v>
      </c>
      <c r="AF147" s="42">
        <f>IF(AQ147="2",BH147,0)</f>
        <v>0</v>
      </c>
      <c r="AG147" s="42">
        <f>IF(AQ147="2",BI147,0)</f>
        <v>0</v>
      </c>
      <c r="AH147" s="42">
        <f>IF(AQ147="0",BJ147,0)</f>
        <v>0</v>
      </c>
      <c r="AI147" s="41"/>
      <c r="AJ147" s="25">
        <f>IF(AN147=0,L147,0)</f>
        <v>0</v>
      </c>
      <c r="AK147" s="25">
        <f>IF(AN147=15,L147,0)</f>
        <v>0</v>
      </c>
      <c r="AL147" s="25">
        <f>IF(AN147=21,L147,0)</f>
        <v>0</v>
      </c>
      <c r="AN147" s="42">
        <v>21</v>
      </c>
      <c r="AO147" s="42">
        <f>I147*1</f>
        <v>0</v>
      </c>
      <c r="AP147" s="42">
        <f>I147*(1-1)</f>
        <v>0</v>
      </c>
      <c r="AQ147" s="44" t="s">
        <v>13</v>
      </c>
      <c r="AV147" s="42">
        <f>AW147+AX147</f>
        <v>0</v>
      </c>
      <c r="AW147" s="42">
        <f>H147*AO147</f>
        <v>0</v>
      </c>
      <c r="AX147" s="42">
        <f>H147*AP147</f>
        <v>0</v>
      </c>
      <c r="AY147" s="45" t="s">
        <v>495</v>
      </c>
      <c r="AZ147" s="45" t="s">
        <v>512</v>
      </c>
      <c r="BA147" s="41" t="s">
        <v>515</v>
      </c>
      <c r="BC147" s="42">
        <f>AW147+AX147</f>
        <v>0</v>
      </c>
      <c r="BD147" s="42">
        <f>I147/(100-BE147)*100</f>
        <v>0</v>
      </c>
      <c r="BE147" s="42">
        <v>0</v>
      </c>
      <c r="BF147" s="42">
        <f>147</f>
        <v>147</v>
      </c>
      <c r="BH147" s="25">
        <f>H147*AO147</f>
        <v>0</v>
      </c>
      <c r="BI147" s="25">
        <f>H147*AP147</f>
        <v>0</v>
      </c>
      <c r="BJ147" s="25">
        <f>H147*I147</f>
        <v>0</v>
      </c>
      <c r="BK147" s="25" t="s">
        <v>162</v>
      </c>
      <c r="BL147" s="42">
        <v>776</v>
      </c>
    </row>
    <row r="148" spans="1:64" x14ac:dyDescent="0.2">
      <c r="A148" s="5"/>
      <c r="C148" s="19" t="s">
        <v>267</v>
      </c>
      <c r="F148" s="20"/>
      <c r="H148" s="68">
        <v>203.28</v>
      </c>
      <c r="M148" s="36"/>
      <c r="N148" s="5"/>
    </row>
    <row r="149" spans="1:64" x14ac:dyDescent="0.2">
      <c r="A149" s="5"/>
      <c r="C149" s="19" t="s">
        <v>268</v>
      </c>
      <c r="F149" s="20"/>
      <c r="H149" s="68">
        <v>10.164</v>
      </c>
      <c r="M149" s="36"/>
      <c r="N149" s="5"/>
    </row>
    <row r="150" spans="1:64" x14ac:dyDescent="0.2">
      <c r="A150" s="4" t="s">
        <v>42</v>
      </c>
      <c r="B150" s="14" t="s">
        <v>125</v>
      </c>
      <c r="C150" s="89" t="s">
        <v>269</v>
      </c>
      <c r="D150" s="90"/>
      <c r="E150" s="90"/>
      <c r="F150" s="90"/>
      <c r="G150" s="14" t="s">
        <v>457</v>
      </c>
      <c r="H150" s="67">
        <v>230.6</v>
      </c>
      <c r="I150" s="24">
        <v>0</v>
      </c>
      <c r="J150" s="24">
        <f>H150*AO150</f>
        <v>0</v>
      </c>
      <c r="K150" s="24">
        <f>H150*AP150</f>
        <v>0</v>
      </c>
      <c r="L150" s="24">
        <f>H150*I150</f>
        <v>0</v>
      </c>
      <c r="M150" s="35" t="s">
        <v>566</v>
      </c>
      <c r="N150" s="5"/>
      <c r="Z150" s="42">
        <f>IF(AQ150="5",BJ150,0)</f>
        <v>0</v>
      </c>
      <c r="AB150" s="42">
        <f>IF(AQ150="1",BH150,0)</f>
        <v>0</v>
      </c>
      <c r="AC150" s="42">
        <f>IF(AQ150="1",BI150,0)</f>
        <v>0</v>
      </c>
      <c r="AD150" s="42">
        <f>IF(AQ150="7",BH150,0)</f>
        <v>0</v>
      </c>
      <c r="AE150" s="42">
        <f>IF(AQ150="7",BI150,0)</f>
        <v>0</v>
      </c>
      <c r="AF150" s="42">
        <f>IF(AQ150="2",BH150,0)</f>
        <v>0</v>
      </c>
      <c r="AG150" s="42">
        <f>IF(AQ150="2",BI150,0)</f>
        <v>0</v>
      </c>
      <c r="AH150" s="42">
        <f>IF(AQ150="0",BJ150,0)</f>
        <v>0</v>
      </c>
      <c r="AI150" s="41"/>
      <c r="AJ150" s="24">
        <f>IF(AN150=0,L150,0)</f>
        <v>0</v>
      </c>
      <c r="AK150" s="24">
        <f>IF(AN150=15,L150,0)</f>
        <v>0</v>
      </c>
      <c r="AL150" s="24">
        <f>IF(AN150=21,L150,0)</f>
        <v>0</v>
      </c>
      <c r="AN150" s="42">
        <v>21</v>
      </c>
      <c r="AO150" s="42">
        <f>I150*0</f>
        <v>0</v>
      </c>
      <c r="AP150" s="42">
        <f>I150*(1-0)</f>
        <v>0</v>
      </c>
      <c r="AQ150" s="43" t="s">
        <v>13</v>
      </c>
      <c r="AV150" s="42">
        <f>AW150+AX150</f>
        <v>0</v>
      </c>
      <c r="AW150" s="42">
        <f>H150*AO150</f>
        <v>0</v>
      </c>
      <c r="AX150" s="42">
        <f>H150*AP150</f>
        <v>0</v>
      </c>
      <c r="AY150" s="45" t="s">
        <v>495</v>
      </c>
      <c r="AZ150" s="45" t="s">
        <v>512</v>
      </c>
      <c r="BA150" s="41" t="s">
        <v>515</v>
      </c>
      <c r="BC150" s="42">
        <f>AW150+AX150</f>
        <v>0</v>
      </c>
      <c r="BD150" s="42">
        <f>I150/(100-BE150)*100</f>
        <v>0</v>
      </c>
      <c r="BE150" s="42">
        <v>0</v>
      </c>
      <c r="BF150" s="42">
        <f>150</f>
        <v>150</v>
      </c>
      <c r="BH150" s="24">
        <f>H150*AO150</f>
        <v>0</v>
      </c>
      <c r="BI150" s="24">
        <f>H150*AP150</f>
        <v>0</v>
      </c>
      <c r="BJ150" s="24">
        <f>H150*I150</f>
        <v>0</v>
      </c>
      <c r="BK150" s="24" t="s">
        <v>520</v>
      </c>
      <c r="BL150" s="42">
        <v>776</v>
      </c>
    </row>
    <row r="151" spans="1:64" x14ac:dyDescent="0.2">
      <c r="A151" s="5"/>
      <c r="B151" s="15" t="s">
        <v>84</v>
      </c>
      <c r="C151" s="91" t="s">
        <v>270</v>
      </c>
      <c r="D151" s="92"/>
      <c r="E151" s="92"/>
      <c r="F151" s="92"/>
      <c r="G151" s="92"/>
      <c r="H151" s="92"/>
      <c r="I151" s="92"/>
      <c r="J151" s="92"/>
      <c r="K151" s="92"/>
      <c r="L151" s="92"/>
      <c r="M151" s="93"/>
      <c r="N151" s="5"/>
    </row>
    <row r="152" spans="1:64" x14ac:dyDescent="0.2">
      <c r="A152" s="5"/>
      <c r="C152" s="19" t="s">
        <v>271</v>
      </c>
      <c r="F152" s="20" t="s">
        <v>408</v>
      </c>
      <c r="H152" s="68">
        <v>147.69999999999999</v>
      </c>
      <c r="M152" s="36"/>
      <c r="N152" s="5"/>
    </row>
    <row r="153" spans="1:64" x14ac:dyDescent="0.2">
      <c r="A153" s="5"/>
      <c r="C153" s="19" t="s">
        <v>272</v>
      </c>
      <c r="F153" s="20" t="s">
        <v>407</v>
      </c>
      <c r="H153" s="68">
        <v>82.9</v>
      </c>
      <c r="M153" s="36"/>
      <c r="N153" s="5"/>
    </row>
    <row r="154" spans="1:64" x14ac:dyDescent="0.2">
      <c r="A154" s="4" t="s">
        <v>43</v>
      </c>
      <c r="B154" s="14" t="s">
        <v>126</v>
      </c>
      <c r="C154" s="89" t="s">
        <v>574</v>
      </c>
      <c r="D154" s="90"/>
      <c r="E154" s="90"/>
      <c r="F154" s="90"/>
      <c r="G154" s="14" t="s">
        <v>457</v>
      </c>
      <c r="H154" s="67">
        <v>371.02</v>
      </c>
      <c r="I154" s="24">
        <v>0</v>
      </c>
      <c r="J154" s="24">
        <f>H154*AO154</f>
        <v>0</v>
      </c>
      <c r="K154" s="24">
        <f>H154*AP154</f>
        <v>0</v>
      </c>
      <c r="L154" s="24">
        <f>H154*I154</f>
        <v>0</v>
      </c>
      <c r="M154" s="35" t="s">
        <v>566</v>
      </c>
      <c r="N154" s="5"/>
      <c r="Z154" s="42">
        <f>IF(AQ154="5",BJ154,0)</f>
        <v>0</v>
      </c>
      <c r="AB154" s="42">
        <f>IF(AQ154="1",BH154,0)</f>
        <v>0</v>
      </c>
      <c r="AC154" s="42">
        <f>IF(AQ154="1",BI154,0)</f>
        <v>0</v>
      </c>
      <c r="AD154" s="42">
        <f>IF(AQ154="7",BH154,0)</f>
        <v>0</v>
      </c>
      <c r="AE154" s="42">
        <f>IF(AQ154="7",BI154,0)</f>
        <v>0</v>
      </c>
      <c r="AF154" s="42">
        <f>IF(AQ154="2",BH154,0)</f>
        <v>0</v>
      </c>
      <c r="AG154" s="42">
        <f>IF(AQ154="2",BI154,0)</f>
        <v>0</v>
      </c>
      <c r="AH154" s="42">
        <f>IF(AQ154="0",BJ154,0)</f>
        <v>0</v>
      </c>
      <c r="AI154" s="41"/>
      <c r="AJ154" s="24">
        <f>IF(AN154=0,L154,0)</f>
        <v>0</v>
      </c>
      <c r="AK154" s="24">
        <f>IF(AN154=15,L154,0)</f>
        <v>0</v>
      </c>
      <c r="AL154" s="24">
        <f>IF(AN154=21,L154,0)</f>
        <v>0</v>
      </c>
      <c r="AN154" s="42">
        <v>21</v>
      </c>
      <c r="AO154" s="42">
        <f>I154*0.271376343850322</f>
        <v>0</v>
      </c>
      <c r="AP154" s="42">
        <f>I154*(1-0.271376343850322)</f>
        <v>0</v>
      </c>
      <c r="AQ154" s="43" t="s">
        <v>13</v>
      </c>
      <c r="AV154" s="42">
        <f>AW154+AX154</f>
        <v>0</v>
      </c>
      <c r="AW154" s="42">
        <f>H154*AO154</f>
        <v>0</v>
      </c>
      <c r="AX154" s="42">
        <f>H154*AP154</f>
        <v>0</v>
      </c>
      <c r="AY154" s="45" t="s">
        <v>495</v>
      </c>
      <c r="AZ154" s="45" t="s">
        <v>512</v>
      </c>
      <c r="BA154" s="41" t="s">
        <v>515</v>
      </c>
      <c r="BC154" s="42">
        <f>AW154+AX154</f>
        <v>0</v>
      </c>
      <c r="BD154" s="42">
        <f>I154/(100-BE154)*100</f>
        <v>0</v>
      </c>
      <c r="BE154" s="42">
        <v>0</v>
      </c>
      <c r="BF154" s="42">
        <f>154</f>
        <v>154</v>
      </c>
      <c r="BH154" s="24">
        <f>H154*AO154</f>
        <v>0</v>
      </c>
      <c r="BI154" s="24">
        <f>H154*AP154</f>
        <v>0</v>
      </c>
      <c r="BJ154" s="24">
        <f>H154*I154</f>
        <v>0</v>
      </c>
      <c r="BK154" s="24" t="s">
        <v>520</v>
      </c>
      <c r="BL154" s="42">
        <v>776</v>
      </c>
    </row>
    <row r="155" spans="1:64" x14ac:dyDescent="0.2">
      <c r="A155" s="5"/>
      <c r="B155" s="15" t="s">
        <v>84</v>
      </c>
      <c r="C155" s="91" t="s">
        <v>273</v>
      </c>
      <c r="D155" s="92"/>
      <c r="E155" s="92"/>
      <c r="F155" s="92"/>
      <c r="G155" s="92"/>
      <c r="H155" s="92"/>
      <c r="I155" s="92"/>
      <c r="J155" s="92"/>
      <c r="K155" s="92"/>
      <c r="L155" s="92"/>
      <c r="M155" s="93"/>
      <c r="N155" s="5"/>
    </row>
    <row r="156" spans="1:64" x14ac:dyDescent="0.2">
      <c r="A156" s="5"/>
      <c r="C156" s="19" t="s">
        <v>222</v>
      </c>
      <c r="F156" s="20"/>
      <c r="H156" s="68">
        <v>371.02</v>
      </c>
      <c r="M156" s="36"/>
      <c r="N156" s="5"/>
    </row>
    <row r="157" spans="1:64" x14ac:dyDescent="0.2">
      <c r="A157" s="7" t="s">
        <v>44</v>
      </c>
      <c r="B157" s="17" t="s">
        <v>127</v>
      </c>
      <c r="C157" s="107" t="s">
        <v>570</v>
      </c>
      <c r="D157" s="108"/>
      <c r="E157" s="108"/>
      <c r="F157" s="108"/>
      <c r="G157" s="17" t="s">
        <v>457</v>
      </c>
      <c r="H157" s="69">
        <v>389.57100000000003</v>
      </c>
      <c r="I157" s="25">
        <v>0</v>
      </c>
      <c r="J157" s="25">
        <f>H157*AO157</f>
        <v>0</v>
      </c>
      <c r="K157" s="25">
        <f>H157*AP157</f>
        <v>0</v>
      </c>
      <c r="L157" s="25">
        <f>H157*I157</f>
        <v>0</v>
      </c>
      <c r="M157" s="38" t="s">
        <v>566</v>
      </c>
      <c r="N157" s="5"/>
      <c r="Z157" s="42">
        <f>IF(AQ157="5",BJ157,0)</f>
        <v>0</v>
      </c>
      <c r="AB157" s="42">
        <f>IF(AQ157="1",BH157,0)</f>
        <v>0</v>
      </c>
      <c r="AC157" s="42">
        <f>IF(AQ157="1",BI157,0)</f>
        <v>0</v>
      </c>
      <c r="AD157" s="42">
        <f>IF(AQ157="7",BH157,0)</f>
        <v>0</v>
      </c>
      <c r="AE157" s="42">
        <f>IF(AQ157="7",BI157,0)</f>
        <v>0</v>
      </c>
      <c r="AF157" s="42">
        <f>IF(AQ157="2",BH157,0)</f>
        <v>0</v>
      </c>
      <c r="AG157" s="42">
        <f>IF(AQ157="2",BI157,0)</f>
        <v>0</v>
      </c>
      <c r="AH157" s="42">
        <f>IF(AQ157="0",BJ157,0)</f>
        <v>0</v>
      </c>
      <c r="AI157" s="41"/>
      <c r="AJ157" s="25">
        <f>IF(AN157=0,L157,0)</f>
        <v>0</v>
      </c>
      <c r="AK157" s="25">
        <f>IF(AN157=15,L157,0)</f>
        <v>0</v>
      </c>
      <c r="AL157" s="25">
        <f>IF(AN157=21,L157,0)</f>
        <v>0</v>
      </c>
      <c r="AN157" s="42">
        <v>21</v>
      </c>
      <c r="AO157" s="42">
        <f>I157*1</f>
        <v>0</v>
      </c>
      <c r="AP157" s="42">
        <f>I157*(1-1)</f>
        <v>0</v>
      </c>
      <c r="AQ157" s="44" t="s">
        <v>13</v>
      </c>
      <c r="AV157" s="42">
        <f>AW157+AX157</f>
        <v>0</v>
      </c>
      <c r="AW157" s="42">
        <f>H157*AO157</f>
        <v>0</v>
      </c>
      <c r="AX157" s="42">
        <f>H157*AP157</f>
        <v>0</v>
      </c>
      <c r="AY157" s="45" t="s">
        <v>495</v>
      </c>
      <c r="AZ157" s="45" t="s">
        <v>512</v>
      </c>
      <c r="BA157" s="41" t="s">
        <v>515</v>
      </c>
      <c r="BC157" s="42">
        <f>AW157+AX157</f>
        <v>0</v>
      </c>
      <c r="BD157" s="42">
        <f>I157/(100-BE157)*100</f>
        <v>0</v>
      </c>
      <c r="BE157" s="42">
        <v>0</v>
      </c>
      <c r="BF157" s="42">
        <f>157</f>
        <v>157</v>
      </c>
      <c r="BH157" s="25">
        <f>H157*AO157</f>
        <v>0</v>
      </c>
      <c r="BI157" s="25">
        <f>H157*AP157</f>
        <v>0</v>
      </c>
      <c r="BJ157" s="25">
        <f>H157*I157</f>
        <v>0</v>
      </c>
      <c r="BK157" s="25" t="s">
        <v>162</v>
      </c>
      <c r="BL157" s="42">
        <v>776</v>
      </c>
    </row>
    <row r="158" spans="1:64" x14ac:dyDescent="0.2">
      <c r="A158" s="5"/>
      <c r="C158" s="19" t="s">
        <v>222</v>
      </c>
      <c r="F158" s="20"/>
      <c r="H158" s="68">
        <v>371.02</v>
      </c>
      <c r="M158" s="36"/>
      <c r="N158" s="5"/>
    </row>
    <row r="159" spans="1:64" x14ac:dyDescent="0.2">
      <c r="A159" s="5"/>
      <c r="C159" s="19" t="s">
        <v>274</v>
      </c>
      <c r="F159" s="20"/>
      <c r="H159" s="68">
        <v>18.550999999999998</v>
      </c>
      <c r="M159" s="36"/>
      <c r="N159" s="5"/>
    </row>
    <row r="160" spans="1:64" x14ac:dyDescent="0.2">
      <c r="A160" s="4" t="s">
        <v>45</v>
      </c>
      <c r="B160" s="14" t="s">
        <v>128</v>
      </c>
      <c r="C160" s="89" t="s">
        <v>275</v>
      </c>
      <c r="D160" s="90"/>
      <c r="E160" s="90"/>
      <c r="F160" s="90"/>
      <c r="G160" s="14" t="s">
        <v>459</v>
      </c>
      <c r="H160" s="67">
        <v>1.6080000000000001</v>
      </c>
      <c r="I160" s="24">
        <v>0</v>
      </c>
      <c r="J160" s="24">
        <f>H160*AO160</f>
        <v>0</v>
      </c>
      <c r="K160" s="24">
        <f>H160*AP160</f>
        <v>0</v>
      </c>
      <c r="L160" s="24">
        <f>H160*I160</f>
        <v>0</v>
      </c>
      <c r="M160" s="35" t="s">
        <v>566</v>
      </c>
      <c r="N160" s="5"/>
      <c r="Z160" s="42">
        <f>IF(AQ160="5",BJ160,0)</f>
        <v>0</v>
      </c>
      <c r="AB160" s="42">
        <f>IF(AQ160="1",BH160,0)</f>
        <v>0</v>
      </c>
      <c r="AC160" s="42">
        <f>IF(AQ160="1",BI160,0)</f>
        <v>0</v>
      </c>
      <c r="AD160" s="42">
        <f>IF(AQ160="7",BH160,0)</f>
        <v>0</v>
      </c>
      <c r="AE160" s="42">
        <f>IF(AQ160="7",BI160,0)</f>
        <v>0</v>
      </c>
      <c r="AF160" s="42">
        <f>IF(AQ160="2",BH160,0)</f>
        <v>0</v>
      </c>
      <c r="AG160" s="42">
        <f>IF(AQ160="2",BI160,0)</f>
        <v>0</v>
      </c>
      <c r="AH160" s="42">
        <f>IF(AQ160="0",BJ160,0)</f>
        <v>0</v>
      </c>
      <c r="AI160" s="41"/>
      <c r="AJ160" s="24">
        <f>IF(AN160=0,L160,0)</f>
        <v>0</v>
      </c>
      <c r="AK160" s="24">
        <f>IF(AN160=15,L160,0)</f>
        <v>0</v>
      </c>
      <c r="AL160" s="24">
        <f>IF(AN160=21,L160,0)</f>
        <v>0</v>
      </c>
      <c r="AN160" s="42">
        <v>21</v>
      </c>
      <c r="AO160" s="42">
        <f>I160*0</f>
        <v>0</v>
      </c>
      <c r="AP160" s="42">
        <f>I160*(1-0)</f>
        <v>0</v>
      </c>
      <c r="AQ160" s="43" t="s">
        <v>11</v>
      </c>
      <c r="AV160" s="42">
        <f>AW160+AX160</f>
        <v>0</v>
      </c>
      <c r="AW160" s="42">
        <f>H160*AO160</f>
        <v>0</v>
      </c>
      <c r="AX160" s="42">
        <f>H160*AP160</f>
        <v>0</v>
      </c>
      <c r="AY160" s="45" t="s">
        <v>495</v>
      </c>
      <c r="AZ160" s="45" t="s">
        <v>512</v>
      </c>
      <c r="BA160" s="41" t="s">
        <v>515</v>
      </c>
      <c r="BC160" s="42">
        <f>AW160+AX160</f>
        <v>0</v>
      </c>
      <c r="BD160" s="42">
        <f>I160/(100-BE160)*100</f>
        <v>0</v>
      </c>
      <c r="BE160" s="42">
        <v>0</v>
      </c>
      <c r="BF160" s="42">
        <f>160</f>
        <v>160</v>
      </c>
      <c r="BH160" s="24">
        <f>H160*AO160</f>
        <v>0</v>
      </c>
      <c r="BI160" s="24">
        <f>H160*AP160</f>
        <v>0</v>
      </c>
      <c r="BJ160" s="24">
        <f>H160*I160</f>
        <v>0</v>
      </c>
      <c r="BK160" s="24" t="s">
        <v>520</v>
      </c>
      <c r="BL160" s="42">
        <v>776</v>
      </c>
    </row>
    <row r="161" spans="1:64" x14ac:dyDescent="0.2">
      <c r="A161" s="6"/>
      <c r="B161" s="16" t="s">
        <v>129</v>
      </c>
      <c r="C161" s="94" t="s">
        <v>276</v>
      </c>
      <c r="D161" s="95"/>
      <c r="E161" s="95"/>
      <c r="F161" s="95"/>
      <c r="G161" s="22" t="s">
        <v>6</v>
      </c>
      <c r="H161" s="22" t="s">
        <v>6</v>
      </c>
      <c r="I161" s="22" t="s">
        <v>6</v>
      </c>
      <c r="J161" s="48">
        <f>SUM(J162:J187)</f>
        <v>0</v>
      </c>
      <c r="K161" s="48">
        <f>SUM(K162:K187)</f>
        <v>0</v>
      </c>
      <c r="L161" s="48">
        <f>SUM(L162:L187)</f>
        <v>0</v>
      </c>
      <c r="M161" s="37"/>
      <c r="N161" s="5"/>
      <c r="AI161" s="41"/>
      <c r="AS161" s="48">
        <f>SUM(AJ162:AJ187)</f>
        <v>0</v>
      </c>
      <c r="AT161" s="48">
        <f>SUM(AK162:AK187)</f>
        <v>0</v>
      </c>
      <c r="AU161" s="48">
        <f>SUM(AL162:AL187)</f>
        <v>0</v>
      </c>
    </row>
    <row r="162" spans="1:64" x14ac:dyDescent="0.2">
      <c r="A162" s="4" t="s">
        <v>46</v>
      </c>
      <c r="B162" s="14" t="s">
        <v>130</v>
      </c>
      <c r="C162" s="89" t="s">
        <v>277</v>
      </c>
      <c r="D162" s="90"/>
      <c r="E162" s="90"/>
      <c r="F162" s="90"/>
      <c r="G162" s="14" t="s">
        <v>457</v>
      </c>
      <c r="H162" s="67">
        <v>165.6</v>
      </c>
      <c r="I162" s="24">
        <v>0</v>
      </c>
      <c r="J162" s="24">
        <f>H162*AO162</f>
        <v>0</v>
      </c>
      <c r="K162" s="24">
        <f>H162*AP162</f>
        <v>0</v>
      </c>
      <c r="L162" s="24">
        <f>H162*I162</f>
        <v>0</v>
      </c>
      <c r="M162" s="35" t="s">
        <v>566</v>
      </c>
      <c r="N162" s="5"/>
      <c r="Z162" s="42">
        <f>IF(AQ162="5",BJ162,0)</f>
        <v>0</v>
      </c>
      <c r="AB162" s="42">
        <f>IF(AQ162="1",BH162,0)</f>
        <v>0</v>
      </c>
      <c r="AC162" s="42">
        <f>IF(AQ162="1",BI162,0)</f>
        <v>0</v>
      </c>
      <c r="AD162" s="42">
        <f>IF(AQ162="7",BH162,0)</f>
        <v>0</v>
      </c>
      <c r="AE162" s="42">
        <f>IF(AQ162="7",BI162,0)</f>
        <v>0</v>
      </c>
      <c r="AF162" s="42">
        <f>IF(AQ162="2",BH162,0)</f>
        <v>0</v>
      </c>
      <c r="AG162" s="42">
        <f>IF(AQ162="2",BI162,0)</f>
        <v>0</v>
      </c>
      <c r="AH162" s="42">
        <f>IF(AQ162="0",BJ162,0)</f>
        <v>0</v>
      </c>
      <c r="AI162" s="41"/>
      <c r="AJ162" s="24">
        <f>IF(AN162=0,L162,0)</f>
        <v>0</v>
      </c>
      <c r="AK162" s="24">
        <f>IF(AN162=15,L162,0)</f>
        <v>0</v>
      </c>
      <c r="AL162" s="24">
        <f>IF(AN162=21,L162,0)</f>
        <v>0</v>
      </c>
      <c r="AN162" s="42">
        <v>21</v>
      </c>
      <c r="AO162" s="42">
        <f>I162*0.506651665786513</f>
        <v>0</v>
      </c>
      <c r="AP162" s="42">
        <f>I162*(1-0.506651665786513)</f>
        <v>0</v>
      </c>
      <c r="AQ162" s="43" t="s">
        <v>13</v>
      </c>
      <c r="AV162" s="42">
        <f>AW162+AX162</f>
        <v>0</v>
      </c>
      <c r="AW162" s="42">
        <f>H162*AO162</f>
        <v>0</v>
      </c>
      <c r="AX162" s="42">
        <f>H162*AP162</f>
        <v>0</v>
      </c>
      <c r="AY162" s="45" t="s">
        <v>496</v>
      </c>
      <c r="AZ162" s="45" t="s">
        <v>513</v>
      </c>
      <c r="BA162" s="41" t="s">
        <v>515</v>
      </c>
      <c r="BC162" s="42">
        <f>AW162+AX162</f>
        <v>0</v>
      </c>
      <c r="BD162" s="42">
        <f>I162/(100-BE162)*100</f>
        <v>0</v>
      </c>
      <c r="BE162" s="42">
        <v>0</v>
      </c>
      <c r="BF162" s="42">
        <f>162</f>
        <v>162</v>
      </c>
      <c r="BH162" s="24">
        <f>H162*AO162</f>
        <v>0</v>
      </c>
      <c r="BI162" s="24">
        <f>H162*AP162</f>
        <v>0</v>
      </c>
      <c r="BJ162" s="24">
        <f>H162*I162</f>
        <v>0</v>
      </c>
      <c r="BK162" s="24" t="s">
        <v>520</v>
      </c>
      <c r="BL162" s="42">
        <v>781</v>
      </c>
    </row>
    <row r="163" spans="1:64" x14ac:dyDescent="0.2">
      <c r="A163" s="5"/>
      <c r="C163" s="19" t="s">
        <v>233</v>
      </c>
      <c r="F163" s="20"/>
      <c r="H163" s="68">
        <v>165.6</v>
      </c>
      <c r="M163" s="36"/>
      <c r="N163" s="5"/>
    </row>
    <row r="164" spans="1:64" x14ac:dyDescent="0.2">
      <c r="A164" s="4" t="s">
        <v>47</v>
      </c>
      <c r="B164" s="14" t="s">
        <v>131</v>
      </c>
      <c r="C164" s="89" t="s">
        <v>278</v>
      </c>
      <c r="D164" s="90"/>
      <c r="E164" s="90"/>
      <c r="F164" s="90"/>
      <c r="G164" s="14" t="s">
        <v>457</v>
      </c>
      <c r="H164" s="67">
        <v>165.6</v>
      </c>
      <c r="I164" s="24">
        <v>0</v>
      </c>
      <c r="J164" s="24">
        <f>H164*AO164</f>
        <v>0</v>
      </c>
      <c r="K164" s="24">
        <f>H164*AP164</f>
        <v>0</v>
      </c>
      <c r="L164" s="24">
        <f>H164*I164</f>
        <v>0</v>
      </c>
      <c r="M164" s="35" t="s">
        <v>566</v>
      </c>
      <c r="N164" s="5"/>
      <c r="Z164" s="42">
        <f>IF(AQ164="5",BJ164,0)</f>
        <v>0</v>
      </c>
      <c r="AB164" s="42">
        <f>IF(AQ164="1",BH164,0)</f>
        <v>0</v>
      </c>
      <c r="AC164" s="42">
        <f>IF(AQ164="1",BI164,0)</f>
        <v>0</v>
      </c>
      <c r="AD164" s="42">
        <f>IF(AQ164="7",BH164,0)</f>
        <v>0</v>
      </c>
      <c r="AE164" s="42">
        <f>IF(AQ164="7",BI164,0)</f>
        <v>0</v>
      </c>
      <c r="AF164" s="42">
        <f>IF(AQ164="2",BH164,0)</f>
        <v>0</v>
      </c>
      <c r="AG164" s="42">
        <f>IF(AQ164="2",BI164,0)</f>
        <v>0</v>
      </c>
      <c r="AH164" s="42">
        <f>IF(AQ164="0",BJ164,0)</f>
        <v>0</v>
      </c>
      <c r="AI164" s="41"/>
      <c r="AJ164" s="24">
        <f>IF(AN164=0,L164,0)</f>
        <v>0</v>
      </c>
      <c r="AK164" s="24">
        <f>IF(AN164=15,L164,0)</f>
        <v>0</v>
      </c>
      <c r="AL164" s="24">
        <f>IF(AN164=21,L164,0)</f>
        <v>0</v>
      </c>
      <c r="AN164" s="42">
        <v>21</v>
      </c>
      <c r="AO164" s="42">
        <f>I164*0.0768627827646847</f>
        <v>0</v>
      </c>
      <c r="AP164" s="42">
        <f>I164*(1-0.0768627827646847)</f>
        <v>0</v>
      </c>
      <c r="AQ164" s="43" t="s">
        <v>13</v>
      </c>
      <c r="AV164" s="42">
        <f>AW164+AX164</f>
        <v>0</v>
      </c>
      <c r="AW164" s="42">
        <f>H164*AO164</f>
        <v>0</v>
      </c>
      <c r="AX164" s="42">
        <f>H164*AP164</f>
        <v>0</v>
      </c>
      <c r="AY164" s="45" t="s">
        <v>496</v>
      </c>
      <c r="AZ164" s="45" t="s">
        <v>513</v>
      </c>
      <c r="BA164" s="41" t="s">
        <v>515</v>
      </c>
      <c r="BC164" s="42">
        <f>AW164+AX164</f>
        <v>0</v>
      </c>
      <c r="BD164" s="42">
        <f>I164/(100-BE164)*100</f>
        <v>0</v>
      </c>
      <c r="BE164" s="42">
        <v>0</v>
      </c>
      <c r="BF164" s="42">
        <f>164</f>
        <v>164</v>
      </c>
      <c r="BH164" s="24">
        <f>H164*AO164</f>
        <v>0</v>
      </c>
      <c r="BI164" s="24">
        <f>H164*AP164</f>
        <v>0</v>
      </c>
      <c r="BJ164" s="24">
        <f>H164*I164</f>
        <v>0</v>
      </c>
      <c r="BK164" s="24" t="s">
        <v>520</v>
      </c>
      <c r="BL164" s="42">
        <v>781</v>
      </c>
    </row>
    <row r="165" spans="1:64" x14ac:dyDescent="0.2">
      <c r="A165" s="5"/>
      <c r="B165" s="15" t="s">
        <v>84</v>
      </c>
      <c r="C165" s="91" t="s">
        <v>279</v>
      </c>
      <c r="D165" s="92"/>
      <c r="E165" s="92"/>
      <c r="F165" s="92"/>
      <c r="G165" s="92"/>
      <c r="H165" s="92"/>
      <c r="I165" s="92"/>
      <c r="J165" s="92"/>
      <c r="K165" s="92"/>
      <c r="L165" s="92"/>
      <c r="M165" s="93"/>
      <c r="N165" s="5"/>
    </row>
    <row r="166" spans="1:64" x14ac:dyDescent="0.2">
      <c r="A166" s="5"/>
      <c r="C166" s="19" t="s">
        <v>280</v>
      </c>
      <c r="F166" s="20" t="s">
        <v>393</v>
      </c>
      <c r="H166" s="68">
        <v>9.4499999999999993</v>
      </c>
      <c r="M166" s="36"/>
      <c r="N166" s="5"/>
    </row>
    <row r="167" spans="1:64" x14ac:dyDescent="0.2">
      <c r="A167" s="5"/>
      <c r="C167" s="19" t="s">
        <v>281</v>
      </c>
      <c r="F167" s="20" t="s">
        <v>409</v>
      </c>
      <c r="H167" s="68">
        <v>7.95</v>
      </c>
      <c r="M167" s="36"/>
      <c r="N167" s="5"/>
    </row>
    <row r="168" spans="1:64" x14ac:dyDescent="0.2">
      <c r="A168" s="5"/>
      <c r="C168" s="19" t="s">
        <v>281</v>
      </c>
      <c r="F168" s="20" t="s">
        <v>410</v>
      </c>
      <c r="H168" s="68">
        <v>7.95</v>
      </c>
      <c r="M168" s="36"/>
      <c r="N168" s="5"/>
    </row>
    <row r="169" spans="1:64" x14ac:dyDescent="0.2">
      <c r="A169" s="5"/>
      <c r="C169" s="19" t="s">
        <v>282</v>
      </c>
      <c r="F169" s="20" t="s">
        <v>411</v>
      </c>
      <c r="H169" s="68">
        <v>7.05</v>
      </c>
      <c r="M169" s="36"/>
      <c r="N169" s="5"/>
    </row>
    <row r="170" spans="1:64" x14ac:dyDescent="0.2">
      <c r="A170" s="5"/>
      <c r="C170" s="19" t="s">
        <v>283</v>
      </c>
      <c r="F170" s="20" t="s">
        <v>412</v>
      </c>
      <c r="H170" s="68">
        <v>7.8</v>
      </c>
      <c r="M170" s="36"/>
      <c r="N170" s="5"/>
    </row>
    <row r="171" spans="1:64" x14ac:dyDescent="0.2">
      <c r="A171" s="5"/>
      <c r="C171" s="19" t="s">
        <v>280</v>
      </c>
      <c r="F171" s="20" t="s">
        <v>413</v>
      </c>
      <c r="H171" s="68">
        <v>9.4499999999999993</v>
      </c>
      <c r="M171" s="36"/>
      <c r="N171" s="5"/>
    </row>
    <row r="172" spans="1:64" x14ac:dyDescent="0.2">
      <c r="A172" s="5"/>
      <c r="C172" s="19" t="s">
        <v>284</v>
      </c>
      <c r="F172" s="20" t="s">
        <v>395</v>
      </c>
      <c r="H172" s="68">
        <v>12.75</v>
      </c>
      <c r="M172" s="36"/>
      <c r="N172" s="5"/>
    </row>
    <row r="173" spans="1:64" x14ac:dyDescent="0.2">
      <c r="A173" s="5"/>
      <c r="C173" s="19" t="s">
        <v>285</v>
      </c>
      <c r="F173" s="20" t="s">
        <v>414</v>
      </c>
      <c r="H173" s="68">
        <v>8.85</v>
      </c>
      <c r="M173" s="36"/>
      <c r="N173" s="5"/>
    </row>
    <row r="174" spans="1:64" x14ac:dyDescent="0.2">
      <c r="A174" s="5"/>
      <c r="C174" s="19" t="s">
        <v>286</v>
      </c>
      <c r="F174" s="20" t="s">
        <v>415</v>
      </c>
      <c r="H174" s="68">
        <v>5.85</v>
      </c>
      <c r="M174" s="36"/>
      <c r="N174" s="5"/>
    </row>
    <row r="175" spans="1:64" x14ac:dyDescent="0.2">
      <c r="A175" s="5"/>
      <c r="C175" s="19" t="s">
        <v>287</v>
      </c>
      <c r="F175" s="20" t="s">
        <v>416</v>
      </c>
      <c r="H175" s="68">
        <v>5.7</v>
      </c>
      <c r="M175" s="36"/>
      <c r="N175" s="5"/>
    </row>
    <row r="176" spans="1:64" x14ac:dyDescent="0.2">
      <c r="A176" s="5"/>
      <c r="C176" s="19" t="s">
        <v>288</v>
      </c>
      <c r="F176" s="20" t="s">
        <v>417</v>
      </c>
      <c r="H176" s="68">
        <v>12.15</v>
      </c>
      <c r="M176" s="36"/>
      <c r="N176" s="5"/>
    </row>
    <row r="177" spans="1:64" x14ac:dyDescent="0.2">
      <c r="A177" s="5"/>
      <c r="C177" s="19" t="s">
        <v>289</v>
      </c>
      <c r="F177" s="20" t="s">
        <v>418</v>
      </c>
      <c r="H177" s="68">
        <v>6</v>
      </c>
      <c r="M177" s="36"/>
      <c r="N177" s="5"/>
    </row>
    <row r="178" spans="1:64" x14ac:dyDescent="0.2">
      <c r="A178" s="5"/>
      <c r="C178" s="19" t="s">
        <v>290</v>
      </c>
      <c r="F178" s="20" t="s">
        <v>419</v>
      </c>
      <c r="H178" s="68">
        <v>18.899999999999999</v>
      </c>
      <c r="M178" s="36"/>
      <c r="N178" s="5"/>
    </row>
    <row r="179" spans="1:64" x14ac:dyDescent="0.2">
      <c r="A179" s="5"/>
      <c r="C179" s="19" t="s">
        <v>291</v>
      </c>
      <c r="F179" s="20" t="s">
        <v>420</v>
      </c>
      <c r="H179" s="68">
        <v>16.5</v>
      </c>
      <c r="M179" s="36"/>
      <c r="N179" s="5"/>
    </row>
    <row r="180" spans="1:64" x14ac:dyDescent="0.2">
      <c r="A180" s="5"/>
      <c r="C180" s="19" t="s">
        <v>283</v>
      </c>
      <c r="F180" s="20" t="s">
        <v>421</v>
      </c>
      <c r="H180" s="68">
        <v>7.8</v>
      </c>
      <c r="M180" s="36"/>
      <c r="N180" s="5"/>
    </row>
    <row r="181" spans="1:64" x14ac:dyDescent="0.2">
      <c r="A181" s="5"/>
      <c r="C181" s="19" t="s">
        <v>292</v>
      </c>
      <c r="F181" s="20" t="s">
        <v>422</v>
      </c>
      <c r="H181" s="68">
        <v>6.9</v>
      </c>
      <c r="M181" s="36"/>
      <c r="N181" s="5"/>
    </row>
    <row r="182" spans="1:64" x14ac:dyDescent="0.2">
      <c r="A182" s="5"/>
      <c r="C182" s="19" t="s">
        <v>282</v>
      </c>
      <c r="F182" s="20" t="s">
        <v>423</v>
      </c>
      <c r="H182" s="68">
        <v>7.05</v>
      </c>
      <c r="M182" s="36"/>
      <c r="N182" s="5"/>
    </row>
    <row r="183" spans="1:64" x14ac:dyDescent="0.2">
      <c r="A183" s="5"/>
      <c r="C183" s="19" t="s">
        <v>293</v>
      </c>
      <c r="F183" s="20" t="s">
        <v>424</v>
      </c>
      <c r="H183" s="68">
        <v>7.5</v>
      </c>
      <c r="M183" s="36"/>
      <c r="N183" s="5"/>
    </row>
    <row r="184" spans="1:64" x14ac:dyDescent="0.2">
      <c r="A184" s="7" t="s">
        <v>48</v>
      </c>
      <c r="B184" s="17" t="s">
        <v>132</v>
      </c>
      <c r="C184" s="107" t="s">
        <v>294</v>
      </c>
      <c r="D184" s="108"/>
      <c r="E184" s="108"/>
      <c r="F184" s="108"/>
      <c r="G184" s="17" t="s">
        <v>457</v>
      </c>
      <c r="H184" s="69">
        <v>178.84800000000001</v>
      </c>
      <c r="I184" s="25">
        <v>0</v>
      </c>
      <c r="J184" s="25">
        <f>H184*AO184</f>
        <v>0</v>
      </c>
      <c r="K184" s="25">
        <f>H184*AP184</f>
        <v>0</v>
      </c>
      <c r="L184" s="25">
        <f>H184*I184</f>
        <v>0</v>
      </c>
      <c r="M184" s="38" t="s">
        <v>566</v>
      </c>
      <c r="N184" s="5"/>
      <c r="Z184" s="42">
        <f>IF(AQ184="5",BJ184,0)</f>
        <v>0</v>
      </c>
      <c r="AB184" s="42">
        <f>IF(AQ184="1",BH184,0)</f>
        <v>0</v>
      </c>
      <c r="AC184" s="42">
        <f>IF(AQ184="1",BI184,0)</f>
        <v>0</v>
      </c>
      <c r="AD184" s="42">
        <f>IF(AQ184="7",BH184,0)</f>
        <v>0</v>
      </c>
      <c r="AE184" s="42">
        <f>IF(AQ184="7",BI184,0)</f>
        <v>0</v>
      </c>
      <c r="AF184" s="42">
        <f>IF(AQ184="2",BH184,0)</f>
        <v>0</v>
      </c>
      <c r="AG184" s="42">
        <f>IF(AQ184="2",BI184,0)</f>
        <v>0</v>
      </c>
      <c r="AH184" s="42">
        <f>IF(AQ184="0",BJ184,0)</f>
        <v>0</v>
      </c>
      <c r="AI184" s="41"/>
      <c r="AJ184" s="25">
        <f>IF(AN184=0,L184,0)</f>
        <v>0</v>
      </c>
      <c r="AK184" s="25">
        <f>IF(AN184=15,L184,0)</f>
        <v>0</v>
      </c>
      <c r="AL184" s="25">
        <f>IF(AN184=21,L184,0)</f>
        <v>0</v>
      </c>
      <c r="AN184" s="42">
        <v>21</v>
      </c>
      <c r="AO184" s="42">
        <f>I184*1</f>
        <v>0</v>
      </c>
      <c r="AP184" s="42">
        <f>I184*(1-1)</f>
        <v>0</v>
      </c>
      <c r="AQ184" s="44" t="s">
        <v>13</v>
      </c>
      <c r="AV184" s="42">
        <f>AW184+AX184</f>
        <v>0</v>
      </c>
      <c r="AW184" s="42">
        <f>H184*AO184</f>
        <v>0</v>
      </c>
      <c r="AX184" s="42">
        <f>H184*AP184</f>
        <v>0</v>
      </c>
      <c r="AY184" s="45" t="s">
        <v>496</v>
      </c>
      <c r="AZ184" s="45" t="s">
        <v>513</v>
      </c>
      <c r="BA184" s="41" t="s">
        <v>515</v>
      </c>
      <c r="BC184" s="42">
        <f>AW184+AX184</f>
        <v>0</v>
      </c>
      <c r="BD184" s="42">
        <f>I184/(100-BE184)*100</f>
        <v>0</v>
      </c>
      <c r="BE184" s="42">
        <v>0</v>
      </c>
      <c r="BF184" s="42">
        <f>184</f>
        <v>184</v>
      </c>
      <c r="BH184" s="25">
        <f>H184*AO184</f>
        <v>0</v>
      </c>
      <c r="BI184" s="25">
        <f>H184*AP184</f>
        <v>0</v>
      </c>
      <c r="BJ184" s="25">
        <f>H184*I184</f>
        <v>0</v>
      </c>
      <c r="BK184" s="25" t="s">
        <v>162</v>
      </c>
      <c r="BL184" s="42">
        <v>781</v>
      </c>
    </row>
    <row r="185" spans="1:64" x14ac:dyDescent="0.2">
      <c r="A185" s="5"/>
      <c r="C185" s="19" t="s">
        <v>233</v>
      </c>
      <c r="F185" s="20"/>
      <c r="H185" s="68">
        <v>165.6</v>
      </c>
      <c r="M185" s="36"/>
      <c r="N185" s="5"/>
    </row>
    <row r="186" spans="1:64" x14ac:dyDescent="0.2">
      <c r="A186" s="5"/>
      <c r="C186" s="19" t="s">
        <v>295</v>
      </c>
      <c r="F186" s="20"/>
      <c r="H186" s="68">
        <v>13.247999999999999</v>
      </c>
      <c r="M186" s="36"/>
      <c r="N186" s="5"/>
    </row>
    <row r="187" spans="1:64" x14ac:dyDescent="0.2">
      <c r="A187" s="4" t="s">
        <v>49</v>
      </c>
      <c r="B187" s="14" t="s">
        <v>133</v>
      </c>
      <c r="C187" s="89" t="s">
        <v>296</v>
      </c>
      <c r="D187" s="90"/>
      <c r="E187" s="90"/>
      <c r="F187" s="90"/>
      <c r="G187" s="14" t="s">
        <v>459</v>
      </c>
      <c r="H187" s="67">
        <v>11.61</v>
      </c>
      <c r="I187" s="24">
        <v>0</v>
      </c>
      <c r="J187" s="24">
        <f>H187*AO187</f>
        <v>0</v>
      </c>
      <c r="K187" s="24">
        <f>H187*AP187</f>
        <v>0</v>
      </c>
      <c r="L187" s="24">
        <f>H187*I187</f>
        <v>0</v>
      </c>
      <c r="M187" s="35" t="s">
        <v>566</v>
      </c>
      <c r="N187" s="5"/>
      <c r="Z187" s="42">
        <f>IF(AQ187="5",BJ187,0)</f>
        <v>0</v>
      </c>
      <c r="AB187" s="42">
        <f>IF(AQ187="1",BH187,0)</f>
        <v>0</v>
      </c>
      <c r="AC187" s="42">
        <f>IF(AQ187="1",BI187,0)</f>
        <v>0</v>
      </c>
      <c r="AD187" s="42">
        <f>IF(AQ187="7",BH187,0)</f>
        <v>0</v>
      </c>
      <c r="AE187" s="42">
        <f>IF(AQ187="7",BI187,0)</f>
        <v>0</v>
      </c>
      <c r="AF187" s="42">
        <f>IF(AQ187="2",BH187,0)</f>
        <v>0</v>
      </c>
      <c r="AG187" s="42">
        <f>IF(AQ187="2",BI187,0)</f>
        <v>0</v>
      </c>
      <c r="AH187" s="42">
        <f>IF(AQ187="0",BJ187,0)</f>
        <v>0</v>
      </c>
      <c r="AI187" s="41"/>
      <c r="AJ187" s="24">
        <f>IF(AN187=0,L187,0)</f>
        <v>0</v>
      </c>
      <c r="AK187" s="24">
        <f>IF(AN187=15,L187,0)</f>
        <v>0</v>
      </c>
      <c r="AL187" s="24">
        <f>IF(AN187=21,L187,0)</f>
        <v>0</v>
      </c>
      <c r="AN187" s="42">
        <v>21</v>
      </c>
      <c r="AO187" s="42">
        <f>I187*0</f>
        <v>0</v>
      </c>
      <c r="AP187" s="42">
        <f>I187*(1-0)</f>
        <v>0</v>
      </c>
      <c r="AQ187" s="43" t="s">
        <v>11</v>
      </c>
      <c r="AV187" s="42">
        <f>AW187+AX187</f>
        <v>0</v>
      </c>
      <c r="AW187" s="42">
        <f>H187*AO187</f>
        <v>0</v>
      </c>
      <c r="AX187" s="42">
        <f>H187*AP187</f>
        <v>0</v>
      </c>
      <c r="AY187" s="45" t="s">
        <v>496</v>
      </c>
      <c r="AZ187" s="45" t="s">
        <v>513</v>
      </c>
      <c r="BA187" s="41" t="s">
        <v>515</v>
      </c>
      <c r="BC187" s="42">
        <f>AW187+AX187</f>
        <v>0</v>
      </c>
      <c r="BD187" s="42">
        <f>I187/(100-BE187)*100</f>
        <v>0</v>
      </c>
      <c r="BE187" s="42">
        <v>0</v>
      </c>
      <c r="BF187" s="42">
        <f>187</f>
        <v>187</v>
      </c>
      <c r="BH187" s="24">
        <f>H187*AO187</f>
        <v>0</v>
      </c>
      <c r="BI187" s="24">
        <f>H187*AP187</f>
        <v>0</v>
      </c>
      <c r="BJ187" s="24">
        <f>H187*I187</f>
        <v>0</v>
      </c>
      <c r="BK187" s="24" t="s">
        <v>520</v>
      </c>
      <c r="BL187" s="42">
        <v>781</v>
      </c>
    </row>
    <row r="188" spans="1:64" x14ac:dyDescent="0.2">
      <c r="A188" s="6"/>
      <c r="B188" s="16" t="s">
        <v>134</v>
      </c>
      <c r="C188" s="94" t="s">
        <v>297</v>
      </c>
      <c r="D188" s="95"/>
      <c r="E188" s="95"/>
      <c r="F188" s="95"/>
      <c r="G188" s="22" t="s">
        <v>6</v>
      </c>
      <c r="H188" s="22" t="s">
        <v>6</v>
      </c>
      <c r="I188" s="22" t="s">
        <v>6</v>
      </c>
      <c r="J188" s="48">
        <f>SUM(J189:J189)</f>
        <v>0</v>
      </c>
      <c r="K188" s="48">
        <f>SUM(K189:K189)</f>
        <v>0</v>
      </c>
      <c r="L188" s="48">
        <f>SUM(L189:L189)</f>
        <v>0</v>
      </c>
      <c r="M188" s="37"/>
      <c r="N188" s="5"/>
      <c r="AI188" s="41"/>
      <c r="AS188" s="48">
        <f>SUM(AJ189:AJ189)</f>
        <v>0</v>
      </c>
      <c r="AT188" s="48">
        <f>SUM(AK189:AK189)</f>
        <v>0</v>
      </c>
      <c r="AU188" s="48">
        <f>SUM(AL189:AL189)</f>
        <v>0</v>
      </c>
    </row>
    <row r="189" spans="1:64" x14ac:dyDescent="0.2">
      <c r="A189" s="4" t="s">
        <v>50</v>
      </c>
      <c r="B189" s="14" t="s">
        <v>135</v>
      </c>
      <c r="C189" s="89" t="s">
        <v>573</v>
      </c>
      <c r="D189" s="90"/>
      <c r="E189" s="90"/>
      <c r="F189" s="90"/>
      <c r="G189" s="14" t="s">
        <v>457</v>
      </c>
      <c r="H189" s="67">
        <v>443.74</v>
      </c>
      <c r="I189" s="24">
        <v>0</v>
      </c>
      <c r="J189" s="24">
        <f>H189*AO189</f>
        <v>0</v>
      </c>
      <c r="K189" s="24">
        <f>H189*AP189</f>
        <v>0</v>
      </c>
      <c r="L189" s="24">
        <f>H189*I189</f>
        <v>0</v>
      </c>
      <c r="M189" s="35" t="s">
        <v>566</v>
      </c>
      <c r="N189" s="5"/>
      <c r="Z189" s="42">
        <f>IF(AQ189="5",BJ189,0)</f>
        <v>0</v>
      </c>
      <c r="AB189" s="42">
        <f>IF(AQ189="1",BH189,0)</f>
        <v>0</v>
      </c>
      <c r="AC189" s="42">
        <f>IF(AQ189="1",BI189,0)</f>
        <v>0</v>
      </c>
      <c r="AD189" s="42">
        <f>IF(AQ189="7",BH189,0)</f>
        <v>0</v>
      </c>
      <c r="AE189" s="42">
        <f>IF(AQ189="7",BI189,0)</f>
        <v>0</v>
      </c>
      <c r="AF189" s="42">
        <f>IF(AQ189="2",BH189,0)</f>
        <v>0</v>
      </c>
      <c r="AG189" s="42">
        <f>IF(AQ189="2",BI189,0)</f>
        <v>0</v>
      </c>
      <c r="AH189" s="42">
        <f>IF(AQ189="0",BJ189,0)</f>
        <v>0</v>
      </c>
      <c r="AI189" s="41"/>
      <c r="AJ189" s="24">
        <f>IF(AN189=0,L189,0)</f>
        <v>0</v>
      </c>
      <c r="AK189" s="24">
        <f>IF(AN189=15,L189,0)</f>
        <v>0</v>
      </c>
      <c r="AL189" s="24">
        <f>IF(AN189=21,L189,0)</f>
        <v>0</v>
      </c>
      <c r="AN189" s="42">
        <v>21</v>
      </c>
      <c r="AO189" s="42">
        <f>I189*0.404519720731681</f>
        <v>0</v>
      </c>
      <c r="AP189" s="42">
        <f>I189*(1-0.404519720731681)</f>
        <v>0</v>
      </c>
      <c r="AQ189" s="43" t="s">
        <v>13</v>
      </c>
      <c r="AV189" s="42">
        <f>AW189+AX189</f>
        <v>0</v>
      </c>
      <c r="AW189" s="42">
        <f>H189*AO189</f>
        <v>0</v>
      </c>
      <c r="AX189" s="42">
        <f>H189*AP189</f>
        <v>0</v>
      </c>
      <c r="AY189" s="45" t="s">
        <v>497</v>
      </c>
      <c r="AZ189" s="45" t="s">
        <v>513</v>
      </c>
      <c r="BA189" s="41" t="s">
        <v>515</v>
      </c>
      <c r="BC189" s="42">
        <f>AW189+AX189</f>
        <v>0</v>
      </c>
      <c r="BD189" s="42">
        <f>I189/(100-BE189)*100</f>
        <v>0</v>
      </c>
      <c r="BE189" s="42">
        <v>0</v>
      </c>
      <c r="BF189" s="42">
        <f>189</f>
        <v>189</v>
      </c>
      <c r="BH189" s="24">
        <f>H189*AO189</f>
        <v>0</v>
      </c>
      <c r="BI189" s="24">
        <f>H189*AP189</f>
        <v>0</v>
      </c>
      <c r="BJ189" s="24">
        <f>H189*I189</f>
        <v>0</v>
      </c>
      <c r="BK189" s="24" t="s">
        <v>520</v>
      </c>
      <c r="BL189" s="42">
        <v>783</v>
      </c>
    </row>
    <row r="190" spans="1:64" x14ac:dyDescent="0.2">
      <c r="A190" s="5"/>
      <c r="C190" s="19" t="s">
        <v>222</v>
      </c>
      <c r="F190" s="20" t="s">
        <v>425</v>
      </c>
      <c r="H190" s="68">
        <v>371.02</v>
      </c>
      <c r="M190" s="36"/>
      <c r="N190" s="5"/>
    </row>
    <row r="191" spans="1:64" x14ac:dyDescent="0.2">
      <c r="A191" s="5"/>
      <c r="C191" s="19" t="s">
        <v>221</v>
      </c>
      <c r="F191" s="20" t="s">
        <v>401</v>
      </c>
      <c r="H191" s="68">
        <v>72.72</v>
      </c>
      <c r="M191" s="36"/>
      <c r="N191" s="5"/>
    </row>
    <row r="192" spans="1:64" x14ac:dyDescent="0.2">
      <c r="A192" s="6"/>
      <c r="B192" s="16" t="s">
        <v>136</v>
      </c>
      <c r="C192" s="94" t="s">
        <v>298</v>
      </c>
      <c r="D192" s="95"/>
      <c r="E192" s="95"/>
      <c r="F192" s="95"/>
      <c r="G192" s="22" t="s">
        <v>6</v>
      </c>
      <c r="H192" s="22" t="s">
        <v>6</v>
      </c>
      <c r="I192" s="22" t="s">
        <v>6</v>
      </c>
      <c r="J192" s="48">
        <f>SUM(J193:J199)</f>
        <v>0</v>
      </c>
      <c r="K192" s="48">
        <f>SUM(K193:K199)</f>
        <v>0</v>
      </c>
      <c r="L192" s="48">
        <f>SUM(L193:L199)</f>
        <v>0</v>
      </c>
      <c r="M192" s="37"/>
      <c r="N192" s="5"/>
      <c r="AI192" s="41"/>
      <c r="AS192" s="48">
        <f>SUM(AJ193:AJ199)</f>
        <v>0</v>
      </c>
      <c r="AT192" s="48">
        <f>SUM(AK193:AK199)</f>
        <v>0</v>
      </c>
      <c r="AU192" s="48">
        <f>SUM(AL193:AL199)</f>
        <v>0</v>
      </c>
    </row>
    <row r="193" spans="1:64" x14ac:dyDescent="0.2">
      <c r="A193" s="4" t="s">
        <v>51</v>
      </c>
      <c r="B193" s="14" t="s">
        <v>137</v>
      </c>
      <c r="C193" s="89" t="s">
        <v>571</v>
      </c>
      <c r="D193" s="90"/>
      <c r="E193" s="90"/>
      <c r="F193" s="90"/>
      <c r="G193" s="14" t="s">
        <v>457</v>
      </c>
      <c r="H193" s="67">
        <v>676.73599999999999</v>
      </c>
      <c r="I193" s="24">
        <v>0</v>
      </c>
      <c r="J193" s="24">
        <f>H193*AO193</f>
        <v>0</v>
      </c>
      <c r="K193" s="24">
        <f>H193*AP193</f>
        <v>0</v>
      </c>
      <c r="L193" s="24">
        <f>H193*I193</f>
        <v>0</v>
      </c>
      <c r="M193" s="35" t="s">
        <v>566</v>
      </c>
      <c r="N193" s="5"/>
      <c r="Z193" s="42">
        <f>IF(AQ193="5",BJ193,0)</f>
        <v>0</v>
      </c>
      <c r="AB193" s="42">
        <f>IF(AQ193="1",BH193,0)</f>
        <v>0</v>
      </c>
      <c r="AC193" s="42">
        <f>IF(AQ193="1",BI193,0)</f>
        <v>0</v>
      </c>
      <c r="AD193" s="42">
        <f>IF(AQ193="7",BH193,0)</f>
        <v>0</v>
      </c>
      <c r="AE193" s="42">
        <f>IF(AQ193="7",BI193,0)</f>
        <v>0</v>
      </c>
      <c r="AF193" s="42">
        <f>IF(AQ193="2",BH193,0)</f>
        <v>0</v>
      </c>
      <c r="AG193" s="42">
        <f>IF(AQ193="2",BI193,0)</f>
        <v>0</v>
      </c>
      <c r="AH193" s="42">
        <f>IF(AQ193="0",BJ193,0)</f>
        <v>0</v>
      </c>
      <c r="AI193" s="41"/>
      <c r="AJ193" s="24">
        <f>IF(AN193=0,L193,0)</f>
        <v>0</v>
      </c>
      <c r="AK193" s="24">
        <f>IF(AN193=15,L193,0)</f>
        <v>0</v>
      </c>
      <c r="AL193" s="24">
        <f>IF(AN193=21,L193,0)</f>
        <v>0</v>
      </c>
      <c r="AN193" s="42">
        <v>21</v>
      </c>
      <c r="AO193" s="42">
        <f>I193*0.261587962924794</f>
        <v>0</v>
      </c>
      <c r="AP193" s="42">
        <f>I193*(1-0.261587962924794)</f>
        <v>0</v>
      </c>
      <c r="AQ193" s="43" t="s">
        <v>13</v>
      </c>
      <c r="AV193" s="42">
        <f>AW193+AX193</f>
        <v>0</v>
      </c>
      <c r="AW193" s="42">
        <f>H193*AO193</f>
        <v>0</v>
      </c>
      <c r="AX193" s="42">
        <f>H193*AP193</f>
        <v>0</v>
      </c>
      <c r="AY193" s="45" t="s">
        <v>498</v>
      </c>
      <c r="AZ193" s="45" t="s">
        <v>513</v>
      </c>
      <c r="BA193" s="41" t="s">
        <v>515</v>
      </c>
      <c r="BC193" s="42">
        <f>AW193+AX193</f>
        <v>0</v>
      </c>
      <c r="BD193" s="42">
        <f>I193/(100-BE193)*100</f>
        <v>0</v>
      </c>
      <c r="BE193" s="42">
        <v>0</v>
      </c>
      <c r="BF193" s="42">
        <f>193</f>
        <v>193</v>
      </c>
      <c r="BH193" s="24">
        <f>H193*AO193</f>
        <v>0</v>
      </c>
      <c r="BI193" s="24">
        <f>H193*AP193</f>
        <v>0</v>
      </c>
      <c r="BJ193" s="24">
        <f>H193*I193</f>
        <v>0</v>
      </c>
      <c r="BK193" s="24" t="s">
        <v>520</v>
      </c>
      <c r="BL193" s="42">
        <v>784</v>
      </c>
    </row>
    <row r="194" spans="1:64" x14ac:dyDescent="0.2">
      <c r="A194" s="5"/>
      <c r="C194" s="19" t="s">
        <v>299</v>
      </c>
      <c r="F194" s="20" t="s">
        <v>426</v>
      </c>
      <c r="H194" s="68">
        <v>592.24</v>
      </c>
      <c r="M194" s="36"/>
      <c r="N194" s="5"/>
    </row>
    <row r="195" spans="1:64" x14ac:dyDescent="0.2">
      <c r="A195" s="5"/>
      <c r="C195" s="19" t="s">
        <v>210</v>
      </c>
      <c r="F195" s="20" t="s">
        <v>397</v>
      </c>
      <c r="H195" s="68">
        <v>246.78800000000001</v>
      </c>
      <c r="M195" s="36"/>
      <c r="N195" s="5"/>
    </row>
    <row r="196" spans="1:64" x14ac:dyDescent="0.2">
      <c r="A196" s="5"/>
      <c r="C196" s="19" t="s">
        <v>211</v>
      </c>
      <c r="F196" s="20" t="s">
        <v>398</v>
      </c>
      <c r="H196" s="68">
        <v>1.8440000000000001</v>
      </c>
      <c r="M196" s="36"/>
      <c r="N196" s="5"/>
    </row>
    <row r="197" spans="1:64" x14ac:dyDescent="0.2">
      <c r="A197" s="5"/>
      <c r="C197" s="19" t="s">
        <v>212</v>
      </c>
      <c r="F197" s="20" t="s">
        <v>399</v>
      </c>
      <c r="H197" s="68">
        <v>1.464</v>
      </c>
      <c r="M197" s="36"/>
      <c r="N197" s="5"/>
    </row>
    <row r="198" spans="1:64" x14ac:dyDescent="0.2">
      <c r="A198" s="5"/>
      <c r="C198" s="19" t="s">
        <v>300</v>
      </c>
      <c r="F198" s="20" t="s">
        <v>427</v>
      </c>
      <c r="H198" s="68">
        <v>-165.6</v>
      </c>
      <c r="M198" s="36"/>
      <c r="N198" s="5"/>
    </row>
    <row r="199" spans="1:64" x14ac:dyDescent="0.2">
      <c r="A199" s="4" t="s">
        <v>52</v>
      </c>
      <c r="B199" s="14" t="s">
        <v>138</v>
      </c>
      <c r="C199" s="89" t="s">
        <v>572</v>
      </c>
      <c r="D199" s="90"/>
      <c r="E199" s="90"/>
      <c r="F199" s="90"/>
      <c r="G199" s="14" t="s">
        <v>457</v>
      </c>
      <c r="H199" s="67">
        <v>676.73599999999999</v>
      </c>
      <c r="I199" s="24">
        <v>0</v>
      </c>
      <c r="J199" s="24">
        <f>H199*AO199</f>
        <v>0</v>
      </c>
      <c r="K199" s="24">
        <f>H199*AP199</f>
        <v>0</v>
      </c>
      <c r="L199" s="24">
        <f>H199*I199</f>
        <v>0</v>
      </c>
      <c r="M199" s="35" t="s">
        <v>566</v>
      </c>
      <c r="N199" s="5"/>
      <c r="Z199" s="42">
        <f>IF(AQ199="5",BJ199,0)</f>
        <v>0</v>
      </c>
      <c r="AB199" s="42">
        <f>IF(AQ199="1",BH199,0)</f>
        <v>0</v>
      </c>
      <c r="AC199" s="42">
        <f>IF(AQ199="1",BI199,0)</f>
        <v>0</v>
      </c>
      <c r="AD199" s="42">
        <f>IF(AQ199="7",BH199,0)</f>
        <v>0</v>
      </c>
      <c r="AE199" s="42">
        <f>IF(AQ199="7",BI199,0)</f>
        <v>0</v>
      </c>
      <c r="AF199" s="42">
        <f>IF(AQ199="2",BH199,0)</f>
        <v>0</v>
      </c>
      <c r="AG199" s="42">
        <f>IF(AQ199="2",BI199,0)</f>
        <v>0</v>
      </c>
      <c r="AH199" s="42">
        <f>IF(AQ199="0",BJ199,0)</f>
        <v>0</v>
      </c>
      <c r="AI199" s="41"/>
      <c r="AJ199" s="24">
        <f>IF(AN199=0,L199,0)</f>
        <v>0</v>
      </c>
      <c r="AK199" s="24">
        <f>IF(AN199=15,L199,0)</f>
        <v>0</v>
      </c>
      <c r="AL199" s="24">
        <f>IF(AN199=21,L199,0)</f>
        <v>0</v>
      </c>
      <c r="AN199" s="42">
        <v>21</v>
      </c>
      <c r="AO199" s="42">
        <f>I199*0.238713161350829</f>
        <v>0</v>
      </c>
      <c r="AP199" s="42">
        <f>I199*(1-0.238713161350829)</f>
        <v>0</v>
      </c>
      <c r="AQ199" s="43" t="s">
        <v>13</v>
      </c>
      <c r="AV199" s="42">
        <f>AW199+AX199</f>
        <v>0</v>
      </c>
      <c r="AW199" s="42">
        <f>H199*AO199</f>
        <v>0</v>
      </c>
      <c r="AX199" s="42">
        <f>H199*AP199</f>
        <v>0</v>
      </c>
      <c r="AY199" s="45" t="s">
        <v>498</v>
      </c>
      <c r="AZ199" s="45" t="s">
        <v>513</v>
      </c>
      <c r="BA199" s="41" t="s">
        <v>515</v>
      </c>
      <c r="BC199" s="42">
        <f>AW199+AX199</f>
        <v>0</v>
      </c>
      <c r="BD199" s="42">
        <f>I199/(100-BE199)*100</f>
        <v>0</v>
      </c>
      <c r="BE199" s="42">
        <v>0</v>
      </c>
      <c r="BF199" s="42">
        <f>199</f>
        <v>199</v>
      </c>
      <c r="BH199" s="24">
        <f>H199*AO199</f>
        <v>0</v>
      </c>
      <c r="BI199" s="24">
        <f>H199*AP199</f>
        <v>0</v>
      </c>
      <c r="BJ199" s="24">
        <f>H199*I199</f>
        <v>0</v>
      </c>
      <c r="BK199" s="24" t="s">
        <v>520</v>
      </c>
      <c r="BL199" s="42">
        <v>784</v>
      </c>
    </row>
    <row r="200" spans="1:64" x14ac:dyDescent="0.2">
      <c r="A200" s="5"/>
      <c r="C200" s="19" t="s">
        <v>299</v>
      </c>
      <c r="F200" s="20" t="s">
        <v>426</v>
      </c>
      <c r="H200" s="68">
        <v>592.24</v>
      </c>
      <c r="M200" s="36"/>
      <c r="N200" s="5"/>
    </row>
    <row r="201" spans="1:64" x14ac:dyDescent="0.2">
      <c r="A201" s="5"/>
      <c r="C201" s="19" t="s">
        <v>210</v>
      </c>
      <c r="F201" s="20" t="s">
        <v>397</v>
      </c>
      <c r="H201" s="68">
        <v>246.78800000000001</v>
      </c>
      <c r="M201" s="36"/>
      <c r="N201" s="5"/>
    </row>
    <row r="202" spans="1:64" x14ac:dyDescent="0.2">
      <c r="A202" s="5"/>
      <c r="C202" s="19" t="s">
        <v>211</v>
      </c>
      <c r="F202" s="20" t="s">
        <v>398</v>
      </c>
      <c r="H202" s="68">
        <v>1.8440000000000001</v>
      </c>
      <c r="M202" s="36"/>
      <c r="N202" s="5"/>
    </row>
    <row r="203" spans="1:64" x14ac:dyDescent="0.2">
      <c r="A203" s="5"/>
      <c r="C203" s="19" t="s">
        <v>212</v>
      </c>
      <c r="F203" s="20" t="s">
        <v>399</v>
      </c>
      <c r="H203" s="68">
        <v>1.464</v>
      </c>
      <c r="M203" s="36"/>
      <c r="N203" s="5"/>
    </row>
    <row r="204" spans="1:64" x14ac:dyDescent="0.2">
      <c r="A204" s="5"/>
      <c r="C204" s="19" t="s">
        <v>300</v>
      </c>
      <c r="F204" s="20" t="s">
        <v>427</v>
      </c>
      <c r="H204" s="68">
        <v>-165.6</v>
      </c>
      <c r="M204" s="36"/>
      <c r="N204" s="5"/>
    </row>
    <row r="205" spans="1:64" x14ac:dyDescent="0.2">
      <c r="A205" s="6"/>
      <c r="B205" s="16" t="s">
        <v>139</v>
      </c>
      <c r="C205" s="94" t="s">
        <v>301</v>
      </c>
      <c r="D205" s="95"/>
      <c r="E205" s="95"/>
      <c r="F205" s="95"/>
      <c r="G205" s="22" t="s">
        <v>6</v>
      </c>
      <c r="H205" s="22" t="s">
        <v>6</v>
      </c>
      <c r="I205" s="22" t="s">
        <v>6</v>
      </c>
      <c r="J205" s="48">
        <f>SUM(J206:J206)</f>
        <v>0</v>
      </c>
      <c r="K205" s="48">
        <f>SUM(K206:K206)</f>
        <v>0</v>
      </c>
      <c r="L205" s="48">
        <f>SUM(L206:L206)</f>
        <v>0</v>
      </c>
      <c r="M205" s="37"/>
      <c r="N205" s="5"/>
      <c r="AI205" s="41"/>
      <c r="AS205" s="48">
        <f>SUM(AJ206:AJ206)</f>
        <v>0</v>
      </c>
      <c r="AT205" s="48">
        <f>SUM(AK206:AK206)</f>
        <v>0</v>
      </c>
      <c r="AU205" s="48">
        <f>SUM(AL206:AL206)</f>
        <v>0</v>
      </c>
    </row>
    <row r="206" spans="1:64" x14ac:dyDescent="0.2">
      <c r="A206" s="4" t="s">
        <v>53</v>
      </c>
      <c r="B206" s="14" t="s">
        <v>140</v>
      </c>
      <c r="C206" s="89" t="s">
        <v>302</v>
      </c>
      <c r="D206" s="90"/>
      <c r="E206" s="90"/>
      <c r="F206" s="90"/>
      <c r="G206" s="14" t="s">
        <v>457</v>
      </c>
      <c r="H206" s="67">
        <v>592.24</v>
      </c>
      <c r="I206" s="24">
        <v>0</v>
      </c>
      <c r="J206" s="24">
        <f>H206*AO206</f>
        <v>0</v>
      </c>
      <c r="K206" s="24">
        <f>H206*AP206</f>
        <v>0</v>
      </c>
      <c r="L206" s="24">
        <f>H206*I206</f>
        <v>0</v>
      </c>
      <c r="M206" s="35" t="s">
        <v>566</v>
      </c>
      <c r="N206" s="5"/>
      <c r="Z206" s="42">
        <f>IF(AQ206="5",BJ206,0)</f>
        <v>0</v>
      </c>
      <c r="AB206" s="42">
        <f>IF(AQ206="1",BH206,0)</f>
        <v>0</v>
      </c>
      <c r="AC206" s="42">
        <f>IF(AQ206="1",BI206,0)</f>
        <v>0</v>
      </c>
      <c r="AD206" s="42">
        <f>IF(AQ206="7",BH206,0)</f>
        <v>0</v>
      </c>
      <c r="AE206" s="42">
        <f>IF(AQ206="7",BI206,0)</f>
        <v>0</v>
      </c>
      <c r="AF206" s="42">
        <f>IF(AQ206="2",BH206,0)</f>
        <v>0</v>
      </c>
      <c r="AG206" s="42">
        <f>IF(AQ206="2",BI206,0)</f>
        <v>0</v>
      </c>
      <c r="AH206" s="42">
        <f>IF(AQ206="0",BJ206,0)</f>
        <v>0</v>
      </c>
      <c r="AI206" s="41"/>
      <c r="AJ206" s="24">
        <f>IF(AN206=0,L206,0)</f>
        <v>0</v>
      </c>
      <c r="AK206" s="24">
        <f>IF(AN206=15,L206,0)</f>
        <v>0</v>
      </c>
      <c r="AL206" s="24">
        <f>IF(AN206=21,L206,0)</f>
        <v>0</v>
      </c>
      <c r="AN206" s="42">
        <v>21</v>
      </c>
      <c r="AO206" s="42">
        <f>I206*0.327179392744627</f>
        <v>0</v>
      </c>
      <c r="AP206" s="42">
        <f>I206*(1-0.327179392744627)</f>
        <v>0</v>
      </c>
      <c r="AQ206" s="43" t="s">
        <v>7</v>
      </c>
      <c r="AV206" s="42">
        <f>AW206+AX206</f>
        <v>0</v>
      </c>
      <c r="AW206" s="42">
        <f>H206*AO206</f>
        <v>0</v>
      </c>
      <c r="AX206" s="42">
        <f>H206*AP206</f>
        <v>0</v>
      </c>
      <c r="AY206" s="45" t="s">
        <v>499</v>
      </c>
      <c r="AZ206" s="45" t="s">
        <v>514</v>
      </c>
      <c r="BA206" s="41" t="s">
        <v>515</v>
      </c>
      <c r="BC206" s="42">
        <f>AW206+AX206</f>
        <v>0</v>
      </c>
      <c r="BD206" s="42">
        <f>I206/(100-BE206)*100</f>
        <v>0</v>
      </c>
      <c r="BE206" s="42">
        <v>0</v>
      </c>
      <c r="BF206" s="42">
        <f>206</f>
        <v>206</v>
      </c>
      <c r="BH206" s="24">
        <f>H206*AO206</f>
        <v>0</v>
      </c>
      <c r="BI206" s="24">
        <f>H206*AP206</f>
        <v>0</v>
      </c>
      <c r="BJ206" s="24">
        <f>H206*I206</f>
        <v>0</v>
      </c>
      <c r="BK206" s="24" t="s">
        <v>520</v>
      </c>
      <c r="BL206" s="42">
        <v>94</v>
      </c>
    </row>
    <row r="207" spans="1:64" x14ac:dyDescent="0.2">
      <c r="A207" s="5"/>
      <c r="C207" s="19" t="s">
        <v>299</v>
      </c>
      <c r="F207" s="20"/>
      <c r="H207" s="68">
        <v>592.24</v>
      </c>
      <c r="M207" s="36"/>
      <c r="N207" s="5"/>
    </row>
    <row r="208" spans="1:64" x14ac:dyDescent="0.2">
      <c r="A208" s="6"/>
      <c r="B208" s="16" t="s">
        <v>141</v>
      </c>
      <c r="C208" s="94" t="s">
        <v>303</v>
      </c>
      <c r="D208" s="95"/>
      <c r="E208" s="95"/>
      <c r="F208" s="95"/>
      <c r="G208" s="22" t="s">
        <v>6</v>
      </c>
      <c r="H208" s="22" t="s">
        <v>6</v>
      </c>
      <c r="I208" s="22" t="s">
        <v>6</v>
      </c>
      <c r="J208" s="48">
        <f>SUM(J209:J213)</f>
        <v>0</v>
      </c>
      <c r="K208" s="48">
        <f>SUM(K209:K213)</f>
        <v>0</v>
      </c>
      <c r="L208" s="48">
        <f>SUM(L209:L213)</f>
        <v>0</v>
      </c>
      <c r="M208" s="37"/>
      <c r="N208" s="5"/>
      <c r="AI208" s="41"/>
      <c r="AS208" s="48">
        <f>SUM(AJ209:AJ213)</f>
        <v>0</v>
      </c>
      <c r="AT208" s="48">
        <f>SUM(AK209:AK213)</f>
        <v>0</v>
      </c>
      <c r="AU208" s="48">
        <f>SUM(AL209:AL213)</f>
        <v>0</v>
      </c>
    </row>
    <row r="209" spans="1:64" x14ac:dyDescent="0.2">
      <c r="A209" s="4" t="s">
        <v>54</v>
      </c>
      <c r="B209" s="14" t="s">
        <v>142</v>
      </c>
      <c r="C209" s="89" t="s">
        <v>304</v>
      </c>
      <c r="D209" s="90"/>
      <c r="E209" s="90"/>
      <c r="F209" s="90"/>
      <c r="G209" s="14" t="s">
        <v>457</v>
      </c>
      <c r="H209" s="67">
        <v>592.24</v>
      </c>
      <c r="I209" s="24">
        <v>0</v>
      </c>
      <c r="J209" s="24">
        <f>H209*AO209</f>
        <v>0</v>
      </c>
      <c r="K209" s="24">
        <f>H209*AP209</f>
        <v>0</v>
      </c>
      <c r="L209" s="24">
        <f>H209*I209</f>
        <v>0</v>
      </c>
      <c r="M209" s="35" t="s">
        <v>566</v>
      </c>
      <c r="N209" s="5"/>
      <c r="Z209" s="42">
        <f>IF(AQ209="5",BJ209,0)</f>
        <v>0</v>
      </c>
      <c r="AB209" s="42">
        <f>IF(AQ209="1",BH209,0)</f>
        <v>0</v>
      </c>
      <c r="AC209" s="42">
        <f>IF(AQ209="1",BI209,0)</f>
        <v>0</v>
      </c>
      <c r="AD209" s="42">
        <f>IF(AQ209="7",BH209,0)</f>
        <v>0</v>
      </c>
      <c r="AE209" s="42">
        <f>IF(AQ209="7",BI209,0)</f>
        <v>0</v>
      </c>
      <c r="AF209" s="42">
        <f>IF(AQ209="2",BH209,0)</f>
        <v>0</v>
      </c>
      <c r="AG209" s="42">
        <f>IF(AQ209="2",BI209,0)</f>
        <v>0</v>
      </c>
      <c r="AH209" s="42">
        <f>IF(AQ209="0",BJ209,0)</f>
        <v>0</v>
      </c>
      <c r="AI209" s="41"/>
      <c r="AJ209" s="24">
        <f>IF(AN209=0,L209,0)</f>
        <v>0</v>
      </c>
      <c r="AK209" s="24">
        <f>IF(AN209=15,L209,0)</f>
        <v>0</v>
      </c>
      <c r="AL209" s="24">
        <f>IF(AN209=21,L209,0)</f>
        <v>0</v>
      </c>
      <c r="AN209" s="42">
        <v>21</v>
      </c>
      <c r="AO209" s="42">
        <f>I209*0.012078431372549</f>
        <v>0</v>
      </c>
      <c r="AP209" s="42">
        <f>I209*(1-0.012078431372549)</f>
        <v>0</v>
      </c>
      <c r="AQ209" s="43" t="s">
        <v>7</v>
      </c>
      <c r="AV209" s="42">
        <f>AW209+AX209</f>
        <v>0</v>
      </c>
      <c r="AW209" s="42">
        <f>H209*AO209</f>
        <v>0</v>
      </c>
      <c r="AX209" s="42">
        <f>H209*AP209</f>
        <v>0</v>
      </c>
      <c r="AY209" s="45" t="s">
        <v>500</v>
      </c>
      <c r="AZ209" s="45" t="s">
        <v>514</v>
      </c>
      <c r="BA209" s="41" t="s">
        <v>515</v>
      </c>
      <c r="BC209" s="42">
        <f>AW209+AX209</f>
        <v>0</v>
      </c>
      <c r="BD209" s="42">
        <f>I209/(100-BE209)*100</f>
        <v>0</v>
      </c>
      <c r="BE209" s="42">
        <v>0</v>
      </c>
      <c r="BF209" s="42">
        <f>209</f>
        <v>209</v>
      </c>
      <c r="BH209" s="24">
        <f>H209*AO209</f>
        <v>0</v>
      </c>
      <c r="BI209" s="24">
        <f>H209*AP209</f>
        <v>0</v>
      </c>
      <c r="BJ209" s="24">
        <f>H209*I209</f>
        <v>0</v>
      </c>
      <c r="BK209" s="24" t="s">
        <v>520</v>
      </c>
      <c r="BL209" s="42">
        <v>95</v>
      </c>
    </row>
    <row r="210" spans="1:64" x14ac:dyDescent="0.2">
      <c r="A210" s="5"/>
      <c r="C210" s="19" t="s">
        <v>305</v>
      </c>
      <c r="F210" s="20"/>
      <c r="H210" s="68">
        <v>592.24</v>
      </c>
      <c r="M210" s="36"/>
      <c r="N210" s="5"/>
    </row>
    <row r="211" spans="1:64" x14ac:dyDescent="0.2">
      <c r="A211" s="4" t="s">
        <v>55</v>
      </c>
      <c r="B211" s="14" t="s">
        <v>143</v>
      </c>
      <c r="C211" s="89" t="s">
        <v>306</v>
      </c>
      <c r="D211" s="90"/>
      <c r="E211" s="90"/>
      <c r="F211" s="90"/>
      <c r="G211" s="14" t="s">
        <v>456</v>
      </c>
      <c r="H211" s="67">
        <v>1</v>
      </c>
      <c r="I211" s="24">
        <v>0</v>
      </c>
      <c r="J211" s="24">
        <f>H211*AO211</f>
        <v>0</v>
      </c>
      <c r="K211" s="24">
        <f>H211*AP211</f>
        <v>0</v>
      </c>
      <c r="L211" s="24">
        <f>H211*I211</f>
        <v>0</v>
      </c>
      <c r="M211" s="35" t="s">
        <v>473</v>
      </c>
      <c r="N211" s="5"/>
      <c r="Z211" s="42">
        <f>IF(AQ211="5",BJ211,0)</f>
        <v>0</v>
      </c>
      <c r="AB211" s="42">
        <f>IF(AQ211="1",BH211,0)</f>
        <v>0</v>
      </c>
      <c r="AC211" s="42">
        <f>IF(AQ211="1",BI211,0)</f>
        <v>0</v>
      </c>
      <c r="AD211" s="42">
        <f>IF(AQ211="7",BH211,0)</f>
        <v>0</v>
      </c>
      <c r="AE211" s="42">
        <f>IF(AQ211="7",BI211,0)</f>
        <v>0</v>
      </c>
      <c r="AF211" s="42">
        <f>IF(AQ211="2",BH211,0)</f>
        <v>0</v>
      </c>
      <c r="AG211" s="42">
        <f>IF(AQ211="2",BI211,0)</f>
        <v>0</v>
      </c>
      <c r="AH211" s="42">
        <f>IF(AQ211="0",BJ211,0)</f>
        <v>0</v>
      </c>
      <c r="AI211" s="41"/>
      <c r="AJ211" s="24">
        <f>IF(AN211=0,L211,0)</f>
        <v>0</v>
      </c>
      <c r="AK211" s="24">
        <f>IF(AN211=15,L211,0)</f>
        <v>0</v>
      </c>
      <c r="AL211" s="24">
        <f>IF(AN211=21,L211,0)</f>
        <v>0</v>
      </c>
      <c r="AN211" s="42">
        <v>21</v>
      </c>
      <c r="AO211" s="42">
        <f>I211*0</f>
        <v>0</v>
      </c>
      <c r="AP211" s="42">
        <f>I211*(1-0)</f>
        <v>0</v>
      </c>
      <c r="AQ211" s="43" t="s">
        <v>7</v>
      </c>
      <c r="AV211" s="42">
        <f>AW211+AX211</f>
        <v>0</v>
      </c>
      <c r="AW211" s="42">
        <f>H211*AO211</f>
        <v>0</v>
      </c>
      <c r="AX211" s="42">
        <f>H211*AP211</f>
        <v>0</v>
      </c>
      <c r="AY211" s="45" t="s">
        <v>500</v>
      </c>
      <c r="AZ211" s="45" t="s">
        <v>514</v>
      </c>
      <c r="BA211" s="41" t="s">
        <v>515</v>
      </c>
      <c r="BC211" s="42">
        <f>AW211+AX211</f>
        <v>0</v>
      </c>
      <c r="BD211" s="42">
        <f>I211/(100-BE211)*100</f>
        <v>0</v>
      </c>
      <c r="BE211" s="42">
        <v>0</v>
      </c>
      <c r="BF211" s="42">
        <f>211</f>
        <v>211</v>
      </c>
      <c r="BH211" s="24">
        <f>H211*AO211</f>
        <v>0</v>
      </c>
      <c r="BI211" s="24">
        <f>H211*AP211</f>
        <v>0</v>
      </c>
      <c r="BJ211" s="24">
        <f>H211*I211</f>
        <v>0</v>
      </c>
      <c r="BK211" s="24" t="s">
        <v>520</v>
      </c>
      <c r="BL211" s="42">
        <v>95</v>
      </c>
    </row>
    <row r="212" spans="1:64" x14ac:dyDescent="0.2">
      <c r="A212" s="5"/>
      <c r="C212" s="19" t="s">
        <v>7</v>
      </c>
      <c r="F212" s="20"/>
      <c r="H212" s="68">
        <v>1</v>
      </c>
      <c r="M212" s="36"/>
      <c r="N212" s="5"/>
    </row>
    <row r="213" spans="1:64" x14ac:dyDescent="0.2">
      <c r="A213" s="4" t="s">
        <v>56</v>
      </c>
      <c r="B213" s="14" t="s">
        <v>144</v>
      </c>
      <c r="C213" s="89" t="s">
        <v>307</v>
      </c>
      <c r="D213" s="90"/>
      <c r="E213" s="90"/>
      <c r="F213" s="90"/>
      <c r="G213" s="14" t="s">
        <v>458</v>
      </c>
      <c r="H213" s="67">
        <v>1</v>
      </c>
      <c r="I213" s="24">
        <v>0</v>
      </c>
      <c r="J213" s="24">
        <f>H213*AO213</f>
        <v>0</v>
      </c>
      <c r="K213" s="24">
        <f>H213*AP213</f>
        <v>0</v>
      </c>
      <c r="L213" s="24">
        <f>H213*I213</f>
        <v>0</v>
      </c>
      <c r="M213" s="35"/>
      <c r="N213" s="5"/>
      <c r="Z213" s="42">
        <f>IF(AQ213="5",BJ213,0)</f>
        <v>0</v>
      </c>
      <c r="AB213" s="42">
        <f>IF(AQ213="1",BH213,0)</f>
        <v>0</v>
      </c>
      <c r="AC213" s="42">
        <f>IF(AQ213="1",BI213,0)</f>
        <v>0</v>
      </c>
      <c r="AD213" s="42">
        <f>IF(AQ213="7",BH213,0)</f>
        <v>0</v>
      </c>
      <c r="AE213" s="42">
        <f>IF(AQ213="7",BI213,0)</f>
        <v>0</v>
      </c>
      <c r="AF213" s="42">
        <f>IF(AQ213="2",BH213,0)</f>
        <v>0</v>
      </c>
      <c r="AG213" s="42">
        <f>IF(AQ213="2",BI213,0)</f>
        <v>0</v>
      </c>
      <c r="AH213" s="42">
        <f>IF(AQ213="0",BJ213,0)</f>
        <v>0</v>
      </c>
      <c r="AI213" s="41"/>
      <c r="AJ213" s="24">
        <f>IF(AN213=0,L213,0)</f>
        <v>0</v>
      </c>
      <c r="AK213" s="24">
        <f>IF(AN213=15,L213,0)</f>
        <v>0</v>
      </c>
      <c r="AL213" s="24">
        <f>IF(AN213=21,L213,0)</f>
        <v>0</v>
      </c>
      <c r="AN213" s="42">
        <v>21</v>
      </c>
      <c r="AO213" s="42">
        <f>I213*0</f>
        <v>0</v>
      </c>
      <c r="AP213" s="42">
        <f>I213*(1-0)</f>
        <v>0</v>
      </c>
      <c r="AQ213" s="43" t="s">
        <v>7</v>
      </c>
      <c r="AV213" s="42">
        <f>AW213+AX213</f>
        <v>0</v>
      </c>
      <c r="AW213" s="42">
        <f>H213*AO213</f>
        <v>0</v>
      </c>
      <c r="AX213" s="42">
        <f>H213*AP213</f>
        <v>0</v>
      </c>
      <c r="AY213" s="45" t="s">
        <v>500</v>
      </c>
      <c r="AZ213" s="45" t="s">
        <v>514</v>
      </c>
      <c r="BA213" s="41" t="s">
        <v>515</v>
      </c>
      <c r="BC213" s="42">
        <f>AW213+AX213</f>
        <v>0</v>
      </c>
      <c r="BD213" s="42">
        <f>I213/(100-BE213)*100</f>
        <v>0</v>
      </c>
      <c r="BE213" s="42">
        <v>0</v>
      </c>
      <c r="BF213" s="42">
        <f>213</f>
        <v>213</v>
      </c>
      <c r="BH213" s="24">
        <f>H213*AO213</f>
        <v>0</v>
      </c>
      <c r="BI213" s="24">
        <f>H213*AP213</f>
        <v>0</v>
      </c>
      <c r="BJ213" s="24">
        <f>H213*I213</f>
        <v>0</v>
      </c>
      <c r="BK213" s="24" t="s">
        <v>520</v>
      </c>
      <c r="BL213" s="42">
        <v>95</v>
      </c>
    </row>
    <row r="214" spans="1:64" x14ac:dyDescent="0.2">
      <c r="A214" s="5"/>
      <c r="C214" s="19" t="s">
        <v>7</v>
      </c>
      <c r="F214" s="20"/>
      <c r="H214" s="68">
        <v>1</v>
      </c>
      <c r="M214" s="36"/>
      <c r="N214" s="5"/>
    </row>
    <row r="215" spans="1:64" x14ac:dyDescent="0.2">
      <c r="A215" s="6"/>
      <c r="B215" s="16" t="s">
        <v>145</v>
      </c>
      <c r="C215" s="94" t="s">
        <v>308</v>
      </c>
      <c r="D215" s="95"/>
      <c r="E215" s="95"/>
      <c r="F215" s="95"/>
      <c r="G215" s="22" t="s">
        <v>6</v>
      </c>
      <c r="H215" s="22" t="s">
        <v>6</v>
      </c>
      <c r="I215" s="22" t="s">
        <v>6</v>
      </c>
      <c r="J215" s="48">
        <f>SUM(J216:J268)</f>
        <v>0</v>
      </c>
      <c r="K215" s="48">
        <f>SUM(K216:K268)</f>
        <v>0</v>
      </c>
      <c r="L215" s="48">
        <f>SUM(L216:L268)</f>
        <v>0</v>
      </c>
      <c r="M215" s="37"/>
      <c r="N215" s="5"/>
      <c r="AI215" s="41"/>
      <c r="AS215" s="48">
        <f>SUM(AJ216:AJ268)</f>
        <v>0</v>
      </c>
      <c r="AT215" s="48">
        <f>SUM(AK216:AK268)</f>
        <v>0</v>
      </c>
      <c r="AU215" s="48">
        <f>SUM(AL216:AL268)</f>
        <v>0</v>
      </c>
    </row>
    <row r="216" spans="1:64" x14ac:dyDescent="0.2">
      <c r="A216" s="4" t="s">
        <v>57</v>
      </c>
      <c r="B216" s="14" t="s">
        <v>146</v>
      </c>
      <c r="C216" s="89" t="s">
        <v>309</v>
      </c>
      <c r="D216" s="90"/>
      <c r="E216" s="90"/>
      <c r="F216" s="90"/>
      <c r="G216" s="14" t="s">
        <v>461</v>
      </c>
      <c r="H216" s="67">
        <v>16.353999999999999</v>
      </c>
      <c r="I216" s="24">
        <v>0</v>
      </c>
      <c r="J216" s="24">
        <f>H216*AO216</f>
        <v>0</v>
      </c>
      <c r="K216" s="24">
        <f>H216*AP216</f>
        <v>0</v>
      </c>
      <c r="L216" s="24">
        <f>H216*I216</f>
        <v>0</v>
      </c>
      <c r="M216" s="35" t="s">
        <v>566</v>
      </c>
      <c r="N216" s="5"/>
      <c r="Z216" s="42">
        <f>IF(AQ216="5",BJ216,0)</f>
        <v>0</v>
      </c>
      <c r="AB216" s="42">
        <f>IF(AQ216="1",BH216,0)</f>
        <v>0</v>
      </c>
      <c r="AC216" s="42">
        <f>IF(AQ216="1",BI216,0)</f>
        <v>0</v>
      </c>
      <c r="AD216" s="42">
        <f>IF(AQ216="7",BH216,0)</f>
        <v>0</v>
      </c>
      <c r="AE216" s="42">
        <f>IF(AQ216="7",BI216,0)</f>
        <v>0</v>
      </c>
      <c r="AF216" s="42">
        <f>IF(AQ216="2",BH216,0)</f>
        <v>0</v>
      </c>
      <c r="AG216" s="42">
        <f>IF(AQ216="2",BI216,0)</f>
        <v>0</v>
      </c>
      <c r="AH216" s="42">
        <f>IF(AQ216="0",BJ216,0)</f>
        <v>0</v>
      </c>
      <c r="AI216" s="41"/>
      <c r="AJ216" s="24">
        <f>IF(AN216=0,L216,0)</f>
        <v>0</v>
      </c>
      <c r="AK216" s="24">
        <f>IF(AN216=15,L216,0)</f>
        <v>0</v>
      </c>
      <c r="AL216" s="24">
        <f>IF(AN216=21,L216,0)</f>
        <v>0</v>
      </c>
      <c r="AN216" s="42">
        <v>21</v>
      </c>
      <c r="AO216" s="42">
        <f>I216*0.0395688548073291</f>
        <v>0</v>
      </c>
      <c r="AP216" s="42">
        <f>I216*(1-0.0395688548073291)</f>
        <v>0</v>
      </c>
      <c r="AQ216" s="43" t="s">
        <v>7</v>
      </c>
      <c r="AV216" s="42">
        <f>AW216+AX216</f>
        <v>0</v>
      </c>
      <c r="AW216" s="42">
        <f>H216*AO216</f>
        <v>0</v>
      </c>
      <c r="AX216" s="42">
        <f>H216*AP216</f>
        <v>0</v>
      </c>
      <c r="AY216" s="45" t="s">
        <v>501</v>
      </c>
      <c r="AZ216" s="45" t="s">
        <v>514</v>
      </c>
      <c r="BA216" s="41" t="s">
        <v>515</v>
      </c>
      <c r="BC216" s="42">
        <f>AW216+AX216</f>
        <v>0</v>
      </c>
      <c r="BD216" s="42">
        <f>I216/(100-BE216)*100</f>
        <v>0</v>
      </c>
      <c r="BE216" s="42">
        <v>0</v>
      </c>
      <c r="BF216" s="42">
        <f>216</f>
        <v>216</v>
      </c>
      <c r="BH216" s="24">
        <f>H216*AO216</f>
        <v>0</v>
      </c>
      <c r="BI216" s="24">
        <f>H216*AP216</f>
        <v>0</v>
      </c>
      <c r="BJ216" s="24">
        <f>H216*I216</f>
        <v>0</v>
      </c>
      <c r="BK216" s="24" t="s">
        <v>520</v>
      </c>
      <c r="BL216" s="42">
        <v>96</v>
      </c>
    </row>
    <row r="217" spans="1:64" x14ac:dyDescent="0.2">
      <c r="A217" s="5"/>
      <c r="C217" s="19"/>
      <c r="F217" s="20" t="s">
        <v>428</v>
      </c>
      <c r="H217" s="68">
        <v>0</v>
      </c>
      <c r="M217" s="36"/>
      <c r="N217" s="5"/>
    </row>
    <row r="218" spans="1:64" x14ac:dyDescent="0.2">
      <c r="A218" s="5"/>
      <c r="C218" s="19" t="s">
        <v>310</v>
      </c>
      <c r="F218" s="20" t="s">
        <v>429</v>
      </c>
      <c r="H218" s="68">
        <v>1.137</v>
      </c>
      <c r="M218" s="36"/>
      <c r="N218" s="5"/>
    </row>
    <row r="219" spans="1:64" x14ac:dyDescent="0.2">
      <c r="A219" s="5"/>
      <c r="C219" s="19" t="s">
        <v>311</v>
      </c>
      <c r="F219" s="20"/>
      <c r="H219" s="68">
        <v>-0.28000000000000003</v>
      </c>
      <c r="M219" s="36"/>
      <c r="N219" s="5"/>
    </row>
    <row r="220" spans="1:64" x14ac:dyDescent="0.2">
      <c r="A220" s="5"/>
      <c r="C220" s="19" t="s">
        <v>312</v>
      </c>
      <c r="F220" s="20"/>
      <c r="H220" s="68">
        <v>-0.18</v>
      </c>
      <c r="M220" s="36"/>
      <c r="N220" s="5"/>
    </row>
    <row r="221" spans="1:64" x14ac:dyDescent="0.2">
      <c r="A221" s="5"/>
      <c r="C221" s="19" t="s">
        <v>313</v>
      </c>
      <c r="F221" s="20" t="s">
        <v>430</v>
      </c>
      <c r="H221" s="68">
        <v>8.8640000000000008</v>
      </c>
      <c r="M221" s="36"/>
      <c r="N221" s="5"/>
    </row>
    <row r="222" spans="1:64" x14ac:dyDescent="0.2">
      <c r="A222" s="5"/>
      <c r="C222" s="19" t="s">
        <v>314</v>
      </c>
      <c r="F222" s="20"/>
      <c r="H222" s="68">
        <v>-1.08</v>
      </c>
      <c r="M222" s="36"/>
      <c r="N222" s="5"/>
    </row>
    <row r="223" spans="1:64" x14ac:dyDescent="0.2">
      <c r="A223" s="5"/>
      <c r="C223" s="19" t="s">
        <v>315</v>
      </c>
      <c r="F223" s="20"/>
      <c r="H223" s="68">
        <v>-0.14000000000000001</v>
      </c>
      <c r="M223" s="36"/>
      <c r="N223" s="5"/>
    </row>
    <row r="224" spans="1:64" x14ac:dyDescent="0.2">
      <c r="A224" s="5"/>
      <c r="C224" s="19" t="s">
        <v>316</v>
      </c>
      <c r="F224" s="20" t="s">
        <v>431</v>
      </c>
      <c r="H224" s="68">
        <v>2.5</v>
      </c>
      <c r="M224" s="36"/>
      <c r="N224" s="5"/>
    </row>
    <row r="225" spans="1:14" x14ac:dyDescent="0.2">
      <c r="A225" s="5"/>
      <c r="C225" s="19" t="s">
        <v>311</v>
      </c>
      <c r="F225" s="20"/>
      <c r="H225" s="68">
        <v>-0.28000000000000003</v>
      </c>
      <c r="M225" s="36"/>
      <c r="N225" s="5"/>
    </row>
    <row r="226" spans="1:14" x14ac:dyDescent="0.2">
      <c r="A226" s="5"/>
      <c r="C226" s="19" t="s">
        <v>317</v>
      </c>
      <c r="F226" s="20"/>
      <c r="H226" s="68">
        <v>-0.18</v>
      </c>
      <c r="M226" s="36"/>
      <c r="N226" s="5"/>
    </row>
    <row r="227" spans="1:14" x14ac:dyDescent="0.2">
      <c r="A227" s="5"/>
      <c r="C227" s="19"/>
      <c r="F227" s="20" t="s">
        <v>432</v>
      </c>
      <c r="H227" s="68">
        <v>0</v>
      </c>
      <c r="M227" s="36"/>
      <c r="N227" s="5"/>
    </row>
    <row r="228" spans="1:14" x14ac:dyDescent="0.2">
      <c r="A228" s="5"/>
      <c r="C228" s="19" t="s">
        <v>318</v>
      </c>
      <c r="F228" s="20"/>
      <c r="H228" s="68">
        <v>1.613</v>
      </c>
      <c r="M228" s="36"/>
      <c r="N228" s="5"/>
    </row>
    <row r="229" spans="1:14" x14ac:dyDescent="0.2">
      <c r="A229" s="5"/>
      <c r="C229" s="19" t="s">
        <v>319</v>
      </c>
      <c r="F229" s="20"/>
      <c r="H229" s="68">
        <v>-0.21</v>
      </c>
      <c r="M229" s="36"/>
      <c r="N229" s="5"/>
    </row>
    <row r="230" spans="1:14" x14ac:dyDescent="0.2">
      <c r="A230" s="5"/>
      <c r="C230" s="19" t="s">
        <v>320</v>
      </c>
      <c r="F230" s="20"/>
      <c r="H230" s="68">
        <v>-0.27</v>
      </c>
      <c r="M230" s="36"/>
      <c r="N230" s="5"/>
    </row>
    <row r="231" spans="1:14" x14ac:dyDescent="0.2">
      <c r="A231" s="5"/>
      <c r="C231" s="19"/>
      <c r="F231" s="20" t="s">
        <v>433</v>
      </c>
      <c r="H231" s="68">
        <v>0</v>
      </c>
      <c r="M231" s="36"/>
      <c r="N231" s="5"/>
    </row>
    <row r="232" spans="1:14" x14ac:dyDescent="0.2">
      <c r="A232" s="5"/>
      <c r="C232" s="19" t="s">
        <v>321</v>
      </c>
      <c r="F232" s="20"/>
      <c r="H232" s="68">
        <v>0.28100000000000003</v>
      </c>
      <c r="M232" s="36"/>
      <c r="N232" s="5"/>
    </row>
    <row r="233" spans="1:14" x14ac:dyDescent="0.2">
      <c r="A233" s="5"/>
      <c r="C233" s="19"/>
      <c r="F233" s="20" t="s">
        <v>434</v>
      </c>
      <c r="H233" s="68">
        <v>0</v>
      </c>
      <c r="M233" s="36"/>
      <c r="N233" s="5"/>
    </row>
    <row r="234" spans="1:14" x14ac:dyDescent="0.2">
      <c r="A234" s="5"/>
      <c r="C234" s="19" t="s">
        <v>322</v>
      </c>
      <c r="F234" s="20" t="s">
        <v>435</v>
      </c>
      <c r="H234" s="68">
        <v>2.226</v>
      </c>
      <c r="M234" s="36"/>
      <c r="N234" s="5"/>
    </row>
    <row r="235" spans="1:14" x14ac:dyDescent="0.2">
      <c r="A235" s="5"/>
      <c r="C235" s="19"/>
      <c r="F235" s="20" t="s">
        <v>436</v>
      </c>
      <c r="H235" s="68">
        <v>0</v>
      </c>
      <c r="M235" s="36"/>
      <c r="N235" s="5"/>
    </row>
    <row r="236" spans="1:14" x14ac:dyDescent="0.2">
      <c r="A236" s="5"/>
      <c r="C236" s="19" t="s">
        <v>323</v>
      </c>
      <c r="F236" s="20" t="s">
        <v>437</v>
      </c>
      <c r="H236" s="68">
        <v>0.27</v>
      </c>
      <c r="M236" s="36"/>
      <c r="N236" s="5"/>
    </row>
    <row r="237" spans="1:14" x14ac:dyDescent="0.2">
      <c r="A237" s="5"/>
      <c r="C237" s="19" t="s">
        <v>324</v>
      </c>
      <c r="F237" s="20" t="s">
        <v>438</v>
      </c>
      <c r="H237" s="68">
        <v>4.7E-2</v>
      </c>
      <c r="M237" s="36"/>
      <c r="N237" s="5"/>
    </row>
    <row r="238" spans="1:14" x14ac:dyDescent="0.2">
      <c r="A238" s="5"/>
      <c r="C238" s="19" t="s">
        <v>325</v>
      </c>
      <c r="F238" s="20" t="s">
        <v>439</v>
      </c>
      <c r="H238" s="68">
        <v>0.10100000000000001</v>
      </c>
      <c r="M238" s="36"/>
      <c r="N238" s="5"/>
    </row>
    <row r="239" spans="1:14" x14ac:dyDescent="0.2">
      <c r="A239" s="5"/>
      <c r="C239" s="19" t="s">
        <v>326</v>
      </c>
      <c r="F239" s="20" t="s">
        <v>414</v>
      </c>
      <c r="H239" s="68">
        <v>1.901</v>
      </c>
      <c r="M239" s="36"/>
      <c r="N239" s="5"/>
    </row>
    <row r="240" spans="1:14" x14ac:dyDescent="0.2">
      <c r="A240" s="5"/>
      <c r="C240" s="19" t="s">
        <v>327</v>
      </c>
      <c r="F240" s="20" t="s">
        <v>440</v>
      </c>
      <c r="H240" s="68">
        <v>3.4000000000000002E-2</v>
      </c>
      <c r="M240" s="36"/>
      <c r="N240" s="5"/>
    </row>
    <row r="241" spans="1:64" x14ac:dyDescent="0.2">
      <c r="A241" s="4" t="s">
        <v>58</v>
      </c>
      <c r="B241" s="14" t="s">
        <v>147</v>
      </c>
      <c r="C241" s="89" t="s">
        <v>328</v>
      </c>
      <c r="D241" s="90"/>
      <c r="E241" s="90"/>
      <c r="F241" s="90"/>
      <c r="G241" s="14" t="s">
        <v>461</v>
      </c>
      <c r="H241" s="67">
        <v>1.3680000000000001</v>
      </c>
      <c r="I241" s="24">
        <v>0</v>
      </c>
      <c r="J241" s="24">
        <f>H241*AO241</f>
        <v>0</v>
      </c>
      <c r="K241" s="24">
        <f>H241*AP241</f>
        <v>0</v>
      </c>
      <c r="L241" s="24">
        <f>H241*I241</f>
        <v>0</v>
      </c>
      <c r="M241" s="35" t="s">
        <v>566</v>
      </c>
      <c r="N241" s="5"/>
      <c r="Z241" s="42">
        <f>IF(AQ241="5",BJ241,0)</f>
        <v>0</v>
      </c>
      <c r="AB241" s="42">
        <f>IF(AQ241="1",BH241,0)</f>
        <v>0</v>
      </c>
      <c r="AC241" s="42">
        <f>IF(AQ241="1",BI241,0)</f>
        <v>0</v>
      </c>
      <c r="AD241" s="42">
        <f>IF(AQ241="7",BH241,0)</f>
        <v>0</v>
      </c>
      <c r="AE241" s="42">
        <f>IF(AQ241="7",BI241,0)</f>
        <v>0</v>
      </c>
      <c r="AF241" s="42">
        <f>IF(AQ241="2",BH241,0)</f>
        <v>0</v>
      </c>
      <c r="AG241" s="42">
        <f>IF(AQ241="2",BI241,0)</f>
        <v>0</v>
      </c>
      <c r="AH241" s="42">
        <f>IF(AQ241="0",BJ241,0)</f>
        <v>0</v>
      </c>
      <c r="AI241" s="41"/>
      <c r="AJ241" s="24">
        <f>IF(AN241=0,L241,0)</f>
        <v>0</v>
      </c>
      <c r="AK241" s="24">
        <f>IF(AN241=15,L241,0)</f>
        <v>0</v>
      </c>
      <c r="AL241" s="24">
        <f>IF(AN241=21,L241,0)</f>
        <v>0</v>
      </c>
      <c r="AN241" s="42">
        <v>21</v>
      </c>
      <c r="AO241" s="42">
        <f>I241*0</f>
        <v>0</v>
      </c>
      <c r="AP241" s="42">
        <f>I241*(1-0)</f>
        <v>0</v>
      </c>
      <c r="AQ241" s="43" t="s">
        <v>7</v>
      </c>
      <c r="AV241" s="42">
        <f>AW241+AX241</f>
        <v>0</v>
      </c>
      <c r="AW241" s="42">
        <f>H241*AO241</f>
        <v>0</v>
      </c>
      <c r="AX241" s="42">
        <f>H241*AP241</f>
        <v>0</v>
      </c>
      <c r="AY241" s="45" t="s">
        <v>501</v>
      </c>
      <c r="AZ241" s="45" t="s">
        <v>514</v>
      </c>
      <c r="BA241" s="41" t="s">
        <v>515</v>
      </c>
      <c r="BC241" s="42">
        <f>AW241+AX241</f>
        <v>0</v>
      </c>
      <c r="BD241" s="42">
        <f>I241/(100-BE241)*100</f>
        <v>0</v>
      </c>
      <c r="BE241" s="42">
        <v>0</v>
      </c>
      <c r="BF241" s="42">
        <f>241</f>
        <v>241</v>
      </c>
      <c r="BH241" s="24">
        <f>H241*AO241</f>
        <v>0</v>
      </c>
      <c r="BI241" s="24">
        <f>H241*AP241</f>
        <v>0</v>
      </c>
      <c r="BJ241" s="24">
        <f>H241*I241</f>
        <v>0</v>
      </c>
      <c r="BK241" s="24" t="s">
        <v>520</v>
      </c>
      <c r="BL241" s="42">
        <v>96</v>
      </c>
    </row>
    <row r="242" spans="1:64" x14ac:dyDescent="0.2">
      <c r="A242" s="5"/>
      <c r="B242" s="15" t="s">
        <v>84</v>
      </c>
      <c r="C242" s="91" t="s">
        <v>329</v>
      </c>
      <c r="D242" s="92"/>
      <c r="E242" s="92"/>
      <c r="F242" s="92"/>
      <c r="G242" s="92"/>
      <c r="H242" s="92"/>
      <c r="I242" s="92"/>
      <c r="J242" s="92"/>
      <c r="K242" s="92"/>
      <c r="L242" s="92"/>
      <c r="M242" s="93"/>
      <c r="N242" s="5"/>
    </row>
    <row r="243" spans="1:64" x14ac:dyDescent="0.2">
      <c r="A243" s="5"/>
      <c r="C243" s="19" t="s">
        <v>330</v>
      </c>
      <c r="F243" s="20" t="s">
        <v>403</v>
      </c>
      <c r="H243" s="68">
        <v>1.3680000000000001</v>
      </c>
      <c r="M243" s="36"/>
      <c r="N243" s="5"/>
    </row>
    <row r="244" spans="1:64" x14ac:dyDescent="0.2">
      <c r="A244" s="4" t="s">
        <v>59</v>
      </c>
      <c r="B244" s="14" t="s">
        <v>148</v>
      </c>
      <c r="C244" s="89" t="s">
        <v>331</v>
      </c>
      <c r="D244" s="90"/>
      <c r="E244" s="90"/>
      <c r="F244" s="90"/>
      <c r="G244" s="14" t="s">
        <v>457</v>
      </c>
      <c r="H244" s="67">
        <v>42.3</v>
      </c>
      <c r="I244" s="24">
        <v>0</v>
      </c>
      <c r="J244" s="24">
        <f>H244*AO244</f>
        <v>0</v>
      </c>
      <c r="K244" s="24">
        <f>H244*AP244</f>
        <v>0</v>
      </c>
      <c r="L244" s="24">
        <f>H244*I244</f>
        <v>0</v>
      </c>
      <c r="M244" s="35" t="s">
        <v>566</v>
      </c>
      <c r="N244" s="5"/>
      <c r="Z244" s="42">
        <f>IF(AQ244="5",BJ244,0)</f>
        <v>0</v>
      </c>
      <c r="AB244" s="42">
        <f>IF(AQ244="1",BH244,0)</f>
        <v>0</v>
      </c>
      <c r="AC244" s="42">
        <f>IF(AQ244="1",BI244,0)</f>
        <v>0</v>
      </c>
      <c r="AD244" s="42">
        <f>IF(AQ244="7",BH244,0)</f>
        <v>0</v>
      </c>
      <c r="AE244" s="42">
        <f>IF(AQ244="7",BI244,0)</f>
        <v>0</v>
      </c>
      <c r="AF244" s="42">
        <f>IF(AQ244="2",BH244,0)</f>
        <v>0</v>
      </c>
      <c r="AG244" s="42">
        <f>IF(AQ244="2",BI244,0)</f>
        <v>0</v>
      </c>
      <c r="AH244" s="42">
        <f>IF(AQ244="0",BJ244,0)</f>
        <v>0</v>
      </c>
      <c r="AI244" s="41"/>
      <c r="AJ244" s="24">
        <f>IF(AN244=0,L244,0)</f>
        <v>0</v>
      </c>
      <c r="AK244" s="24">
        <f>IF(AN244=15,L244,0)</f>
        <v>0</v>
      </c>
      <c r="AL244" s="24">
        <f>IF(AN244=21,L244,0)</f>
        <v>0</v>
      </c>
      <c r="AN244" s="42">
        <v>21</v>
      </c>
      <c r="AO244" s="42">
        <f>I244*0</f>
        <v>0</v>
      </c>
      <c r="AP244" s="42">
        <f>I244*(1-0)</f>
        <v>0</v>
      </c>
      <c r="AQ244" s="43" t="s">
        <v>7</v>
      </c>
      <c r="AV244" s="42">
        <f>AW244+AX244</f>
        <v>0</v>
      </c>
      <c r="AW244" s="42">
        <f>H244*AO244</f>
        <v>0</v>
      </c>
      <c r="AX244" s="42">
        <f>H244*AP244</f>
        <v>0</v>
      </c>
      <c r="AY244" s="45" t="s">
        <v>501</v>
      </c>
      <c r="AZ244" s="45" t="s">
        <v>514</v>
      </c>
      <c r="BA244" s="41" t="s">
        <v>515</v>
      </c>
      <c r="BC244" s="42">
        <f>AW244+AX244</f>
        <v>0</v>
      </c>
      <c r="BD244" s="42">
        <f>I244/(100-BE244)*100</f>
        <v>0</v>
      </c>
      <c r="BE244" s="42">
        <v>0</v>
      </c>
      <c r="BF244" s="42">
        <f>244</f>
        <v>244</v>
      </c>
      <c r="BH244" s="24">
        <f>H244*AO244</f>
        <v>0</v>
      </c>
      <c r="BI244" s="24">
        <f>H244*AP244</f>
        <v>0</v>
      </c>
      <c r="BJ244" s="24">
        <f>H244*I244</f>
        <v>0</v>
      </c>
      <c r="BK244" s="24" t="s">
        <v>520</v>
      </c>
      <c r="BL244" s="42">
        <v>96</v>
      </c>
    </row>
    <row r="245" spans="1:64" x14ac:dyDescent="0.2">
      <c r="A245" s="5"/>
      <c r="C245" s="19" t="s">
        <v>332</v>
      </c>
      <c r="F245" s="20"/>
      <c r="H245" s="68">
        <v>42.3</v>
      </c>
      <c r="M245" s="36"/>
      <c r="N245" s="5"/>
    </row>
    <row r="246" spans="1:64" x14ac:dyDescent="0.2">
      <c r="A246" s="4" t="s">
        <v>60</v>
      </c>
      <c r="B246" s="14" t="s">
        <v>149</v>
      </c>
      <c r="C246" s="89" t="s">
        <v>333</v>
      </c>
      <c r="D246" s="90"/>
      <c r="E246" s="90"/>
      <c r="F246" s="90"/>
      <c r="G246" s="14" t="s">
        <v>460</v>
      </c>
      <c r="H246" s="67">
        <v>24.47</v>
      </c>
      <c r="I246" s="24">
        <v>0</v>
      </c>
      <c r="J246" s="24">
        <f>H246*AO246</f>
        <v>0</v>
      </c>
      <c r="K246" s="24">
        <f>H246*AP246</f>
        <v>0</v>
      </c>
      <c r="L246" s="24">
        <f>H246*I246</f>
        <v>0</v>
      </c>
      <c r="M246" s="35" t="s">
        <v>566</v>
      </c>
      <c r="N246" s="5"/>
      <c r="Z246" s="42">
        <f>IF(AQ246="5",BJ246,0)</f>
        <v>0</v>
      </c>
      <c r="AB246" s="42">
        <f>IF(AQ246="1",BH246,0)</f>
        <v>0</v>
      </c>
      <c r="AC246" s="42">
        <f>IF(AQ246="1",BI246,0)</f>
        <v>0</v>
      </c>
      <c r="AD246" s="42">
        <f>IF(AQ246="7",BH246,0)</f>
        <v>0</v>
      </c>
      <c r="AE246" s="42">
        <f>IF(AQ246="7",BI246,0)</f>
        <v>0</v>
      </c>
      <c r="AF246" s="42">
        <f>IF(AQ246="2",BH246,0)</f>
        <v>0</v>
      </c>
      <c r="AG246" s="42">
        <f>IF(AQ246="2",BI246,0)</f>
        <v>0</v>
      </c>
      <c r="AH246" s="42">
        <f>IF(AQ246="0",BJ246,0)</f>
        <v>0</v>
      </c>
      <c r="AI246" s="41"/>
      <c r="AJ246" s="24">
        <f>IF(AN246=0,L246,0)</f>
        <v>0</v>
      </c>
      <c r="AK246" s="24">
        <f>IF(AN246=15,L246,0)</f>
        <v>0</v>
      </c>
      <c r="AL246" s="24">
        <f>IF(AN246=21,L246,0)</f>
        <v>0</v>
      </c>
      <c r="AN246" s="42">
        <v>21</v>
      </c>
      <c r="AO246" s="42">
        <f>I246*0</f>
        <v>0</v>
      </c>
      <c r="AP246" s="42">
        <f>I246*(1-0)</f>
        <v>0</v>
      </c>
      <c r="AQ246" s="43" t="s">
        <v>7</v>
      </c>
      <c r="AV246" s="42">
        <f>AW246+AX246</f>
        <v>0</v>
      </c>
      <c r="AW246" s="42">
        <f>H246*AO246</f>
        <v>0</v>
      </c>
      <c r="AX246" s="42">
        <f>H246*AP246</f>
        <v>0</v>
      </c>
      <c r="AY246" s="45" t="s">
        <v>501</v>
      </c>
      <c r="AZ246" s="45" t="s">
        <v>514</v>
      </c>
      <c r="BA246" s="41" t="s">
        <v>515</v>
      </c>
      <c r="BC246" s="42">
        <f>AW246+AX246</f>
        <v>0</v>
      </c>
      <c r="BD246" s="42">
        <f>I246/(100-BE246)*100</f>
        <v>0</v>
      </c>
      <c r="BE246" s="42">
        <v>0</v>
      </c>
      <c r="BF246" s="42">
        <f>246</f>
        <v>246</v>
      </c>
      <c r="BH246" s="24">
        <f>H246*AO246</f>
        <v>0</v>
      </c>
      <c r="BI246" s="24">
        <f>H246*AP246</f>
        <v>0</v>
      </c>
      <c r="BJ246" s="24">
        <f>H246*I246</f>
        <v>0</v>
      </c>
      <c r="BK246" s="24" t="s">
        <v>520</v>
      </c>
      <c r="BL246" s="42">
        <v>96</v>
      </c>
    </row>
    <row r="247" spans="1:64" x14ac:dyDescent="0.2">
      <c r="A247" s="5"/>
      <c r="C247" s="19" t="s">
        <v>334</v>
      </c>
      <c r="F247" s="20"/>
      <c r="H247" s="68">
        <v>24.47</v>
      </c>
      <c r="M247" s="36"/>
      <c r="N247" s="5"/>
    </row>
    <row r="248" spans="1:64" x14ac:dyDescent="0.2">
      <c r="A248" s="4" t="s">
        <v>61</v>
      </c>
      <c r="B248" s="14" t="s">
        <v>150</v>
      </c>
      <c r="C248" s="89" t="s">
        <v>335</v>
      </c>
      <c r="D248" s="90"/>
      <c r="E248" s="90"/>
      <c r="F248" s="90"/>
      <c r="G248" s="14" t="s">
        <v>457</v>
      </c>
      <c r="H248" s="67">
        <v>47</v>
      </c>
      <c r="I248" s="24">
        <v>0</v>
      </c>
      <c r="J248" s="24">
        <f>H248*AO248</f>
        <v>0</v>
      </c>
      <c r="K248" s="24">
        <f>H248*AP248</f>
        <v>0</v>
      </c>
      <c r="L248" s="24">
        <f>H248*I248</f>
        <v>0</v>
      </c>
      <c r="M248" s="35" t="s">
        <v>566</v>
      </c>
      <c r="N248" s="5"/>
      <c r="Z248" s="42">
        <f>IF(AQ248="5",BJ248,0)</f>
        <v>0</v>
      </c>
      <c r="AB248" s="42">
        <f>IF(AQ248="1",BH248,0)</f>
        <v>0</v>
      </c>
      <c r="AC248" s="42">
        <f>IF(AQ248="1",BI248,0)</f>
        <v>0</v>
      </c>
      <c r="AD248" s="42">
        <f>IF(AQ248="7",BH248,0)</f>
        <v>0</v>
      </c>
      <c r="AE248" s="42">
        <f>IF(AQ248="7",BI248,0)</f>
        <v>0</v>
      </c>
      <c r="AF248" s="42">
        <f>IF(AQ248="2",BH248,0)</f>
        <v>0</v>
      </c>
      <c r="AG248" s="42">
        <f>IF(AQ248="2",BI248,0)</f>
        <v>0</v>
      </c>
      <c r="AH248" s="42">
        <f>IF(AQ248="0",BJ248,0)</f>
        <v>0</v>
      </c>
      <c r="AI248" s="41"/>
      <c r="AJ248" s="24">
        <f>IF(AN248=0,L248,0)</f>
        <v>0</v>
      </c>
      <c r="AK248" s="24">
        <f>IF(AN248=15,L248,0)</f>
        <v>0</v>
      </c>
      <c r="AL248" s="24">
        <f>IF(AN248=21,L248,0)</f>
        <v>0</v>
      </c>
      <c r="AN248" s="42">
        <v>21</v>
      </c>
      <c r="AO248" s="42">
        <f>I248*0</f>
        <v>0</v>
      </c>
      <c r="AP248" s="42">
        <f>I248*(1-0)</f>
        <v>0</v>
      </c>
      <c r="AQ248" s="43" t="s">
        <v>7</v>
      </c>
      <c r="AV248" s="42">
        <f>AW248+AX248</f>
        <v>0</v>
      </c>
      <c r="AW248" s="42">
        <f>H248*AO248</f>
        <v>0</v>
      </c>
      <c r="AX248" s="42">
        <f>H248*AP248</f>
        <v>0</v>
      </c>
      <c r="AY248" s="45" t="s">
        <v>501</v>
      </c>
      <c r="AZ248" s="45" t="s">
        <v>514</v>
      </c>
      <c r="BA248" s="41" t="s">
        <v>515</v>
      </c>
      <c r="BC248" s="42">
        <f>AW248+AX248</f>
        <v>0</v>
      </c>
      <c r="BD248" s="42">
        <f>I248/(100-BE248)*100</f>
        <v>0</v>
      </c>
      <c r="BE248" s="42">
        <v>0</v>
      </c>
      <c r="BF248" s="42">
        <f>248</f>
        <v>248</v>
      </c>
      <c r="BH248" s="24">
        <f>H248*AO248</f>
        <v>0</v>
      </c>
      <c r="BI248" s="24">
        <f>H248*AP248</f>
        <v>0</v>
      </c>
      <c r="BJ248" s="24">
        <f>H248*I248</f>
        <v>0</v>
      </c>
      <c r="BK248" s="24" t="s">
        <v>520</v>
      </c>
      <c r="BL248" s="42">
        <v>96</v>
      </c>
    </row>
    <row r="249" spans="1:64" x14ac:dyDescent="0.2">
      <c r="A249" s="5"/>
      <c r="B249" s="15" t="s">
        <v>84</v>
      </c>
      <c r="C249" s="91" t="s">
        <v>336</v>
      </c>
      <c r="D249" s="92"/>
      <c r="E249" s="92"/>
      <c r="F249" s="92"/>
      <c r="G249" s="92"/>
      <c r="H249" s="92"/>
      <c r="I249" s="92"/>
      <c r="J249" s="92"/>
      <c r="K249" s="92"/>
      <c r="L249" s="92"/>
      <c r="M249" s="93"/>
      <c r="N249" s="5"/>
    </row>
    <row r="250" spans="1:64" x14ac:dyDescent="0.2">
      <c r="A250" s="5"/>
      <c r="C250" s="19" t="s">
        <v>332</v>
      </c>
      <c r="F250" s="20" t="s">
        <v>441</v>
      </c>
      <c r="H250" s="68">
        <v>42.3</v>
      </c>
      <c r="M250" s="36"/>
      <c r="N250" s="5"/>
    </row>
    <row r="251" spans="1:64" x14ac:dyDescent="0.2">
      <c r="A251" s="5"/>
      <c r="C251" s="19" t="s">
        <v>337</v>
      </c>
      <c r="F251" s="20" t="s">
        <v>442</v>
      </c>
      <c r="H251" s="68">
        <v>4.7</v>
      </c>
      <c r="M251" s="36"/>
      <c r="N251" s="5"/>
    </row>
    <row r="252" spans="1:64" x14ac:dyDescent="0.2">
      <c r="A252" s="4" t="s">
        <v>62</v>
      </c>
      <c r="B252" s="14" t="s">
        <v>151</v>
      </c>
      <c r="C252" s="89" t="s">
        <v>338</v>
      </c>
      <c r="D252" s="90"/>
      <c r="E252" s="90"/>
      <c r="F252" s="90"/>
      <c r="G252" s="14" t="s">
        <v>457</v>
      </c>
      <c r="H252" s="67">
        <v>13.031000000000001</v>
      </c>
      <c r="I252" s="24">
        <v>0</v>
      </c>
      <c r="J252" s="24">
        <f>H252*AO252</f>
        <v>0</v>
      </c>
      <c r="K252" s="24">
        <f>H252*AP252</f>
        <v>0</v>
      </c>
      <c r="L252" s="24">
        <f>H252*I252</f>
        <v>0</v>
      </c>
      <c r="M252" s="35"/>
      <c r="N252" s="5"/>
      <c r="Z252" s="42">
        <f>IF(AQ252="5",BJ252,0)</f>
        <v>0</v>
      </c>
      <c r="AB252" s="42">
        <f>IF(AQ252="1",BH252,0)</f>
        <v>0</v>
      </c>
      <c r="AC252" s="42">
        <f>IF(AQ252="1",BI252,0)</f>
        <v>0</v>
      </c>
      <c r="AD252" s="42">
        <f>IF(AQ252="7",BH252,0)</f>
        <v>0</v>
      </c>
      <c r="AE252" s="42">
        <f>IF(AQ252="7",BI252,0)</f>
        <v>0</v>
      </c>
      <c r="AF252" s="42">
        <f>IF(AQ252="2",BH252,0)</f>
        <v>0</v>
      </c>
      <c r="AG252" s="42">
        <f>IF(AQ252="2",BI252,0)</f>
        <v>0</v>
      </c>
      <c r="AH252" s="42">
        <f>IF(AQ252="0",BJ252,0)</f>
        <v>0</v>
      </c>
      <c r="AI252" s="41"/>
      <c r="AJ252" s="24">
        <f>IF(AN252=0,L252,0)</f>
        <v>0</v>
      </c>
      <c r="AK252" s="24">
        <f>IF(AN252=15,L252,0)</f>
        <v>0</v>
      </c>
      <c r="AL252" s="24">
        <f>IF(AN252=21,L252,0)</f>
        <v>0</v>
      </c>
      <c r="AN252" s="42">
        <v>21</v>
      </c>
      <c r="AO252" s="42">
        <f>I252*0</f>
        <v>0</v>
      </c>
      <c r="AP252" s="42">
        <f>I252*(1-0)</f>
        <v>0</v>
      </c>
      <c r="AQ252" s="43" t="s">
        <v>7</v>
      </c>
      <c r="AV252" s="42">
        <f>AW252+AX252</f>
        <v>0</v>
      </c>
      <c r="AW252" s="42">
        <f>H252*AO252</f>
        <v>0</v>
      </c>
      <c r="AX252" s="42">
        <f>H252*AP252</f>
        <v>0</v>
      </c>
      <c r="AY252" s="45" t="s">
        <v>501</v>
      </c>
      <c r="AZ252" s="45" t="s">
        <v>514</v>
      </c>
      <c r="BA252" s="41" t="s">
        <v>515</v>
      </c>
      <c r="BC252" s="42">
        <f>AW252+AX252</f>
        <v>0</v>
      </c>
      <c r="BD252" s="42">
        <f>I252/(100-BE252)*100</f>
        <v>0</v>
      </c>
      <c r="BE252" s="42">
        <v>0</v>
      </c>
      <c r="BF252" s="42">
        <f>252</f>
        <v>252</v>
      </c>
      <c r="BH252" s="24">
        <f>H252*AO252</f>
        <v>0</v>
      </c>
      <c r="BI252" s="24">
        <f>H252*AP252</f>
        <v>0</v>
      </c>
      <c r="BJ252" s="24">
        <f>H252*I252</f>
        <v>0</v>
      </c>
      <c r="BK252" s="24" t="s">
        <v>520</v>
      </c>
      <c r="BL252" s="42">
        <v>96</v>
      </c>
    </row>
    <row r="253" spans="1:64" x14ac:dyDescent="0.2">
      <c r="A253" s="5"/>
      <c r="C253" s="19" t="s">
        <v>339</v>
      </c>
      <c r="F253" s="20" t="s">
        <v>443</v>
      </c>
      <c r="H253" s="68">
        <v>13.031000000000001</v>
      </c>
      <c r="M253" s="36"/>
      <c r="N253" s="5"/>
    </row>
    <row r="254" spans="1:64" x14ac:dyDescent="0.2">
      <c r="A254" s="4" t="s">
        <v>63</v>
      </c>
      <c r="B254" s="14" t="s">
        <v>152</v>
      </c>
      <c r="C254" s="89" t="s">
        <v>340</v>
      </c>
      <c r="D254" s="90"/>
      <c r="E254" s="90"/>
      <c r="F254" s="90"/>
      <c r="G254" s="14" t="s">
        <v>458</v>
      </c>
      <c r="H254" s="67">
        <v>1</v>
      </c>
      <c r="I254" s="24">
        <v>0</v>
      </c>
      <c r="J254" s="24">
        <f>H254*AO254</f>
        <v>0</v>
      </c>
      <c r="K254" s="24">
        <f>H254*AP254</f>
        <v>0</v>
      </c>
      <c r="L254" s="24">
        <f>H254*I254</f>
        <v>0</v>
      </c>
      <c r="M254" s="35"/>
      <c r="N254" s="5"/>
      <c r="Z254" s="42">
        <f>IF(AQ254="5",BJ254,0)</f>
        <v>0</v>
      </c>
      <c r="AB254" s="42">
        <f>IF(AQ254="1",BH254,0)</f>
        <v>0</v>
      </c>
      <c r="AC254" s="42">
        <f>IF(AQ254="1",BI254,0)</f>
        <v>0</v>
      </c>
      <c r="AD254" s="42">
        <f>IF(AQ254="7",BH254,0)</f>
        <v>0</v>
      </c>
      <c r="AE254" s="42">
        <f>IF(AQ254="7",BI254,0)</f>
        <v>0</v>
      </c>
      <c r="AF254" s="42">
        <f>IF(AQ254="2",BH254,0)</f>
        <v>0</v>
      </c>
      <c r="AG254" s="42">
        <f>IF(AQ254="2",BI254,0)</f>
        <v>0</v>
      </c>
      <c r="AH254" s="42">
        <f>IF(AQ254="0",BJ254,0)</f>
        <v>0</v>
      </c>
      <c r="AI254" s="41"/>
      <c r="AJ254" s="24">
        <f>IF(AN254=0,L254,0)</f>
        <v>0</v>
      </c>
      <c r="AK254" s="24">
        <f>IF(AN254=15,L254,0)</f>
        <v>0</v>
      </c>
      <c r="AL254" s="24">
        <f>IF(AN254=21,L254,0)</f>
        <v>0</v>
      </c>
      <c r="AN254" s="42">
        <v>21</v>
      </c>
      <c r="AO254" s="42">
        <f>I254*0</f>
        <v>0</v>
      </c>
      <c r="AP254" s="42">
        <f>I254*(1-0)</f>
        <v>0</v>
      </c>
      <c r="AQ254" s="43" t="s">
        <v>7</v>
      </c>
      <c r="AV254" s="42">
        <f>AW254+AX254</f>
        <v>0</v>
      </c>
      <c r="AW254" s="42">
        <f>H254*AO254</f>
        <v>0</v>
      </c>
      <c r="AX254" s="42">
        <f>H254*AP254</f>
        <v>0</v>
      </c>
      <c r="AY254" s="45" t="s">
        <v>501</v>
      </c>
      <c r="AZ254" s="45" t="s">
        <v>514</v>
      </c>
      <c r="BA254" s="41" t="s">
        <v>515</v>
      </c>
      <c r="BC254" s="42">
        <f>AW254+AX254</f>
        <v>0</v>
      </c>
      <c r="BD254" s="42">
        <f>I254/(100-BE254)*100</f>
        <v>0</v>
      </c>
      <c r="BE254" s="42">
        <v>0</v>
      </c>
      <c r="BF254" s="42">
        <f>254</f>
        <v>254</v>
      </c>
      <c r="BH254" s="24">
        <f>H254*AO254</f>
        <v>0</v>
      </c>
      <c r="BI254" s="24">
        <f>H254*AP254</f>
        <v>0</v>
      </c>
      <c r="BJ254" s="24">
        <f>H254*I254</f>
        <v>0</v>
      </c>
      <c r="BK254" s="24" t="s">
        <v>520</v>
      </c>
      <c r="BL254" s="42">
        <v>96</v>
      </c>
    </row>
    <row r="255" spans="1:64" x14ac:dyDescent="0.2">
      <c r="A255" s="5"/>
      <c r="B255" s="15" t="s">
        <v>84</v>
      </c>
      <c r="C255" s="91" t="s">
        <v>341</v>
      </c>
      <c r="D255" s="92"/>
      <c r="E255" s="92"/>
      <c r="F255" s="92"/>
      <c r="G255" s="92"/>
      <c r="H255" s="92"/>
      <c r="I255" s="92"/>
      <c r="J255" s="92"/>
      <c r="K255" s="92"/>
      <c r="L255" s="92"/>
      <c r="M255" s="93"/>
      <c r="N255" s="5"/>
    </row>
    <row r="256" spans="1:64" x14ac:dyDescent="0.2">
      <c r="A256" s="5"/>
      <c r="C256" s="19" t="s">
        <v>7</v>
      </c>
      <c r="F256" s="20"/>
      <c r="H256" s="68">
        <v>1</v>
      </c>
      <c r="M256" s="36"/>
      <c r="N256" s="5"/>
    </row>
    <row r="257" spans="1:64" x14ac:dyDescent="0.2">
      <c r="A257" s="4" t="s">
        <v>64</v>
      </c>
      <c r="B257" s="14" t="s">
        <v>153</v>
      </c>
      <c r="C257" s="89" t="s">
        <v>342</v>
      </c>
      <c r="D257" s="90"/>
      <c r="E257" s="90"/>
      <c r="F257" s="90"/>
      <c r="G257" s="14" t="s">
        <v>456</v>
      </c>
      <c r="H257" s="67">
        <v>1</v>
      </c>
      <c r="I257" s="24">
        <v>0</v>
      </c>
      <c r="J257" s="24">
        <f>H257*AO257</f>
        <v>0</v>
      </c>
      <c r="K257" s="24">
        <f>H257*AP257</f>
        <v>0</v>
      </c>
      <c r="L257" s="24">
        <f>H257*I257</f>
        <v>0</v>
      </c>
      <c r="M257" s="35"/>
      <c r="N257" s="5"/>
      <c r="Z257" s="42">
        <f>IF(AQ257="5",BJ257,0)</f>
        <v>0</v>
      </c>
      <c r="AB257" s="42">
        <f>IF(AQ257="1",BH257,0)</f>
        <v>0</v>
      </c>
      <c r="AC257" s="42">
        <f>IF(AQ257="1",BI257,0)</f>
        <v>0</v>
      </c>
      <c r="AD257" s="42">
        <f>IF(AQ257="7",BH257,0)</f>
        <v>0</v>
      </c>
      <c r="AE257" s="42">
        <f>IF(AQ257="7",BI257,0)</f>
        <v>0</v>
      </c>
      <c r="AF257" s="42">
        <f>IF(AQ257="2",BH257,0)</f>
        <v>0</v>
      </c>
      <c r="AG257" s="42">
        <f>IF(AQ257="2",BI257,0)</f>
        <v>0</v>
      </c>
      <c r="AH257" s="42">
        <f>IF(AQ257="0",BJ257,0)</f>
        <v>0</v>
      </c>
      <c r="AI257" s="41"/>
      <c r="AJ257" s="24">
        <f>IF(AN257=0,L257,0)</f>
        <v>0</v>
      </c>
      <c r="AK257" s="24">
        <f>IF(AN257=15,L257,0)</f>
        <v>0</v>
      </c>
      <c r="AL257" s="24">
        <f>IF(AN257=21,L257,0)</f>
        <v>0</v>
      </c>
      <c r="AN257" s="42">
        <v>21</v>
      </c>
      <c r="AO257" s="42">
        <f>I257*0.0509582417582418</f>
        <v>0</v>
      </c>
      <c r="AP257" s="42">
        <f>I257*(1-0.0509582417582418)</f>
        <v>0</v>
      </c>
      <c r="AQ257" s="43" t="s">
        <v>7</v>
      </c>
      <c r="AV257" s="42">
        <f>AW257+AX257</f>
        <v>0</v>
      </c>
      <c r="AW257" s="42">
        <f>H257*AO257</f>
        <v>0</v>
      </c>
      <c r="AX257" s="42">
        <f>H257*AP257</f>
        <v>0</v>
      </c>
      <c r="AY257" s="45" t="s">
        <v>501</v>
      </c>
      <c r="AZ257" s="45" t="s">
        <v>514</v>
      </c>
      <c r="BA257" s="41" t="s">
        <v>515</v>
      </c>
      <c r="BC257" s="42">
        <f>AW257+AX257</f>
        <v>0</v>
      </c>
      <c r="BD257" s="42">
        <f>I257/(100-BE257)*100</f>
        <v>0</v>
      </c>
      <c r="BE257" s="42">
        <v>0</v>
      </c>
      <c r="BF257" s="42">
        <f>257</f>
        <v>257</v>
      </c>
      <c r="BH257" s="24">
        <f>H257*AO257</f>
        <v>0</v>
      </c>
      <c r="BI257" s="24">
        <f>H257*AP257</f>
        <v>0</v>
      </c>
      <c r="BJ257" s="24">
        <f>H257*I257</f>
        <v>0</v>
      </c>
      <c r="BK257" s="24" t="s">
        <v>520</v>
      </c>
      <c r="BL257" s="42">
        <v>96</v>
      </c>
    </row>
    <row r="258" spans="1:64" x14ac:dyDescent="0.2">
      <c r="A258" s="5"/>
      <c r="B258" s="15" t="s">
        <v>84</v>
      </c>
      <c r="C258" s="91" t="s">
        <v>343</v>
      </c>
      <c r="D258" s="92"/>
      <c r="E258" s="92"/>
      <c r="F258" s="92"/>
      <c r="G258" s="92"/>
      <c r="H258" s="92"/>
      <c r="I258" s="92"/>
      <c r="J258" s="92"/>
      <c r="K258" s="92"/>
      <c r="L258" s="92"/>
      <c r="M258" s="93"/>
      <c r="N258" s="5"/>
    </row>
    <row r="259" spans="1:64" x14ac:dyDescent="0.2">
      <c r="A259" s="5"/>
      <c r="C259" s="19" t="s">
        <v>7</v>
      </c>
      <c r="F259" s="20"/>
      <c r="H259" s="68">
        <v>1</v>
      </c>
      <c r="M259" s="36"/>
      <c r="N259" s="5"/>
    </row>
    <row r="260" spans="1:64" x14ac:dyDescent="0.2">
      <c r="A260" s="4" t="s">
        <v>65</v>
      </c>
      <c r="B260" s="14" t="s">
        <v>154</v>
      </c>
      <c r="C260" s="89" t="s">
        <v>344</v>
      </c>
      <c r="D260" s="90"/>
      <c r="E260" s="90"/>
      <c r="F260" s="90"/>
      <c r="G260" s="14" t="s">
        <v>456</v>
      </c>
      <c r="H260" s="67">
        <v>19</v>
      </c>
      <c r="I260" s="24">
        <v>0</v>
      </c>
      <c r="J260" s="24">
        <f>H260*AO260</f>
        <v>0</v>
      </c>
      <c r="K260" s="24">
        <f>H260*AP260</f>
        <v>0</v>
      </c>
      <c r="L260" s="24">
        <f>H260*I260</f>
        <v>0</v>
      </c>
      <c r="M260" s="35" t="s">
        <v>566</v>
      </c>
      <c r="N260" s="5"/>
      <c r="Z260" s="42">
        <f>IF(AQ260="5",BJ260,0)</f>
        <v>0</v>
      </c>
      <c r="AB260" s="42">
        <f>IF(AQ260="1",BH260,0)</f>
        <v>0</v>
      </c>
      <c r="AC260" s="42">
        <f>IF(AQ260="1",BI260,0)</f>
        <v>0</v>
      </c>
      <c r="AD260" s="42">
        <f>IF(AQ260="7",BH260,0)</f>
        <v>0</v>
      </c>
      <c r="AE260" s="42">
        <f>IF(AQ260="7",BI260,0)</f>
        <v>0</v>
      </c>
      <c r="AF260" s="42">
        <f>IF(AQ260="2",BH260,0)</f>
        <v>0</v>
      </c>
      <c r="AG260" s="42">
        <f>IF(AQ260="2",BI260,0)</f>
        <v>0</v>
      </c>
      <c r="AH260" s="42">
        <f>IF(AQ260="0",BJ260,0)</f>
        <v>0</v>
      </c>
      <c r="AI260" s="41"/>
      <c r="AJ260" s="24">
        <f>IF(AN260=0,L260,0)</f>
        <v>0</v>
      </c>
      <c r="AK260" s="24">
        <f>IF(AN260=15,L260,0)</f>
        <v>0</v>
      </c>
      <c r="AL260" s="24">
        <f>IF(AN260=21,L260,0)</f>
        <v>0</v>
      </c>
      <c r="AN260" s="42">
        <v>21</v>
      </c>
      <c r="AO260" s="42">
        <f>I260*0</f>
        <v>0</v>
      </c>
      <c r="AP260" s="42">
        <f>I260*(1-0)</f>
        <v>0</v>
      </c>
      <c r="AQ260" s="43" t="s">
        <v>7</v>
      </c>
      <c r="AV260" s="42">
        <f>AW260+AX260</f>
        <v>0</v>
      </c>
      <c r="AW260" s="42">
        <f>H260*AO260</f>
        <v>0</v>
      </c>
      <c r="AX260" s="42">
        <f>H260*AP260</f>
        <v>0</v>
      </c>
      <c r="AY260" s="45" t="s">
        <v>501</v>
      </c>
      <c r="AZ260" s="45" t="s">
        <v>514</v>
      </c>
      <c r="BA260" s="41" t="s">
        <v>515</v>
      </c>
      <c r="BC260" s="42">
        <f>AW260+AX260</f>
        <v>0</v>
      </c>
      <c r="BD260" s="42">
        <f>I260/(100-BE260)*100</f>
        <v>0</v>
      </c>
      <c r="BE260" s="42">
        <v>0</v>
      </c>
      <c r="BF260" s="42">
        <f>260</f>
        <v>260</v>
      </c>
      <c r="BH260" s="24">
        <f>H260*AO260</f>
        <v>0</v>
      </c>
      <c r="BI260" s="24">
        <f>H260*AP260</f>
        <v>0</v>
      </c>
      <c r="BJ260" s="24">
        <f>H260*I260</f>
        <v>0</v>
      </c>
      <c r="BK260" s="24" t="s">
        <v>520</v>
      </c>
      <c r="BL260" s="42">
        <v>96</v>
      </c>
    </row>
    <row r="261" spans="1:64" x14ac:dyDescent="0.2">
      <c r="A261" s="5"/>
      <c r="C261" s="19" t="s">
        <v>15</v>
      </c>
      <c r="F261" s="20" t="s">
        <v>444</v>
      </c>
      <c r="H261" s="68">
        <v>9</v>
      </c>
      <c r="M261" s="36"/>
      <c r="N261" s="5"/>
    </row>
    <row r="262" spans="1:64" x14ac:dyDescent="0.2">
      <c r="A262" s="5"/>
      <c r="C262" s="19" t="s">
        <v>16</v>
      </c>
      <c r="F262" s="20" t="s">
        <v>445</v>
      </c>
      <c r="H262" s="68">
        <v>10</v>
      </c>
      <c r="M262" s="36"/>
      <c r="N262" s="5"/>
    </row>
    <row r="263" spans="1:64" x14ac:dyDescent="0.2">
      <c r="A263" s="4" t="s">
        <v>66</v>
      </c>
      <c r="B263" s="14" t="s">
        <v>155</v>
      </c>
      <c r="C263" s="89" t="s">
        <v>345</v>
      </c>
      <c r="D263" s="90"/>
      <c r="E263" s="90"/>
      <c r="F263" s="90"/>
      <c r="G263" s="14" t="s">
        <v>456</v>
      </c>
      <c r="H263" s="67">
        <v>1</v>
      </c>
      <c r="I263" s="24">
        <v>0</v>
      </c>
      <c r="J263" s="24">
        <f>H263*AO263</f>
        <v>0</v>
      </c>
      <c r="K263" s="24">
        <f>H263*AP263</f>
        <v>0</v>
      </c>
      <c r="L263" s="24">
        <f>H263*I263</f>
        <v>0</v>
      </c>
      <c r="M263" s="35" t="s">
        <v>566</v>
      </c>
      <c r="N263" s="5"/>
      <c r="Z263" s="42">
        <f>IF(AQ263="5",BJ263,0)</f>
        <v>0</v>
      </c>
      <c r="AB263" s="42">
        <f>IF(AQ263="1",BH263,0)</f>
        <v>0</v>
      </c>
      <c r="AC263" s="42">
        <f>IF(AQ263="1",BI263,0)</f>
        <v>0</v>
      </c>
      <c r="AD263" s="42">
        <f>IF(AQ263="7",BH263,0)</f>
        <v>0</v>
      </c>
      <c r="AE263" s="42">
        <f>IF(AQ263="7",BI263,0)</f>
        <v>0</v>
      </c>
      <c r="AF263" s="42">
        <f>IF(AQ263="2",BH263,0)</f>
        <v>0</v>
      </c>
      <c r="AG263" s="42">
        <f>IF(AQ263="2",BI263,0)</f>
        <v>0</v>
      </c>
      <c r="AH263" s="42">
        <f>IF(AQ263="0",BJ263,0)</f>
        <v>0</v>
      </c>
      <c r="AI263" s="41"/>
      <c r="AJ263" s="24">
        <f>IF(AN263=0,L263,0)</f>
        <v>0</v>
      </c>
      <c r="AK263" s="24">
        <f>IF(AN263=15,L263,0)</f>
        <v>0</v>
      </c>
      <c r="AL263" s="24">
        <f>IF(AN263=21,L263,0)</f>
        <v>0</v>
      </c>
      <c r="AN263" s="42">
        <v>21</v>
      </c>
      <c r="AO263" s="42">
        <f>I263*0</f>
        <v>0</v>
      </c>
      <c r="AP263" s="42">
        <f>I263*(1-0)</f>
        <v>0</v>
      </c>
      <c r="AQ263" s="43" t="s">
        <v>7</v>
      </c>
      <c r="AV263" s="42">
        <f>AW263+AX263</f>
        <v>0</v>
      </c>
      <c r="AW263" s="42">
        <f>H263*AO263</f>
        <v>0</v>
      </c>
      <c r="AX263" s="42">
        <f>H263*AP263</f>
        <v>0</v>
      </c>
      <c r="AY263" s="45" t="s">
        <v>501</v>
      </c>
      <c r="AZ263" s="45" t="s">
        <v>514</v>
      </c>
      <c r="BA263" s="41" t="s">
        <v>515</v>
      </c>
      <c r="BC263" s="42">
        <f>AW263+AX263</f>
        <v>0</v>
      </c>
      <c r="BD263" s="42">
        <f>I263/(100-BE263)*100</f>
        <v>0</v>
      </c>
      <c r="BE263" s="42">
        <v>0</v>
      </c>
      <c r="BF263" s="42">
        <f>263</f>
        <v>263</v>
      </c>
      <c r="BH263" s="24">
        <f>H263*AO263</f>
        <v>0</v>
      </c>
      <c r="BI263" s="24">
        <f>H263*AP263</f>
        <v>0</v>
      </c>
      <c r="BJ263" s="24">
        <f>H263*I263</f>
        <v>0</v>
      </c>
      <c r="BK263" s="24" t="s">
        <v>520</v>
      </c>
      <c r="BL263" s="42">
        <v>96</v>
      </c>
    </row>
    <row r="264" spans="1:64" x14ac:dyDescent="0.2">
      <c r="A264" s="5"/>
      <c r="C264" s="19" t="s">
        <v>7</v>
      </c>
      <c r="F264" s="20" t="s">
        <v>446</v>
      </c>
      <c r="H264" s="68">
        <v>1</v>
      </c>
      <c r="M264" s="36"/>
      <c r="N264" s="5"/>
    </row>
    <row r="265" spans="1:64" x14ac:dyDescent="0.2">
      <c r="A265" s="4" t="s">
        <v>67</v>
      </c>
      <c r="B265" s="14" t="s">
        <v>156</v>
      </c>
      <c r="C265" s="89" t="s">
        <v>346</v>
      </c>
      <c r="D265" s="90"/>
      <c r="E265" s="90"/>
      <c r="F265" s="90"/>
      <c r="G265" s="14" t="s">
        <v>457</v>
      </c>
      <c r="H265" s="67">
        <v>30.6</v>
      </c>
      <c r="I265" s="24">
        <v>0</v>
      </c>
      <c r="J265" s="24">
        <f>H265*AO265</f>
        <v>0</v>
      </c>
      <c r="K265" s="24">
        <f>H265*AP265</f>
        <v>0</v>
      </c>
      <c r="L265" s="24">
        <f>H265*I265</f>
        <v>0</v>
      </c>
      <c r="M265" s="35" t="s">
        <v>566</v>
      </c>
      <c r="N265" s="5"/>
      <c r="Z265" s="42">
        <f>IF(AQ265="5",BJ265,0)</f>
        <v>0</v>
      </c>
      <c r="AB265" s="42">
        <f>IF(AQ265="1",BH265,0)</f>
        <v>0</v>
      </c>
      <c r="AC265" s="42">
        <f>IF(AQ265="1",BI265,0)</f>
        <v>0</v>
      </c>
      <c r="AD265" s="42">
        <f>IF(AQ265="7",BH265,0)</f>
        <v>0</v>
      </c>
      <c r="AE265" s="42">
        <f>IF(AQ265="7",BI265,0)</f>
        <v>0</v>
      </c>
      <c r="AF265" s="42">
        <f>IF(AQ265="2",BH265,0)</f>
        <v>0</v>
      </c>
      <c r="AG265" s="42">
        <f>IF(AQ265="2",BI265,0)</f>
        <v>0</v>
      </c>
      <c r="AH265" s="42">
        <f>IF(AQ265="0",BJ265,0)</f>
        <v>0</v>
      </c>
      <c r="AI265" s="41"/>
      <c r="AJ265" s="24">
        <f>IF(AN265=0,L265,0)</f>
        <v>0</v>
      </c>
      <c r="AK265" s="24">
        <f>IF(AN265=15,L265,0)</f>
        <v>0</v>
      </c>
      <c r="AL265" s="24">
        <f>IF(AN265=21,L265,0)</f>
        <v>0</v>
      </c>
      <c r="AN265" s="42">
        <v>21</v>
      </c>
      <c r="AO265" s="42">
        <f>I265*0.0757369062119367</f>
        <v>0</v>
      </c>
      <c r="AP265" s="42">
        <f>I265*(1-0.0757369062119367)</f>
        <v>0</v>
      </c>
      <c r="AQ265" s="43" t="s">
        <v>7</v>
      </c>
      <c r="AV265" s="42">
        <f>AW265+AX265</f>
        <v>0</v>
      </c>
      <c r="AW265" s="42">
        <f>H265*AO265</f>
        <v>0</v>
      </c>
      <c r="AX265" s="42">
        <f>H265*AP265</f>
        <v>0</v>
      </c>
      <c r="AY265" s="45" t="s">
        <v>501</v>
      </c>
      <c r="AZ265" s="45" t="s">
        <v>514</v>
      </c>
      <c r="BA265" s="41" t="s">
        <v>515</v>
      </c>
      <c r="BC265" s="42">
        <f>AW265+AX265</f>
        <v>0</v>
      </c>
      <c r="BD265" s="42">
        <f>I265/(100-BE265)*100</f>
        <v>0</v>
      </c>
      <c r="BE265" s="42">
        <v>0</v>
      </c>
      <c r="BF265" s="42">
        <f>265</f>
        <v>265</v>
      </c>
      <c r="BH265" s="24">
        <f>H265*AO265</f>
        <v>0</v>
      </c>
      <c r="BI265" s="24">
        <f>H265*AP265</f>
        <v>0</v>
      </c>
      <c r="BJ265" s="24">
        <f>H265*I265</f>
        <v>0</v>
      </c>
      <c r="BK265" s="24" t="s">
        <v>520</v>
      </c>
      <c r="BL265" s="42">
        <v>96</v>
      </c>
    </row>
    <row r="266" spans="1:64" x14ac:dyDescent="0.2">
      <c r="A266" s="5"/>
      <c r="C266" s="19" t="s">
        <v>347</v>
      </c>
      <c r="F266" s="20" t="s">
        <v>444</v>
      </c>
      <c r="H266" s="68">
        <v>12.6</v>
      </c>
      <c r="M266" s="36"/>
      <c r="N266" s="5"/>
    </row>
    <row r="267" spans="1:64" x14ac:dyDescent="0.2">
      <c r="A267" s="5"/>
      <c r="C267" s="19" t="s">
        <v>348</v>
      </c>
      <c r="F267" s="20" t="s">
        <v>445</v>
      </c>
      <c r="H267" s="68">
        <v>18</v>
      </c>
      <c r="M267" s="36"/>
      <c r="N267" s="5"/>
    </row>
    <row r="268" spans="1:64" x14ac:dyDescent="0.2">
      <c r="A268" s="4" t="s">
        <v>68</v>
      </c>
      <c r="B268" s="14" t="s">
        <v>157</v>
      </c>
      <c r="C268" s="89" t="s">
        <v>349</v>
      </c>
      <c r="D268" s="90"/>
      <c r="E268" s="90"/>
      <c r="F268" s="90"/>
      <c r="G268" s="14" t="s">
        <v>457</v>
      </c>
      <c r="H268" s="67">
        <v>3</v>
      </c>
      <c r="I268" s="24">
        <v>0</v>
      </c>
      <c r="J268" s="24">
        <f>H268*AO268</f>
        <v>0</v>
      </c>
      <c r="K268" s="24">
        <f>H268*AP268</f>
        <v>0</v>
      </c>
      <c r="L268" s="24">
        <f>H268*I268</f>
        <v>0</v>
      </c>
      <c r="M268" s="35" t="s">
        <v>566</v>
      </c>
      <c r="N268" s="5"/>
      <c r="Z268" s="42">
        <f>IF(AQ268="5",BJ268,0)</f>
        <v>0</v>
      </c>
      <c r="AB268" s="42">
        <f>IF(AQ268="1",BH268,0)</f>
        <v>0</v>
      </c>
      <c r="AC268" s="42">
        <f>IF(AQ268="1",BI268,0)</f>
        <v>0</v>
      </c>
      <c r="AD268" s="42">
        <f>IF(AQ268="7",BH268,0)</f>
        <v>0</v>
      </c>
      <c r="AE268" s="42">
        <f>IF(AQ268="7",BI268,0)</f>
        <v>0</v>
      </c>
      <c r="AF268" s="42">
        <f>IF(AQ268="2",BH268,0)</f>
        <v>0</v>
      </c>
      <c r="AG268" s="42">
        <f>IF(AQ268="2",BI268,0)</f>
        <v>0</v>
      </c>
      <c r="AH268" s="42">
        <f>IF(AQ268="0",BJ268,0)</f>
        <v>0</v>
      </c>
      <c r="AI268" s="41"/>
      <c r="AJ268" s="24">
        <f>IF(AN268=0,L268,0)</f>
        <v>0</v>
      </c>
      <c r="AK268" s="24">
        <f>IF(AN268=15,L268,0)</f>
        <v>0</v>
      </c>
      <c r="AL268" s="24">
        <f>IF(AN268=21,L268,0)</f>
        <v>0</v>
      </c>
      <c r="AN268" s="42">
        <v>21</v>
      </c>
      <c r="AO268" s="42">
        <f>I268*0.0838485804416404</f>
        <v>0</v>
      </c>
      <c r="AP268" s="42">
        <f>I268*(1-0.0838485804416404)</f>
        <v>0</v>
      </c>
      <c r="AQ268" s="43" t="s">
        <v>7</v>
      </c>
      <c r="AV268" s="42">
        <f>AW268+AX268</f>
        <v>0</v>
      </c>
      <c r="AW268" s="42">
        <f>H268*AO268</f>
        <v>0</v>
      </c>
      <c r="AX268" s="42">
        <f>H268*AP268</f>
        <v>0</v>
      </c>
      <c r="AY268" s="45" t="s">
        <v>501</v>
      </c>
      <c r="AZ268" s="45" t="s">
        <v>514</v>
      </c>
      <c r="BA268" s="41" t="s">
        <v>515</v>
      </c>
      <c r="BC268" s="42">
        <f>AW268+AX268</f>
        <v>0</v>
      </c>
      <c r="BD268" s="42">
        <f>I268/(100-BE268)*100</f>
        <v>0</v>
      </c>
      <c r="BE268" s="42">
        <v>0</v>
      </c>
      <c r="BF268" s="42">
        <f>268</f>
        <v>268</v>
      </c>
      <c r="BH268" s="24">
        <f>H268*AO268</f>
        <v>0</v>
      </c>
      <c r="BI268" s="24">
        <f>H268*AP268</f>
        <v>0</v>
      </c>
      <c r="BJ268" s="24">
        <f>H268*I268</f>
        <v>0</v>
      </c>
      <c r="BK268" s="24" t="s">
        <v>520</v>
      </c>
      <c r="BL268" s="42">
        <v>96</v>
      </c>
    </row>
    <row r="269" spans="1:64" x14ac:dyDescent="0.2">
      <c r="A269" s="5"/>
      <c r="C269" s="19" t="s">
        <v>350</v>
      </c>
      <c r="F269" s="20"/>
      <c r="H269" s="68">
        <v>3</v>
      </c>
      <c r="M269" s="36"/>
      <c r="N269" s="5"/>
    </row>
    <row r="270" spans="1:64" x14ac:dyDescent="0.2">
      <c r="A270" s="6"/>
      <c r="B270" s="16" t="s">
        <v>158</v>
      </c>
      <c r="C270" s="94" t="s">
        <v>351</v>
      </c>
      <c r="D270" s="95"/>
      <c r="E270" s="95"/>
      <c r="F270" s="95"/>
      <c r="G270" s="22" t="s">
        <v>6</v>
      </c>
      <c r="H270" s="22" t="s">
        <v>6</v>
      </c>
      <c r="I270" s="22" t="s">
        <v>6</v>
      </c>
      <c r="J270" s="48">
        <f>SUM(J271:J271)</f>
        <v>0</v>
      </c>
      <c r="K270" s="48">
        <f>SUM(K271:K271)</f>
        <v>0</v>
      </c>
      <c r="L270" s="48">
        <f>SUM(L271:L271)</f>
        <v>0</v>
      </c>
      <c r="M270" s="37"/>
      <c r="N270" s="5"/>
      <c r="AI270" s="41"/>
      <c r="AS270" s="48">
        <f>SUM(AJ271:AJ271)</f>
        <v>0</v>
      </c>
      <c r="AT270" s="48">
        <f>SUM(AK271:AK271)</f>
        <v>0</v>
      </c>
      <c r="AU270" s="48">
        <f>SUM(AL271:AL271)</f>
        <v>0</v>
      </c>
    </row>
    <row r="271" spans="1:64" x14ac:dyDescent="0.2">
      <c r="A271" s="4" t="s">
        <v>69</v>
      </c>
      <c r="B271" s="14" t="s">
        <v>159</v>
      </c>
      <c r="C271" s="89" t="s">
        <v>352</v>
      </c>
      <c r="D271" s="90"/>
      <c r="E271" s="90"/>
      <c r="F271" s="90"/>
      <c r="G271" s="14" t="s">
        <v>457</v>
      </c>
      <c r="H271" s="67">
        <v>106.67</v>
      </c>
      <c r="I271" s="24">
        <v>0</v>
      </c>
      <c r="J271" s="24">
        <f>H271*AO271</f>
        <v>0</v>
      </c>
      <c r="K271" s="24">
        <f>H271*AP271</f>
        <v>0</v>
      </c>
      <c r="L271" s="24">
        <f>H271*I271</f>
        <v>0</v>
      </c>
      <c r="M271" s="35" t="s">
        <v>566</v>
      </c>
      <c r="N271" s="5"/>
      <c r="Z271" s="42">
        <f>IF(AQ271="5",BJ271,0)</f>
        <v>0</v>
      </c>
      <c r="AB271" s="42">
        <f>IF(AQ271="1",BH271,0)</f>
        <v>0</v>
      </c>
      <c r="AC271" s="42">
        <f>IF(AQ271="1",BI271,0)</f>
        <v>0</v>
      </c>
      <c r="AD271" s="42">
        <f>IF(AQ271="7",BH271,0)</f>
        <v>0</v>
      </c>
      <c r="AE271" s="42">
        <f>IF(AQ271="7",BI271,0)</f>
        <v>0</v>
      </c>
      <c r="AF271" s="42">
        <f>IF(AQ271="2",BH271,0)</f>
        <v>0</v>
      </c>
      <c r="AG271" s="42">
        <f>IF(AQ271="2",BI271,0)</f>
        <v>0</v>
      </c>
      <c r="AH271" s="42">
        <f>IF(AQ271="0",BJ271,0)</f>
        <v>0</v>
      </c>
      <c r="AI271" s="41"/>
      <c r="AJ271" s="24">
        <f>IF(AN271=0,L271,0)</f>
        <v>0</v>
      </c>
      <c r="AK271" s="24">
        <f>IF(AN271=15,L271,0)</f>
        <v>0</v>
      </c>
      <c r="AL271" s="24">
        <f>IF(AN271=21,L271,0)</f>
        <v>0</v>
      </c>
      <c r="AN271" s="42">
        <v>21</v>
      </c>
      <c r="AO271" s="42">
        <f>I271*0</f>
        <v>0</v>
      </c>
      <c r="AP271" s="42">
        <f>I271*(1-0)</f>
        <v>0</v>
      </c>
      <c r="AQ271" s="43" t="s">
        <v>7</v>
      </c>
      <c r="AV271" s="42">
        <f>AW271+AX271</f>
        <v>0</v>
      </c>
      <c r="AW271" s="42">
        <f>H271*AO271</f>
        <v>0</v>
      </c>
      <c r="AX271" s="42">
        <f>H271*AP271</f>
        <v>0</v>
      </c>
      <c r="AY271" s="45" t="s">
        <v>502</v>
      </c>
      <c r="AZ271" s="45" t="s">
        <v>514</v>
      </c>
      <c r="BA271" s="41" t="s">
        <v>515</v>
      </c>
      <c r="BC271" s="42">
        <f>AW271+AX271</f>
        <v>0</v>
      </c>
      <c r="BD271" s="42">
        <f>I271/(100-BE271)*100</f>
        <v>0</v>
      </c>
      <c r="BE271" s="42">
        <v>0</v>
      </c>
      <c r="BF271" s="42">
        <f>271</f>
        <v>271</v>
      </c>
      <c r="BH271" s="24">
        <f>H271*AO271</f>
        <v>0</v>
      </c>
      <c r="BI271" s="24">
        <f>H271*AP271</f>
        <v>0</v>
      </c>
      <c r="BJ271" s="24">
        <f>H271*I271</f>
        <v>0</v>
      </c>
      <c r="BK271" s="24" t="s">
        <v>520</v>
      </c>
      <c r="BL271" s="42">
        <v>97</v>
      </c>
    </row>
    <row r="272" spans="1:64" x14ac:dyDescent="0.2">
      <c r="A272" s="5"/>
      <c r="C272" s="19" t="s">
        <v>353</v>
      </c>
      <c r="F272" s="20" t="s">
        <v>437</v>
      </c>
      <c r="H272" s="68">
        <v>10.29</v>
      </c>
      <c r="M272" s="36"/>
      <c r="N272" s="5"/>
    </row>
    <row r="273" spans="1:64" x14ac:dyDescent="0.2">
      <c r="A273" s="5"/>
      <c r="C273" s="19" t="s">
        <v>354</v>
      </c>
      <c r="F273" s="20" t="s">
        <v>447</v>
      </c>
      <c r="H273" s="68">
        <v>14.01</v>
      </c>
      <c r="M273" s="36"/>
      <c r="N273" s="5"/>
    </row>
    <row r="274" spans="1:64" x14ac:dyDescent="0.2">
      <c r="A274" s="5"/>
      <c r="C274" s="19" t="s">
        <v>355</v>
      </c>
      <c r="F274" s="20" t="s">
        <v>448</v>
      </c>
      <c r="H274" s="68">
        <v>6.6</v>
      </c>
      <c r="M274" s="36"/>
      <c r="N274" s="5"/>
    </row>
    <row r="275" spans="1:64" x14ac:dyDescent="0.2">
      <c r="A275" s="5"/>
      <c r="C275" s="19" t="s">
        <v>356</v>
      </c>
      <c r="F275" s="20" t="s">
        <v>449</v>
      </c>
      <c r="H275" s="68">
        <v>9</v>
      </c>
      <c r="M275" s="36"/>
      <c r="N275" s="5"/>
    </row>
    <row r="276" spans="1:64" x14ac:dyDescent="0.2">
      <c r="A276" s="5"/>
      <c r="C276" s="19" t="s">
        <v>357</v>
      </c>
      <c r="F276" s="20" t="s">
        <v>450</v>
      </c>
      <c r="H276" s="68">
        <v>8.1</v>
      </c>
      <c r="M276" s="36"/>
      <c r="N276" s="5"/>
    </row>
    <row r="277" spans="1:64" x14ac:dyDescent="0.2">
      <c r="A277" s="5"/>
      <c r="C277" s="19" t="s">
        <v>358</v>
      </c>
      <c r="F277" s="20" t="s">
        <v>440</v>
      </c>
      <c r="H277" s="68">
        <v>16.649999999999999</v>
      </c>
      <c r="M277" s="36"/>
      <c r="N277" s="5"/>
    </row>
    <row r="278" spans="1:64" x14ac:dyDescent="0.2">
      <c r="A278" s="5"/>
      <c r="C278" s="19" t="s">
        <v>359</v>
      </c>
      <c r="F278" s="20" t="s">
        <v>451</v>
      </c>
      <c r="H278" s="68">
        <v>5.85</v>
      </c>
      <c r="M278" s="36"/>
      <c r="N278" s="5"/>
    </row>
    <row r="279" spans="1:64" x14ac:dyDescent="0.2">
      <c r="A279" s="5"/>
      <c r="C279" s="19" t="s">
        <v>360</v>
      </c>
      <c r="F279" s="20" t="s">
        <v>452</v>
      </c>
      <c r="H279" s="68">
        <v>36.17</v>
      </c>
      <c r="M279" s="36"/>
      <c r="N279" s="5"/>
    </row>
    <row r="280" spans="1:64" x14ac:dyDescent="0.2">
      <c r="A280" s="6"/>
      <c r="B280" s="16" t="s">
        <v>160</v>
      </c>
      <c r="C280" s="94" t="s">
        <v>361</v>
      </c>
      <c r="D280" s="95"/>
      <c r="E280" s="95"/>
      <c r="F280" s="95"/>
      <c r="G280" s="22" t="s">
        <v>6</v>
      </c>
      <c r="H280" s="22" t="s">
        <v>6</v>
      </c>
      <c r="I280" s="22" t="s">
        <v>6</v>
      </c>
      <c r="J280" s="48">
        <f>SUM(J281:J281)</f>
        <v>0</v>
      </c>
      <c r="K280" s="48">
        <f>SUM(K281:K281)</f>
        <v>0</v>
      </c>
      <c r="L280" s="48">
        <f>SUM(L281:L281)</f>
        <v>0</v>
      </c>
      <c r="M280" s="37"/>
      <c r="N280" s="5"/>
      <c r="AI280" s="41"/>
      <c r="AS280" s="48">
        <f>SUM(AJ281:AJ281)</f>
        <v>0</v>
      </c>
      <c r="AT280" s="48">
        <f>SUM(AK281:AK281)</f>
        <v>0</v>
      </c>
      <c r="AU280" s="48">
        <f>SUM(AL281:AL281)</f>
        <v>0</v>
      </c>
    </row>
    <row r="281" spans="1:64" x14ac:dyDescent="0.2">
      <c r="A281" s="4" t="s">
        <v>70</v>
      </c>
      <c r="B281" s="14" t="s">
        <v>161</v>
      </c>
      <c r="C281" s="89" t="s">
        <v>362</v>
      </c>
      <c r="D281" s="90"/>
      <c r="E281" s="90"/>
      <c r="F281" s="90"/>
      <c r="G281" s="14" t="s">
        <v>459</v>
      </c>
      <c r="H281" s="67">
        <v>42.94</v>
      </c>
      <c r="I281" s="24">
        <v>0</v>
      </c>
      <c r="J281" s="24">
        <f>H281*AO281</f>
        <v>0</v>
      </c>
      <c r="K281" s="24">
        <f>H281*AP281</f>
        <v>0</v>
      </c>
      <c r="L281" s="24">
        <f>H281*I281</f>
        <v>0</v>
      </c>
      <c r="M281" s="35" t="s">
        <v>566</v>
      </c>
      <c r="N281" s="5"/>
      <c r="Z281" s="42">
        <f>IF(AQ281="5",BJ281,0)</f>
        <v>0</v>
      </c>
      <c r="AB281" s="42">
        <f>IF(AQ281="1",BH281,0)</f>
        <v>0</v>
      </c>
      <c r="AC281" s="42">
        <f>IF(AQ281="1",BI281,0)</f>
        <v>0</v>
      </c>
      <c r="AD281" s="42">
        <f>IF(AQ281="7",BH281,0)</f>
        <v>0</v>
      </c>
      <c r="AE281" s="42">
        <f>IF(AQ281="7",BI281,0)</f>
        <v>0</v>
      </c>
      <c r="AF281" s="42">
        <f>IF(AQ281="2",BH281,0)</f>
        <v>0</v>
      </c>
      <c r="AG281" s="42">
        <f>IF(AQ281="2",BI281,0)</f>
        <v>0</v>
      </c>
      <c r="AH281" s="42">
        <f>IF(AQ281="0",BJ281,0)</f>
        <v>0</v>
      </c>
      <c r="AI281" s="41"/>
      <c r="AJ281" s="24">
        <f>IF(AN281=0,L281,0)</f>
        <v>0</v>
      </c>
      <c r="AK281" s="24">
        <f>IF(AN281=15,L281,0)</f>
        <v>0</v>
      </c>
      <c r="AL281" s="24">
        <f>IF(AN281=21,L281,0)</f>
        <v>0</v>
      </c>
      <c r="AN281" s="42">
        <v>21</v>
      </c>
      <c r="AO281" s="42">
        <f>I281*0</f>
        <v>0</v>
      </c>
      <c r="AP281" s="42">
        <f>I281*(1-0)</f>
        <v>0</v>
      </c>
      <c r="AQ281" s="43" t="s">
        <v>11</v>
      </c>
      <c r="AV281" s="42">
        <f>AW281+AX281</f>
        <v>0</v>
      </c>
      <c r="AW281" s="42">
        <f>H281*AO281</f>
        <v>0</v>
      </c>
      <c r="AX281" s="42">
        <f>H281*AP281</f>
        <v>0</v>
      </c>
      <c r="AY281" s="45" t="s">
        <v>503</v>
      </c>
      <c r="AZ281" s="45" t="s">
        <v>514</v>
      </c>
      <c r="BA281" s="41" t="s">
        <v>515</v>
      </c>
      <c r="BC281" s="42">
        <f>AW281+AX281</f>
        <v>0</v>
      </c>
      <c r="BD281" s="42">
        <f>I281/(100-BE281)*100</f>
        <v>0</v>
      </c>
      <c r="BE281" s="42">
        <v>0</v>
      </c>
      <c r="BF281" s="42">
        <f>281</f>
        <v>281</v>
      </c>
      <c r="BH281" s="24">
        <f>H281*AO281</f>
        <v>0</v>
      </c>
      <c r="BI281" s="24">
        <f>H281*AP281</f>
        <v>0</v>
      </c>
      <c r="BJ281" s="24">
        <f>H281*I281</f>
        <v>0</v>
      </c>
      <c r="BK281" s="24" t="s">
        <v>520</v>
      </c>
      <c r="BL281" s="42" t="s">
        <v>160</v>
      </c>
    </row>
    <row r="282" spans="1:64" x14ac:dyDescent="0.2">
      <c r="A282" s="6"/>
      <c r="B282" s="16" t="s">
        <v>162</v>
      </c>
      <c r="C282" s="94" t="s">
        <v>363</v>
      </c>
      <c r="D282" s="95"/>
      <c r="E282" s="95"/>
      <c r="F282" s="95"/>
      <c r="G282" s="22" t="s">
        <v>6</v>
      </c>
      <c r="H282" s="22" t="s">
        <v>6</v>
      </c>
      <c r="I282" s="22" t="s">
        <v>6</v>
      </c>
      <c r="J282" s="48">
        <f>SUM(J283:J283)</f>
        <v>0</v>
      </c>
      <c r="K282" s="48">
        <f>SUM(K283:K283)</f>
        <v>0</v>
      </c>
      <c r="L282" s="48">
        <f>SUM(L283:L283)</f>
        <v>0</v>
      </c>
      <c r="M282" s="37"/>
      <c r="N282" s="5"/>
      <c r="AI282" s="41"/>
      <c r="AS282" s="48">
        <f>SUM(AJ283:AJ283)</f>
        <v>0</v>
      </c>
      <c r="AT282" s="48">
        <f>SUM(AK283:AK283)</f>
        <v>0</v>
      </c>
      <c r="AU282" s="48">
        <f>SUM(AL283:AL283)</f>
        <v>0</v>
      </c>
    </row>
    <row r="283" spans="1:64" x14ac:dyDescent="0.2">
      <c r="A283" s="4" t="s">
        <v>71</v>
      </c>
      <c r="B283" s="14" t="s">
        <v>163</v>
      </c>
      <c r="C283" s="89" t="s">
        <v>364</v>
      </c>
      <c r="D283" s="90"/>
      <c r="E283" s="90"/>
      <c r="F283" s="90"/>
      <c r="G283" s="14" t="s">
        <v>462</v>
      </c>
      <c r="H283" s="67">
        <v>500</v>
      </c>
      <c r="I283" s="24">
        <v>0</v>
      </c>
      <c r="J283" s="24">
        <f>H283*AO283</f>
        <v>0</v>
      </c>
      <c r="K283" s="24">
        <f>H283*AP283</f>
        <v>0</v>
      </c>
      <c r="L283" s="24">
        <f>H283*I283</f>
        <v>0</v>
      </c>
      <c r="M283" s="35"/>
      <c r="N283" s="5"/>
      <c r="Z283" s="42">
        <f>IF(AQ283="5",BJ283,0)</f>
        <v>0</v>
      </c>
      <c r="AB283" s="42">
        <f>IF(AQ283="1",BH283,0)</f>
        <v>0</v>
      </c>
      <c r="AC283" s="42">
        <f>IF(AQ283="1",BI283,0)</f>
        <v>0</v>
      </c>
      <c r="AD283" s="42">
        <f>IF(AQ283="7",BH283,0)</f>
        <v>0</v>
      </c>
      <c r="AE283" s="42">
        <f>IF(AQ283="7",BI283,0)</f>
        <v>0</v>
      </c>
      <c r="AF283" s="42">
        <f>IF(AQ283="2",BH283,0)</f>
        <v>0</v>
      </c>
      <c r="AG283" s="42">
        <f>IF(AQ283="2",BI283,0)</f>
        <v>0</v>
      </c>
      <c r="AH283" s="42">
        <f>IF(AQ283="0",BJ283,0)</f>
        <v>0</v>
      </c>
      <c r="AI283" s="41"/>
      <c r="AJ283" s="24">
        <f>IF(AN283=0,L283,0)</f>
        <v>0</v>
      </c>
      <c r="AK283" s="24">
        <f>IF(AN283=15,L283,0)</f>
        <v>0</v>
      </c>
      <c r="AL283" s="24">
        <f>IF(AN283=21,L283,0)</f>
        <v>0</v>
      </c>
      <c r="AN283" s="42">
        <v>21</v>
      </c>
      <c r="AO283" s="42">
        <f>I283*0</f>
        <v>0</v>
      </c>
      <c r="AP283" s="42">
        <f>I283*(1-0)</f>
        <v>0</v>
      </c>
      <c r="AQ283" s="43" t="s">
        <v>8</v>
      </c>
      <c r="AV283" s="42">
        <f>AW283+AX283</f>
        <v>0</v>
      </c>
      <c r="AW283" s="42">
        <f>H283*AO283</f>
        <v>0</v>
      </c>
      <c r="AX283" s="42">
        <f>H283*AP283</f>
        <v>0</v>
      </c>
      <c r="AY283" s="45" t="s">
        <v>504</v>
      </c>
      <c r="AZ283" s="45" t="s">
        <v>514</v>
      </c>
      <c r="BA283" s="41" t="s">
        <v>515</v>
      </c>
      <c r="BC283" s="42">
        <f>AW283+AX283</f>
        <v>0</v>
      </c>
      <c r="BD283" s="42">
        <f>I283/(100-BE283)*100</f>
        <v>0</v>
      </c>
      <c r="BE283" s="42">
        <v>0</v>
      </c>
      <c r="BF283" s="42">
        <f>283</f>
        <v>283</v>
      </c>
      <c r="BH283" s="24">
        <f>H283*AO283</f>
        <v>0</v>
      </c>
      <c r="BI283" s="24">
        <f>H283*AP283</f>
        <v>0</v>
      </c>
      <c r="BJ283" s="24">
        <f>H283*I283</f>
        <v>0</v>
      </c>
      <c r="BK283" s="24" t="s">
        <v>520</v>
      </c>
      <c r="BL283" s="42" t="s">
        <v>162</v>
      </c>
    </row>
    <row r="284" spans="1:64" x14ac:dyDescent="0.2">
      <c r="A284" s="5"/>
      <c r="C284" s="19" t="s">
        <v>365</v>
      </c>
      <c r="F284" s="20"/>
      <c r="H284" s="68">
        <v>500</v>
      </c>
      <c r="M284" s="36"/>
      <c r="N284" s="5"/>
    </row>
    <row r="285" spans="1:64" x14ac:dyDescent="0.2">
      <c r="A285" s="6"/>
      <c r="B285" s="16" t="s">
        <v>164</v>
      </c>
      <c r="C285" s="94" t="s">
        <v>366</v>
      </c>
      <c r="D285" s="95"/>
      <c r="E285" s="95"/>
      <c r="F285" s="95"/>
      <c r="G285" s="22" t="s">
        <v>6</v>
      </c>
      <c r="H285" s="22" t="s">
        <v>6</v>
      </c>
      <c r="I285" s="22" t="s">
        <v>6</v>
      </c>
      <c r="J285" s="48">
        <f>SUM(J286:J300)</f>
        <v>0</v>
      </c>
      <c r="K285" s="48">
        <f>SUM(K286:K300)</f>
        <v>0</v>
      </c>
      <c r="L285" s="48">
        <f>SUM(L286:L300)</f>
        <v>0</v>
      </c>
      <c r="M285" s="37"/>
      <c r="N285" s="5"/>
      <c r="AI285" s="41"/>
      <c r="AS285" s="48">
        <f>SUM(AJ286:AJ300)</f>
        <v>0</v>
      </c>
      <c r="AT285" s="48">
        <f>SUM(AK286:AK300)</f>
        <v>0</v>
      </c>
      <c r="AU285" s="48">
        <f>SUM(AL286:AL300)</f>
        <v>0</v>
      </c>
    </row>
    <row r="286" spans="1:64" x14ac:dyDescent="0.2">
      <c r="A286" s="4" t="s">
        <v>72</v>
      </c>
      <c r="B286" s="14" t="s">
        <v>165</v>
      </c>
      <c r="C286" s="89" t="s">
        <v>367</v>
      </c>
      <c r="D286" s="90"/>
      <c r="E286" s="90"/>
      <c r="F286" s="90"/>
      <c r="G286" s="14" t="s">
        <v>459</v>
      </c>
      <c r="H286" s="67">
        <v>44.91</v>
      </c>
      <c r="I286" s="24">
        <v>0</v>
      </c>
      <c r="J286" s="24">
        <f>H286*AO286</f>
        <v>0</v>
      </c>
      <c r="K286" s="24">
        <f>H286*AP286</f>
        <v>0</v>
      </c>
      <c r="L286" s="24">
        <f>H286*I286</f>
        <v>0</v>
      </c>
      <c r="M286" s="35" t="s">
        <v>566</v>
      </c>
      <c r="N286" s="5"/>
      <c r="Z286" s="42">
        <f>IF(AQ286="5",BJ286,0)</f>
        <v>0</v>
      </c>
      <c r="AB286" s="42">
        <f>IF(AQ286="1",BH286,0)</f>
        <v>0</v>
      </c>
      <c r="AC286" s="42">
        <f>IF(AQ286="1",BI286,0)</f>
        <v>0</v>
      </c>
      <c r="AD286" s="42">
        <f>IF(AQ286="7",BH286,0)</f>
        <v>0</v>
      </c>
      <c r="AE286" s="42">
        <f>IF(AQ286="7",BI286,0)</f>
        <v>0</v>
      </c>
      <c r="AF286" s="42">
        <f>IF(AQ286="2",BH286,0)</f>
        <v>0</v>
      </c>
      <c r="AG286" s="42">
        <f>IF(AQ286="2",BI286,0)</f>
        <v>0</v>
      </c>
      <c r="AH286" s="42">
        <f>IF(AQ286="0",BJ286,0)</f>
        <v>0</v>
      </c>
      <c r="AI286" s="41"/>
      <c r="AJ286" s="24">
        <f>IF(AN286=0,L286,0)</f>
        <v>0</v>
      </c>
      <c r="AK286" s="24">
        <f>IF(AN286=15,L286,0)</f>
        <v>0</v>
      </c>
      <c r="AL286" s="24">
        <f>IF(AN286=21,L286,0)</f>
        <v>0</v>
      </c>
      <c r="AN286" s="42">
        <v>21</v>
      </c>
      <c r="AO286" s="42">
        <f>I286*0</f>
        <v>0</v>
      </c>
      <c r="AP286" s="42">
        <f>I286*(1-0)</f>
        <v>0</v>
      </c>
      <c r="AQ286" s="43" t="s">
        <v>11</v>
      </c>
      <c r="AV286" s="42">
        <f>AW286+AX286</f>
        <v>0</v>
      </c>
      <c r="AW286" s="42">
        <f>H286*AO286</f>
        <v>0</v>
      </c>
      <c r="AX286" s="42">
        <f>H286*AP286</f>
        <v>0</v>
      </c>
      <c r="AY286" s="45" t="s">
        <v>505</v>
      </c>
      <c r="AZ286" s="45" t="s">
        <v>514</v>
      </c>
      <c r="BA286" s="41" t="s">
        <v>515</v>
      </c>
      <c r="BC286" s="42">
        <f>AW286+AX286</f>
        <v>0</v>
      </c>
      <c r="BD286" s="42">
        <f>I286/(100-BE286)*100</f>
        <v>0</v>
      </c>
      <c r="BE286" s="42">
        <v>0</v>
      </c>
      <c r="BF286" s="42">
        <f>286</f>
        <v>286</v>
      </c>
      <c r="BH286" s="24">
        <f>H286*AO286</f>
        <v>0</v>
      </c>
      <c r="BI286" s="24">
        <f>H286*AP286</f>
        <v>0</v>
      </c>
      <c r="BJ286" s="24">
        <f>H286*I286</f>
        <v>0</v>
      </c>
      <c r="BK286" s="24" t="s">
        <v>520</v>
      </c>
      <c r="BL286" s="42" t="s">
        <v>164</v>
      </c>
    </row>
    <row r="287" spans="1:64" x14ac:dyDescent="0.2">
      <c r="A287" s="4" t="s">
        <v>73</v>
      </c>
      <c r="B287" s="14" t="s">
        <v>166</v>
      </c>
      <c r="C287" s="89" t="s">
        <v>368</v>
      </c>
      <c r="D287" s="90"/>
      <c r="E287" s="90"/>
      <c r="F287" s="90"/>
      <c r="G287" s="14" t="s">
        <v>459</v>
      </c>
      <c r="H287" s="67">
        <v>44.91</v>
      </c>
      <c r="I287" s="24">
        <v>0</v>
      </c>
      <c r="J287" s="24">
        <f>H287*AO287</f>
        <v>0</v>
      </c>
      <c r="K287" s="24">
        <f>H287*AP287</f>
        <v>0</v>
      </c>
      <c r="L287" s="24">
        <f>H287*I287</f>
        <v>0</v>
      </c>
      <c r="M287" s="35" t="s">
        <v>566</v>
      </c>
      <c r="N287" s="5"/>
      <c r="Z287" s="42">
        <f>IF(AQ287="5",BJ287,0)</f>
        <v>0</v>
      </c>
      <c r="AB287" s="42">
        <f>IF(AQ287="1",BH287,0)</f>
        <v>0</v>
      </c>
      <c r="AC287" s="42">
        <f>IF(AQ287="1",BI287,0)</f>
        <v>0</v>
      </c>
      <c r="AD287" s="42">
        <f>IF(AQ287="7",BH287,0)</f>
        <v>0</v>
      </c>
      <c r="AE287" s="42">
        <f>IF(AQ287="7",BI287,0)</f>
        <v>0</v>
      </c>
      <c r="AF287" s="42">
        <f>IF(AQ287="2",BH287,0)</f>
        <v>0</v>
      </c>
      <c r="AG287" s="42">
        <f>IF(AQ287="2",BI287,0)</f>
        <v>0</v>
      </c>
      <c r="AH287" s="42">
        <f>IF(AQ287="0",BJ287,0)</f>
        <v>0</v>
      </c>
      <c r="AI287" s="41"/>
      <c r="AJ287" s="24">
        <f>IF(AN287=0,L287,0)</f>
        <v>0</v>
      </c>
      <c r="AK287" s="24">
        <f>IF(AN287=15,L287,0)</f>
        <v>0</v>
      </c>
      <c r="AL287" s="24">
        <f>IF(AN287=21,L287,0)</f>
        <v>0</v>
      </c>
      <c r="AN287" s="42">
        <v>21</v>
      </c>
      <c r="AO287" s="42">
        <f>I287*0.00978963049018138</f>
        <v>0</v>
      </c>
      <c r="AP287" s="42">
        <f>I287*(1-0.00978963049018138)</f>
        <v>0</v>
      </c>
      <c r="AQ287" s="43" t="s">
        <v>11</v>
      </c>
      <c r="AV287" s="42">
        <f>AW287+AX287</f>
        <v>0</v>
      </c>
      <c r="AW287" s="42">
        <f>H287*AO287</f>
        <v>0</v>
      </c>
      <c r="AX287" s="42">
        <f>H287*AP287</f>
        <v>0</v>
      </c>
      <c r="AY287" s="45" t="s">
        <v>505</v>
      </c>
      <c r="AZ287" s="45" t="s">
        <v>514</v>
      </c>
      <c r="BA287" s="41" t="s">
        <v>515</v>
      </c>
      <c r="BC287" s="42">
        <f>AW287+AX287</f>
        <v>0</v>
      </c>
      <c r="BD287" s="42">
        <f>I287/(100-BE287)*100</f>
        <v>0</v>
      </c>
      <c r="BE287" s="42">
        <v>0</v>
      </c>
      <c r="BF287" s="42">
        <f>287</f>
        <v>287</v>
      </c>
      <c r="BH287" s="24">
        <f>H287*AO287</f>
        <v>0</v>
      </c>
      <c r="BI287" s="24">
        <f>H287*AP287</f>
        <v>0</v>
      </c>
      <c r="BJ287" s="24">
        <f>H287*I287</f>
        <v>0</v>
      </c>
      <c r="BK287" s="24" t="s">
        <v>520</v>
      </c>
      <c r="BL287" s="42" t="s">
        <v>164</v>
      </c>
    </row>
    <row r="288" spans="1:64" x14ac:dyDescent="0.2">
      <c r="A288" s="5"/>
      <c r="C288" s="19" t="s">
        <v>369</v>
      </c>
      <c r="F288" s="20"/>
      <c r="H288" s="68">
        <v>44.91</v>
      </c>
      <c r="M288" s="36"/>
      <c r="N288" s="5"/>
    </row>
    <row r="289" spans="1:64" x14ac:dyDescent="0.2">
      <c r="A289" s="4" t="s">
        <v>74</v>
      </c>
      <c r="B289" s="14" t="s">
        <v>167</v>
      </c>
      <c r="C289" s="89" t="s">
        <v>370</v>
      </c>
      <c r="D289" s="90"/>
      <c r="E289" s="90"/>
      <c r="F289" s="90"/>
      <c r="G289" s="14" t="s">
        <v>459</v>
      </c>
      <c r="H289" s="67">
        <v>44.91</v>
      </c>
      <c r="I289" s="24">
        <v>0</v>
      </c>
      <c r="J289" s="24">
        <f>H289*AO289</f>
        <v>0</v>
      </c>
      <c r="K289" s="24">
        <f>H289*AP289</f>
        <v>0</v>
      </c>
      <c r="L289" s="24">
        <f>H289*I289</f>
        <v>0</v>
      </c>
      <c r="M289" s="35" t="s">
        <v>566</v>
      </c>
      <c r="N289" s="5"/>
      <c r="Z289" s="42">
        <f>IF(AQ289="5",BJ289,0)</f>
        <v>0</v>
      </c>
      <c r="AB289" s="42">
        <f>IF(AQ289="1",BH289,0)</f>
        <v>0</v>
      </c>
      <c r="AC289" s="42">
        <f>IF(AQ289="1",BI289,0)</f>
        <v>0</v>
      </c>
      <c r="AD289" s="42">
        <f>IF(AQ289="7",BH289,0)</f>
        <v>0</v>
      </c>
      <c r="AE289" s="42">
        <f>IF(AQ289="7",BI289,0)</f>
        <v>0</v>
      </c>
      <c r="AF289" s="42">
        <f>IF(AQ289="2",BH289,0)</f>
        <v>0</v>
      </c>
      <c r="AG289" s="42">
        <f>IF(AQ289="2",BI289,0)</f>
        <v>0</v>
      </c>
      <c r="AH289" s="42">
        <f>IF(AQ289="0",BJ289,0)</f>
        <v>0</v>
      </c>
      <c r="AI289" s="41"/>
      <c r="AJ289" s="24">
        <f>IF(AN289=0,L289,0)</f>
        <v>0</v>
      </c>
      <c r="AK289" s="24">
        <f>IF(AN289=15,L289,0)</f>
        <v>0</v>
      </c>
      <c r="AL289" s="24">
        <f>IF(AN289=21,L289,0)</f>
        <v>0</v>
      </c>
      <c r="AN289" s="42">
        <v>21</v>
      </c>
      <c r="AO289" s="42">
        <f>I289*0</f>
        <v>0</v>
      </c>
      <c r="AP289" s="42">
        <f>I289*(1-0)</f>
        <v>0</v>
      </c>
      <c r="AQ289" s="43" t="s">
        <v>11</v>
      </c>
      <c r="AV289" s="42">
        <f>AW289+AX289</f>
        <v>0</v>
      </c>
      <c r="AW289" s="42">
        <f>H289*AO289</f>
        <v>0</v>
      </c>
      <c r="AX289" s="42">
        <f>H289*AP289</f>
        <v>0</v>
      </c>
      <c r="AY289" s="45" t="s">
        <v>505</v>
      </c>
      <c r="AZ289" s="45" t="s">
        <v>514</v>
      </c>
      <c r="BA289" s="41" t="s">
        <v>515</v>
      </c>
      <c r="BC289" s="42">
        <f>AW289+AX289</f>
        <v>0</v>
      </c>
      <c r="BD289" s="42">
        <f>I289/(100-BE289)*100</f>
        <v>0</v>
      </c>
      <c r="BE289" s="42">
        <v>0</v>
      </c>
      <c r="BF289" s="42">
        <f>289</f>
        <v>289</v>
      </c>
      <c r="BH289" s="24">
        <f>H289*AO289</f>
        <v>0</v>
      </c>
      <c r="BI289" s="24">
        <f>H289*AP289</f>
        <v>0</v>
      </c>
      <c r="BJ289" s="24">
        <f>H289*I289</f>
        <v>0</v>
      </c>
      <c r="BK289" s="24" t="s">
        <v>520</v>
      </c>
      <c r="BL289" s="42" t="s">
        <v>164</v>
      </c>
    </row>
    <row r="290" spans="1:64" x14ac:dyDescent="0.2">
      <c r="A290" s="5"/>
      <c r="C290" s="19" t="s">
        <v>369</v>
      </c>
      <c r="F290" s="20"/>
      <c r="H290" s="68">
        <v>44.91</v>
      </c>
      <c r="M290" s="36"/>
      <c r="N290" s="5"/>
    </row>
    <row r="291" spans="1:64" x14ac:dyDescent="0.2">
      <c r="A291" s="4" t="s">
        <v>75</v>
      </c>
      <c r="B291" s="14" t="s">
        <v>168</v>
      </c>
      <c r="C291" s="89" t="s">
        <v>371</v>
      </c>
      <c r="D291" s="90"/>
      <c r="E291" s="90"/>
      <c r="F291" s="90"/>
      <c r="G291" s="14" t="s">
        <v>459</v>
      </c>
      <c r="H291" s="67">
        <v>179.64</v>
      </c>
      <c r="I291" s="24">
        <v>0</v>
      </c>
      <c r="J291" s="24">
        <f>H291*AO291</f>
        <v>0</v>
      </c>
      <c r="K291" s="24">
        <f>H291*AP291</f>
        <v>0</v>
      </c>
      <c r="L291" s="24">
        <f>H291*I291</f>
        <v>0</v>
      </c>
      <c r="M291" s="35" t="s">
        <v>566</v>
      </c>
      <c r="N291" s="5"/>
      <c r="Z291" s="42">
        <f>IF(AQ291="5",BJ291,0)</f>
        <v>0</v>
      </c>
      <c r="AB291" s="42">
        <f>IF(AQ291="1",BH291,0)</f>
        <v>0</v>
      </c>
      <c r="AC291" s="42">
        <f>IF(AQ291="1",BI291,0)</f>
        <v>0</v>
      </c>
      <c r="AD291" s="42">
        <f>IF(AQ291="7",BH291,0)</f>
        <v>0</v>
      </c>
      <c r="AE291" s="42">
        <f>IF(AQ291="7",BI291,0)</f>
        <v>0</v>
      </c>
      <c r="AF291" s="42">
        <f>IF(AQ291="2",BH291,0)</f>
        <v>0</v>
      </c>
      <c r="AG291" s="42">
        <f>IF(AQ291="2",BI291,0)</f>
        <v>0</v>
      </c>
      <c r="AH291" s="42">
        <f>IF(AQ291="0",BJ291,0)</f>
        <v>0</v>
      </c>
      <c r="AI291" s="41"/>
      <c r="AJ291" s="24">
        <f>IF(AN291=0,L291,0)</f>
        <v>0</v>
      </c>
      <c r="AK291" s="24">
        <f>IF(AN291=15,L291,0)</f>
        <v>0</v>
      </c>
      <c r="AL291" s="24">
        <f>IF(AN291=21,L291,0)</f>
        <v>0</v>
      </c>
      <c r="AN291" s="42">
        <v>21</v>
      </c>
      <c r="AO291" s="42">
        <f>I291*0</f>
        <v>0</v>
      </c>
      <c r="AP291" s="42">
        <f>I291*(1-0)</f>
        <v>0</v>
      </c>
      <c r="AQ291" s="43" t="s">
        <v>11</v>
      </c>
      <c r="AV291" s="42">
        <f>AW291+AX291</f>
        <v>0</v>
      </c>
      <c r="AW291" s="42">
        <f>H291*AO291</f>
        <v>0</v>
      </c>
      <c r="AX291" s="42">
        <f>H291*AP291</f>
        <v>0</v>
      </c>
      <c r="AY291" s="45" t="s">
        <v>505</v>
      </c>
      <c r="AZ291" s="45" t="s">
        <v>514</v>
      </c>
      <c r="BA291" s="41" t="s">
        <v>515</v>
      </c>
      <c r="BC291" s="42">
        <f>AW291+AX291</f>
        <v>0</v>
      </c>
      <c r="BD291" s="42">
        <f>I291/(100-BE291)*100</f>
        <v>0</v>
      </c>
      <c r="BE291" s="42">
        <v>0</v>
      </c>
      <c r="BF291" s="42">
        <f>291</f>
        <v>291</v>
      </c>
      <c r="BH291" s="24">
        <f>H291*AO291</f>
        <v>0</v>
      </c>
      <c r="BI291" s="24">
        <f>H291*AP291</f>
        <v>0</v>
      </c>
      <c r="BJ291" s="24">
        <f>H291*I291</f>
        <v>0</v>
      </c>
      <c r="BK291" s="24" t="s">
        <v>520</v>
      </c>
      <c r="BL291" s="42" t="s">
        <v>164</v>
      </c>
    </row>
    <row r="292" spans="1:64" x14ac:dyDescent="0.2">
      <c r="A292" s="5"/>
      <c r="C292" s="19" t="s">
        <v>372</v>
      </c>
      <c r="F292" s="20" t="s">
        <v>453</v>
      </c>
      <c r="H292" s="68">
        <v>179.64</v>
      </c>
      <c r="M292" s="36"/>
      <c r="N292" s="5"/>
    </row>
    <row r="293" spans="1:64" x14ac:dyDescent="0.2">
      <c r="A293" s="4" t="s">
        <v>76</v>
      </c>
      <c r="B293" s="14" t="s">
        <v>169</v>
      </c>
      <c r="C293" s="89" t="s">
        <v>373</v>
      </c>
      <c r="D293" s="90"/>
      <c r="E293" s="90"/>
      <c r="F293" s="90"/>
      <c r="G293" s="14" t="s">
        <v>459</v>
      </c>
      <c r="H293" s="67">
        <v>44.91</v>
      </c>
      <c r="I293" s="24">
        <v>0</v>
      </c>
      <c r="J293" s="24">
        <f>H293*AO293</f>
        <v>0</v>
      </c>
      <c r="K293" s="24">
        <f>H293*AP293</f>
        <v>0</v>
      </c>
      <c r="L293" s="24">
        <f>H293*I293</f>
        <v>0</v>
      </c>
      <c r="M293" s="35" t="s">
        <v>566</v>
      </c>
      <c r="N293" s="5"/>
      <c r="Z293" s="42">
        <f>IF(AQ293="5",BJ293,0)</f>
        <v>0</v>
      </c>
      <c r="AB293" s="42">
        <f>IF(AQ293="1",BH293,0)</f>
        <v>0</v>
      </c>
      <c r="AC293" s="42">
        <f>IF(AQ293="1",BI293,0)</f>
        <v>0</v>
      </c>
      <c r="AD293" s="42">
        <f>IF(AQ293="7",BH293,0)</f>
        <v>0</v>
      </c>
      <c r="AE293" s="42">
        <f>IF(AQ293="7",BI293,0)</f>
        <v>0</v>
      </c>
      <c r="AF293" s="42">
        <f>IF(AQ293="2",BH293,0)</f>
        <v>0</v>
      </c>
      <c r="AG293" s="42">
        <f>IF(AQ293="2",BI293,0)</f>
        <v>0</v>
      </c>
      <c r="AH293" s="42">
        <f>IF(AQ293="0",BJ293,0)</f>
        <v>0</v>
      </c>
      <c r="AI293" s="41"/>
      <c r="AJ293" s="24">
        <f>IF(AN293=0,L293,0)</f>
        <v>0</v>
      </c>
      <c r="AK293" s="24">
        <f>IF(AN293=15,L293,0)</f>
        <v>0</v>
      </c>
      <c r="AL293" s="24">
        <f>IF(AN293=21,L293,0)</f>
        <v>0</v>
      </c>
      <c r="AN293" s="42">
        <v>21</v>
      </c>
      <c r="AO293" s="42">
        <f>I293*0</f>
        <v>0</v>
      </c>
      <c r="AP293" s="42">
        <f>I293*(1-0)</f>
        <v>0</v>
      </c>
      <c r="AQ293" s="43" t="s">
        <v>11</v>
      </c>
      <c r="AV293" s="42">
        <f>AW293+AX293</f>
        <v>0</v>
      </c>
      <c r="AW293" s="42">
        <f>H293*AO293</f>
        <v>0</v>
      </c>
      <c r="AX293" s="42">
        <f>H293*AP293</f>
        <v>0</v>
      </c>
      <c r="AY293" s="45" t="s">
        <v>505</v>
      </c>
      <c r="AZ293" s="45" t="s">
        <v>514</v>
      </c>
      <c r="BA293" s="41" t="s">
        <v>515</v>
      </c>
      <c r="BC293" s="42">
        <f>AW293+AX293</f>
        <v>0</v>
      </c>
      <c r="BD293" s="42">
        <f>I293/(100-BE293)*100</f>
        <v>0</v>
      </c>
      <c r="BE293" s="42">
        <v>0</v>
      </c>
      <c r="BF293" s="42">
        <f>293</f>
        <v>293</v>
      </c>
      <c r="BH293" s="24">
        <f>H293*AO293</f>
        <v>0</v>
      </c>
      <c r="BI293" s="24">
        <f>H293*AP293</f>
        <v>0</v>
      </c>
      <c r="BJ293" s="24">
        <f>H293*I293</f>
        <v>0</v>
      </c>
      <c r="BK293" s="24" t="s">
        <v>520</v>
      </c>
      <c r="BL293" s="42" t="s">
        <v>164</v>
      </c>
    </row>
    <row r="294" spans="1:64" x14ac:dyDescent="0.2">
      <c r="A294" s="5"/>
      <c r="C294" s="19" t="s">
        <v>369</v>
      </c>
      <c r="F294" s="20"/>
      <c r="H294" s="68">
        <v>44.91</v>
      </c>
      <c r="M294" s="36"/>
      <c r="N294" s="5"/>
    </row>
    <row r="295" spans="1:64" x14ac:dyDescent="0.2">
      <c r="A295" s="4" t="s">
        <v>77</v>
      </c>
      <c r="B295" s="14" t="s">
        <v>170</v>
      </c>
      <c r="C295" s="89" t="s">
        <v>374</v>
      </c>
      <c r="D295" s="90"/>
      <c r="E295" s="90"/>
      <c r="F295" s="90"/>
      <c r="G295" s="14" t="s">
        <v>459</v>
      </c>
      <c r="H295" s="67">
        <v>44.91</v>
      </c>
      <c r="I295" s="24">
        <v>0</v>
      </c>
      <c r="J295" s="24">
        <f>H295*AO295</f>
        <v>0</v>
      </c>
      <c r="K295" s="24">
        <f>H295*AP295</f>
        <v>0</v>
      </c>
      <c r="L295" s="24">
        <f>H295*I295</f>
        <v>0</v>
      </c>
      <c r="M295" s="35" t="s">
        <v>566</v>
      </c>
      <c r="N295" s="5"/>
      <c r="Z295" s="42">
        <f>IF(AQ295="5",BJ295,0)</f>
        <v>0</v>
      </c>
      <c r="AB295" s="42">
        <f>IF(AQ295="1",BH295,0)</f>
        <v>0</v>
      </c>
      <c r="AC295" s="42">
        <f>IF(AQ295="1",BI295,0)</f>
        <v>0</v>
      </c>
      <c r="AD295" s="42">
        <f>IF(AQ295="7",BH295,0)</f>
        <v>0</v>
      </c>
      <c r="AE295" s="42">
        <f>IF(AQ295="7",BI295,0)</f>
        <v>0</v>
      </c>
      <c r="AF295" s="42">
        <f>IF(AQ295="2",BH295,0)</f>
        <v>0</v>
      </c>
      <c r="AG295" s="42">
        <f>IF(AQ295="2",BI295,0)</f>
        <v>0</v>
      </c>
      <c r="AH295" s="42">
        <f>IF(AQ295="0",BJ295,0)</f>
        <v>0</v>
      </c>
      <c r="AI295" s="41"/>
      <c r="AJ295" s="24">
        <f>IF(AN295=0,L295,0)</f>
        <v>0</v>
      </c>
      <c r="AK295" s="24">
        <f>IF(AN295=15,L295,0)</f>
        <v>0</v>
      </c>
      <c r="AL295" s="24">
        <f>IF(AN295=21,L295,0)</f>
        <v>0</v>
      </c>
      <c r="AN295" s="42">
        <v>21</v>
      </c>
      <c r="AO295" s="42">
        <f>I295*0</f>
        <v>0</v>
      </c>
      <c r="AP295" s="42">
        <f>I295*(1-0)</f>
        <v>0</v>
      </c>
      <c r="AQ295" s="43" t="s">
        <v>11</v>
      </c>
      <c r="AV295" s="42">
        <f>AW295+AX295</f>
        <v>0</v>
      </c>
      <c r="AW295" s="42">
        <f>H295*AO295</f>
        <v>0</v>
      </c>
      <c r="AX295" s="42">
        <f>H295*AP295</f>
        <v>0</v>
      </c>
      <c r="AY295" s="45" t="s">
        <v>505</v>
      </c>
      <c r="AZ295" s="45" t="s">
        <v>514</v>
      </c>
      <c r="BA295" s="41" t="s">
        <v>515</v>
      </c>
      <c r="BC295" s="42">
        <f>AW295+AX295</f>
        <v>0</v>
      </c>
      <c r="BD295" s="42">
        <f>I295/(100-BE295)*100</f>
        <v>0</v>
      </c>
      <c r="BE295" s="42">
        <v>0</v>
      </c>
      <c r="BF295" s="42">
        <f>295</f>
        <v>295</v>
      </c>
      <c r="BH295" s="24">
        <f>H295*AO295</f>
        <v>0</v>
      </c>
      <c r="BI295" s="24">
        <f>H295*AP295</f>
        <v>0</v>
      </c>
      <c r="BJ295" s="24">
        <f>H295*I295</f>
        <v>0</v>
      </c>
      <c r="BK295" s="24" t="s">
        <v>520</v>
      </c>
      <c r="BL295" s="42" t="s">
        <v>164</v>
      </c>
    </row>
    <row r="296" spans="1:64" x14ac:dyDescent="0.2">
      <c r="A296" s="5"/>
      <c r="C296" s="19" t="s">
        <v>369</v>
      </c>
      <c r="F296" s="20"/>
      <c r="H296" s="68">
        <v>44.91</v>
      </c>
      <c r="M296" s="36"/>
      <c r="N296" s="5"/>
    </row>
    <row r="297" spans="1:64" x14ac:dyDescent="0.2">
      <c r="A297" s="4" t="s">
        <v>78</v>
      </c>
      <c r="B297" s="14" t="s">
        <v>171</v>
      </c>
      <c r="C297" s="89" t="s">
        <v>375</v>
      </c>
      <c r="D297" s="90"/>
      <c r="E297" s="90"/>
      <c r="F297" s="90"/>
      <c r="G297" s="14" t="s">
        <v>459</v>
      </c>
      <c r="H297" s="67">
        <v>36.468000000000004</v>
      </c>
      <c r="I297" s="24">
        <v>0</v>
      </c>
      <c r="J297" s="24">
        <f>H297*AO297</f>
        <v>0</v>
      </c>
      <c r="K297" s="24">
        <f>H297*AP297</f>
        <v>0</v>
      </c>
      <c r="L297" s="24">
        <f>H297*I297</f>
        <v>0</v>
      </c>
      <c r="M297" s="35" t="s">
        <v>566</v>
      </c>
      <c r="N297" s="5"/>
      <c r="Z297" s="42">
        <f>IF(AQ297="5",BJ297,0)</f>
        <v>0</v>
      </c>
      <c r="AB297" s="42">
        <f>IF(AQ297="1",BH297,0)</f>
        <v>0</v>
      </c>
      <c r="AC297" s="42">
        <f>IF(AQ297="1",BI297,0)</f>
        <v>0</v>
      </c>
      <c r="AD297" s="42">
        <f>IF(AQ297="7",BH297,0)</f>
        <v>0</v>
      </c>
      <c r="AE297" s="42">
        <f>IF(AQ297="7",BI297,0)</f>
        <v>0</v>
      </c>
      <c r="AF297" s="42">
        <f>IF(AQ297="2",BH297,0)</f>
        <v>0</v>
      </c>
      <c r="AG297" s="42">
        <f>IF(AQ297="2",BI297,0)</f>
        <v>0</v>
      </c>
      <c r="AH297" s="42">
        <f>IF(AQ297="0",BJ297,0)</f>
        <v>0</v>
      </c>
      <c r="AI297" s="41"/>
      <c r="AJ297" s="24">
        <f>IF(AN297=0,L297,0)</f>
        <v>0</v>
      </c>
      <c r="AK297" s="24">
        <f>IF(AN297=15,L297,0)</f>
        <v>0</v>
      </c>
      <c r="AL297" s="24">
        <f>IF(AN297=21,L297,0)</f>
        <v>0</v>
      </c>
      <c r="AN297" s="42">
        <v>21</v>
      </c>
      <c r="AO297" s="42">
        <f>I297*0</f>
        <v>0</v>
      </c>
      <c r="AP297" s="42">
        <f>I297*(1-0)</f>
        <v>0</v>
      </c>
      <c r="AQ297" s="43" t="s">
        <v>11</v>
      </c>
      <c r="AV297" s="42">
        <f>AW297+AX297</f>
        <v>0</v>
      </c>
      <c r="AW297" s="42">
        <f>H297*AO297</f>
        <v>0</v>
      </c>
      <c r="AX297" s="42">
        <f>H297*AP297</f>
        <v>0</v>
      </c>
      <c r="AY297" s="45" t="s">
        <v>505</v>
      </c>
      <c r="AZ297" s="45" t="s">
        <v>514</v>
      </c>
      <c r="BA297" s="41" t="s">
        <v>515</v>
      </c>
      <c r="BC297" s="42">
        <f>AW297+AX297</f>
        <v>0</v>
      </c>
      <c r="BD297" s="42">
        <f>I297/(100-BE297)*100</f>
        <v>0</v>
      </c>
      <c r="BE297" s="42">
        <v>0</v>
      </c>
      <c r="BF297" s="42">
        <f>297</f>
        <v>297</v>
      </c>
      <c r="BH297" s="24">
        <f>H297*AO297</f>
        <v>0</v>
      </c>
      <c r="BI297" s="24">
        <f>H297*AP297</f>
        <v>0</v>
      </c>
      <c r="BJ297" s="24">
        <f>H297*I297</f>
        <v>0</v>
      </c>
      <c r="BK297" s="24" t="s">
        <v>520</v>
      </c>
      <c r="BL297" s="42" t="s">
        <v>164</v>
      </c>
    </row>
    <row r="298" spans="1:64" x14ac:dyDescent="0.2">
      <c r="A298" s="5"/>
      <c r="C298" s="19" t="s">
        <v>376</v>
      </c>
      <c r="F298" s="20"/>
      <c r="H298" s="68">
        <v>36.468000000000004</v>
      </c>
      <c r="M298" s="36"/>
      <c r="N298" s="5"/>
    </row>
    <row r="299" spans="1:64" x14ac:dyDescent="0.2">
      <c r="A299" s="4" t="s">
        <v>79</v>
      </c>
      <c r="B299" s="14" t="s">
        <v>172</v>
      </c>
      <c r="C299" s="89" t="s">
        <v>377</v>
      </c>
      <c r="D299" s="90"/>
      <c r="E299" s="90"/>
      <c r="F299" s="90"/>
      <c r="G299" s="14" t="s">
        <v>459</v>
      </c>
      <c r="H299" s="67">
        <v>0.248</v>
      </c>
      <c r="I299" s="24">
        <v>0</v>
      </c>
      <c r="J299" s="24">
        <f>H299*AO299</f>
        <v>0</v>
      </c>
      <c r="K299" s="24">
        <f>H299*AP299</f>
        <v>0</v>
      </c>
      <c r="L299" s="24">
        <f>H299*I299</f>
        <v>0</v>
      </c>
      <c r="M299" s="35" t="s">
        <v>566</v>
      </c>
      <c r="N299" s="5"/>
      <c r="Z299" s="42">
        <f>IF(AQ299="5",BJ299,0)</f>
        <v>0</v>
      </c>
      <c r="AB299" s="42">
        <f>IF(AQ299="1",BH299,0)</f>
        <v>0</v>
      </c>
      <c r="AC299" s="42">
        <f>IF(AQ299="1",BI299,0)</f>
        <v>0</v>
      </c>
      <c r="AD299" s="42">
        <f>IF(AQ299="7",BH299,0)</f>
        <v>0</v>
      </c>
      <c r="AE299" s="42">
        <f>IF(AQ299="7",BI299,0)</f>
        <v>0</v>
      </c>
      <c r="AF299" s="42">
        <f>IF(AQ299="2",BH299,0)</f>
        <v>0</v>
      </c>
      <c r="AG299" s="42">
        <f>IF(AQ299="2",BI299,0)</f>
        <v>0</v>
      </c>
      <c r="AH299" s="42">
        <f>IF(AQ299="0",BJ299,0)</f>
        <v>0</v>
      </c>
      <c r="AI299" s="41"/>
      <c r="AJ299" s="24">
        <f>IF(AN299=0,L299,0)</f>
        <v>0</v>
      </c>
      <c r="AK299" s="24">
        <f>IF(AN299=15,L299,0)</f>
        <v>0</v>
      </c>
      <c r="AL299" s="24">
        <f>IF(AN299=21,L299,0)</f>
        <v>0</v>
      </c>
      <c r="AN299" s="42">
        <v>21</v>
      </c>
      <c r="AO299" s="42">
        <f>I299*0</f>
        <v>0</v>
      </c>
      <c r="AP299" s="42">
        <f>I299*(1-0)</f>
        <v>0</v>
      </c>
      <c r="AQ299" s="43" t="s">
        <v>11</v>
      </c>
      <c r="AV299" s="42">
        <f>AW299+AX299</f>
        <v>0</v>
      </c>
      <c r="AW299" s="42">
        <f>H299*AO299</f>
        <v>0</v>
      </c>
      <c r="AX299" s="42">
        <f>H299*AP299</f>
        <v>0</v>
      </c>
      <c r="AY299" s="45" t="s">
        <v>505</v>
      </c>
      <c r="AZ299" s="45" t="s">
        <v>514</v>
      </c>
      <c r="BA299" s="41" t="s">
        <v>515</v>
      </c>
      <c r="BC299" s="42">
        <f>AW299+AX299</f>
        <v>0</v>
      </c>
      <c r="BD299" s="42">
        <f>I299/(100-BE299)*100</f>
        <v>0</v>
      </c>
      <c r="BE299" s="42">
        <v>0</v>
      </c>
      <c r="BF299" s="42">
        <f>299</f>
        <v>299</v>
      </c>
      <c r="BH299" s="24">
        <f>H299*AO299</f>
        <v>0</v>
      </c>
      <c r="BI299" s="24">
        <f>H299*AP299</f>
        <v>0</v>
      </c>
      <c r="BJ299" s="24">
        <f>H299*I299</f>
        <v>0</v>
      </c>
      <c r="BK299" s="24" t="s">
        <v>520</v>
      </c>
      <c r="BL299" s="42" t="s">
        <v>164</v>
      </c>
    </row>
    <row r="300" spans="1:64" x14ac:dyDescent="0.2">
      <c r="A300" s="8" t="s">
        <v>80</v>
      </c>
      <c r="B300" s="18" t="s">
        <v>173</v>
      </c>
      <c r="C300" s="111" t="s">
        <v>378</v>
      </c>
      <c r="D300" s="112"/>
      <c r="E300" s="112"/>
      <c r="F300" s="112"/>
      <c r="G300" s="18" t="s">
        <v>459</v>
      </c>
      <c r="H300" s="70">
        <v>8.1940000000000008</v>
      </c>
      <c r="I300" s="26">
        <v>0</v>
      </c>
      <c r="J300" s="26">
        <f>H300*AO300</f>
        <v>0</v>
      </c>
      <c r="K300" s="26">
        <f>H300*AP300</f>
        <v>0</v>
      </c>
      <c r="L300" s="26">
        <f>H300*I300</f>
        <v>0</v>
      </c>
      <c r="M300" s="39" t="s">
        <v>566</v>
      </c>
      <c r="N300" s="5"/>
      <c r="Z300" s="42">
        <f>IF(AQ300="5",BJ300,0)</f>
        <v>0</v>
      </c>
      <c r="AB300" s="42">
        <f>IF(AQ300="1",BH300,0)</f>
        <v>0</v>
      </c>
      <c r="AC300" s="42">
        <f>IF(AQ300="1",BI300,0)</f>
        <v>0</v>
      </c>
      <c r="AD300" s="42">
        <f>IF(AQ300="7",BH300,0)</f>
        <v>0</v>
      </c>
      <c r="AE300" s="42">
        <f>IF(AQ300="7",BI300,0)</f>
        <v>0</v>
      </c>
      <c r="AF300" s="42">
        <f>IF(AQ300="2",BH300,0)</f>
        <v>0</v>
      </c>
      <c r="AG300" s="42">
        <f>IF(AQ300="2",BI300,0)</f>
        <v>0</v>
      </c>
      <c r="AH300" s="42">
        <f>IF(AQ300="0",BJ300,0)</f>
        <v>0</v>
      </c>
      <c r="AI300" s="41"/>
      <c r="AJ300" s="24">
        <f>IF(AN300=0,L300,0)</f>
        <v>0</v>
      </c>
      <c r="AK300" s="24">
        <f>IF(AN300=15,L300,0)</f>
        <v>0</v>
      </c>
      <c r="AL300" s="24">
        <f>IF(AN300=21,L300,0)</f>
        <v>0</v>
      </c>
      <c r="AN300" s="42">
        <v>21</v>
      </c>
      <c r="AO300" s="42">
        <f>I300*0</f>
        <v>0</v>
      </c>
      <c r="AP300" s="42">
        <f>I300*(1-0)</f>
        <v>0</v>
      </c>
      <c r="AQ300" s="43" t="s">
        <v>11</v>
      </c>
      <c r="AV300" s="42">
        <f>AW300+AX300</f>
        <v>0</v>
      </c>
      <c r="AW300" s="42">
        <f>H300*AO300</f>
        <v>0</v>
      </c>
      <c r="AX300" s="42">
        <f>H300*AP300</f>
        <v>0</v>
      </c>
      <c r="AY300" s="45" t="s">
        <v>505</v>
      </c>
      <c r="AZ300" s="45" t="s">
        <v>514</v>
      </c>
      <c r="BA300" s="41" t="s">
        <v>515</v>
      </c>
      <c r="BC300" s="42">
        <f>AW300+AX300</f>
        <v>0</v>
      </c>
      <c r="BD300" s="42">
        <f>I300/(100-BE300)*100</f>
        <v>0</v>
      </c>
      <c r="BE300" s="42">
        <v>0</v>
      </c>
      <c r="BF300" s="42">
        <f>300</f>
        <v>300</v>
      </c>
      <c r="BH300" s="24">
        <f>H300*AO300</f>
        <v>0</v>
      </c>
      <c r="BI300" s="24">
        <f>H300*AP300</f>
        <v>0</v>
      </c>
      <c r="BJ300" s="24">
        <f>H300*I300</f>
        <v>0</v>
      </c>
      <c r="BK300" s="24" t="s">
        <v>520</v>
      </c>
      <c r="BL300" s="42" t="s">
        <v>164</v>
      </c>
    </row>
    <row r="301" spans="1:64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109" t="s">
        <v>468</v>
      </c>
      <c r="K301" s="110"/>
      <c r="L301" s="49">
        <f>ROUND(L12+L22+L50+L56+L61+L77+L83+L97+L102+L105+L108+L122+L125+L161+L188+L192+L205+L208+L215+L270+L280+L282+L285,1)</f>
        <v>0</v>
      </c>
      <c r="M301" s="9"/>
    </row>
    <row r="302" spans="1:64" ht="11.25" customHeight="1" x14ac:dyDescent="0.2">
      <c r="A302" s="10" t="s">
        <v>81</v>
      </c>
    </row>
    <row r="303" spans="1:64" x14ac:dyDescent="0.2">
      <c r="A303" s="74"/>
      <c r="B303" s="72"/>
      <c r="C303" s="72"/>
      <c r="D303" s="72"/>
      <c r="E303" s="72"/>
      <c r="F303" s="72"/>
      <c r="G303" s="72"/>
      <c r="H303" s="72"/>
      <c r="I303" s="72"/>
      <c r="J303" s="72"/>
      <c r="K303" s="72"/>
      <c r="L303" s="72"/>
      <c r="M303" s="72"/>
    </row>
  </sheetData>
  <mergeCells count="147">
    <mergeCell ref="J301:K301"/>
    <mergeCell ref="A303:M303"/>
    <mergeCell ref="C291:F291"/>
    <mergeCell ref="C293:F293"/>
    <mergeCell ref="C295:F295"/>
    <mergeCell ref="C297:F297"/>
    <mergeCell ref="C299:F299"/>
    <mergeCell ref="C300:F300"/>
    <mergeCell ref="C282:F282"/>
    <mergeCell ref="C283:F283"/>
    <mergeCell ref="C285:F285"/>
    <mergeCell ref="C286:F286"/>
    <mergeCell ref="C287:F287"/>
    <mergeCell ref="C289:F289"/>
    <mergeCell ref="C265:F265"/>
    <mergeCell ref="C268:F268"/>
    <mergeCell ref="C270:F270"/>
    <mergeCell ref="C271:F271"/>
    <mergeCell ref="C280:F280"/>
    <mergeCell ref="C281:F281"/>
    <mergeCell ref="C254:F254"/>
    <mergeCell ref="C255:M255"/>
    <mergeCell ref="C257:F257"/>
    <mergeCell ref="C258:M258"/>
    <mergeCell ref="C260:F260"/>
    <mergeCell ref="C263:F263"/>
    <mergeCell ref="C242:M242"/>
    <mergeCell ref="C244:F244"/>
    <mergeCell ref="C246:F246"/>
    <mergeCell ref="C248:F248"/>
    <mergeCell ref="C249:M249"/>
    <mergeCell ref="C252:F252"/>
    <mergeCell ref="C209:F209"/>
    <mergeCell ref="C211:F211"/>
    <mergeCell ref="C213:F213"/>
    <mergeCell ref="C215:F215"/>
    <mergeCell ref="C216:F216"/>
    <mergeCell ref="C241:F241"/>
    <mergeCell ref="C192:F192"/>
    <mergeCell ref="C193:F193"/>
    <mergeCell ref="C199:F199"/>
    <mergeCell ref="C205:F205"/>
    <mergeCell ref="C206:F206"/>
    <mergeCell ref="C208:F208"/>
    <mergeCell ref="C164:F164"/>
    <mergeCell ref="C165:M165"/>
    <mergeCell ref="C184:F184"/>
    <mergeCell ref="C187:F187"/>
    <mergeCell ref="C188:F188"/>
    <mergeCell ref="C189:F189"/>
    <mergeCell ref="C154:F154"/>
    <mergeCell ref="C155:M155"/>
    <mergeCell ref="C157:F157"/>
    <mergeCell ref="C160:F160"/>
    <mergeCell ref="C161:F161"/>
    <mergeCell ref="C162:F162"/>
    <mergeCell ref="C126:F126"/>
    <mergeCell ref="C127:M127"/>
    <mergeCell ref="C145:F145"/>
    <mergeCell ref="C147:F147"/>
    <mergeCell ref="C150:F150"/>
    <mergeCell ref="C151:M151"/>
    <mergeCell ref="C116:F116"/>
    <mergeCell ref="C118:F118"/>
    <mergeCell ref="C121:F121"/>
    <mergeCell ref="C122:F122"/>
    <mergeCell ref="C123:F123"/>
    <mergeCell ref="C125:F125"/>
    <mergeCell ref="C105:F105"/>
    <mergeCell ref="C106:F106"/>
    <mergeCell ref="C108:F108"/>
    <mergeCell ref="C109:F109"/>
    <mergeCell ref="C111:F111"/>
    <mergeCell ref="C113:F113"/>
    <mergeCell ref="C95:F95"/>
    <mergeCell ref="C97:F97"/>
    <mergeCell ref="C98:F98"/>
    <mergeCell ref="C101:F101"/>
    <mergeCell ref="C102:F102"/>
    <mergeCell ref="C103:F103"/>
    <mergeCell ref="C85:M85"/>
    <mergeCell ref="C87:F87"/>
    <mergeCell ref="C88:M88"/>
    <mergeCell ref="C90:F90"/>
    <mergeCell ref="C91:M91"/>
    <mergeCell ref="C93:F93"/>
    <mergeCell ref="C73:M73"/>
    <mergeCell ref="C77:F77"/>
    <mergeCell ref="C78:F78"/>
    <mergeCell ref="C81:F81"/>
    <mergeCell ref="C83:F83"/>
    <mergeCell ref="C84:F84"/>
    <mergeCell ref="C62:F62"/>
    <mergeCell ref="C66:F66"/>
    <mergeCell ref="C67:M67"/>
    <mergeCell ref="C69:F69"/>
    <mergeCell ref="C70:M70"/>
    <mergeCell ref="C72:F72"/>
    <mergeCell ref="C50:F50"/>
    <mergeCell ref="C51:F51"/>
    <mergeCell ref="C54:F54"/>
    <mergeCell ref="C56:F56"/>
    <mergeCell ref="C57:F57"/>
    <mergeCell ref="C61:F61"/>
    <mergeCell ref="C24:M24"/>
    <mergeCell ref="C40:F40"/>
    <mergeCell ref="C41:M41"/>
    <mergeCell ref="C44:F44"/>
    <mergeCell ref="C45:M45"/>
    <mergeCell ref="C48:F48"/>
    <mergeCell ref="C16:F16"/>
    <mergeCell ref="C17:M17"/>
    <mergeCell ref="C19:F19"/>
    <mergeCell ref="C20:M20"/>
    <mergeCell ref="C22:F22"/>
    <mergeCell ref="C23:F23"/>
    <mergeCell ref="C10:F10"/>
    <mergeCell ref="J10:L10"/>
    <mergeCell ref="C11:F11"/>
    <mergeCell ref="C12:F12"/>
    <mergeCell ref="C13:F13"/>
    <mergeCell ref="C14:M14"/>
    <mergeCell ref="A8:B9"/>
    <mergeCell ref="C8:C9"/>
    <mergeCell ref="D8:D9"/>
    <mergeCell ref="E8:E9"/>
    <mergeCell ref="F8:F9"/>
    <mergeCell ref="G8:M9"/>
    <mergeCell ref="A6:B7"/>
    <mergeCell ref="C6:C7"/>
    <mergeCell ref="D6:D7"/>
    <mergeCell ref="E6:E7"/>
    <mergeCell ref="F6:F7"/>
    <mergeCell ref="G6:M7"/>
    <mergeCell ref="A4:B5"/>
    <mergeCell ref="C4:C5"/>
    <mergeCell ref="D4:D5"/>
    <mergeCell ref="E4:E5"/>
    <mergeCell ref="F4:F5"/>
    <mergeCell ref="G4:M5"/>
    <mergeCell ref="A1:M1"/>
    <mergeCell ref="A2:B3"/>
    <mergeCell ref="C2:C3"/>
    <mergeCell ref="D2:D3"/>
    <mergeCell ref="E2:E3"/>
    <mergeCell ref="F2:F3"/>
    <mergeCell ref="G2:M3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tabSelected="1" workbookViewId="0"/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66"/>
      <c r="B1" s="50"/>
      <c r="C1" s="113" t="s">
        <v>537</v>
      </c>
      <c r="D1" s="78"/>
      <c r="E1" s="78"/>
      <c r="F1" s="78"/>
      <c r="G1" s="78"/>
      <c r="H1" s="78"/>
      <c r="I1" s="78"/>
    </row>
    <row r="2" spans="1:10" x14ac:dyDescent="0.2">
      <c r="A2" s="79" t="s">
        <v>1</v>
      </c>
      <c r="B2" s="80"/>
      <c r="C2" s="81" t="str">
        <f>'Stavební rozpočet'!C2</f>
        <v>PBa03 Stavební úpravy kanceláří v kulturním domě</v>
      </c>
      <c r="D2" s="110"/>
      <c r="E2" s="84" t="s">
        <v>384</v>
      </c>
      <c r="F2" s="84" t="str">
        <f>'Stavební rozpočet'!G2</f>
        <v> </v>
      </c>
      <c r="G2" s="80"/>
      <c r="H2" s="84" t="s">
        <v>562</v>
      </c>
      <c r="I2" s="114"/>
      <c r="J2" s="5"/>
    </row>
    <row r="3" spans="1:10" x14ac:dyDescent="0.2">
      <c r="A3" s="73"/>
      <c r="B3" s="72"/>
      <c r="C3" s="82"/>
      <c r="D3" s="82"/>
      <c r="E3" s="72"/>
      <c r="F3" s="72"/>
      <c r="G3" s="72"/>
      <c r="H3" s="72"/>
      <c r="I3" s="76"/>
      <c r="J3" s="5"/>
    </row>
    <row r="4" spans="1:10" x14ac:dyDescent="0.2">
      <c r="A4" s="71" t="s">
        <v>2</v>
      </c>
      <c r="B4" s="72"/>
      <c r="C4" s="74" t="str">
        <f>'Stavební rozpočet'!C4</f>
        <v xml:space="preserve"> </v>
      </c>
      <c r="D4" s="72"/>
      <c r="E4" s="74" t="s">
        <v>385</v>
      </c>
      <c r="F4" s="74" t="str">
        <f>'Stavební rozpočet'!G4</f>
        <v> </v>
      </c>
      <c r="G4" s="72"/>
      <c r="H4" s="74" t="s">
        <v>562</v>
      </c>
      <c r="I4" s="115"/>
      <c r="J4" s="5"/>
    </row>
    <row r="5" spans="1:10" x14ac:dyDescent="0.2">
      <c r="A5" s="73"/>
      <c r="B5" s="72"/>
      <c r="C5" s="72"/>
      <c r="D5" s="72"/>
      <c r="E5" s="72"/>
      <c r="F5" s="72"/>
      <c r="G5" s="72"/>
      <c r="H5" s="72"/>
      <c r="I5" s="76"/>
      <c r="J5" s="5"/>
    </row>
    <row r="6" spans="1:10" x14ac:dyDescent="0.2">
      <c r="A6" s="71" t="s">
        <v>3</v>
      </c>
      <c r="B6" s="72"/>
      <c r="C6" s="74" t="str">
        <f>'Stavební rozpočet'!C6</f>
        <v>Zábřeh</v>
      </c>
      <c r="D6" s="72"/>
      <c r="E6" s="74" t="s">
        <v>386</v>
      </c>
      <c r="F6" s="74" t="str">
        <f>'Stavební rozpočet'!G6</f>
        <v> </v>
      </c>
      <c r="G6" s="72"/>
      <c r="H6" s="74" t="s">
        <v>562</v>
      </c>
      <c r="I6" s="115"/>
      <c r="J6" s="5"/>
    </row>
    <row r="7" spans="1:10" x14ac:dyDescent="0.2">
      <c r="A7" s="73"/>
      <c r="B7" s="72"/>
      <c r="C7" s="72"/>
      <c r="D7" s="72"/>
      <c r="E7" s="72"/>
      <c r="F7" s="72"/>
      <c r="G7" s="72"/>
      <c r="H7" s="72"/>
      <c r="I7" s="76"/>
      <c r="J7" s="5"/>
    </row>
    <row r="8" spans="1:10" x14ac:dyDescent="0.2">
      <c r="A8" s="71" t="s">
        <v>380</v>
      </c>
      <c r="B8" s="72"/>
      <c r="C8" s="74" t="str">
        <f>'Stavební rozpočet'!E4</f>
        <v>31.08.2022</v>
      </c>
      <c r="D8" s="72"/>
      <c r="E8" s="74" t="s">
        <v>381</v>
      </c>
      <c r="F8" s="74" t="str">
        <f>'Stavební rozpočet'!E6</f>
        <v xml:space="preserve"> </v>
      </c>
      <c r="G8" s="72"/>
      <c r="H8" s="75" t="s">
        <v>563</v>
      </c>
      <c r="I8" s="115" t="s">
        <v>80</v>
      </c>
      <c r="J8" s="5"/>
    </row>
    <row r="9" spans="1:10" x14ac:dyDescent="0.2">
      <c r="A9" s="73"/>
      <c r="B9" s="72"/>
      <c r="C9" s="72"/>
      <c r="D9" s="72"/>
      <c r="E9" s="72"/>
      <c r="F9" s="72"/>
      <c r="G9" s="72"/>
      <c r="H9" s="72"/>
      <c r="I9" s="76"/>
      <c r="J9" s="5"/>
    </row>
    <row r="10" spans="1:10" x14ac:dyDescent="0.2">
      <c r="A10" s="71" t="s">
        <v>4</v>
      </c>
      <c r="B10" s="72"/>
      <c r="C10" s="74" t="str">
        <f>'Stavební rozpočet'!C8</f>
        <v xml:space="preserve"> </v>
      </c>
      <c r="D10" s="72"/>
      <c r="E10" s="74" t="s">
        <v>387</v>
      </c>
      <c r="F10" s="74" t="str">
        <f>'Stavební rozpočet'!G8</f>
        <v> </v>
      </c>
      <c r="G10" s="72"/>
      <c r="H10" s="75" t="s">
        <v>564</v>
      </c>
      <c r="I10" s="116" t="str">
        <f>'Stavební rozpočet'!E8</f>
        <v>31.08.2022</v>
      </c>
      <c r="J10" s="5"/>
    </row>
    <row r="11" spans="1:10" x14ac:dyDescent="0.2">
      <c r="A11" s="118"/>
      <c r="B11" s="119"/>
      <c r="C11" s="119"/>
      <c r="D11" s="119"/>
      <c r="E11" s="119"/>
      <c r="F11" s="119"/>
      <c r="G11" s="119"/>
      <c r="H11" s="119"/>
      <c r="I11" s="117"/>
      <c r="J11" s="5"/>
    </row>
    <row r="12" spans="1:10" ht="23.45" customHeight="1" x14ac:dyDescent="0.2">
      <c r="A12" s="120" t="s">
        <v>522</v>
      </c>
      <c r="B12" s="121"/>
      <c r="C12" s="121"/>
      <c r="D12" s="121"/>
      <c r="E12" s="121"/>
      <c r="F12" s="121"/>
      <c r="G12" s="121"/>
      <c r="H12" s="121"/>
      <c r="I12" s="121"/>
    </row>
    <row r="13" spans="1:10" ht="26.45" customHeight="1" x14ac:dyDescent="0.2">
      <c r="A13" s="51" t="s">
        <v>523</v>
      </c>
      <c r="B13" s="122" t="s">
        <v>535</v>
      </c>
      <c r="C13" s="123"/>
      <c r="D13" s="51" t="s">
        <v>538</v>
      </c>
      <c r="E13" s="122" t="s">
        <v>547</v>
      </c>
      <c r="F13" s="123"/>
      <c r="G13" s="51" t="s">
        <v>548</v>
      </c>
      <c r="H13" s="122" t="s">
        <v>565</v>
      </c>
      <c r="I13" s="123"/>
      <c r="J13" s="5"/>
    </row>
    <row r="14" spans="1:10" ht="15.2" customHeight="1" x14ac:dyDescent="0.2">
      <c r="A14" s="52" t="s">
        <v>524</v>
      </c>
      <c r="B14" s="56" t="s">
        <v>536</v>
      </c>
      <c r="C14" s="60">
        <f>SUM('Stavební rozpočet'!AB12:AB300)</f>
        <v>0</v>
      </c>
      <c r="D14" s="124" t="s">
        <v>539</v>
      </c>
      <c r="E14" s="125"/>
      <c r="F14" s="60">
        <v>0</v>
      </c>
      <c r="G14" s="124" t="s">
        <v>549</v>
      </c>
      <c r="H14" s="125"/>
      <c r="I14" s="61" t="s">
        <v>473</v>
      </c>
      <c r="J14" s="5"/>
    </row>
    <row r="15" spans="1:10" ht="15.2" customHeight="1" x14ac:dyDescent="0.2">
      <c r="A15" s="53"/>
      <c r="B15" s="56" t="s">
        <v>469</v>
      </c>
      <c r="C15" s="60">
        <f>SUM('Stavební rozpočet'!AC12:AC300)</f>
        <v>0</v>
      </c>
      <c r="D15" s="124" t="s">
        <v>540</v>
      </c>
      <c r="E15" s="125"/>
      <c r="F15" s="60">
        <v>0</v>
      </c>
      <c r="G15" s="124" t="s">
        <v>550</v>
      </c>
      <c r="H15" s="125"/>
      <c r="I15" s="61" t="s">
        <v>473</v>
      </c>
      <c r="J15" s="5"/>
    </row>
    <row r="16" spans="1:10" ht="15.2" customHeight="1" x14ac:dyDescent="0.2">
      <c r="A16" s="52" t="s">
        <v>525</v>
      </c>
      <c r="B16" s="56" t="s">
        <v>536</v>
      </c>
      <c r="C16" s="60">
        <f>SUM('Stavební rozpočet'!AD12:AD300)</f>
        <v>0</v>
      </c>
      <c r="D16" s="124" t="s">
        <v>541</v>
      </c>
      <c r="E16" s="125"/>
      <c r="F16" s="60">
        <v>0</v>
      </c>
      <c r="G16" s="124" t="s">
        <v>551</v>
      </c>
      <c r="H16" s="125"/>
      <c r="I16" s="61" t="s">
        <v>473</v>
      </c>
      <c r="J16" s="5"/>
    </row>
    <row r="17" spans="1:10" ht="15.2" customHeight="1" x14ac:dyDescent="0.2">
      <c r="A17" s="53"/>
      <c r="B17" s="56" t="s">
        <v>469</v>
      </c>
      <c r="C17" s="60">
        <f>SUM('Stavební rozpočet'!AE12:AE300)</f>
        <v>0</v>
      </c>
      <c r="D17" s="124"/>
      <c r="E17" s="125"/>
      <c r="F17" s="61"/>
      <c r="G17" s="124" t="s">
        <v>552</v>
      </c>
      <c r="H17" s="125"/>
      <c r="I17" s="61" t="s">
        <v>473</v>
      </c>
      <c r="J17" s="5"/>
    </row>
    <row r="18" spans="1:10" ht="15.2" customHeight="1" x14ac:dyDescent="0.2">
      <c r="A18" s="52" t="s">
        <v>526</v>
      </c>
      <c r="B18" s="56" t="s">
        <v>536</v>
      </c>
      <c r="C18" s="60">
        <f>SUM('Stavební rozpočet'!AF12:AF300)</f>
        <v>0</v>
      </c>
      <c r="D18" s="124"/>
      <c r="E18" s="125"/>
      <c r="F18" s="61"/>
      <c r="G18" s="124" t="s">
        <v>553</v>
      </c>
      <c r="H18" s="125"/>
      <c r="I18" s="61" t="s">
        <v>473</v>
      </c>
      <c r="J18" s="5"/>
    </row>
    <row r="19" spans="1:10" ht="15.2" customHeight="1" x14ac:dyDescent="0.2">
      <c r="A19" s="53"/>
      <c r="B19" s="56" t="s">
        <v>469</v>
      </c>
      <c r="C19" s="60">
        <f>SUM('Stavební rozpočet'!AG12:AG300)</f>
        <v>0</v>
      </c>
      <c r="D19" s="124"/>
      <c r="E19" s="125"/>
      <c r="F19" s="61"/>
      <c r="G19" s="124" t="s">
        <v>554</v>
      </c>
      <c r="H19" s="125"/>
      <c r="I19" s="61" t="s">
        <v>473</v>
      </c>
      <c r="J19" s="5"/>
    </row>
    <row r="20" spans="1:10" ht="15.2" customHeight="1" x14ac:dyDescent="0.2">
      <c r="A20" s="126" t="s">
        <v>527</v>
      </c>
      <c r="B20" s="127"/>
      <c r="C20" s="60">
        <f>SUM('Stavební rozpočet'!AH12:AH300)</f>
        <v>0</v>
      </c>
      <c r="D20" s="124"/>
      <c r="E20" s="125"/>
      <c r="F20" s="61"/>
      <c r="G20" s="124"/>
      <c r="H20" s="125"/>
      <c r="I20" s="61"/>
      <c r="J20" s="5"/>
    </row>
    <row r="21" spans="1:10" ht="15.2" customHeight="1" x14ac:dyDescent="0.2">
      <c r="A21" s="126" t="s">
        <v>528</v>
      </c>
      <c r="B21" s="127"/>
      <c r="C21" s="60">
        <f>SUM('Stavební rozpočet'!Z12:Z300)</f>
        <v>0</v>
      </c>
      <c r="D21" s="124"/>
      <c r="E21" s="125"/>
      <c r="F21" s="61"/>
      <c r="G21" s="124"/>
      <c r="H21" s="125"/>
      <c r="I21" s="61"/>
      <c r="J21" s="5"/>
    </row>
    <row r="22" spans="1:10" ht="16.7" customHeight="1" x14ac:dyDescent="0.2">
      <c r="A22" s="126" t="s">
        <v>529</v>
      </c>
      <c r="B22" s="127"/>
      <c r="C22" s="60">
        <f>ROUND(SUM(C14:C21),1)</f>
        <v>0</v>
      </c>
      <c r="D22" s="126" t="s">
        <v>542</v>
      </c>
      <c r="E22" s="127"/>
      <c r="F22" s="60">
        <f>SUM(F14:F21)</f>
        <v>0</v>
      </c>
      <c r="G22" s="126" t="s">
        <v>555</v>
      </c>
      <c r="H22" s="127"/>
      <c r="I22" s="60">
        <f>SUM(I14:I21)</f>
        <v>0</v>
      </c>
      <c r="J22" s="5"/>
    </row>
    <row r="23" spans="1:10" ht="15.2" customHeight="1" x14ac:dyDescent="0.2">
      <c r="A23" s="9"/>
      <c r="B23" s="9"/>
      <c r="C23" s="58"/>
      <c r="D23" s="126" t="s">
        <v>543</v>
      </c>
      <c r="E23" s="127"/>
      <c r="F23" s="62">
        <v>0</v>
      </c>
      <c r="G23" s="126" t="s">
        <v>556</v>
      </c>
      <c r="H23" s="127"/>
      <c r="I23" s="60">
        <v>0</v>
      </c>
      <c r="J23" s="5"/>
    </row>
    <row r="24" spans="1:10" ht="15.2" customHeight="1" x14ac:dyDescent="0.2">
      <c r="D24" s="9"/>
      <c r="E24" s="9"/>
      <c r="F24" s="63"/>
      <c r="G24" s="126" t="s">
        <v>557</v>
      </c>
      <c r="H24" s="127"/>
      <c r="I24" s="64"/>
    </row>
    <row r="25" spans="1:10" ht="15.2" customHeight="1" x14ac:dyDescent="0.2">
      <c r="F25" s="36"/>
      <c r="G25" s="126" t="s">
        <v>558</v>
      </c>
      <c r="H25" s="127"/>
      <c r="I25" s="60">
        <v>0</v>
      </c>
      <c r="J25" s="5"/>
    </row>
    <row r="26" spans="1:10" x14ac:dyDescent="0.2">
      <c r="A26" s="50"/>
      <c r="B26" s="50"/>
      <c r="C26" s="50"/>
      <c r="G26" s="9"/>
      <c r="H26" s="9"/>
      <c r="I26" s="9"/>
    </row>
    <row r="27" spans="1:10" ht="15.2" customHeight="1" x14ac:dyDescent="0.2">
      <c r="A27" s="128" t="s">
        <v>530</v>
      </c>
      <c r="B27" s="129"/>
      <c r="C27" s="65">
        <f>ROUND(SUM('Stavební rozpočet'!AJ12:AJ300),1)</f>
        <v>0</v>
      </c>
      <c r="D27" s="59"/>
      <c r="E27" s="50"/>
      <c r="F27" s="50"/>
      <c r="G27" s="50"/>
      <c r="H27" s="50"/>
      <c r="I27" s="50"/>
    </row>
    <row r="28" spans="1:10" ht="15.2" customHeight="1" x14ac:dyDescent="0.2">
      <c r="A28" s="128" t="s">
        <v>531</v>
      </c>
      <c r="B28" s="129"/>
      <c r="C28" s="65">
        <f>ROUND(SUM('Stavební rozpočet'!AK12:AK300),1)</f>
        <v>0</v>
      </c>
      <c r="D28" s="128" t="s">
        <v>544</v>
      </c>
      <c r="E28" s="129"/>
      <c r="F28" s="65">
        <f>ROUND(C28*(15/100),2)</f>
        <v>0</v>
      </c>
      <c r="G28" s="128" t="s">
        <v>559</v>
      </c>
      <c r="H28" s="129"/>
      <c r="I28" s="65">
        <f>ROUND(SUM(C27:C29),1)</f>
        <v>0</v>
      </c>
      <c r="J28" s="5"/>
    </row>
    <row r="29" spans="1:10" ht="15.2" customHeight="1" x14ac:dyDescent="0.2">
      <c r="A29" s="128" t="s">
        <v>532</v>
      </c>
      <c r="B29" s="129"/>
      <c r="C29" s="65">
        <f>ROUND(SUM('Stavební rozpočet'!AL12:AL300)+(F22+I22+F23+I23+I24+I25),1)</f>
        <v>0</v>
      </c>
      <c r="D29" s="128" t="s">
        <v>545</v>
      </c>
      <c r="E29" s="129"/>
      <c r="F29" s="65">
        <f>ROUND(C29*(21/100),2)</f>
        <v>0</v>
      </c>
      <c r="G29" s="128" t="s">
        <v>560</v>
      </c>
      <c r="H29" s="129"/>
      <c r="I29" s="65">
        <f>ROUND(SUM(F28:F29)+I28,1)</f>
        <v>0</v>
      </c>
      <c r="J29" s="5"/>
    </row>
    <row r="30" spans="1:10" x14ac:dyDescent="0.2">
      <c r="A30" s="54"/>
      <c r="B30" s="54"/>
      <c r="C30" s="54"/>
      <c r="D30" s="54"/>
      <c r="E30" s="54"/>
      <c r="F30" s="54"/>
      <c r="G30" s="54"/>
      <c r="H30" s="54"/>
      <c r="I30" s="54"/>
    </row>
    <row r="31" spans="1:10" ht="14.45" customHeight="1" x14ac:dyDescent="0.2">
      <c r="A31" s="130" t="s">
        <v>533</v>
      </c>
      <c r="B31" s="131"/>
      <c r="C31" s="132"/>
      <c r="D31" s="130" t="s">
        <v>546</v>
      </c>
      <c r="E31" s="131"/>
      <c r="F31" s="132"/>
      <c r="G31" s="130" t="s">
        <v>561</v>
      </c>
      <c r="H31" s="131"/>
      <c r="I31" s="132"/>
      <c r="J31" s="40"/>
    </row>
    <row r="32" spans="1:10" ht="14.45" customHeight="1" x14ac:dyDescent="0.2">
      <c r="A32" s="133"/>
      <c r="B32" s="134"/>
      <c r="C32" s="135"/>
      <c r="D32" s="133"/>
      <c r="E32" s="134"/>
      <c r="F32" s="135"/>
      <c r="G32" s="133"/>
      <c r="H32" s="134"/>
      <c r="I32" s="135"/>
      <c r="J32" s="40"/>
    </row>
    <row r="33" spans="1:10" ht="14.45" customHeight="1" x14ac:dyDescent="0.2">
      <c r="A33" s="133"/>
      <c r="B33" s="134"/>
      <c r="C33" s="135"/>
      <c r="D33" s="133"/>
      <c r="E33" s="134"/>
      <c r="F33" s="135"/>
      <c r="G33" s="133"/>
      <c r="H33" s="134"/>
      <c r="I33" s="135"/>
      <c r="J33" s="40"/>
    </row>
    <row r="34" spans="1:10" ht="14.45" customHeight="1" x14ac:dyDescent="0.2">
      <c r="A34" s="133"/>
      <c r="B34" s="134"/>
      <c r="C34" s="135"/>
      <c r="D34" s="133"/>
      <c r="E34" s="134"/>
      <c r="F34" s="135"/>
      <c r="G34" s="133"/>
      <c r="H34" s="134"/>
      <c r="I34" s="135"/>
      <c r="J34" s="40"/>
    </row>
    <row r="35" spans="1:10" ht="14.45" customHeight="1" x14ac:dyDescent="0.2">
      <c r="A35" s="136" t="s">
        <v>534</v>
      </c>
      <c r="B35" s="137"/>
      <c r="C35" s="138"/>
      <c r="D35" s="136" t="s">
        <v>534</v>
      </c>
      <c r="E35" s="137"/>
      <c r="F35" s="138"/>
      <c r="G35" s="136" t="s">
        <v>534</v>
      </c>
      <c r="H35" s="137"/>
      <c r="I35" s="138"/>
      <c r="J35" s="40"/>
    </row>
    <row r="36" spans="1:10" ht="11.25" customHeight="1" x14ac:dyDescent="0.2">
      <c r="A36" s="55" t="s">
        <v>81</v>
      </c>
      <c r="B36" s="57"/>
      <c r="C36" s="57"/>
      <c r="D36" s="57"/>
      <c r="E36" s="57"/>
      <c r="F36" s="57"/>
      <c r="G36" s="57"/>
      <c r="H36" s="57"/>
      <c r="I36" s="57"/>
    </row>
    <row r="37" spans="1:10" x14ac:dyDescent="0.2">
      <c r="A37" s="74"/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2022-09-06T14:14:01Z</dcterms:created>
  <dcterms:modified xsi:type="dcterms:W3CDTF">2023-01-11T07:29:10Z</dcterms:modified>
</cp:coreProperties>
</file>