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71A7880D-E63D-4DD9-BC20-129726CABC9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tavební rozpočet" sheetId="1" r:id="rId1"/>
    <sheet name="Krycí list rozpočt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2" l="1"/>
  <c r="F2" i="2"/>
  <c r="C4" i="2"/>
  <c r="F4" i="2"/>
  <c r="C6" i="2"/>
  <c r="F6" i="2"/>
  <c r="C8" i="2"/>
  <c r="F8" i="2"/>
  <c r="C10" i="2"/>
  <c r="F10" i="2"/>
  <c r="I10" i="2"/>
  <c r="F22" i="2"/>
  <c r="I22" i="2"/>
  <c r="L13" i="1"/>
  <c r="Z13" i="1"/>
  <c r="AB13" i="1"/>
  <c r="AD13" i="1"/>
  <c r="AE13" i="1"/>
  <c r="AF13" i="1"/>
  <c r="AG13" i="1"/>
  <c r="AH13" i="1"/>
  <c r="AJ13" i="1"/>
  <c r="AK13" i="1"/>
  <c r="AT12" i="1" s="1"/>
  <c r="AL13" i="1"/>
  <c r="AO13" i="1"/>
  <c r="J13" i="1" s="1"/>
  <c r="AP13" i="1"/>
  <c r="K13" i="1" s="1"/>
  <c r="BD13" i="1"/>
  <c r="BF13" i="1"/>
  <c r="BH13" i="1"/>
  <c r="BI13" i="1"/>
  <c r="AC13" i="1" s="1"/>
  <c r="BJ13" i="1"/>
  <c r="L16" i="1"/>
  <c r="Z16" i="1"/>
  <c r="AD16" i="1"/>
  <c r="AE16" i="1"/>
  <c r="AF16" i="1"/>
  <c r="AG16" i="1"/>
  <c r="AH16" i="1"/>
  <c r="AJ16" i="1"/>
  <c r="AK16" i="1"/>
  <c r="AL16" i="1"/>
  <c r="AO16" i="1"/>
  <c r="J16" i="1" s="1"/>
  <c r="AP16" i="1"/>
  <c r="K16" i="1" s="1"/>
  <c r="AX16" i="1"/>
  <c r="BD16" i="1"/>
  <c r="BF16" i="1"/>
  <c r="BH16" i="1"/>
  <c r="AB16" i="1" s="1"/>
  <c r="BJ16" i="1"/>
  <c r="K19" i="1"/>
  <c r="L19" i="1"/>
  <c r="AL19" i="1" s="1"/>
  <c r="Z19" i="1"/>
  <c r="AD19" i="1"/>
  <c r="AE19" i="1"/>
  <c r="AF19" i="1"/>
  <c r="AG19" i="1"/>
  <c r="AH19" i="1"/>
  <c r="AJ19" i="1"/>
  <c r="AK19" i="1"/>
  <c r="AO19" i="1"/>
  <c r="BH19" i="1" s="1"/>
  <c r="AB19" i="1" s="1"/>
  <c r="AP19" i="1"/>
  <c r="BI19" i="1" s="1"/>
  <c r="AC19" i="1" s="1"/>
  <c r="BD19" i="1"/>
  <c r="BF19" i="1"/>
  <c r="BJ19" i="1"/>
  <c r="K23" i="1"/>
  <c r="L23" i="1"/>
  <c r="Z23" i="1"/>
  <c r="AC23" i="1"/>
  <c r="AD23" i="1"/>
  <c r="AE23" i="1"/>
  <c r="AF23" i="1"/>
  <c r="AG23" i="1"/>
  <c r="AH23" i="1"/>
  <c r="AJ23" i="1"/>
  <c r="AK23" i="1"/>
  <c r="AT22" i="1" s="1"/>
  <c r="AL23" i="1"/>
  <c r="AO23" i="1"/>
  <c r="J23" i="1" s="1"/>
  <c r="AP23" i="1"/>
  <c r="AX23" i="1"/>
  <c r="BD23" i="1"/>
  <c r="BF23" i="1"/>
  <c r="BI23" i="1"/>
  <c r="BJ23" i="1"/>
  <c r="J40" i="1"/>
  <c r="L40" i="1"/>
  <c r="Z40" i="1"/>
  <c r="AD40" i="1"/>
  <c r="AE40" i="1"/>
  <c r="AF40" i="1"/>
  <c r="AG40" i="1"/>
  <c r="AH40" i="1"/>
  <c r="AJ40" i="1"/>
  <c r="AK40" i="1"/>
  <c r="AO40" i="1"/>
  <c r="AP40" i="1"/>
  <c r="AX40" i="1" s="1"/>
  <c r="BC40" i="1" s="1"/>
  <c r="AW40" i="1"/>
  <c r="BD40" i="1"/>
  <c r="BF40" i="1"/>
  <c r="BH40" i="1"/>
  <c r="AB40" i="1" s="1"/>
  <c r="BJ40" i="1"/>
  <c r="J44" i="1"/>
  <c r="K44" i="1"/>
  <c r="L44" i="1"/>
  <c r="AL44" i="1" s="1"/>
  <c r="Z44" i="1"/>
  <c r="AC44" i="1"/>
  <c r="AD44" i="1"/>
  <c r="AE44" i="1"/>
  <c r="AF44" i="1"/>
  <c r="AG44" i="1"/>
  <c r="AH44" i="1"/>
  <c r="AJ44" i="1"/>
  <c r="AK44" i="1"/>
  <c r="AO44" i="1"/>
  <c r="BH44" i="1" s="1"/>
  <c r="AB44" i="1" s="1"/>
  <c r="AP44" i="1"/>
  <c r="AX44" i="1"/>
  <c r="BD44" i="1"/>
  <c r="BF44" i="1"/>
  <c r="BI44" i="1"/>
  <c r="BJ44" i="1"/>
  <c r="L48" i="1"/>
  <c r="AL48" i="1" s="1"/>
  <c r="Z48" i="1"/>
  <c r="AB48" i="1"/>
  <c r="AD48" i="1"/>
  <c r="AE48" i="1"/>
  <c r="AF48" i="1"/>
  <c r="AG48" i="1"/>
  <c r="AH48" i="1"/>
  <c r="AJ48" i="1"/>
  <c r="AK48" i="1"/>
  <c r="AO48" i="1"/>
  <c r="J48" i="1" s="1"/>
  <c r="AP48" i="1"/>
  <c r="K48" i="1" s="1"/>
  <c r="AW48" i="1"/>
  <c r="BD48" i="1"/>
  <c r="BF48" i="1"/>
  <c r="BH48" i="1"/>
  <c r="BI48" i="1"/>
  <c r="AC48" i="1" s="1"/>
  <c r="BJ48" i="1"/>
  <c r="L51" i="1"/>
  <c r="AL51" i="1" s="1"/>
  <c r="Z51" i="1"/>
  <c r="AD51" i="1"/>
  <c r="AE51" i="1"/>
  <c r="AF51" i="1"/>
  <c r="AG51" i="1"/>
  <c r="AH51" i="1"/>
  <c r="AJ51" i="1"/>
  <c r="AK51" i="1"/>
  <c r="AO51" i="1"/>
  <c r="J51" i="1" s="1"/>
  <c r="AP51" i="1"/>
  <c r="BI51" i="1" s="1"/>
  <c r="AC51" i="1" s="1"/>
  <c r="BD51" i="1"/>
  <c r="BF51" i="1"/>
  <c r="BJ51" i="1"/>
  <c r="J54" i="1"/>
  <c r="K54" i="1"/>
  <c r="L54" i="1"/>
  <c r="AL54" i="1" s="1"/>
  <c r="Z54" i="1"/>
  <c r="AB54" i="1"/>
  <c r="AC54" i="1"/>
  <c r="AD54" i="1"/>
  <c r="AE54" i="1"/>
  <c r="AF54" i="1"/>
  <c r="AG54" i="1"/>
  <c r="AH54" i="1"/>
  <c r="AJ54" i="1"/>
  <c r="AK54" i="1"/>
  <c r="AO54" i="1"/>
  <c r="AP54" i="1"/>
  <c r="AW54" i="1"/>
  <c r="AV54" i="1" s="1"/>
  <c r="AX54" i="1"/>
  <c r="BD54" i="1"/>
  <c r="BF54" i="1"/>
  <c r="BH54" i="1"/>
  <c r="BI54" i="1"/>
  <c r="BJ54" i="1"/>
  <c r="L57" i="1"/>
  <c r="AL57" i="1" s="1"/>
  <c r="AU56" i="1" s="1"/>
  <c r="Z57" i="1"/>
  <c r="AD57" i="1"/>
  <c r="AE57" i="1"/>
  <c r="AF57" i="1"/>
  <c r="AG57" i="1"/>
  <c r="AH57" i="1"/>
  <c r="AJ57" i="1"/>
  <c r="AS56" i="1" s="1"/>
  <c r="AK57" i="1"/>
  <c r="AT56" i="1" s="1"/>
  <c r="AO57" i="1"/>
  <c r="J57" i="1" s="1"/>
  <c r="J56" i="1" s="1"/>
  <c r="AP57" i="1"/>
  <c r="BI57" i="1" s="1"/>
  <c r="AC57" i="1" s="1"/>
  <c r="BD57" i="1"/>
  <c r="BF57" i="1"/>
  <c r="BJ57" i="1"/>
  <c r="L62" i="1"/>
  <c r="Z62" i="1"/>
  <c r="AD62" i="1"/>
  <c r="AE62" i="1"/>
  <c r="AF62" i="1"/>
  <c r="AG62" i="1"/>
  <c r="AH62" i="1"/>
  <c r="AJ62" i="1"/>
  <c r="AK62" i="1"/>
  <c r="AO62" i="1"/>
  <c r="AW62" i="1" s="1"/>
  <c r="AP62" i="1"/>
  <c r="K62" i="1" s="1"/>
  <c r="BD62" i="1"/>
  <c r="BF62" i="1"/>
  <c r="BJ62" i="1"/>
  <c r="J66" i="1"/>
  <c r="L66" i="1"/>
  <c r="AL66" i="1" s="1"/>
  <c r="Z66" i="1"/>
  <c r="AD66" i="1"/>
  <c r="AE66" i="1"/>
  <c r="AF66" i="1"/>
  <c r="AG66" i="1"/>
  <c r="AH66" i="1"/>
  <c r="AJ66" i="1"/>
  <c r="AK66" i="1"/>
  <c r="AO66" i="1"/>
  <c r="BH66" i="1" s="1"/>
  <c r="AB66" i="1" s="1"/>
  <c r="AP66" i="1"/>
  <c r="K66" i="1" s="1"/>
  <c r="AX66" i="1"/>
  <c r="BD66" i="1"/>
  <c r="BF66" i="1"/>
  <c r="BJ66" i="1"/>
  <c r="J69" i="1"/>
  <c r="L69" i="1"/>
  <c r="AL69" i="1" s="1"/>
  <c r="Z69" i="1"/>
  <c r="AB69" i="1"/>
  <c r="AD69" i="1"/>
  <c r="AE69" i="1"/>
  <c r="AF69" i="1"/>
  <c r="AG69" i="1"/>
  <c r="AH69" i="1"/>
  <c r="AJ69" i="1"/>
  <c r="AK69" i="1"/>
  <c r="AO69" i="1"/>
  <c r="AP69" i="1"/>
  <c r="K69" i="1" s="1"/>
  <c r="AW69" i="1"/>
  <c r="BD69" i="1"/>
  <c r="BF69" i="1"/>
  <c r="BH69" i="1"/>
  <c r="BI69" i="1"/>
  <c r="AC69" i="1" s="1"/>
  <c r="BJ69" i="1"/>
  <c r="L72" i="1"/>
  <c r="AL72" i="1" s="1"/>
  <c r="Z72" i="1"/>
  <c r="AD72" i="1"/>
  <c r="AE72" i="1"/>
  <c r="AF72" i="1"/>
  <c r="AG72" i="1"/>
  <c r="AH72" i="1"/>
  <c r="AJ72" i="1"/>
  <c r="AK72" i="1"/>
  <c r="AO72" i="1"/>
  <c r="AW72" i="1" s="1"/>
  <c r="AP72" i="1"/>
  <c r="K72" i="1" s="1"/>
  <c r="AX72" i="1"/>
  <c r="BD72" i="1"/>
  <c r="BF72" i="1"/>
  <c r="BI72" i="1"/>
  <c r="AC72" i="1" s="1"/>
  <c r="BJ72" i="1"/>
  <c r="J78" i="1"/>
  <c r="L78" i="1"/>
  <c r="AL78" i="1" s="1"/>
  <c r="AU77" i="1" s="1"/>
  <c r="Z78" i="1"/>
  <c r="AB78" i="1"/>
  <c r="AD78" i="1"/>
  <c r="AE78" i="1"/>
  <c r="AF78" i="1"/>
  <c r="AG78" i="1"/>
  <c r="AH78" i="1"/>
  <c r="AJ78" i="1"/>
  <c r="AK78" i="1"/>
  <c r="AO78" i="1"/>
  <c r="AP78" i="1"/>
  <c r="K78" i="1" s="1"/>
  <c r="AW78" i="1"/>
  <c r="BD78" i="1"/>
  <c r="BF78" i="1"/>
  <c r="BH78" i="1"/>
  <c r="BJ78" i="1"/>
  <c r="L81" i="1"/>
  <c r="AL81" i="1" s="1"/>
  <c r="Z81" i="1"/>
  <c r="AD81" i="1"/>
  <c r="AE81" i="1"/>
  <c r="AF81" i="1"/>
  <c r="AG81" i="1"/>
  <c r="AH81" i="1"/>
  <c r="AJ81" i="1"/>
  <c r="AK81" i="1"/>
  <c r="AO81" i="1"/>
  <c r="J81" i="1" s="1"/>
  <c r="AP81" i="1"/>
  <c r="K81" i="1" s="1"/>
  <c r="AX81" i="1"/>
  <c r="BD81" i="1"/>
  <c r="BF81" i="1"/>
  <c r="BI81" i="1"/>
  <c r="AC81" i="1" s="1"/>
  <c r="BJ81" i="1"/>
  <c r="K84" i="1"/>
  <c r="L84" i="1"/>
  <c r="AL84" i="1" s="1"/>
  <c r="Z84" i="1"/>
  <c r="AD84" i="1"/>
  <c r="AE84" i="1"/>
  <c r="AF84" i="1"/>
  <c r="AG84" i="1"/>
  <c r="AH84" i="1"/>
  <c r="AJ84" i="1"/>
  <c r="AK84" i="1"/>
  <c r="AO84" i="1"/>
  <c r="AW84" i="1" s="1"/>
  <c r="BC84" i="1" s="1"/>
  <c r="AP84" i="1"/>
  <c r="AX84" i="1" s="1"/>
  <c r="BD84" i="1"/>
  <c r="BF84" i="1"/>
  <c r="BH84" i="1"/>
  <c r="AB84" i="1" s="1"/>
  <c r="BJ84" i="1"/>
  <c r="L87" i="1"/>
  <c r="AL87" i="1" s="1"/>
  <c r="Z87" i="1"/>
  <c r="AD87" i="1"/>
  <c r="AE87" i="1"/>
  <c r="AF87" i="1"/>
  <c r="AG87" i="1"/>
  <c r="AH87" i="1"/>
  <c r="AJ87" i="1"/>
  <c r="AK87" i="1"/>
  <c r="AO87" i="1"/>
  <c r="AW87" i="1" s="1"/>
  <c r="AP87" i="1"/>
  <c r="BD87" i="1"/>
  <c r="BF87" i="1"/>
  <c r="BJ87" i="1"/>
  <c r="L90" i="1"/>
  <c r="AL90" i="1" s="1"/>
  <c r="Z90" i="1"/>
  <c r="AD90" i="1"/>
  <c r="AE90" i="1"/>
  <c r="AF90" i="1"/>
  <c r="AG90" i="1"/>
  <c r="AH90" i="1"/>
  <c r="AJ90" i="1"/>
  <c r="AK90" i="1"/>
  <c r="AO90" i="1"/>
  <c r="AP90" i="1"/>
  <c r="BD90" i="1"/>
  <c r="BF90" i="1"/>
  <c r="BJ90" i="1"/>
  <c r="L93" i="1"/>
  <c r="Z93" i="1"/>
  <c r="AD93" i="1"/>
  <c r="AE93" i="1"/>
  <c r="AF93" i="1"/>
  <c r="AG93" i="1"/>
  <c r="AH93" i="1"/>
  <c r="AJ93" i="1"/>
  <c r="AK93" i="1"/>
  <c r="AT83" i="1" s="1"/>
  <c r="AO93" i="1"/>
  <c r="AW93" i="1" s="1"/>
  <c r="AP93" i="1"/>
  <c r="BI93" i="1" s="1"/>
  <c r="AC93" i="1" s="1"/>
  <c r="BD93" i="1"/>
  <c r="BF93" i="1"/>
  <c r="BH93" i="1"/>
  <c r="AB93" i="1" s="1"/>
  <c r="BJ93" i="1"/>
  <c r="L95" i="1"/>
  <c r="Z95" i="1"/>
  <c r="AD95" i="1"/>
  <c r="AE95" i="1"/>
  <c r="AF95" i="1"/>
  <c r="AG95" i="1"/>
  <c r="AH95" i="1"/>
  <c r="AJ95" i="1"/>
  <c r="AK95" i="1"/>
  <c r="AL95" i="1"/>
  <c r="AO95" i="1"/>
  <c r="AP95" i="1"/>
  <c r="BI95" i="1" s="1"/>
  <c r="AC95" i="1" s="1"/>
  <c r="BD95" i="1"/>
  <c r="BF95" i="1"/>
  <c r="BH95" i="1"/>
  <c r="AB95" i="1" s="1"/>
  <c r="BJ95" i="1"/>
  <c r="L98" i="1"/>
  <c r="L97" i="1" s="1"/>
  <c r="Z98" i="1"/>
  <c r="AB98" i="1"/>
  <c r="AC98" i="1"/>
  <c r="AF98" i="1"/>
  <c r="AG98" i="1"/>
  <c r="AH98" i="1"/>
  <c r="AJ98" i="1"/>
  <c r="AK98" i="1"/>
  <c r="AT97" i="1" s="1"/>
  <c r="AL98" i="1"/>
  <c r="AO98" i="1"/>
  <c r="AW98" i="1" s="1"/>
  <c r="AP98" i="1"/>
  <c r="BD98" i="1"/>
  <c r="BF98" i="1"/>
  <c r="BJ98" i="1"/>
  <c r="L101" i="1"/>
  <c r="AL101" i="1" s="1"/>
  <c r="Z101" i="1"/>
  <c r="AB101" i="1"/>
  <c r="AC101" i="1"/>
  <c r="AD101" i="1"/>
  <c r="AE101" i="1"/>
  <c r="AF101" i="1"/>
  <c r="AG101" i="1"/>
  <c r="AH101" i="1"/>
  <c r="AJ101" i="1"/>
  <c r="AS97" i="1" s="1"/>
  <c r="AK101" i="1"/>
  <c r="AO101" i="1"/>
  <c r="AP101" i="1"/>
  <c r="BD101" i="1"/>
  <c r="BF101" i="1"/>
  <c r="BH101" i="1"/>
  <c r="BI101" i="1"/>
  <c r="BJ101" i="1"/>
  <c r="AS102" i="1"/>
  <c r="L103" i="1"/>
  <c r="L102" i="1" s="1"/>
  <c r="Z103" i="1"/>
  <c r="AB103" i="1"/>
  <c r="AC103" i="1"/>
  <c r="AF103" i="1"/>
  <c r="AG103" i="1"/>
  <c r="AH103" i="1"/>
  <c r="AJ103" i="1"/>
  <c r="AK103" i="1"/>
  <c r="AT102" i="1" s="1"/>
  <c r="AL103" i="1"/>
  <c r="AU102" i="1" s="1"/>
  <c r="AO103" i="1"/>
  <c r="AW103" i="1" s="1"/>
  <c r="AP103" i="1"/>
  <c r="BI103" i="1" s="1"/>
  <c r="AE103" i="1" s="1"/>
  <c r="BD103" i="1"/>
  <c r="BF103" i="1"/>
  <c r="BJ103" i="1"/>
  <c r="K106" i="1"/>
  <c r="K105" i="1" s="1"/>
  <c r="L106" i="1"/>
  <c r="L105" i="1" s="1"/>
  <c r="Z106" i="1"/>
  <c r="AB106" i="1"/>
  <c r="AC106" i="1"/>
  <c r="AF106" i="1"/>
  <c r="AG106" i="1"/>
  <c r="AH106" i="1"/>
  <c r="AJ106" i="1"/>
  <c r="AS105" i="1" s="1"/>
  <c r="AK106" i="1"/>
  <c r="AT105" i="1" s="1"/>
  <c r="AO106" i="1"/>
  <c r="AP106" i="1"/>
  <c r="AX106" i="1"/>
  <c r="BD106" i="1"/>
  <c r="BF106" i="1"/>
  <c r="BH106" i="1"/>
  <c r="AD106" i="1" s="1"/>
  <c r="BI106" i="1"/>
  <c r="AE106" i="1" s="1"/>
  <c r="BJ106" i="1"/>
  <c r="L109" i="1"/>
  <c r="Z109" i="1"/>
  <c r="AB109" i="1"/>
  <c r="AC109" i="1"/>
  <c r="AF109" i="1"/>
  <c r="AG109" i="1"/>
  <c r="AH109" i="1"/>
  <c r="AJ109" i="1"/>
  <c r="AK109" i="1"/>
  <c r="AL109" i="1"/>
  <c r="AO109" i="1"/>
  <c r="AP109" i="1"/>
  <c r="BD109" i="1"/>
  <c r="BF109" i="1"/>
  <c r="BH109" i="1"/>
  <c r="AD109" i="1" s="1"/>
  <c r="BI109" i="1"/>
  <c r="AE109" i="1" s="1"/>
  <c r="BJ109" i="1"/>
  <c r="L111" i="1"/>
  <c r="Z111" i="1"/>
  <c r="AB111" i="1"/>
  <c r="AC111" i="1"/>
  <c r="AF111" i="1"/>
  <c r="AG111" i="1"/>
  <c r="AH111" i="1"/>
  <c r="AJ111" i="1"/>
  <c r="AK111" i="1"/>
  <c r="AL111" i="1"/>
  <c r="AO111" i="1"/>
  <c r="BH111" i="1" s="1"/>
  <c r="AD111" i="1" s="1"/>
  <c r="AP111" i="1"/>
  <c r="K111" i="1" s="1"/>
  <c r="AX111" i="1"/>
  <c r="BD111" i="1"/>
  <c r="BF111" i="1"/>
  <c r="BI111" i="1"/>
  <c r="AE111" i="1" s="1"/>
  <c r="BJ111" i="1"/>
  <c r="L113" i="1"/>
  <c r="Z113" i="1"/>
  <c r="AB113" i="1"/>
  <c r="AC113" i="1"/>
  <c r="AF113" i="1"/>
  <c r="AG113" i="1"/>
  <c r="AH113" i="1"/>
  <c r="AJ113" i="1"/>
  <c r="AK113" i="1"/>
  <c r="AL113" i="1"/>
  <c r="AO113" i="1"/>
  <c r="J113" i="1" s="1"/>
  <c r="AP113" i="1"/>
  <c r="K113" i="1" s="1"/>
  <c r="AX113" i="1"/>
  <c r="BD113" i="1"/>
  <c r="BF113" i="1"/>
  <c r="BI113" i="1"/>
  <c r="AE113" i="1" s="1"/>
  <c r="BJ113" i="1"/>
  <c r="L116" i="1"/>
  <c r="AL116" i="1" s="1"/>
  <c r="Z116" i="1"/>
  <c r="AB116" i="1"/>
  <c r="AC116" i="1"/>
  <c r="AF116" i="1"/>
  <c r="AG116" i="1"/>
  <c r="AH116" i="1"/>
  <c r="AJ116" i="1"/>
  <c r="AK116" i="1"/>
  <c r="AO116" i="1"/>
  <c r="J116" i="1" s="1"/>
  <c r="AP116" i="1"/>
  <c r="K116" i="1" s="1"/>
  <c r="AW116" i="1"/>
  <c r="BC116" i="1" s="1"/>
  <c r="AX116" i="1"/>
  <c r="BD116" i="1"/>
  <c r="BF116" i="1"/>
  <c r="BH116" i="1"/>
  <c r="AD116" i="1" s="1"/>
  <c r="BI116" i="1"/>
  <c r="AE116" i="1" s="1"/>
  <c r="BJ116" i="1"/>
  <c r="J118" i="1"/>
  <c r="L118" i="1"/>
  <c r="AL118" i="1" s="1"/>
  <c r="Z118" i="1"/>
  <c r="AB118" i="1"/>
  <c r="AC118" i="1"/>
  <c r="AF118" i="1"/>
  <c r="AG118" i="1"/>
  <c r="AH118" i="1"/>
  <c r="AJ118" i="1"/>
  <c r="AK118" i="1"/>
  <c r="AO118" i="1"/>
  <c r="BH118" i="1" s="1"/>
  <c r="AD118" i="1" s="1"/>
  <c r="AP118" i="1"/>
  <c r="K118" i="1" s="1"/>
  <c r="AW118" i="1"/>
  <c r="BD118" i="1"/>
  <c r="BF118" i="1"/>
  <c r="BI118" i="1"/>
  <c r="AE118" i="1" s="1"/>
  <c r="BJ118" i="1"/>
  <c r="K121" i="1"/>
  <c r="L121" i="1"/>
  <c r="AL121" i="1" s="1"/>
  <c r="AB121" i="1"/>
  <c r="AC121" i="1"/>
  <c r="AD121" i="1"/>
  <c r="AE121" i="1"/>
  <c r="AF121" i="1"/>
  <c r="AG121" i="1"/>
  <c r="AH121" i="1"/>
  <c r="AJ121" i="1"/>
  <c r="AK121" i="1"/>
  <c r="AO121" i="1"/>
  <c r="J121" i="1" s="1"/>
  <c r="AP121" i="1"/>
  <c r="BI121" i="1" s="1"/>
  <c r="AX121" i="1"/>
  <c r="BD121" i="1"/>
  <c r="BF121" i="1"/>
  <c r="BJ121" i="1"/>
  <c r="Z121" i="1" s="1"/>
  <c r="AS122" i="1"/>
  <c r="L123" i="1"/>
  <c r="L122" i="1" s="1"/>
  <c r="Z123" i="1"/>
  <c r="AB123" i="1"/>
  <c r="AC123" i="1"/>
  <c r="AF123" i="1"/>
  <c r="AG123" i="1"/>
  <c r="AH123" i="1"/>
  <c r="AJ123" i="1"/>
  <c r="AK123" i="1"/>
  <c r="AT122" i="1" s="1"/>
  <c r="AL123" i="1"/>
  <c r="AU122" i="1" s="1"/>
  <c r="AO123" i="1"/>
  <c r="J123" i="1" s="1"/>
  <c r="J122" i="1" s="1"/>
  <c r="AP123" i="1"/>
  <c r="K123" i="1" s="1"/>
  <c r="K122" i="1" s="1"/>
  <c r="AW123" i="1"/>
  <c r="BD123" i="1"/>
  <c r="BF123" i="1"/>
  <c r="BJ123" i="1"/>
  <c r="K126" i="1"/>
  <c r="L126" i="1"/>
  <c r="AL126" i="1" s="1"/>
  <c r="Z126" i="1"/>
  <c r="AB126" i="1"/>
  <c r="AC126" i="1"/>
  <c r="AF126" i="1"/>
  <c r="AG126" i="1"/>
  <c r="AH126" i="1"/>
  <c r="AJ126" i="1"/>
  <c r="AK126" i="1"/>
  <c r="AO126" i="1"/>
  <c r="AW126" i="1" s="1"/>
  <c r="AP126" i="1"/>
  <c r="AX126" i="1"/>
  <c r="BD126" i="1"/>
  <c r="BF126" i="1"/>
  <c r="BI126" i="1"/>
  <c r="AE126" i="1" s="1"/>
  <c r="BJ126" i="1"/>
  <c r="L145" i="1"/>
  <c r="AL145" i="1" s="1"/>
  <c r="Z145" i="1"/>
  <c r="AB145" i="1"/>
  <c r="AC145" i="1"/>
  <c r="AF145" i="1"/>
  <c r="AG145" i="1"/>
  <c r="AH145" i="1"/>
  <c r="AJ145" i="1"/>
  <c r="AK145" i="1"/>
  <c r="AO145" i="1"/>
  <c r="J145" i="1" s="1"/>
  <c r="AP145" i="1"/>
  <c r="K145" i="1" s="1"/>
  <c r="BD145" i="1"/>
  <c r="BF145" i="1"/>
  <c r="BJ145" i="1"/>
  <c r="L147" i="1"/>
  <c r="AL147" i="1" s="1"/>
  <c r="Z147" i="1"/>
  <c r="AB147" i="1"/>
  <c r="AC147" i="1"/>
  <c r="AF147" i="1"/>
  <c r="AG147" i="1"/>
  <c r="AH147" i="1"/>
  <c r="AJ147" i="1"/>
  <c r="AK147" i="1"/>
  <c r="AO147" i="1"/>
  <c r="J147" i="1" s="1"/>
  <c r="AP147" i="1"/>
  <c r="BI147" i="1" s="1"/>
  <c r="AE147" i="1" s="1"/>
  <c r="AX147" i="1"/>
  <c r="BD147" i="1"/>
  <c r="BF147" i="1"/>
  <c r="BH147" i="1"/>
  <c r="AD147" i="1" s="1"/>
  <c r="BJ147" i="1"/>
  <c r="K150" i="1"/>
  <c r="L150" i="1"/>
  <c r="AL150" i="1" s="1"/>
  <c r="Z150" i="1"/>
  <c r="AB150" i="1"/>
  <c r="AC150" i="1"/>
  <c r="AF150" i="1"/>
  <c r="AG150" i="1"/>
  <c r="AH150" i="1"/>
  <c r="AJ150" i="1"/>
  <c r="AK150" i="1"/>
  <c r="AO150" i="1"/>
  <c r="J150" i="1" s="1"/>
  <c r="AP150" i="1"/>
  <c r="AX150" i="1" s="1"/>
  <c r="AW150" i="1"/>
  <c r="BC150" i="1" s="1"/>
  <c r="BD150" i="1"/>
  <c r="BF150" i="1"/>
  <c r="BH150" i="1"/>
  <c r="AD150" i="1" s="1"/>
  <c r="BI150" i="1"/>
  <c r="AE150" i="1" s="1"/>
  <c r="BJ150" i="1"/>
  <c r="L154" i="1"/>
  <c r="AL154" i="1" s="1"/>
  <c r="Z154" i="1"/>
  <c r="AB154" i="1"/>
  <c r="AC154" i="1"/>
  <c r="AF154" i="1"/>
  <c r="AG154" i="1"/>
  <c r="AH154" i="1"/>
  <c r="AJ154" i="1"/>
  <c r="AK154" i="1"/>
  <c r="AO154" i="1"/>
  <c r="AW154" i="1" s="1"/>
  <c r="AP154" i="1"/>
  <c r="K154" i="1" s="1"/>
  <c r="BD154" i="1"/>
  <c r="BF154" i="1"/>
  <c r="BJ154" i="1"/>
  <c r="L157" i="1"/>
  <c r="AL157" i="1" s="1"/>
  <c r="Z157" i="1"/>
  <c r="AB157" i="1"/>
  <c r="AC157" i="1"/>
  <c r="AF157" i="1"/>
  <c r="AG157" i="1"/>
  <c r="AH157" i="1"/>
  <c r="AJ157" i="1"/>
  <c r="AK157" i="1"/>
  <c r="AO157" i="1"/>
  <c r="J157" i="1" s="1"/>
  <c r="AP157" i="1"/>
  <c r="AX157" i="1" s="1"/>
  <c r="BD157" i="1"/>
  <c r="BF157" i="1"/>
  <c r="BJ157" i="1"/>
  <c r="L161" i="1"/>
  <c r="AB161" i="1"/>
  <c r="AC161" i="1"/>
  <c r="AD161" i="1"/>
  <c r="AE161" i="1"/>
  <c r="AF161" i="1"/>
  <c r="AG161" i="1"/>
  <c r="AH161" i="1"/>
  <c r="AJ161" i="1"/>
  <c r="AK161" i="1"/>
  <c r="AL161" i="1"/>
  <c r="AO161" i="1"/>
  <c r="AW161" i="1" s="1"/>
  <c r="AP161" i="1"/>
  <c r="K161" i="1" s="1"/>
  <c r="BD161" i="1"/>
  <c r="BF161" i="1"/>
  <c r="BJ161" i="1"/>
  <c r="Z161" i="1" s="1"/>
  <c r="L163" i="1"/>
  <c r="Z163" i="1"/>
  <c r="AB163" i="1"/>
  <c r="AC163" i="1"/>
  <c r="AF163" i="1"/>
  <c r="AG163" i="1"/>
  <c r="AH163" i="1"/>
  <c r="AJ163" i="1"/>
  <c r="AK163" i="1"/>
  <c r="AL163" i="1"/>
  <c r="AO163" i="1"/>
  <c r="J163" i="1" s="1"/>
  <c r="AP163" i="1"/>
  <c r="AX163" i="1" s="1"/>
  <c r="BD163" i="1"/>
  <c r="BF163" i="1"/>
  <c r="BI163" i="1"/>
  <c r="AE163" i="1" s="1"/>
  <c r="BJ163" i="1"/>
  <c r="L165" i="1"/>
  <c r="Z165" i="1"/>
  <c r="AB165" i="1"/>
  <c r="AC165" i="1"/>
  <c r="AF165" i="1"/>
  <c r="AG165" i="1"/>
  <c r="AH165" i="1"/>
  <c r="AJ165" i="1"/>
  <c r="AK165" i="1"/>
  <c r="AO165" i="1"/>
  <c r="AW165" i="1" s="1"/>
  <c r="AP165" i="1"/>
  <c r="K165" i="1" s="1"/>
  <c r="BD165" i="1"/>
  <c r="BF165" i="1"/>
  <c r="BJ165" i="1"/>
  <c r="K185" i="1"/>
  <c r="L185" i="1"/>
  <c r="AL185" i="1" s="1"/>
  <c r="Z185" i="1"/>
  <c r="AB185" i="1"/>
  <c r="AC185" i="1"/>
  <c r="AF185" i="1"/>
  <c r="AG185" i="1"/>
  <c r="AH185" i="1"/>
  <c r="AJ185" i="1"/>
  <c r="AK185" i="1"/>
  <c r="AT162" i="1" s="1"/>
  <c r="AO185" i="1"/>
  <c r="J185" i="1" s="1"/>
  <c r="AP185" i="1"/>
  <c r="AX185" i="1" s="1"/>
  <c r="AW185" i="1"/>
  <c r="BD185" i="1"/>
  <c r="BF185" i="1"/>
  <c r="BH185" i="1"/>
  <c r="AD185" i="1" s="1"/>
  <c r="BI185" i="1"/>
  <c r="AE185" i="1" s="1"/>
  <c r="BJ185" i="1"/>
  <c r="L188" i="1"/>
  <c r="AL188" i="1" s="1"/>
  <c r="AB188" i="1"/>
  <c r="AC188" i="1"/>
  <c r="AD188" i="1"/>
  <c r="AE188" i="1"/>
  <c r="AF188" i="1"/>
  <c r="AG188" i="1"/>
  <c r="AH188" i="1"/>
  <c r="AJ188" i="1"/>
  <c r="AK188" i="1"/>
  <c r="AO188" i="1"/>
  <c r="AW188" i="1" s="1"/>
  <c r="AP188" i="1"/>
  <c r="K188" i="1" s="1"/>
  <c r="AX188" i="1"/>
  <c r="BD188" i="1"/>
  <c r="BF188" i="1"/>
  <c r="BI188" i="1"/>
  <c r="BJ188" i="1"/>
  <c r="Z188" i="1" s="1"/>
  <c r="L189" i="1"/>
  <c r="L190" i="1"/>
  <c r="Z190" i="1"/>
  <c r="AB190" i="1"/>
  <c r="AC190" i="1"/>
  <c r="AF190" i="1"/>
  <c r="AG190" i="1"/>
  <c r="AH190" i="1"/>
  <c r="AJ190" i="1"/>
  <c r="AS189" i="1" s="1"/>
  <c r="AK190" i="1"/>
  <c r="AT189" i="1" s="1"/>
  <c r="AL190" i="1"/>
  <c r="AU189" i="1" s="1"/>
  <c r="AO190" i="1"/>
  <c r="J190" i="1" s="1"/>
  <c r="J189" i="1" s="1"/>
  <c r="AP190" i="1"/>
  <c r="AX190" i="1" s="1"/>
  <c r="BD190" i="1"/>
  <c r="BF190" i="1"/>
  <c r="BJ190" i="1"/>
  <c r="L194" i="1"/>
  <c r="AL194" i="1" s="1"/>
  <c r="AU193" i="1" s="1"/>
  <c r="Z194" i="1"/>
  <c r="AB194" i="1"/>
  <c r="AC194" i="1"/>
  <c r="AF194" i="1"/>
  <c r="AG194" i="1"/>
  <c r="AH194" i="1"/>
  <c r="AJ194" i="1"/>
  <c r="AS193" i="1" s="1"/>
  <c r="AK194" i="1"/>
  <c r="AO194" i="1"/>
  <c r="AW194" i="1" s="1"/>
  <c r="AP194" i="1"/>
  <c r="K194" i="1" s="1"/>
  <c r="BD194" i="1"/>
  <c r="BF194" i="1"/>
  <c r="BI194" i="1"/>
  <c r="AE194" i="1" s="1"/>
  <c r="BJ194" i="1"/>
  <c r="L200" i="1"/>
  <c r="Z200" i="1"/>
  <c r="AB200" i="1"/>
  <c r="AC200" i="1"/>
  <c r="AF200" i="1"/>
  <c r="AG200" i="1"/>
  <c r="AH200" i="1"/>
  <c r="AJ200" i="1"/>
  <c r="AK200" i="1"/>
  <c r="AT193" i="1" s="1"/>
  <c r="AL200" i="1"/>
  <c r="AO200" i="1"/>
  <c r="J200" i="1" s="1"/>
  <c r="AP200" i="1"/>
  <c r="AX200" i="1" s="1"/>
  <c r="AW200" i="1"/>
  <c r="BD200" i="1"/>
  <c r="BF200" i="1"/>
  <c r="BJ200" i="1"/>
  <c r="L207" i="1"/>
  <c r="L206" i="1" s="1"/>
  <c r="Z207" i="1"/>
  <c r="AD207" i="1"/>
  <c r="AE207" i="1"/>
  <c r="AF207" i="1"/>
  <c r="AG207" i="1"/>
  <c r="AH207" i="1"/>
  <c r="AJ207" i="1"/>
  <c r="AS206" i="1" s="1"/>
  <c r="AK207" i="1"/>
  <c r="AT206" i="1" s="1"/>
  <c r="AO207" i="1"/>
  <c r="AW207" i="1" s="1"/>
  <c r="AP207" i="1"/>
  <c r="K207" i="1" s="1"/>
  <c r="K206" i="1" s="1"/>
  <c r="AX207" i="1"/>
  <c r="AV207" i="1" s="1"/>
  <c r="BD207" i="1"/>
  <c r="BF207" i="1"/>
  <c r="BH207" i="1"/>
  <c r="AB207" i="1" s="1"/>
  <c r="BI207" i="1"/>
  <c r="AC207" i="1" s="1"/>
  <c r="BJ207" i="1"/>
  <c r="L210" i="1"/>
  <c r="Z210" i="1"/>
  <c r="AD210" i="1"/>
  <c r="AE210" i="1"/>
  <c r="AF210" i="1"/>
  <c r="AG210" i="1"/>
  <c r="AH210" i="1"/>
  <c r="AJ210" i="1"/>
  <c r="AK210" i="1"/>
  <c r="AL210" i="1"/>
  <c r="AO210" i="1"/>
  <c r="J210" i="1" s="1"/>
  <c r="AP210" i="1"/>
  <c r="AX210" i="1" s="1"/>
  <c r="AW210" i="1"/>
  <c r="AV210" i="1" s="1"/>
  <c r="BD210" i="1"/>
  <c r="BF210" i="1"/>
  <c r="BI210" i="1"/>
  <c r="AC210" i="1" s="1"/>
  <c r="BJ210" i="1"/>
  <c r="L212" i="1"/>
  <c r="Z212" i="1"/>
  <c r="AD212" i="1"/>
  <c r="AE212" i="1"/>
  <c r="AF212" i="1"/>
  <c r="AG212" i="1"/>
  <c r="AH212" i="1"/>
  <c r="AJ212" i="1"/>
  <c r="AK212" i="1"/>
  <c r="AL212" i="1"/>
  <c r="AO212" i="1"/>
  <c r="AW212" i="1" s="1"/>
  <c r="AP212" i="1"/>
  <c r="K212" i="1" s="1"/>
  <c r="BD212" i="1"/>
  <c r="BF212" i="1"/>
  <c r="BJ212" i="1"/>
  <c r="L214" i="1"/>
  <c r="AL214" i="1" s="1"/>
  <c r="Z214" i="1"/>
  <c r="AD214" i="1"/>
  <c r="AE214" i="1"/>
  <c r="AF214" i="1"/>
  <c r="AG214" i="1"/>
  <c r="AH214" i="1"/>
  <c r="AJ214" i="1"/>
  <c r="AK214" i="1"/>
  <c r="AO214" i="1"/>
  <c r="J214" i="1" s="1"/>
  <c r="AP214" i="1"/>
  <c r="AX214" i="1" s="1"/>
  <c r="BD214" i="1"/>
  <c r="BF214" i="1"/>
  <c r="BH214" i="1"/>
  <c r="AB214" i="1" s="1"/>
  <c r="BJ214" i="1"/>
  <c r="L218" i="1"/>
  <c r="Z218" i="1"/>
  <c r="AB218" i="1"/>
  <c r="AD218" i="1"/>
  <c r="AE218" i="1"/>
  <c r="AF218" i="1"/>
  <c r="AG218" i="1"/>
  <c r="AH218" i="1"/>
  <c r="AJ218" i="1"/>
  <c r="AK218" i="1"/>
  <c r="AL218" i="1"/>
  <c r="AO218" i="1"/>
  <c r="AW218" i="1" s="1"/>
  <c r="AP218" i="1"/>
  <c r="K218" i="1" s="1"/>
  <c r="AX218" i="1"/>
  <c r="BD218" i="1"/>
  <c r="BF218" i="1"/>
  <c r="BH218" i="1"/>
  <c r="BJ218" i="1"/>
  <c r="L243" i="1"/>
  <c r="Z243" i="1"/>
  <c r="AD243" i="1"/>
  <c r="AE243" i="1"/>
  <c r="AF243" i="1"/>
  <c r="AG243" i="1"/>
  <c r="AH243" i="1"/>
  <c r="AJ243" i="1"/>
  <c r="AK243" i="1"/>
  <c r="AL243" i="1"/>
  <c r="AO243" i="1"/>
  <c r="J243" i="1" s="1"/>
  <c r="AP243" i="1"/>
  <c r="AX243" i="1" s="1"/>
  <c r="AW243" i="1"/>
  <c r="BC243" i="1" s="1"/>
  <c r="BD243" i="1"/>
  <c r="BF243" i="1"/>
  <c r="BJ243" i="1"/>
  <c r="J246" i="1"/>
  <c r="L246" i="1"/>
  <c r="AL246" i="1" s="1"/>
  <c r="Z246" i="1"/>
  <c r="AD246" i="1"/>
  <c r="AE246" i="1"/>
  <c r="AF246" i="1"/>
  <c r="AG246" i="1"/>
  <c r="AH246" i="1"/>
  <c r="AJ246" i="1"/>
  <c r="AK246" i="1"/>
  <c r="AO246" i="1"/>
  <c r="BH246" i="1" s="1"/>
  <c r="AB246" i="1" s="1"/>
  <c r="AP246" i="1"/>
  <c r="K246" i="1" s="1"/>
  <c r="BD246" i="1"/>
  <c r="BF246" i="1"/>
  <c r="BJ246" i="1"/>
  <c r="L248" i="1"/>
  <c r="AL248" i="1" s="1"/>
  <c r="Z248" i="1"/>
  <c r="AD248" i="1"/>
  <c r="AE248" i="1"/>
  <c r="AF248" i="1"/>
  <c r="AG248" i="1"/>
  <c r="AH248" i="1"/>
  <c r="AJ248" i="1"/>
  <c r="AK248" i="1"/>
  <c r="AO248" i="1"/>
  <c r="AW248" i="1" s="1"/>
  <c r="AP248" i="1"/>
  <c r="BI248" i="1" s="1"/>
  <c r="AC248" i="1" s="1"/>
  <c r="BD248" i="1"/>
  <c r="BF248" i="1"/>
  <c r="BJ248" i="1"/>
  <c r="J250" i="1"/>
  <c r="K250" i="1"/>
  <c r="L250" i="1"/>
  <c r="AL250" i="1" s="1"/>
  <c r="Z250" i="1"/>
  <c r="AD250" i="1"/>
  <c r="AE250" i="1"/>
  <c r="AF250" i="1"/>
  <c r="AG250" i="1"/>
  <c r="AH250" i="1"/>
  <c r="AJ250" i="1"/>
  <c r="AK250" i="1"/>
  <c r="AO250" i="1"/>
  <c r="BH250" i="1" s="1"/>
  <c r="AB250" i="1" s="1"/>
  <c r="AP250" i="1"/>
  <c r="AX250" i="1" s="1"/>
  <c r="AV250" i="1" s="1"/>
  <c r="AW250" i="1"/>
  <c r="BD250" i="1"/>
  <c r="BF250" i="1"/>
  <c r="BI250" i="1"/>
  <c r="AC250" i="1" s="1"/>
  <c r="BJ250" i="1"/>
  <c r="J254" i="1"/>
  <c r="L254" i="1"/>
  <c r="AL254" i="1" s="1"/>
  <c r="Z254" i="1"/>
  <c r="AD254" i="1"/>
  <c r="AE254" i="1"/>
  <c r="AF254" i="1"/>
  <c r="AG254" i="1"/>
  <c r="AH254" i="1"/>
  <c r="AJ254" i="1"/>
  <c r="AK254" i="1"/>
  <c r="AO254" i="1"/>
  <c r="AP254" i="1"/>
  <c r="AX254" i="1" s="1"/>
  <c r="AW254" i="1"/>
  <c r="AV254" i="1" s="1"/>
  <c r="BD254" i="1"/>
  <c r="BF254" i="1"/>
  <c r="BH254" i="1"/>
  <c r="AB254" i="1" s="1"/>
  <c r="BJ254" i="1"/>
  <c r="L256" i="1"/>
  <c r="Z256" i="1"/>
  <c r="AD256" i="1"/>
  <c r="AE256" i="1"/>
  <c r="AF256" i="1"/>
  <c r="AG256" i="1"/>
  <c r="AH256" i="1"/>
  <c r="AJ256" i="1"/>
  <c r="AK256" i="1"/>
  <c r="AL256" i="1"/>
  <c r="AO256" i="1"/>
  <c r="AW256" i="1" s="1"/>
  <c r="AP256" i="1"/>
  <c r="K256" i="1" s="1"/>
  <c r="BD256" i="1"/>
  <c r="BF256" i="1"/>
  <c r="BJ256" i="1"/>
  <c r="L259" i="1"/>
  <c r="Z259" i="1"/>
  <c r="AD259" i="1"/>
  <c r="AE259" i="1"/>
  <c r="AF259" i="1"/>
  <c r="AG259" i="1"/>
  <c r="AH259" i="1"/>
  <c r="AJ259" i="1"/>
  <c r="AK259" i="1"/>
  <c r="AL259" i="1"/>
  <c r="AO259" i="1"/>
  <c r="J259" i="1" s="1"/>
  <c r="AP259" i="1"/>
  <c r="AX259" i="1" s="1"/>
  <c r="BD259" i="1"/>
  <c r="BF259" i="1"/>
  <c r="BJ259" i="1"/>
  <c r="L262" i="1"/>
  <c r="AL262" i="1" s="1"/>
  <c r="Z262" i="1"/>
  <c r="AD262" i="1"/>
  <c r="AE262" i="1"/>
  <c r="AF262" i="1"/>
  <c r="AG262" i="1"/>
  <c r="AH262" i="1"/>
  <c r="AJ262" i="1"/>
  <c r="AK262" i="1"/>
  <c r="AO262" i="1"/>
  <c r="AW262" i="1" s="1"/>
  <c r="AP262" i="1"/>
  <c r="K262" i="1" s="1"/>
  <c r="AX262" i="1"/>
  <c r="AV262" i="1" s="1"/>
  <c r="BD262" i="1"/>
  <c r="BF262" i="1"/>
  <c r="BJ262" i="1"/>
  <c r="K265" i="1"/>
  <c r="L265" i="1"/>
  <c r="AL265" i="1" s="1"/>
  <c r="Z265" i="1"/>
  <c r="AD265" i="1"/>
  <c r="AE265" i="1"/>
  <c r="AF265" i="1"/>
  <c r="AG265" i="1"/>
  <c r="AH265" i="1"/>
  <c r="AJ265" i="1"/>
  <c r="AK265" i="1"/>
  <c r="AO265" i="1"/>
  <c r="J265" i="1" s="1"/>
  <c r="AP265" i="1"/>
  <c r="BI265" i="1" s="1"/>
  <c r="AC265" i="1" s="1"/>
  <c r="BD265" i="1"/>
  <c r="BF265" i="1"/>
  <c r="BJ265" i="1"/>
  <c r="L267" i="1"/>
  <c r="AL267" i="1" s="1"/>
  <c r="Z267" i="1"/>
  <c r="AC267" i="1"/>
  <c r="AD267" i="1"/>
  <c r="AE267" i="1"/>
  <c r="AF267" i="1"/>
  <c r="AG267" i="1"/>
  <c r="AH267" i="1"/>
  <c r="AJ267" i="1"/>
  <c r="AK267" i="1"/>
  <c r="AO267" i="1"/>
  <c r="AW267" i="1" s="1"/>
  <c r="BC267" i="1" s="1"/>
  <c r="AP267" i="1"/>
  <c r="K267" i="1" s="1"/>
  <c r="AX267" i="1"/>
  <c r="BD267" i="1"/>
  <c r="BF267" i="1"/>
  <c r="BI267" i="1"/>
  <c r="BJ267" i="1"/>
  <c r="L270" i="1"/>
  <c r="AL270" i="1" s="1"/>
  <c r="Z270" i="1"/>
  <c r="AD270" i="1"/>
  <c r="AE270" i="1"/>
  <c r="AF270" i="1"/>
  <c r="AG270" i="1"/>
  <c r="AH270" i="1"/>
  <c r="AJ270" i="1"/>
  <c r="AK270" i="1"/>
  <c r="AO270" i="1"/>
  <c r="J270" i="1" s="1"/>
  <c r="AP270" i="1"/>
  <c r="AX270" i="1" s="1"/>
  <c r="AW270" i="1"/>
  <c r="BD270" i="1"/>
  <c r="BF270" i="1"/>
  <c r="BH270" i="1"/>
  <c r="AB270" i="1" s="1"/>
  <c r="BJ270" i="1"/>
  <c r="K273" i="1"/>
  <c r="K272" i="1" s="1"/>
  <c r="L273" i="1"/>
  <c r="AL273" i="1" s="1"/>
  <c r="AU272" i="1" s="1"/>
  <c r="Z273" i="1"/>
  <c r="AD273" i="1"/>
  <c r="AE273" i="1"/>
  <c r="AF273" i="1"/>
  <c r="AG273" i="1"/>
  <c r="AH273" i="1"/>
  <c r="AJ273" i="1"/>
  <c r="AS272" i="1" s="1"/>
  <c r="AK273" i="1"/>
  <c r="AT272" i="1" s="1"/>
  <c r="AO273" i="1"/>
  <c r="J273" i="1" s="1"/>
  <c r="J272" i="1" s="1"/>
  <c r="AP273" i="1"/>
  <c r="AX273" i="1" s="1"/>
  <c r="BD273" i="1"/>
  <c r="BF273" i="1"/>
  <c r="BI273" i="1"/>
  <c r="AC273" i="1" s="1"/>
  <c r="BJ273" i="1"/>
  <c r="AS282" i="1"/>
  <c r="K283" i="1"/>
  <c r="K282" i="1" s="1"/>
  <c r="L283" i="1"/>
  <c r="AL283" i="1" s="1"/>
  <c r="AU282" i="1" s="1"/>
  <c r="AB283" i="1"/>
  <c r="AC283" i="1"/>
  <c r="AD283" i="1"/>
  <c r="AE283" i="1"/>
  <c r="AF283" i="1"/>
  <c r="AG283" i="1"/>
  <c r="AH283" i="1"/>
  <c r="AJ283" i="1"/>
  <c r="AK283" i="1"/>
  <c r="AT282" i="1" s="1"/>
  <c r="AO283" i="1"/>
  <c r="J283" i="1" s="1"/>
  <c r="J282" i="1" s="1"/>
  <c r="AP283" i="1"/>
  <c r="BI283" i="1" s="1"/>
  <c r="AX283" i="1"/>
  <c r="BD283" i="1"/>
  <c r="BF283" i="1"/>
  <c r="BJ283" i="1"/>
  <c r="Z283" i="1" s="1"/>
  <c r="J284" i="1"/>
  <c r="J285" i="1"/>
  <c r="L285" i="1"/>
  <c r="L284" i="1" s="1"/>
  <c r="Z285" i="1"/>
  <c r="AB285" i="1"/>
  <c r="AC285" i="1"/>
  <c r="AD285" i="1"/>
  <c r="AE285" i="1"/>
  <c r="AH285" i="1"/>
  <c r="AJ285" i="1"/>
  <c r="AS284" i="1" s="1"/>
  <c r="AK285" i="1"/>
  <c r="AT284" i="1" s="1"/>
  <c r="AO285" i="1"/>
  <c r="AW285" i="1" s="1"/>
  <c r="AP285" i="1"/>
  <c r="K285" i="1" s="1"/>
  <c r="K284" i="1" s="1"/>
  <c r="BD285" i="1"/>
  <c r="BF285" i="1"/>
  <c r="BH285" i="1"/>
  <c r="AF285" i="1" s="1"/>
  <c r="BJ285" i="1"/>
  <c r="L288" i="1"/>
  <c r="AB288" i="1"/>
  <c r="AC288" i="1"/>
  <c r="AD288" i="1"/>
  <c r="AE288" i="1"/>
  <c r="AF288" i="1"/>
  <c r="AG288" i="1"/>
  <c r="AH288" i="1"/>
  <c r="AJ288" i="1"/>
  <c r="AK288" i="1"/>
  <c r="AL288" i="1"/>
  <c r="AO288" i="1"/>
  <c r="J288" i="1" s="1"/>
  <c r="AP288" i="1"/>
  <c r="AX288" i="1" s="1"/>
  <c r="AW288" i="1"/>
  <c r="BC288" i="1" s="1"/>
  <c r="BD288" i="1"/>
  <c r="BF288" i="1"/>
  <c r="BH288" i="1"/>
  <c r="BJ288" i="1"/>
  <c r="Z288" i="1" s="1"/>
  <c r="L289" i="1"/>
  <c r="AB289" i="1"/>
  <c r="AC289" i="1"/>
  <c r="AD289" i="1"/>
  <c r="AE289" i="1"/>
  <c r="AF289" i="1"/>
  <c r="AG289" i="1"/>
  <c r="AH289" i="1"/>
  <c r="AJ289" i="1"/>
  <c r="AK289" i="1"/>
  <c r="AO289" i="1"/>
  <c r="AW289" i="1" s="1"/>
  <c r="AP289" i="1"/>
  <c r="K289" i="1" s="1"/>
  <c r="BD289" i="1"/>
  <c r="BF289" i="1"/>
  <c r="BI289" i="1"/>
  <c r="BJ289" i="1"/>
  <c r="Z289" i="1" s="1"/>
  <c r="L291" i="1"/>
  <c r="AL291" i="1" s="1"/>
  <c r="AB291" i="1"/>
  <c r="AC291" i="1"/>
  <c r="AD291" i="1"/>
  <c r="AE291" i="1"/>
  <c r="AF291" i="1"/>
  <c r="AG291" i="1"/>
  <c r="AH291" i="1"/>
  <c r="AJ291" i="1"/>
  <c r="AK291" i="1"/>
  <c r="AO291" i="1"/>
  <c r="BH291" i="1" s="1"/>
  <c r="AP291" i="1"/>
  <c r="AX291" i="1" s="1"/>
  <c r="BD291" i="1"/>
  <c r="BF291" i="1"/>
  <c r="BJ291" i="1"/>
  <c r="Z291" i="1" s="1"/>
  <c r="J293" i="1"/>
  <c r="L293" i="1"/>
  <c r="AL293" i="1" s="1"/>
  <c r="AB293" i="1"/>
  <c r="AC293" i="1"/>
  <c r="AD293" i="1"/>
  <c r="AE293" i="1"/>
  <c r="AF293" i="1"/>
  <c r="AG293" i="1"/>
  <c r="AH293" i="1"/>
  <c r="AJ293" i="1"/>
  <c r="AK293" i="1"/>
  <c r="AO293" i="1"/>
  <c r="AW293" i="1" s="1"/>
  <c r="AP293" i="1"/>
  <c r="K293" i="1" s="1"/>
  <c r="BD293" i="1"/>
  <c r="BF293" i="1"/>
  <c r="BH293" i="1"/>
  <c r="BJ293" i="1"/>
  <c r="Z293" i="1" s="1"/>
  <c r="L295" i="1"/>
  <c r="AB295" i="1"/>
  <c r="AC295" i="1"/>
  <c r="AD295" i="1"/>
  <c r="AE295" i="1"/>
  <c r="AF295" i="1"/>
  <c r="AG295" i="1"/>
  <c r="AH295" i="1"/>
  <c r="AJ295" i="1"/>
  <c r="AK295" i="1"/>
  <c r="AL295" i="1"/>
  <c r="AO295" i="1"/>
  <c r="J295" i="1" s="1"/>
  <c r="AP295" i="1"/>
  <c r="K295" i="1" s="1"/>
  <c r="BD295" i="1"/>
  <c r="BF295" i="1"/>
  <c r="BH295" i="1"/>
  <c r="BJ295" i="1"/>
  <c r="Z295" i="1" s="1"/>
  <c r="L297" i="1"/>
  <c r="Z297" i="1"/>
  <c r="AB297" i="1"/>
  <c r="AC297" i="1"/>
  <c r="AD297" i="1"/>
  <c r="AE297" i="1"/>
  <c r="AF297" i="1"/>
  <c r="AG297" i="1"/>
  <c r="AH297" i="1"/>
  <c r="AJ297" i="1"/>
  <c r="AK297" i="1"/>
  <c r="AL297" i="1"/>
  <c r="AO297" i="1"/>
  <c r="J297" i="1" s="1"/>
  <c r="AP297" i="1"/>
  <c r="K297" i="1" s="1"/>
  <c r="BD297" i="1"/>
  <c r="BF297" i="1"/>
  <c r="BJ297" i="1"/>
  <c r="L299" i="1"/>
  <c r="AL299" i="1" s="1"/>
  <c r="Z299" i="1"/>
  <c r="AB299" i="1"/>
  <c r="AC299" i="1"/>
  <c r="AD299" i="1"/>
  <c r="AE299" i="1"/>
  <c r="AF299" i="1"/>
  <c r="AG299" i="1"/>
  <c r="AH299" i="1"/>
  <c r="AJ299" i="1"/>
  <c r="AK299" i="1"/>
  <c r="AO299" i="1"/>
  <c r="J299" i="1" s="1"/>
  <c r="AP299" i="1"/>
  <c r="K299" i="1" s="1"/>
  <c r="BD299" i="1"/>
  <c r="BF299" i="1"/>
  <c r="BH299" i="1"/>
  <c r="BJ299" i="1"/>
  <c r="L301" i="1"/>
  <c r="AB301" i="1"/>
  <c r="AC301" i="1"/>
  <c r="AD301" i="1"/>
  <c r="AE301" i="1"/>
  <c r="AF301" i="1"/>
  <c r="AG301" i="1"/>
  <c r="AH301" i="1"/>
  <c r="AJ301" i="1"/>
  <c r="AK301" i="1"/>
  <c r="AL301" i="1"/>
  <c r="AO301" i="1"/>
  <c r="J301" i="1" s="1"/>
  <c r="AP301" i="1"/>
  <c r="K301" i="1" s="1"/>
  <c r="BD301" i="1"/>
  <c r="BF301" i="1"/>
  <c r="BI301" i="1"/>
  <c r="BJ301" i="1"/>
  <c r="Z301" i="1" s="1"/>
  <c r="L302" i="1"/>
  <c r="AL302" i="1" s="1"/>
  <c r="AB302" i="1"/>
  <c r="AC302" i="1"/>
  <c r="AD302" i="1"/>
  <c r="AE302" i="1"/>
  <c r="AF302" i="1"/>
  <c r="AG302" i="1"/>
  <c r="AH302" i="1"/>
  <c r="AJ302" i="1"/>
  <c r="AK302" i="1"/>
  <c r="AO302" i="1"/>
  <c r="AW302" i="1" s="1"/>
  <c r="BC302" i="1" s="1"/>
  <c r="AP302" i="1"/>
  <c r="AX302" i="1" s="1"/>
  <c r="BD302" i="1"/>
  <c r="BF302" i="1"/>
  <c r="BJ302" i="1"/>
  <c r="Z302" i="1" s="1"/>
  <c r="AV302" i="1" l="1"/>
  <c r="AU97" i="1"/>
  <c r="BC270" i="1"/>
  <c r="BI302" i="1"/>
  <c r="BI78" i="1"/>
  <c r="AC78" i="1" s="1"/>
  <c r="BH302" i="1"/>
  <c r="AX289" i="1"/>
  <c r="AV289" i="1" s="1"/>
  <c r="AX265" i="1"/>
  <c r="BI262" i="1"/>
  <c r="AC262" i="1" s="1"/>
  <c r="J262" i="1"/>
  <c r="AX246" i="1"/>
  <c r="BH243" i="1"/>
  <c r="AB243" i="1" s="1"/>
  <c r="BC218" i="1"/>
  <c r="BI212" i="1"/>
  <c r="AC212" i="1" s="1"/>
  <c r="AT209" i="1"/>
  <c r="J207" i="1"/>
  <c r="J206" i="1" s="1"/>
  <c r="BI190" i="1"/>
  <c r="AE190" i="1" s="1"/>
  <c r="AX154" i="1"/>
  <c r="AV154" i="1" s="1"/>
  <c r="AX145" i="1"/>
  <c r="BH123" i="1"/>
  <c r="AD123" i="1" s="1"/>
  <c r="AW121" i="1"/>
  <c r="AV121" i="1" s="1"/>
  <c r="AV116" i="1"/>
  <c r="BH113" i="1"/>
  <c r="AD113" i="1" s="1"/>
  <c r="J98" i="1"/>
  <c r="J84" i="1"/>
  <c r="AW81" i="1"/>
  <c r="BH72" i="1"/>
  <c r="AB72" i="1" s="1"/>
  <c r="AX69" i="1"/>
  <c r="AW66" i="1"/>
  <c r="BI62" i="1"/>
  <c r="AC62" i="1" s="1"/>
  <c r="AX57" i="1"/>
  <c r="AV57" i="1" s="1"/>
  <c r="K57" i="1"/>
  <c r="K56" i="1" s="1"/>
  <c r="BC54" i="1"/>
  <c r="AX51" i="1"/>
  <c r="K51" i="1"/>
  <c r="K50" i="1" s="1"/>
  <c r="AX48" i="1"/>
  <c r="AW44" i="1"/>
  <c r="BC44" i="1" s="1"/>
  <c r="BH23" i="1"/>
  <c r="AB23" i="1" s="1"/>
  <c r="AX19" i="1"/>
  <c r="BC19" i="1" s="1"/>
  <c r="J19" i="1"/>
  <c r="L12" i="1"/>
  <c r="AS50" i="1"/>
  <c r="AX299" i="1"/>
  <c r="BI297" i="1"/>
  <c r="AS287" i="1"/>
  <c r="BI291" i="1"/>
  <c r="AL285" i="1"/>
  <c r="AU284" i="1" s="1"/>
  <c r="BI270" i="1"/>
  <c r="AC270" i="1" s="1"/>
  <c r="AW265" i="1"/>
  <c r="BC265" i="1" s="1"/>
  <c r="BI256" i="1"/>
  <c r="AC256" i="1" s="1"/>
  <c r="BH248" i="1"/>
  <c r="AB248" i="1" s="1"/>
  <c r="K248" i="1"/>
  <c r="AW246" i="1"/>
  <c r="BC246" i="1" s="1"/>
  <c r="AW214" i="1"/>
  <c r="BC214" i="1" s="1"/>
  <c r="BH212" i="1"/>
  <c r="AB212" i="1" s="1"/>
  <c r="L209" i="1"/>
  <c r="AX194" i="1"/>
  <c r="BH190" i="1"/>
  <c r="AD190" i="1" s="1"/>
  <c r="AV188" i="1"/>
  <c r="BI165" i="1"/>
  <c r="AE165" i="1" s="1"/>
  <c r="BI161" i="1"/>
  <c r="AW145" i="1"/>
  <c r="AV145" i="1" s="1"/>
  <c r="J103" i="1"/>
  <c r="J102" i="1" s="1"/>
  <c r="BH98" i="1"/>
  <c r="AD98" i="1" s="1"/>
  <c r="K77" i="1"/>
  <c r="AT77" i="1"/>
  <c r="J72" i="1"/>
  <c r="BH62" i="1"/>
  <c r="AB62" i="1" s="1"/>
  <c r="AW57" i="1"/>
  <c r="AW51" i="1"/>
  <c r="BC51" i="1" s="1"/>
  <c r="L50" i="1"/>
  <c r="BI40" i="1"/>
  <c r="AC40" i="1" s="1"/>
  <c r="AW19" i="1"/>
  <c r="BC212" i="1"/>
  <c r="BH301" i="1"/>
  <c r="BH267" i="1"/>
  <c r="AB267" i="1" s="1"/>
  <c r="BI218" i="1"/>
  <c r="AC218" i="1" s="1"/>
  <c r="AU108" i="1"/>
  <c r="BH103" i="1"/>
  <c r="AD103" i="1" s="1"/>
  <c r="C16" i="2" s="1"/>
  <c r="L83" i="1"/>
  <c r="J62" i="1"/>
  <c r="L56" i="1"/>
  <c r="BI16" i="1"/>
  <c r="AC16" i="1" s="1"/>
  <c r="AU209" i="1"/>
  <c r="K291" i="1"/>
  <c r="AT217" i="1"/>
  <c r="K147" i="1"/>
  <c r="K125" i="1" s="1"/>
  <c r="K302" i="1"/>
  <c r="AX301" i="1"/>
  <c r="AT287" i="1"/>
  <c r="J291" i="1"/>
  <c r="AV288" i="1"/>
  <c r="BI285" i="1"/>
  <c r="AG285" i="1" s="1"/>
  <c r="C19" i="2" s="1"/>
  <c r="K270" i="1"/>
  <c r="AV267" i="1"/>
  <c r="K254" i="1"/>
  <c r="BC194" i="1"/>
  <c r="BI157" i="1"/>
  <c r="AE157" i="1" s="1"/>
  <c r="K157" i="1"/>
  <c r="AV150" i="1"/>
  <c r="AT108" i="1"/>
  <c r="L108" i="1"/>
  <c r="BH87" i="1"/>
  <c r="AB87" i="1" s="1"/>
  <c r="J87" i="1"/>
  <c r="BH81" i="1"/>
  <c r="AB81" i="1" s="1"/>
  <c r="AV72" i="1"/>
  <c r="BI66" i="1"/>
  <c r="AC66" i="1" s="1"/>
  <c r="J50" i="1"/>
  <c r="L22" i="1"/>
  <c r="L303" i="1" s="1"/>
  <c r="AS12" i="1"/>
  <c r="K12" i="1"/>
  <c r="L162" i="1"/>
  <c r="BH297" i="1"/>
  <c r="J267" i="1"/>
  <c r="BH256" i="1"/>
  <c r="AB256" i="1" s="1"/>
  <c r="J248" i="1"/>
  <c r="J302" i="1"/>
  <c r="AW301" i="1"/>
  <c r="BI295" i="1"/>
  <c r="L287" i="1"/>
  <c r="AW283" i="1"/>
  <c r="BC283" i="1" s="1"/>
  <c r="L282" i="1"/>
  <c r="BH265" i="1"/>
  <c r="AB265" i="1" s="1"/>
  <c r="AX248" i="1"/>
  <c r="BC248" i="1" s="1"/>
  <c r="BI246" i="1"/>
  <c r="AC246" i="1" s="1"/>
  <c r="L217" i="1"/>
  <c r="AX212" i="1"/>
  <c r="BH210" i="1"/>
  <c r="AB210" i="1" s="1"/>
  <c r="AS209" i="1"/>
  <c r="K210" i="1"/>
  <c r="BH200" i="1"/>
  <c r="AD200" i="1" s="1"/>
  <c r="K200" i="1"/>
  <c r="K193" i="1" s="1"/>
  <c r="AW190" i="1"/>
  <c r="BC190" i="1" s="1"/>
  <c r="AX165" i="1"/>
  <c r="AV165" i="1" s="1"/>
  <c r="AX161" i="1"/>
  <c r="BC161" i="1" s="1"/>
  <c r="BH157" i="1"/>
  <c r="AD157" i="1" s="1"/>
  <c r="J154" i="1"/>
  <c r="BI145" i="1"/>
  <c r="AE145" i="1" s="1"/>
  <c r="AV126" i="1"/>
  <c r="AW113" i="1"/>
  <c r="BC113" i="1" s="1"/>
  <c r="AX78" i="1"/>
  <c r="AX62" i="1"/>
  <c r="AV62" i="1" s="1"/>
  <c r="K40" i="1"/>
  <c r="K22" i="1" s="1"/>
  <c r="BI299" i="1"/>
  <c r="AW291" i="1"/>
  <c r="BC291" i="1" s="1"/>
  <c r="J289" i="1"/>
  <c r="BC262" i="1"/>
  <c r="AS217" i="1"/>
  <c r="L193" i="1"/>
  <c r="BH154" i="1"/>
  <c r="AD154" i="1" s="1"/>
  <c r="BH145" i="1"/>
  <c r="AD145" i="1" s="1"/>
  <c r="AT125" i="1"/>
  <c r="AL106" i="1"/>
  <c r="AU105" i="1" s="1"/>
  <c r="BI84" i="1"/>
  <c r="AC84" i="1" s="1"/>
  <c r="J77" i="1"/>
  <c r="BH57" i="1"/>
  <c r="AB57" i="1" s="1"/>
  <c r="BH51" i="1"/>
  <c r="AB51" i="1" s="1"/>
  <c r="J22" i="1"/>
  <c r="AU217" i="1"/>
  <c r="K90" i="1"/>
  <c r="AX90" i="1"/>
  <c r="K98" i="1"/>
  <c r="AX98" i="1"/>
  <c r="AV98" i="1" s="1"/>
  <c r="BI288" i="1"/>
  <c r="AV270" i="1"/>
  <c r="AV265" i="1"/>
  <c r="BI259" i="1"/>
  <c r="AC259" i="1" s="1"/>
  <c r="BC254" i="1"/>
  <c r="BC250" i="1"/>
  <c r="AV248" i="1"/>
  <c r="AV246" i="1"/>
  <c r="BI243" i="1"/>
  <c r="AC243" i="1" s="1"/>
  <c r="BI214" i="1"/>
  <c r="AC214" i="1" s="1"/>
  <c r="BC210" i="1"/>
  <c r="BC200" i="1"/>
  <c r="AV200" i="1"/>
  <c r="BH188" i="1"/>
  <c r="BH163" i="1"/>
  <c r="AD163" i="1" s="1"/>
  <c r="BH126" i="1"/>
  <c r="AD126" i="1" s="1"/>
  <c r="BI123" i="1"/>
  <c r="AE123" i="1" s="1"/>
  <c r="AS108" i="1"/>
  <c r="K87" i="1"/>
  <c r="AX87" i="1"/>
  <c r="AV87" i="1" s="1"/>
  <c r="BC72" i="1"/>
  <c r="AL62" i="1"/>
  <c r="AU61" i="1" s="1"/>
  <c r="L61" i="1"/>
  <c r="AS22" i="1"/>
  <c r="BH273" i="1"/>
  <c r="AB273" i="1" s="1"/>
  <c r="BC121" i="1"/>
  <c r="J90" i="1"/>
  <c r="AW90" i="1"/>
  <c r="BH259" i="1"/>
  <c r="AB259" i="1" s="1"/>
  <c r="AS162" i="1"/>
  <c r="BH161" i="1"/>
  <c r="AU125" i="1"/>
  <c r="BC87" i="1"/>
  <c r="L77" i="1"/>
  <c r="AW299" i="1"/>
  <c r="AX297" i="1"/>
  <c r="BH289" i="1"/>
  <c r="AL289" i="1"/>
  <c r="AU287" i="1" s="1"/>
  <c r="AX285" i="1"/>
  <c r="BC285" i="1" s="1"/>
  <c r="BH283" i="1"/>
  <c r="BH262" i="1"/>
  <c r="AB262" i="1" s="1"/>
  <c r="AX256" i="1"/>
  <c r="AV256" i="1" s="1"/>
  <c r="J256" i="1"/>
  <c r="J218" i="1"/>
  <c r="J217" i="1" s="1"/>
  <c r="J212" i="1"/>
  <c r="K190" i="1"/>
  <c r="K189" i="1" s="1"/>
  <c r="BC185" i="1"/>
  <c r="AV185" i="1"/>
  <c r="AL165" i="1"/>
  <c r="AU162" i="1" s="1"/>
  <c r="AW157" i="1"/>
  <c r="BC154" i="1"/>
  <c r="AW147" i="1"/>
  <c r="BI98" i="1"/>
  <c r="AE98" i="1" s="1"/>
  <c r="BI90" i="1"/>
  <c r="AC90" i="1" s="1"/>
  <c r="BC62" i="1"/>
  <c r="J287" i="1"/>
  <c r="BC165" i="1"/>
  <c r="AW297" i="1"/>
  <c r="AX295" i="1"/>
  <c r="AW273" i="1"/>
  <c r="AV218" i="1"/>
  <c r="AV212" i="1"/>
  <c r="J209" i="1"/>
  <c r="BC207" i="1"/>
  <c r="J194" i="1"/>
  <c r="J193" i="1" s="1"/>
  <c r="BC188" i="1"/>
  <c r="BH165" i="1"/>
  <c r="AD165" i="1" s="1"/>
  <c r="K163" i="1"/>
  <c r="K162" i="1" s="1"/>
  <c r="J161" i="1"/>
  <c r="BI154" i="1"/>
  <c r="AE154" i="1" s="1"/>
  <c r="BC126" i="1"/>
  <c r="J126" i="1"/>
  <c r="J125" i="1" s="1"/>
  <c r="BH121" i="1"/>
  <c r="AX118" i="1"/>
  <c r="J111" i="1"/>
  <c r="AW111" i="1"/>
  <c r="AW106" i="1"/>
  <c r="J106" i="1"/>
  <c r="J105" i="1" s="1"/>
  <c r="K101" i="1"/>
  <c r="AX101" i="1"/>
  <c r="BH90" i="1"/>
  <c r="AB90" i="1" s="1"/>
  <c r="BI87" i="1"/>
  <c r="AC87" i="1" s="1"/>
  <c r="K61" i="1"/>
  <c r="AU50" i="1"/>
  <c r="BI293" i="1"/>
  <c r="BH194" i="1"/>
  <c r="AD194" i="1" s="1"/>
  <c r="AS125" i="1"/>
  <c r="AW295" i="1"/>
  <c r="AX293" i="1"/>
  <c r="AV293" i="1" s="1"/>
  <c r="K259" i="1"/>
  <c r="BI254" i="1"/>
  <c r="AC254" i="1" s="1"/>
  <c r="K243" i="1"/>
  <c r="K214" i="1"/>
  <c r="AL207" i="1"/>
  <c r="AU206" i="1" s="1"/>
  <c r="BI200" i="1"/>
  <c r="AE200" i="1" s="1"/>
  <c r="AV190" i="1"/>
  <c r="J188" i="1"/>
  <c r="AW163" i="1"/>
  <c r="K109" i="1"/>
  <c r="K108" i="1" s="1"/>
  <c r="AX109" i="1"/>
  <c r="J101" i="1"/>
  <c r="AW101" i="1"/>
  <c r="J97" i="1"/>
  <c r="K95" i="1"/>
  <c r="AX95" i="1"/>
  <c r="AV84" i="1"/>
  <c r="AT50" i="1"/>
  <c r="J12" i="1"/>
  <c r="AX93" i="1"/>
  <c r="BC93" i="1" s="1"/>
  <c r="K93" i="1"/>
  <c r="AV283" i="1"/>
  <c r="K288" i="1"/>
  <c r="K287" i="1" s="1"/>
  <c r="L272" i="1"/>
  <c r="AW259" i="1"/>
  <c r="AV243" i="1"/>
  <c r="AV194" i="1"/>
  <c r="J165" i="1"/>
  <c r="J162" i="1" s="1"/>
  <c r="AV161" i="1"/>
  <c r="L125" i="1"/>
  <c r="AX123" i="1"/>
  <c r="BC123" i="1" s="1"/>
  <c r="J109" i="1"/>
  <c r="AW109" i="1"/>
  <c r="K103" i="1"/>
  <c r="K102" i="1" s="1"/>
  <c r="AX103" i="1"/>
  <c r="AV103" i="1" s="1"/>
  <c r="J95" i="1"/>
  <c r="J83" i="1" s="1"/>
  <c r="AW95" i="1"/>
  <c r="AS77" i="1"/>
  <c r="AU12" i="1"/>
  <c r="AS83" i="1"/>
  <c r="AV51" i="1"/>
  <c r="AV44" i="1"/>
  <c r="J93" i="1"/>
  <c r="AV40" i="1"/>
  <c r="AW23" i="1"/>
  <c r="AW16" i="1"/>
  <c r="AX13" i="1"/>
  <c r="AW13" i="1"/>
  <c r="AL40" i="1"/>
  <c r="AU22" i="1" s="1"/>
  <c r="J61" i="1"/>
  <c r="AL93" i="1"/>
  <c r="AU83" i="1" s="1"/>
  <c r="C28" i="2"/>
  <c r="F28" i="2" s="1"/>
  <c r="C18" i="2"/>
  <c r="C27" i="2"/>
  <c r="C17" i="2"/>
  <c r="C20" i="2"/>
  <c r="C21" i="2"/>
  <c r="AT61" i="1"/>
  <c r="AS61" i="1"/>
  <c r="AV69" i="1" l="1"/>
  <c r="BC69" i="1"/>
  <c r="BC78" i="1"/>
  <c r="AV78" i="1"/>
  <c r="BC256" i="1"/>
  <c r="AV291" i="1"/>
  <c r="BC145" i="1"/>
  <c r="AV214" i="1"/>
  <c r="BC57" i="1"/>
  <c r="C14" i="2"/>
  <c r="AV48" i="1"/>
  <c r="BC48" i="1"/>
  <c r="AV19" i="1"/>
  <c r="AV113" i="1"/>
  <c r="K209" i="1"/>
  <c r="AV123" i="1"/>
  <c r="BC98" i="1"/>
  <c r="BC289" i="1"/>
  <c r="AV81" i="1"/>
  <c r="BC81" i="1"/>
  <c r="BC66" i="1"/>
  <c r="AV66" i="1"/>
  <c r="C15" i="2"/>
  <c r="C22" i="2" s="1"/>
  <c r="K217" i="1"/>
  <c r="AV301" i="1"/>
  <c r="BC301" i="1"/>
  <c r="BC103" i="1"/>
  <c r="AV16" i="1"/>
  <c r="BC16" i="1"/>
  <c r="K83" i="1"/>
  <c r="AV101" i="1"/>
  <c r="BC101" i="1"/>
  <c r="AV23" i="1"/>
  <c r="BC23" i="1"/>
  <c r="J108" i="1"/>
  <c r="BC111" i="1"/>
  <c r="AV111" i="1"/>
  <c r="AV273" i="1"/>
  <c r="BC273" i="1"/>
  <c r="AV109" i="1"/>
  <c r="BC109" i="1"/>
  <c r="AV295" i="1"/>
  <c r="BC295" i="1"/>
  <c r="BC106" i="1"/>
  <c r="AV106" i="1"/>
  <c r="AV259" i="1"/>
  <c r="BC259" i="1"/>
  <c r="AV147" i="1"/>
  <c r="BC147" i="1"/>
  <c r="AV90" i="1"/>
  <c r="BC90" i="1"/>
  <c r="BC293" i="1"/>
  <c r="AV93" i="1"/>
  <c r="AV118" i="1"/>
  <c r="BC118" i="1"/>
  <c r="AV297" i="1"/>
  <c r="BC297" i="1"/>
  <c r="AV299" i="1"/>
  <c r="BC299" i="1"/>
  <c r="AV13" i="1"/>
  <c r="BC13" i="1"/>
  <c r="C29" i="2"/>
  <c r="F29" i="2" s="1"/>
  <c r="AV95" i="1"/>
  <c r="BC95" i="1"/>
  <c r="AV163" i="1"/>
  <c r="BC163" i="1"/>
  <c r="AV157" i="1"/>
  <c r="BC157" i="1"/>
  <c r="K97" i="1"/>
  <c r="AV285" i="1"/>
  <c r="I28" i="2"/>
  <c r="I29" i="2" s="1"/>
</calcChain>
</file>

<file path=xl/sharedStrings.xml><?xml version="1.0" encoding="utf-8"?>
<sst xmlns="http://schemas.openxmlformats.org/spreadsheetml/2006/main" count="1288" uniqueCount="592">
  <si>
    <t>Slepý 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</si>
  <si>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</si>
  <si>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</si>
  <si>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</si>
  <si>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</si>
  <si>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</si>
  <si>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</si>
  <si>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</si>
  <si>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</si>
  <si>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</si>
  <si>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</si>
  <si>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</si>
  <si>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</si>
  <si>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</si>
  <si>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</si>
  <si>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</si>
  <si>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</si>
  <si>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</si>
  <si>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</si>
  <si>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</si>
  <si>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</si>
  <si>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</si>
  <si>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</si>
  <si>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</si>
  <si>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</si>
  <si>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</si>
  <si>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</si>
  <si>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</si>
  <si>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</si>
  <si>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</si>
  <si>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</si>
  <si>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</si>
  <si>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</si>
  <si>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</si>
  <si>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</si>
  <si>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</si>
  <si>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</si>
  <si>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</si>
  <si>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</si>
  <si>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</si>
  <si>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</si>
  <si>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</si>
  <si>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</si>
  <si>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</si>
  <si>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</si>
  <si>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</si>
  <si>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</si>
  <si>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</si>
  <si>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</si>
  <si>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</si>
  <si>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</si>
  <si>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</si>
  <si>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</si>
  <si>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</si>
  <si>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</si>
  <si>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</si>
  <si>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</si>
  <si>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</si>
  <si>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</si>
  <si>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</si>
  <si>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</si>
  <si>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</si>
  <si>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</si>
  <si>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</si>
  <si>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</si>
  <si>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</si>
  <si>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</si>
  <si>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</si>
  <si>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</si>
  <si>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</si>
  <si>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</si>
  <si>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</si>
  <si>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</si>
  <si>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</si>
  <si>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</si>
  <si>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</si>
  <si>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</si>
  <si>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</si>
  <si>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</si>
  <si>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</si>
  <si>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</si>
  <si>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Poznámka:</t>
  </si>
  <si>
    <t>Kód</t>
  </si>
  <si>
    <t>317121044RU1</t>
  </si>
  <si>
    <t>Varianta:</t>
  </si>
  <si>
    <t>317121047RT2</t>
  </si>
  <si>
    <t>317121047RT4</t>
  </si>
  <si>
    <t>342255024RT1</t>
  </si>
  <si>
    <t>342255028RT1</t>
  </si>
  <si>
    <t>342255032RT1</t>
  </si>
  <si>
    <t>347014113R00</t>
  </si>
  <si>
    <t>416021121R00</t>
  </si>
  <si>
    <t>416021123R00</t>
  </si>
  <si>
    <t>602016191R00</t>
  </si>
  <si>
    <t>612421637R00</t>
  </si>
  <si>
    <t>612100030RAA</t>
  </si>
  <si>
    <t>612481211RT2</t>
  </si>
  <si>
    <t>632415110R00</t>
  </si>
  <si>
    <t>632415108R00</t>
  </si>
  <si>
    <t>642942111RT3</t>
  </si>
  <si>
    <t>642942111RT4</t>
  </si>
  <si>
    <t>642942111RT5</t>
  </si>
  <si>
    <t>642944999RTA</t>
  </si>
  <si>
    <t>642945299TAA</t>
  </si>
  <si>
    <t>711</t>
  </si>
  <si>
    <t>711212001R00</t>
  </si>
  <si>
    <t>998711102R00</t>
  </si>
  <si>
    <t>725</t>
  </si>
  <si>
    <t>725219999R0A</t>
  </si>
  <si>
    <t>766</t>
  </si>
  <si>
    <t>766666999R0A</t>
  </si>
  <si>
    <t>771</t>
  </si>
  <si>
    <t>771101210R00</t>
  </si>
  <si>
    <t>771475014R00</t>
  </si>
  <si>
    <t>59764241</t>
  </si>
  <si>
    <t>771571111R00</t>
  </si>
  <si>
    <t>597642030</t>
  </si>
  <si>
    <t>998771102R00</t>
  </si>
  <si>
    <t>775</t>
  </si>
  <si>
    <t>775531800R00</t>
  </si>
  <si>
    <t>776</t>
  </si>
  <si>
    <t>776401800RT1</t>
  </si>
  <si>
    <t>776421100R00</t>
  </si>
  <si>
    <t>28342451</t>
  </si>
  <si>
    <t>776511810RT2</t>
  </si>
  <si>
    <t>776521100RT1</t>
  </si>
  <si>
    <t>28410301</t>
  </si>
  <si>
    <t>998712102R00</t>
  </si>
  <si>
    <t>781</t>
  </si>
  <si>
    <t>781101210R00</t>
  </si>
  <si>
    <t>781470010RAI</t>
  </si>
  <si>
    <t>597813620</t>
  </si>
  <si>
    <t>998781102R00</t>
  </si>
  <si>
    <t>783</t>
  </si>
  <si>
    <t>783896210R00</t>
  </si>
  <si>
    <t>784</t>
  </si>
  <si>
    <t>784165811R00</t>
  </si>
  <si>
    <t>784450025RA0</t>
  </si>
  <si>
    <t>94</t>
  </si>
  <si>
    <t>941955001R00</t>
  </si>
  <si>
    <t>95</t>
  </si>
  <si>
    <t>952901111R00</t>
  </si>
  <si>
    <t>950000101R0A</t>
  </si>
  <si>
    <t>959000101R0A</t>
  </si>
  <si>
    <t>96</t>
  </si>
  <si>
    <t>962032231R00</t>
  </si>
  <si>
    <t>965042141RT1</t>
  </si>
  <si>
    <t>965048150R00</t>
  </si>
  <si>
    <t>965081702R00</t>
  </si>
  <si>
    <t>965081713RT1</t>
  </si>
  <si>
    <t>966068001R01</t>
  </si>
  <si>
    <t>966068102R0A</t>
  </si>
  <si>
    <t>966077151R0A</t>
  </si>
  <si>
    <t>968061125R00</t>
  </si>
  <si>
    <t>968061126R00</t>
  </si>
  <si>
    <t>968072455R00</t>
  </si>
  <si>
    <t>968072456R00</t>
  </si>
  <si>
    <t>97</t>
  </si>
  <si>
    <t>978059531R00</t>
  </si>
  <si>
    <t>H99</t>
  </si>
  <si>
    <t>999281108R00</t>
  </si>
  <si>
    <t>M</t>
  </si>
  <si>
    <t>202      RA</t>
  </si>
  <si>
    <t>S</t>
  </si>
  <si>
    <t>979017111R00</t>
  </si>
  <si>
    <t>979083117R00</t>
  </si>
  <si>
    <t>979087311R00</t>
  </si>
  <si>
    <t>979087391R00</t>
  </si>
  <si>
    <t>979093111R00</t>
  </si>
  <si>
    <t>979094211R00</t>
  </si>
  <si>
    <t>979990101R00</t>
  </si>
  <si>
    <t>979990122R00</t>
  </si>
  <si>
    <t>979990111R00</t>
  </si>
  <si>
    <t>PBa03 Stavební úpravy kanceláří v kulturním domě</t>
  </si>
  <si>
    <t>Zábřeh</t>
  </si>
  <si>
    <t>Zkrácený popis / Varianta</t>
  </si>
  <si>
    <t>Rozměry</t>
  </si>
  <si>
    <t>Zdi podpěrné a volné</t>
  </si>
  <si>
    <t>Překlad nosný pórobeton, světlost otv. do 180 cm</t>
  </si>
  <si>
    <t>překlad nosný NOP 300-1500, 149 x 24,9 x 30 cm</t>
  </si>
  <si>
    <t>Překlad nenosný pórobeton, světlost otv. do 105 cm</t>
  </si>
  <si>
    <t>překlad nenosný NEP 100-1250, 124 x 24,9 x 10 cm</t>
  </si>
  <si>
    <t>překlad nenosný NEP 150-1250, 124 x 24,9 x 15 cm</t>
  </si>
  <si>
    <t>Stěny a příčky</t>
  </si>
  <si>
    <t>(1,6+2,57+2,54+1,6)*2,25</t>
  </si>
  <si>
    <t>-0,8*2,0*4</t>
  </si>
  <si>
    <t>3,38*3,35*2</t>
  </si>
  <si>
    <t>-1,0*2,0</t>
  </si>
  <si>
    <t>(4,73+4,17+4,97)*3,35</t>
  </si>
  <si>
    <t>(3,07+1,37+2,03+1,23+1,7)*3,35</t>
  </si>
  <si>
    <t>-0,9*2,0*2</t>
  </si>
  <si>
    <t>-0,8*2,0*3</t>
  </si>
  <si>
    <t>(3,6+1,29+2,08)*2,25</t>
  </si>
  <si>
    <t>-0,8*2,0*2</t>
  </si>
  <si>
    <t>(2,35+1,45*2)*2,25</t>
  </si>
  <si>
    <t>-0,7*2,0</t>
  </si>
  <si>
    <t>0,65*0,16*2,0</t>
  </si>
  <si>
    <t>0,9*0,16*2,0+1,55*0,16*2,0</t>
  </si>
  <si>
    <t>0,93*0,2*2,0</t>
  </si>
  <si>
    <t>0,9*0,2*2,0</t>
  </si>
  <si>
    <t>Předstěna SDK, tl.55 mm,1 x ocel. kce CD, 1 x RBI 12,5 mm, bez izolace</t>
  </si>
  <si>
    <t>(6,48+5,04+5,2)*1,5</t>
  </si>
  <si>
    <t>Stropy a stropní konstrukce (pro pozemní stavby)</t>
  </si>
  <si>
    <t>Podhledy SDK, kovová.kce CD. 1x deska RB 12,5 mm</t>
  </si>
  <si>
    <t>536,62</t>
  </si>
  <si>
    <t>;ztratné 5%; 26,831</t>
  </si>
  <si>
    <t>Podhledy SDK, kovová.kce CD. 1x deska RBI 12,5 mm</t>
  </si>
  <si>
    <t>55,62</t>
  </si>
  <si>
    <t>Omítky ze suchých směsí</t>
  </si>
  <si>
    <t>123,394*2</t>
  </si>
  <si>
    <t>0,922*2</t>
  </si>
  <si>
    <t>0,732*2</t>
  </si>
  <si>
    <t>Úprava povrchů vnitřní</t>
  </si>
  <si>
    <t>Omítka vnitřní zdiva, MVC, štuková</t>
  </si>
  <si>
    <t>Zakrývání výplní vnitřních otvorů</t>
  </si>
  <si>
    <t>po dobu rekonstrukce, vč. odstranění, likvidace</t>
  </si>
  <si>
    <t>Omítka stěn vnitřní vápenocementová štuková</t>
  </si>
  <si>
    <t>otlučení a zřizení ze 100 %, malba</t>
  </si>
  <si>
    <t>Montáž výztužné sítě(perlinky)do stěrky-vnit.stěny</t>
  </si>
  <si>
    <t>Podlahy a podlahové konstrukce</t>
  </si>
  <si>
    <t>72,72</t>
  </si>
  <si>
    <t>371,02</t>
  </si>
  <si>
    <t>17,1</t>
  </si>
  <si>
    <t>Výplně otvorů</t>
  </si>
  <si>
    <t>Osazení zárubní dveřních ocelových, pl. do 2,5 m2</t>
  </si>
  <si>
    <t>včetně dodávky zárubně 700 x 1970 x 100 mm</t>
  </si>
  <si>
    <t>včetně dodávky zárubně 800 x 1970 x 100 mm</t>
  </si>
  <si>
    <t>včetně dodávky zárubně 900 x 1970 x 100 mm</t>
  </si>
  <si>
    <t>Oprava stávajícíh ocelových zárubní, vč. nátěru</t>
  </si>
  <si>
    <t>Izolace proti vodě</t>
  </si>
  <si>
    <t>Hydroizolační povlak - nátěr</t>
  </si>
  <si>
    <t>165,6</t>
  </si>
  <si>
    <t>Přesun hmot pro izolace proti vodě, výšky do 12 m</t>
  </si>
  <si>
    <t>Zařizovací předměty</t>
  </si>
  <si>
    <t>Dodávka a montáž, zprovoznění hygienického zařízení</t>
  </si>
  <si>
    <t>Konstrukce truhlářské</t>
  </si>
  <si>
    <t>Dodávka a montáž dveří do osazených ocelových zárubní</t>
  </si>
  <si>
    <t>Podlahy z dlaždic</t>
  </si>
  <si>
    <t>Penetrace podkladu pod dlažby</t>
  </si>
  <si>
    <t>Obklad soklíků keram.rovných, tmel,výška 10 cm</t>
  </si>
  <si>
    <t>11,0-0,8</t>
  </si>
  <si>
    <t>10,2/0,3</t>
  </si>
  <si>
    <t>;ztratné 5%; 1,7</t>
  </si>
  <si>
    <t>Montáž podlah keram.,režné hladké, do MC, 40x30 cm</t>
  </si>
  <si>
    <t>;ztratné 5%; 3,636</t>
  </si>
  <si>
    <t>Přesun hmot pro podlahy z dlaždic, výšky do 12 m</t>
  </si>
  <si>
    <t>Podlahy vlysové a parketové</t>
  </si>
  <si>
    <t>Demontáž parketových tabulí lepených včetně lišt</t>
  </si>
  <si>
    <t>Podlahy povlakové</t>
  </si>
  <si>
    <t>Demontáž soklíků nebo lišt, pryžových nebo z PVC</t>
  </si>
  <si>
    <t>odstranění a uložení na hromady</t>
  </si>
  <si>
    <t>12,7-0,8</t>
  </si>
  <si>
    <t>14,1-0,8</t>
  </si>
  <si>
    <t>5,3-0,6</t>
  </si>
  <si>
    <t>32-0,8*5-1,25</t>
  </si>
  <si>
    <t>11-0,8</t>
  </si>
  <si>
    <t>16,5-0,8*5</t>
  </si>
  <si>
    <t>14,7-0,8*2</t>
  </si>
  <si>
    <t>9,3-0,8*2</t>
  </si>
  <si>
    <t>26,5-0,8*2</t>
  </si>
  <si>
    <t>24,8-0,8-0,6-0,8</t>
  </si>
  <si>
    <t>20,24-0,8</t>
  </si>
  <si>
    <t>14,2-0,8</t>
  </si>
  <si>
    <t>13,84-0,8</t>
  </si>
  <si>
    <t>Lepení podlahových soklíků z PVC a vinylu</t>
  </si>
  <si>
    <t>203,28</t>
  </si>
  <si>
    <t>;ztratné 5%; 10,164</t>
  </si>
  <si>
    <t>Odstranění PVC a koberců lepených bez podložky</t>
  </si>
  <si>
    <t>z ploch 10 - 20 m2</t>
  </si>
  <si>
    <t>147,7</t>
  </si>
  <si>
    <t>82,9</t>
  </si>
  <si>
    <t>pouze položení - PVC ve specifikaci</t>
  </si>
  <si>
    <t>;ztratné 5%; 18,551</t>
  </si>
  <si>
    <t>Přesun hmot pro povlakové krytiny, výšky do 12 m</t>
  </si>
  <si>
    <t>Obklady (keramické)</t>
  </si>
  <si>
    <t>Penetrace podkladu pod obklady</t>
  </si>
  <si>
    <t>Obklad vnitřní keramický 20 x 20 cm</t>
  </si>
  <si>
    <t>do malty, obklad ve specifikaci</t>
  </si>
  <si>
    <t>8,5*1,5-0,8*1,5-0,7*1,5*2</t>
  </si>
  <si>
    <t>6,0*1,5-0,7*1,5</t>
  </si>
  <si>
    <t>5,4*1,5-0,7*1,5</t>
  </si>
  <si>
    <t>5,9*1,5-0,7*1,5</t>
  </si>
  <si>
    <t>9,2*1,5-0,7*1,5</t>
  </si>
  <si>
    <t>6,8*1,5-0,9*1,5</t>
  </si>
  <si>
    <t>4,6*1,5-0,7*1,5</t>
  </si>
  <si>
    <t>4,5*1,5-0,7*1,5</t>
  </si>
  <si>
    <t>10,3*1,5-0,7*1,5*2-0,8*1,5</t>
  </si>
  <si>
    <t>4,7*1,5-0,7*1,5</t>
  </si>
  <si>
    <t>14,1*1,5-0,7*1,5-0,8*1,5</t>
  </si>
  <si>
    <t>12,5*1,5-0,8*1,5-0,7*1,5</t>
  </si>
  <si>
    <t>5,3*1,5-0,7*1,5</t>
  </si>
  <si>
    <t>7,2*1,5-0,8*1,5-0,7*1,5*2</t>
  </si>
  <si>
    <t>Obkládačka 20x20 šedá mat</t>
  </si>
  <si>
    <t>;ztratné 8%; 13,248</t>
  </si>
  <si>
    <t>Přesun hmot pro obklady keramické, výšky do 12 m</t>
  </si>
  <si>
    <t>Nátěry</t>
  </si>
  <si>
    <t>Malby</t>
  </si>
  <si>
    <t>536,62+55,62</t>
  </si>
  <si>
    <t>-165,6</t>
  </si>
  <si>
    <t>Lešení a stavební výtahy</t>
  </si>
  <si>
    <t>Lešení lehké pomocné, výška podlahy do 1,2 m</t>
  </si>
  <si>
    <t>Různé dokončovací konstrukce a práce na pozemních stavbách</t>
  </si>
  <si>
    <t>Vyčištění budov o výšce podlaží do 4 m</t>
  </si>
  <si>
    <t>592,24</t>
  </si>
  <si>
    <t>Dodávka, osazení, zprovoznění schodolezu</t>
  </si>
  <si>
    <t>Dodávka a montáž kuchyňské linky</t>
  </si>
  <si>
    <t>Bourání konstrukcí</t>
  </si>
  <si>
    <t>Bourání zdiva z cihel pálených na MVC</t>
  </si>
  <si>
    <t>(1,5+1,4+1,34+1,05)*2,15*0,1</t>
  </si>
  <si>
    <t>-0,7*2,0*0,1*2</t>
  </si>
  <si>
    <t>-0,9*2,0*0,1*1</t>
  </si>
  <si>
    <t>(5,95+2,9+3,3+3,67+3,4+1,8+0,85+2,49+2,1)*3,35*0,1</t>
  </si>
  <si>
    <t>-0,9*2,0*0,1*6</t>
  </si>
  <si>
    <t>-0,7*2,0*0,1</t>
  </si>
  <si>
    <t>(1,57+1,45*2+1,65+1,36+1,56+2,59)*2,15*0,1</t>
  </si>
  <si>
    <t>-0,9*2,0*0,1</t>
  </si>
  <si>
    <t>3,21*3,35*0,15</t>
  </si>
  <si>
    <t>-0,7*2,0*0,15</t>
  </si>
  <si>
    <t>-0,9*2,0*0,15</t>
  </si>
  <si>
    <t>1,05*3,35*0,08</t>
  </si>
  <si>
    <t>5,3*3,5*0,12</t>
  </si>
  <si>
    <t>0,9*2,0*0,15</t>
  </si>
  <si>
    <t>0,07*0,3*2,25</t>
  </si>
  <si>
    <t>0,1*0,15*2,25+0,1*0,3*2,25</t>
  </si>
  <si>
    <t>0,29*2,21*2,25+1,2*0,17*2,25</t>
  </si>
  <si>
    <t>0,1*0,15*2,25</t>
  </si>
  <si>
    <t>Bourání mazanin betonových tl. 10 cm, nad 4 m2</t>
  </si>
  <si>
    <t>ručně tl. mazaniny 5 - 8 cm</t>
  </si>
  <si>
    <t>17,1*0,08</t>
  </si>
  <si>
    <t>Dočištění povrchu po vybourání dlažeb, tmel do 50%</t>
  </si>
  <si>
    <t>42,3</t>
  </si>
  <si>
    <t>Bourání soklíků z dlažeb keramických</t>
  </si>
  <si>
    <t>7,39-0,8+5,78-0,6+5,3-0,8+9,0-0,8</t>
  </si>
  <si>
    <t>Bourání dlažeb keramických tl.10 mm, nad 1 m2</t>
  </si>
  <si>
    <t>ručně, dlaždice keramické</t>
  </si>
  <si>
    <t>1,7+3,0</t>
  </si>
  <si>
    <t>3,89*3,35</t>
  </si>
  <si>
    <t>vč. odvozu, likvidace</t>
  </si>
  <si>
    <t>Odstranění ocelové konstrukce v 2.21/2.62</t>
  </si>
  <si>
    <t>vč. odvozu a likvidace</t>
  </si>
  <si>
    <t>Vyvěšení dřevěných dveřních křídel pl. do 2 m2</t>
  </si>
  <si>
    <t>Vyvěšení dřevěných dveřních křídel pl. nad 2 m2</t>
  </si>
  <si>
    <t>Vybourání kovových dveřních zárubní pl. do 2 m2</t>
  </si>
  <si>
    <t>0,7*2,0*9</t>
  </si>
  <si>
    <t>0,9*2,0*10</t>
  </si>
  <si>
    <t>Vybourání kovových dveřních zárubní pl. nad 2 m2</t>
  </si>
  <si>
    <t>1,5*2,0</t>
  </si>
  <si>
    <t>Prorážení otvorů a ostatní bourací práce</t>
  </si>
  <si>
    <t>Odsekání vnitřních obkladů stěn nad 2 m2</t>
  </si>
  <si>
    <t>8,46*1,5-0,8*1,5*2</t>
  </si>
  <si>
    <t>11,34*1,5-0,6*1,5*2-0,8*1,5</t>
  </si>
  <si>
    <t>5*1,5-0,6*1,5</t>
  </si>
  <si>
    <t>6,8*1,5-0,8*1,5</t>
  </si>
  <si>
    <t>7*1,5-0,8*1,5*2</t>
  </si>
  <si>
    <t>11,7*1,5-0,6*1,5</t>
  </si>
  <si>
    <t>5,5*1,5-0,8*1,5*2</t>
  </si>
  <si>
    <t>17,8*2,15-0,6*1,5-0,8*1,5</t>
  </si>
  <si>
    <t>Ostatní přesuny hmot</t>
  </si>
  <si>
    <t>Přesun hmot pro opravy a údržbu do výšky 12 m</t>
  </si>
  <si>
    <t>Montážní přirážky</t>
  </si>
  <si>
    <t>Zednické výpomoci HSV</t>
  </si>
  <si>
    <t>500</t>
  </si>
  <si>
    <t>Přesuny sutí</t>
  </si>
  <si>
    <t>Svislé přemístění suti nošením na H do 3,5 m</t>
  </si>
  <si>
    <t>Vodorovné přemístění suti na skládku do 6000 m</t>
  </si>
  <si>
    <t>44,91</t>
  </si>
  <si>
    <t>Vodorovné přemístění suti nošením do 10 m</t>
  </si>
  <si>
    <t>Příplatek za nošení suti každých dalších 10 m</t>
  </si>
  <si>
    <t>44,91*4</t>
  </si>
  <si>
    <t>Uložení suti na skládku bez zhutnění</t>
  </si>
  <si>
    <t>Nakládání nebo překládání vybourané suti</t>
  </si>
  <si>
    <t>Poplatek za uložení směsi betonu a cihel skupina 170101 a 170102</t>
  </si>
  <si>
    <t>36,468</t>
  </si>
  <si>
    <t>Poplatek za uložení suti - PVC střešní krytina, skupina odpadu 170203</t>
  </si>
  <si>
    <t>Poplatek za uložení suti - stavební keramika, skupina odpadu 170103</t>
  </si>
  <si>
    <t>Doba výstavby:</t>
  </si>
  <si>
    <t>Začátek výstavby:</t>
  </si>
  <si>
    <t>Konec výstavby:</t>
  </si>
  <si>
    <t>Zpracováno dne:</t>
  </si>
  <si>
    <t>31.08.2022</t>
  </si>
  <si>
    <t>Objednatel:</t>
  </si>
  <si>
    <t>Projektant:</t>
  </si>
  <si>
    <t>Zhotovitel:</t>
  </si>
  <si>
    <t>Zpracoval:</t>
  </si>
  <si>
    <t>2.49-2.53</t>
  </si>
  <si>
    <t>2.63</t>
  </si>
  <si>
    <t>2.65-2.71</t>
  </si>
  <si>
    <t>2.55-2.58</t>
  </si>
  <si>
    <t>2.59-2.60</t>
  </si>
  <si>
    <t>2.48</t>
  </si>
  <si>
    <t>2.61</t>
  </si>
  <si>
    <t>2.54</t>
  </si>
  <si>
    <t>WC, předsíňky</t>
  </si>
  <si>
    <t>příčky tl. 100 mm</t>
  </si>
  <si>
    <t>příčky tl. 150 mm</t>
  </si>
  <si>
    <t>příčky tl. 200 mm</t>
  </si>
  <si>
    <t>oprava stávajících omítek, napojení - odhad</t>
  </si>
  <si>
    <t>pod dlažbu</t>
  </si>
  <si>
    <t>pod vinyl</t>
  </si>
  <si>
    <t>2.11</t>
  </si>
  <si>
    <t>Otvor mezi 2.61-2.62</t>
  </si>
  <si>
    <t>pod obklady</t>
  </si>
  <si>
    <t>PVC</t>
  </si>
  <si>
    <t>koberec</t>
  </si>
  <si>
    <t>vinyl</t>
  </si>
  <si>
    <t>2.49</t>
  </si>
  <si>
    <t>2.50</t>
  </si>
  <si>
    <t>2.51</t>
  </si>
  <si>
    <t>2.52</t>
  </si>
  <si>
    <t>2.53</t>
  </si>
  <si>
    <t>2.55</t>
  </si>
  <si>
    <t>2.56</t>
  </si>
  <si>
    <t>2.57</t>
  </si>
  <si>
    <t>2.58</t>
  </si>
  <si>
    <t>2.59</t>
  </si>
  <si>
    <t>2.60</t>
  </si>
  <si>
    <t>2.66</t>
  </si>
  <si>
    <t>2.67</t>
  </si>
  <si>
    <t>2.68</t>
  </si>
  <si>
    <t>2.69</t>
  </si>
  <si>
    <t>2.70</t>
  </si>
  <si>
    <t>pod vinylem</t>
  </si>
  <si>
    <t>SDK podhled</t>
  </si>
  <si>
    <t>odpočet obklady</t>
  </si>
  <si>
    <t>tl. 100 mm</t>
  </si>
  <si>
    <t>2.03-2.08</t>
  </si>
  <si>
    <t>2.28-2.35</t>
  </si>
  <si>
    <t>2.43-2.47</t>
  </si>
  <si>
    <t>tl. 150 mm</t>
  </si>
  <si>
    <t>tl. 80 mm</t>
  </si>
  <si>
    <t>tl. 120 mm</t>
  </si>
  <si>
    <t>2.18</t>
  </si>
  <si>
    <t>otvory pro nové dveře</t>
  </si>
  <si>
    <t>2.03</t>
  </si>
  <si>
    <t>2.27-2.28</t>
  </si>
  <si>
    <t>2.36</t>
  </si>
  <si>
    <t>2.08</t>
  </si>
  <si>
    <t>keramická dlažba</t>
  </si>
  <si>
    <t>mramorová dlažba 2.12,  2.13</t>
  </si>
  <si>
    <t>2.40-2.41</t>
  </si>
  <si>
    <t>600</t>
  </si>
  <si>
    <t>800</t>
  </si>
  <si>
    <t>1450*2000</t>
  </si>
  <si>
    <t>2.04</t>
  </si>
  <si>
    <t>2.05</t>
  </si>
  <si>
    <t>2.06</t>
  </si>
  <si>
    <t>2.07</t>
  </si>
  <si>
    <t>2.43</t>
  </si>
  <si>
    <t>2.44</t>
  </si>
  <si>
    <t>do 50 m</t>
  </si>
  <si>
    <t> </t>
  </si>
  <si>
    <t>MJ</t>
  </si>
  <si>
    <t>kus</t>
  </si>
  <si>
    <t>m2</t>
  </si>
  <si>
    <t>kpl</t>
  </si>
  <si>
    <t>t</t>
  </si>
  <si>
    <t>m</t>
  </si>
  <si>
    <t>m3</t>
  </si>
  <si>
    <t>hod</t>
  </si>
  <si>
    <t>Množství</t>
  </si>
  <si>
    <t>Cena/MJ</t>
  </si>
  <si>
    <t>(Kč)</t>
  </si>
  <si>
    <t>Náklady (Kč)</t>
  </si>
  <si>
    <t>Dodávka</t>
  </si>
  <si>
    <t>Celkem:</t>
  </si>
  <si>
    <t>Montáž</t>
  </si>
  <si>
    <t>Celkem</t>
  </si>
  <si>
    <t>Cenová</t>
  </si>
  <si>
    <t>soustava</t>
  </si>
  <si>
    <t>0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</si>
  <si>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</si>
  <si>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</si>
  <si>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</si>
  <si>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</si>
  <si>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</si>
  <si>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</si>
  <si>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</si>
  <si>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</si>
  <si>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</si>
  <si>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31_</t>
  </si>
  <si>
    <t>34_</t>
  </si>
  <si>
    <t>41_</t>
  </si>
  <si>
    <t>60_</t>
  </si>
  <si>
    <t>61_</t>
  </si>
  <si>
    <t>63_</t>
  </si>
  <si>
    <t>64_</t>
  </si>
  <si>
    <t>711_</t>
  </si>
  <si>
    <t>725_</t>
  </si>
  <si>
    <t>766_</t>
  </si>
  <si>
    <t>771_</t>
  </si>
  <si>
    <t>775_</t>
  </si>
  <si>
    <t>776_</t>
  </si>
  <si>
    <t>781_</t>
  </si>
  <si>
    <t>783_</t>
  </si>
  <si>
    <t>784_</t>
  </si>
  <si>
    <t>94_</t>
  </si>
  <si>
    <t>95_</t>
  </si>
  <si>
    <t>96_</t>
  </si>
  <si>
    <t>97_</t>
  </si>
  <si>
    <t>H99_</t>
  </si>
  <si>
    <t>M_</t>
  </si>
  <si>
    <t>S_</t>
  </si>
  <si>
    <t>3_</t>
  </si>
  <si>
    <t>4_</t>
  </si>
  <si>
    <t>6_</t>
  </si>
  <si>
    <t>71_</t>
  </si>
  <si>
    <t>72_</t>
  </si>
  <si>
    <t>76_</t>
  </si>
  <si>
    <t>77_</t>
  </si>
  <si>
    <t>78_</t>
  </si>
  <si>
    <t>9_</t>
  </si>
  <si>
    <t>_</t>
  </si>
  <si>
    <t>MAT</t>
  </si>
  <si>
    <t>WORK</t>
  </si>
  <si>
    <t>CELK</t>
  </si>
  <si>
    <t>ISWORK</t>
  </si>
  <si>
    <t>P</t>
  </si>
  <si>
    <t>GROUPCODE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</si>
  <si>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</si>
  <si>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</si>
  <si>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</si>
  <si>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</si>
  <si>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</si>
  <si>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</si>
  <si>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</si>
  <si>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</si>
  <si>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</si>
  <si>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</si>
  <si>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</si>
  <si>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</si>
  <si>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</si>
  <si>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</si>
  <si>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</si>
  <si>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slepého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</si>
  <si>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</si>
  <si>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</si>
  <si>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</si>
  <si>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</si>
  <si>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</si>
  <si>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</si>
  <si>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</si>
  <si>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</si>
  <si>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</si>
  <si>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</si>
  <si>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</si>
  <si>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</si>
  <si>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</si>
  <si>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</si>
  <si>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</si>
  <si>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</si>
  <si>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</si>
  <si>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</si>
  <si>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</si>
  <si>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</si>
  <si>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</si>
  <si>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</si>
  <si>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</si>
  <si>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</si>
  <si>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IČO/DIČ:</t>
  </si>
  <si>
    <t>Položek:</t>
  </si>
  <si>
    <t>Datum:</t>
  </si>
  <si>
    <t>Náklady na umístění stavby (NUS)</t>
  </si>
  <si>
    <t>RTS II / 2022</t>
  </si>
  <si>
    <t>Dlažba matná sokl 300x80x9 mm</t>
  </si>
  <si>
    <t>Dlažba matná 300x300x9 mm</t>
  </si>
  <si>
    <t>Lišta soklová PVC pro vinyl 58x11,8 mm</t>
  </si>
  <si>
    <t>Podlaha lepená Vinyl 908x2020x2 mm</t>
  </si>
  <si>
    <t>Malba pro SDK, bílá, bez pen., 1 x</t>
  </si>
  <si>
    <t>Malba ze směsi na SDK, penetrace 1x, bílá 2x</t>
  </si>
  <si>
    <t>Penetrace betonových podkladů 1x</t>
  </si>
  <si>
    <t>Lepení povlak.podlah z pásů PVC na lepidlo</t>
  </si>
  <si>
    <t>Potěr samonivelační ručně tl. 8 mm</t>
  </si>
  <si>
    <t>Potěr samonivelační ručně tl. 10 mm</t>
  </si>
  <si>
    <t>včetně výztužné sítě a stěrkového tmelu</t>
  </si>
  <si>
    <t>Penetrační nátěr stěn</t>
  </si>
  <si>
    <t>Příčky z desek porobetonových tl. 10 cm</t>
  </si>
  <si>
    <t>Příčky z desek porobetonových tl. 15 cm</t>
  </si>
  <si>
    <t>Příčky z desek porobetonových tl. 20 cm</t>
  </si>
  <si>
    <t>desky 599 x 249 x 150 mm</t>
  </si>
  <si>
    <t>desky 599 x 249 x 200 mm</t>
  </si>
  <si>
    <t>desky 599 x 249 x 100 mm</t>
  </si>
  <si>
    <t>610991111R00</t>
  </si>
  <si>
    <t>2.09 – 1x
2.10 – 1x
2.61 – 2x
2.45 – 1x
2.42 – 1x
2.41 – 1x
2.40 – 1x
2.39 – 1x
2.37 – 1x
2.15 – 2x
2.11 – 1x
2.02 – 1x
2.17 – 1x</t>
  </si>
  <si>
    <t>ks</t>
  </si>
  <si>
    <t>Dodávka a montáž posuvné stěny
Mobilní posuvná příčka o výšce 3,0m a šířky 4,0m s vysokou zvukovou neprůzvučností až 58dB</t>
  </si>
  <si>
    <t>10
6
9
1
1</t>
  </si>
  <si>
    <t>WC
pisoár
umyvadlo
WC pro hendikepované
umyvadlo pro hendikepované</t>
  </si>
  <si>
    <t>2.48 – 800: 1x levé
2.49  - 700 : 1x levé
2.50  - 700: 1x levé
2.51  - 700 : 1x levé
2.52  - 700: 1x pravé
2.53 – 800: 1x pravé
2.54 – 900: 1x levé
2.55 – 900: 1x levé
2.56  - 700 : 1x pravé
2.57  - 700: 1x pravé
2.58 – 800: 1x pravé
2.59  - 700 : 1x pravé
2.60 – 800: 1x pravé
2.63 – 900: 1x pravé
2.64 – 900: 1x levé
2.65 – 900: 1x levé
2.66 – 800: 1x pravé
2.67  - 700 : 1x pravé
2.68  - 700 : 1x pravé
2.69  - 700: 1x pravé
2.70 – 800: 1x levé
2.71 – 900: 1xpravé
2.36 – 900: 2x pravé, levé</t>
  </si>
  <si>
    <t>Odstranění dřevěného podia 2.18/2.61
dřevěná konstrukce o rozměrech 7,6x3,4m a výšky 0,9m</t>
  </si>
  <si>
    <t>místnosti 2.61, 2.62, 2.63, 2.64, 2.65, 2.71</t>
  </si>
  <si>
    <t>dílce, třída zátěže 32, oblast použití: kanceláře, zvuková izolace 3dB</t>
  </si>
  <si>
    <t>Jedná se o zhotovení kuchyňské linky o rozměru 4,2m. Kuchyňská linka je zhotovená z lamina.
V kuchyňské lince jsou spodní a horní skříňky. V kuchyňské lince bude zabudován dřez.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</si>
</sst>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0"/>
      <name val="Arial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62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10"/>
      <color indexed="50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1" fillId="0" borderId="0" xfId="0" applyFont="1" applyAlignment="1">
      <alignment vertical="center"/>
    </xf>
    <xf numFmtId="49" fontId="3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9" fontId="4" fillId="2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top"/>
    </xf>
    <xf numFmtId="49" fontId="8" fillId="2" borderId="0" xfId="0" applyNumberFormat="1" applyFont="1" applyFill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4" fillId="2" borderId="1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right" vertical="center"/>
    </xf>
    <xf numFmtId="49" fontId="5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49" fontId="8" fillId="2" borderId="25" xfId="0" applyNumberFormat="1" applyFont="1" applyFill="1" applyBorder="1" applyAlignment="1">
      <alignment horizontal="right" vertical="center"/>
    </xf>
    <xf numFmtId="49" fontId="6" fillId="0" borderId="25" xfId="0" applyNumberFormat="1" applyFont="1" applyBorder="1" applyAlignment="1">
      <alignment horizontal="right" vertical="center"/>
    </xf>
    <xf numFmtId="49" fontId="5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49" fontId="8" fillId="2" borderId="0" xfId="0" applyNumberFormat="1" applyFont="1" applyFill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9" fontId="14" fillId="3" borderId="31" xfId="0" applyNumberFormat="1" applyFont="1" applyFill="1" applyBorder="1" applyAlignment="1">
      <alignment horizontal="center" vertical="center"/>
    </xf>
    <xf numFmtId="49" fontId="15" fillId="0" borderId="32" xfId="0" applyNumberFormat="1" applyFont="1" applyBorder="1" applyAlignment="1">
      <alignment horizontal="left" vertical="center"/>
    </xf>
    <xf numFmtId="49" fontId="15" fillId="0" borderId="33" xfId="0" applyNumberFormat="1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49" fontId="7" fillId="0" borderId="13" xfId="0" applyNumberFormat="1" applyFont="1" applyBorder="1" applyAlignment="1">
      <alignment horizontal="left" vertical="center"/>
    </xf>
    <xf numFmtId="49" fontId="16" fillId="0" borderId="31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6" fillId="0" borderId="31" xfId="0" applyNumberFormat="1" applyFont="1" applyBorder="1" applyAlignment="1">
      <alignment horizontal="right" vertical="center"/>
    </xf>
    <xf numFmtId="49" fontId="16" fillId="0" borderId="31" xfId="0" applyNumberFormat="1" applyFont="1" applyBorder="1" applyAlignment="1">
      <alignment horizontal="right" vertical="center"/>
    </xf>
    <xf numFmtId="4" fontId="16" fillId="0" borderId="21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4" fontId="15" fillId="3" borderId="38" xfId="0" applyNumberFormat="1" applyFont="1" applyFill="1" applyBorder="1" applyAlignment="1">
      <alignment horizontal="right" vertical="center"/>
    </xf>
    <xf numFmtId="0" fontId="1" fillId="0" borderId="1" xfId="0" applyFont="1" applyBorder="1"/>
    <xf numFmtId="164" fontId="5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3" fillId="0" borderId="3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49" fontId="16" fillId="0" borderId="34" xfId="0" applyNumberFormat="1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49" fontId="15" fillId="0" borderId="34" xfId="0" applyNumberFormat="1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49" fontId="15" fillId="3" borderId="34" xfId="0" applyNumberFormat="1" applyFont="1" applyFill="1" applyBorder="1" applyAlignment="1">
      <alignment horizontal="left" vertical="center"/>
    </xf>
    <xf numFmtId="0" fontId="15" fillId="3" borderId="30" xfId="0" applyFont="1" applyFill="1" applyBorder="1" applyAlignment="1">
      <alignment horizontal="left" vertical="center"/>
    </xf>
    <xf numFmtId="49" fontId="16" fillId="0" borderId="36" xfId="0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49" fontId="16" fillId="0" borderId="29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49" fontId="16" fillId="0" borderId="37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0800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8000"/>
      <rgbColor rgb="00000000"/>
      <rgbColor rgb="000000FF"/>
      <rgbColor rgb="00800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657225</xdr:colOff>
      <xdr:row>0</xdr:row>
      <xdr:rowOff>885825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966C79EA-EE10-512D-A65E-5BCCC0B9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285750</xdr:colOff>
      <xdr:row>0</xdr:row>
      <xdr:rowOff>885825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B92429CA-7769-B1E7-A3CB-E07B1CC6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05"/>
  <sheetViews>
    <sheetView tabSelected="1" workbookViewId="0">
      <pane ySplit="11" topLeftCell="A205" activePane="bottomLeft" state="frozenSplit"/>
      <selection pane="bottomLeft" activeCell="N215" sqref="N215"/>
    </sheetView>
  </sheetViews>
  <sheetFormatPr defaultColWidth="11.5703125" defaultRowHeight="12.75" x14ac:dyDescent="0.2"/>
  <cols>
    <col min="1" max="1" width="3.7109375" customWidth="1"/>
    <col min="2" max="2" width="14.28515625" customWidth="1"/>
    <col min="3" max="3" width="42" customWidth="1"/>
    <col min="4" max="4" width="28.85546875" customWidth="1"/>
    <col min="6" max="6" width="25.85546875" customWidth="1"/>
    <col min="7" max="7" width="4.28515625" customWidth="1"/>
    <col min="8" max="8" width="12.85546875" customWidth="1"/>
    <col min="9" max="9" width="12" customWidth="1"/>
    <col min="10" max="12" width="14.28515625" customWidth="1"/>
    <col min="13" max="13" width="11.7109375" customWidth="1"/>
    <col min="25" max="64" width="12.140625" hidden="1" customWidth="1"/>
  </cols>
  <sheetData>
    <row r="1" spans="1:64" ht="72.95" customHeight="1" x14ac:dyDescent="0.3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64" x14ac:dyDescent="0.2">
      <c r="A2" s="82" t="s">
        <v>1</v>
      </c>
      <c r="B2" s="83"/>
      <c r="C2" s="84" t="s">
        <v>173</v>
      </c>
      <c r="D2" s="86" t="s">
        <v>375</v>
      </c>
      <c r="E2" s="86" t="s">
        <v>6</v>
      </c>
      <c r="F2" s="87" t="s">
        <v>380</v>
      </c>
      <c r="G2" s="86" t="s">
        <v>450</v>
      </c>
      <c r="H2" s="83"/>
      <c r="I2" s="83"/>
      <c r="J2" s="83"/>
      <c r="K2" s="83"/>
      <c r="L2" s="83"/>
      <c r="M2" s="88"/>
      <c r="N2" s="5"/>
    </row>
    <row r="3" spans="1:64" x14ac:dyDescent="0.2">
      <c r="A3" s="76"/>
      <c r="B3" s="75"/>
      <c r="C3" s="85"/>
      <c r="D3" s="75"/>
      <c r="E3" s="75"/>
      <c r="F3" s="75"/>
      <c r="G3" s="75"/>
      <c r="H3" s="75"/>
      <c r="I3" s="75"/>
      <c r="J3" s="75"/>
      <c r="K3" s="75"/>
      <c r="L3" s="75"/>
      <c r="M3" s="79"/>
      <c r="N3" s="5"/>
    </row>
    <row r="4" spans="1:64" x14ac:dyDescent="0.2">
      <c r="A4" s="74" t="s">
        <v>2</v>
      </c>
      <c r="B4" s="75"/>
      <c r="C4" s="77" t="s">
        <v>6</v>
      </c>
      <c r="D4" s="78" t="s">
        <v>376</v>
      </c>
      <c r="E4" s="78" t="s">
        <v>379</v>
      </c>
      <c r="F4" s="77" t="s">
        <v>381</v>
      </c>
      <c r="G4" s="78" t="s">
        <v>450</v>
      </c>
      <c r="H4" s="75"/>
      <c r="I4" s="75"/>
      <c r="J4" s="75"/>
      <c r="K4" s="75"/>
      <c r="L4" s="75"/>
      <c r="M4" s="79"/>
      <c r="N4" s="5"/>
    </row>
    <row r="5" spans="1:64" x14ac:dyDescent="0.2">
      <c r="A5" s="76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9"/>
      <c r="N5" s="5"/>
    </row>
    <row r="6" spans="1:64" x14ac:dyDescent="0.2">
      <c r="A6" s="74" t="s">
        <v>3</v>
      </c>
      <c r="B6" s="75"/>
      <c r="C6" s="77" t="s">
        <v>174</v>
      </c>
      <c r="D6" s="78" t="s">
        <v>377</v>
      </c>
      <c r="E6" s="78" t="s">
        <v>6</v>
      </c>
      <c r="F6" s="77" t="s">
        <v>382</v>
      </c>
      <c r="G6" s="78" t="s">
        <v>450</v>
      </c>
      <c r="H6" s="75"/>
      <c r="I6" s="75"/>
      <c r="J6" s="75"/>
      <c r="K6" s="75"/>
      <c r="L6" s="75"/>
      <c r="M6" s="79"/>
      <c r="N6" s="5"/>
    </row>
    <row r="7" spans="1:64" x14ac:dyDescent="0.2">
      <c r="A7" s="76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9"/>
      <c r="N7" s="5"/>
    </row>
    <row r="8" spans="1:64" x14ac:dyDescent="0.2">
      <c r="A8" s="74" t="s">
        <v>4</v>
      </c>
      <c r="B8" s="75"/>
      <c r="C8" s="77" t="s">
        <v>6</v>
      </c>
      <c r="D8" s="78" t="s">
        <v>378</v>
      </c>
      <c r="E8" s="78" t="s">
        <v>379</v>
      </c>
      <c r="F8" s="77" t="s">
        <v>383</v>
      </c>
      <c r="G8" s="78" t="s">
        <v>450</v>
      </c>
      <c r="H8" s="75"/>
      <c r="I8" s="75"/>
      <c r="J8" s="75"/>
      <c r="K8" s="75"/>
      <c r="L8" s="75"/>
      <c r="M8" s="79"/>
      <c r="N8" s="5"/>
    </row>
    <row r="9" spans="1:64" x14ac:dyDescent="0.2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1"/>
      <c r="N9" s="5"/>
    </row>
    <row r="10" spans="1:64" x14ac:dyDescent="0.2">
      <c r="A10" s="1" t="s">
        <v>5</v>
      </c>
      <c r="B10" s="11" t="s">
        <v>82</v>
      </c>
      <c r="C10" s="99" t="s">
        <v>175</v>
      </c>
      <c r="D10" s="100"/>
      <c r="E10" s="100"/>
      <c r="F10" s="101"/>
      <c r="G10" s="11" t="s">
        <v>451</v>
      </c>
      <c r="H10" s="23" t="s">
        <v>459</v>
      </c>
      <c r="I10" s="27" t="s">
        <v>460</v>
      </c>
      <c r="J10" s="102" t="s">
        <v>462</v>
      </c>
      <c r="K10" s="103"/>
      <c r="L10" s="104"/>
      <c r="M10" s="32" t="s">
        <v>467</v>
      </c>
      <c r="N10" s="40"/>
      <c r="BK10" s="41" t="s">
        <v>515</v>
      </c>
      <c r="BL10" s="46" t="s">
        <v>517</v>
      </c>
    </row>
    <row r="11" spans="1:64" x14ac:dyDescent="0.2">
      <c r="A11" s="2" t="s">
        <v>6</v>
      </c>
      <c r="B11" s="12" t="s">
        <v>6</v>
      </c>
      <c r="C11" s="105" t="s">
        <v>176</v>
      </c>
      <c r="D11" s="106"/>
      <c r="E11" s="106"/>
      <c r="F11" s="107"/>
      <c r="G11" s="12" t="s">
        <v>6</v>
      </c>
      <c r="H11" s="12" t="s">
        <v>6</v>
      </c>
      <c r="I11" s="28" t="s">
        <v>461</v>
      </c>
      <c r="J11" s="29" t="s">
        <v>463</v>
      </c>
      <c r="K11" s="30" t="s">
        <v>465</v>
      </c>
      <c r="L11" s="31" t="s">
        <v>466</v>
      </c>
      <c r="M11" s="33" t="s">
        <v>468</v>
      </c>
      <c r="N11" s="40"/>
      <c r="Z11" s="41" t="s">
        <v>470</v>
      </c>
      <c r="AA11" s="41" t="s">
        <v>471</v>
      </c>
      <c r="AB11" s="41" t="s">
        <v>472</v>
      </c>
      <c r="AC11" s="41" t="s">
        <v>473</v>
      </c>
      <c r="AD11" s="41" t="s">
        <v>474</v>
      </c>
      <c r="AE11" s="41" t="s">
        <v>475</v>
      </c>
      <c r="AF11" s="41" t="s">
        <v>476</v>
      </c>
      <c r="AG11" s="41" t="s">
        <v>477</v>
      </c>
      <c r="AH11" s="41" t="s">
        <v>478</v>
      </c>
      <c r="BH11" s="41" t="s">
        <v>512</v>
      </c>
      <c r="BI11" s="41" t="s">
        <v>513</v>
      </c>
      <c r="BJ11" s="41" t="s">
        <v>514</v>
      </c>
    </row>
    <row r="12" spans="1:64" x14ac:dyDescent="0.2">
      <c r="A12" s="3"/>
      <c r="B12" s="13" t="s">
        <v>37</v>
      </c>
      <c r="C12" s="108" t="s">
        <v>177</v>
      </c>
      <c r="D12" s="109"/>
      <c r="E12" s="109"/>
      <c r="F12" s="109"/>
      <c r="G12" s="21" t="s">
        <v>6</v>
      </c>
      <c r="H12" s="21" t="s">
        <v>6</v>
      </c>
      <c r="I12" s="21" t="s">
        <v>6</v>
      </c>
      <c r="J12" s="47">
        <f>SUM(J13:J19)</f>
        <v>0</v>
      </c>
      <c r="K12" s="47">
        <f>SUM(K13:K19)</f>
        <v>0</v>
      </c>
      <c r="L12" s="47">
        <f>SUM(L13:L19)</f>
        <v>0</v>
      </c>
      <c r="M12" s="34"/>
      <c r="N12" s="5"/>
      <c r="AI12" s="41"/>
      <c r="AS12" s="48">
        <f>SUM(AJ13:AJ19)</f>
        <v>0</v>
      </c>
      <c r="AT12" s="48">
        <f>SUM(AK13:AK19)</f>
        <v>0</v>
      </c>
      <c r="AU12" s="48">
        <f>SUM(AL13:AL19)</f>
        <v>0</v>
      </c>
    </row>
    <row r="13" spans="1:64" x14ac:dyDescent="0.2">
      <c r="A13" s="4" t="s">
        <v>7</v>
      </c>
      <c r="B13" s="14" t="s">
        <v>83</v>
      </c>
      <c r="C13" s="92" t="s">
        <v>178</v>
      </c>
      <c r="D13" s="93"/>
      <c r="E13" s="93"/>
      <c r="F13" s="93"/>
      <c r="G13" s="14" t="s">
        <v>452</v>
      </c>
      <c r="H13" s="67">
        <v>2</v>
      </c>
      <c r="I13" s="24">
        <v>0</v>
      </c>
      <c r="J13" s="24">
        <f>H13*AO13</f>
        <v>0</v>
      </c>
      <c r="K13" s="24">
        <f>H13*AP13</f>
        <v>0</v>
      </c>
      <c r="L13" s="24">
        <f>H13*I13</f>
        <v>0</v>
      </c>
      <c r="M13" s="35" t="s">
        <v>562</v>
      </c>
      <c r="N13" s="5"/>
      <c r="Z13" s="42">
        <f>IF(AQ13="5",BJ13,0)</f>
        <v>0</v>
      </c>
      <c r="AB13" s="42">
        <f>IF(AQ13="1",BH13,0)</f>
        <v>0</v>
      </c>
      <c r="AC13" s="42">
        <f>IF(AQ13="1",BI13,0)</f>
        <v>0</v>
      </c>
      <c r="AD13" s="42">
        <f>IF(AQ13="7",BH13,0)</f>
        <v>0</v>
      </c>
      <c r="AE13" s="42">
        <f>IF(AQ13="7",BI13,0)</f>
        <v>0</v>
      </c>
      <c r="AF13" s="42">
        <f>IF(AQ13="2",BH13,0)</f>
        <v>0</v>
      </c>
      <c r="AG13" s="42">
        <f>IF(AQ13="2",BI13,0)</f>
        <v>0</v>
      </c>
      <c r="AH13" s="42">
        <f>IF(AQ13="0",BJ13,0)</f>
        <v>0</v>
      </c>
      <c r="AI13" s="41"/>
      <c r="AJ13" s="24">
        <f>IF(AN13=0,L13,0)</f>
        <v>0</v>
      </c>
      <c r="AK13" s="24">
        <f>IF(AN13=15,L13,0)</f>
        <v>0</v>
      </c>
      <c r="AL13" s="24">
        <f>IF(AN13=21,L13,0)</f>
        <v>0</v>
      </c>
      <c r="AN13" s="42">
        <v>21</v>
      </c>
      <c r="AO13" s="42">
        <f>I13*0.929570093457944</f>
        <v>0</v>
      </c>
      <c r="AP13" s="42">
        <f>I13*(1-0.929570093457944)</f>
        <v>0</v>
      </c>
      <c r="AQ13" s="43" t="s">
        <v>7</v>
      </c>
      <c r="AV13" s="42">
        <f>AW13+AX13</f>
        <v>0</v>
      </c>
      <c r="AW13" s="42">
        <f>H13*AO13</f>
        <v>0</v>
      </c>
      <c r="AX13" s="42">
        <f>H13*AP13</f>
        <v>0</v>
      </c>
      <c r="AY13" s="45" t="s">
        <v>479</v>
      </c>
      <c r="AZ13" s="45" t="s">
        <v>502</v>
      </c>
      <c r="BA13" s="41" t="s">
        <v>511</v>
      </c>
      <c r="BC13" s="42">
        <f>AW13+AX13</f>
        <v>0</v>
      </c>
      <c r="BD13" s="42">
        <f>I13/(100-BE13)*100</f>
        <v>0</v>
      </c>
      <c r="BE13" s="42">
        <v>0</v>
      </c>
      <c r="BF13" s="42">
        <f>13</f>
        <v>13</v>
      </c>
      <c r="BH13" s="24">
        <f>H13*AO13</f>
        <v>0</v>
      </c>
      <c r="BI13" s="24">
        <f>H13*AP13</f>
        <v>0</v>
      </c>
      <c r="BJ13" s="24">
        <f>H13*I13</f>
        <v>0</v>
      </c>
      <c r="BK13" s="24" t="s">
        <v>516</v>
      </c>
      <c r="BL13" s="42">
        <v>31</v>
      </c>
    </row>
    <row r="14" spans="1:64" x14ac:dyDescent="0.2">
      <c r="A14" s="5"/>
      <c r="B14" s="15" t="s">
        <v>84</v>
      </c>
      <c r="C14" s="94" t="s">
        <v>179</v>
      </c>
      <c r="D14" s="95"/>
      <c r="E14" s="95"/>
      <c r="F14" s="95"/>
      <c r="G14" s="95"/>
      <c r="H14" s="95"/>
      <c r="I14" s="95"/>
      <c r="J14" s="95"/>
      <c r="K14" s="95"/>
      <c r="L14" s="95"/>
      <c r="M14" s="96"/>
      <c r="N14" s="5"/>
    </row>
    <row r="15" spans="1:64" x14ac:dyDescent="0.2">
      <c r="A15" s="5"/>
      <c r="C15" s="19" t="s">
        <v>8</v>
      </c>
      <c r="F15" s="20"/>
      <c r="H15" s="68">
        <v>2</v>
      </c>
      <c r="M15" s="36"/>
      <c r="N15" s="5"/>
    </row>
    <row r="16" spans="1:64" x14ac:dyDescent="0.2">
      <c r="A16" s="4" t="s">
        <v>8</v>
      </c>
      <c r="B16" s="14" t="s">
        <v>85</v>
      </c>
      <c r="C16" s="92" t="s">
        <v>180</v>
      </c>
      <c r="D16" s="93"/>
      <c r="E16" s="93"/>
      <c r="F16" s="93"/>
      <c r="G16" s="14" t="s">
        <v>452</v>
      </c>
      <c r="H16" s="67">
        <v>14</v>
      </c>
      <c r="I16" s="24">
        <v>0</v>
      </c>
      <c r="J16" s="24">
        <f>H16*AO16</f>
        <v>0</v>
      </c>
      <c r="K16" s="24">
        <f>H16*AP16</f>
        <v>0</v>
      </c>
      <c r="L16" s="24">
        <f>H16*I16</f>
        <v>0</v>
      </c>
      <c r="M16" s="35" t="s">
        <v>562</v>
      </c>
      <c r="N16" s="5"/>
      <c r="Z16" s="42">
        <f>IF(AQ16="5",BJ16,0)</f>
        <v>0</v>
      </c>
      <c r="AB16" s="42">
        <f>IF(AQ16="1",BH16,0)</f>
        <v>0</v>
      </c>
      <c r="AC16" s="42">
        <f>IF(AQ16="1",BI16,0)</f>
        <v>0</v>
      </c>
      <c r="AD16" s="42">
        <f>IF(AQ16="7",BH16,0)</f>
        <v>0</v>
      </c>
      <c r="AE16" s="42">
        <f>IF(AQ16="7",BI16,0)</f>
        <v>0</v>
      </c>
      <c r="AF16" s="42">
        <f>IF(AQ16="2",BH16,0)</f>
        <v>0</v>
      </c>
      <c r="AG16" s="42">
        <f>IF(AQ16="2",BI16,0)</f>
        <v>0</v>
      </c>
      <c r="AH16" s="42">
        <f>IF(AQ16="0",BJ16,0)</f>
        <v>0</v>
      </c>
      <c r="AI16" s="41"/>
      <c r="AJ16" s="24">
        <f>IF(AN16=0,L16,0)</f>
        <v>0</v>
      </c>
      <c r="AK16" s="24">
        <f>IF(AN16=15,L16,0)</f>
        <v>0</v>
      </c>
      <c r="AL16" s="24">
        <f>IF(AN16=21,L16,0)</f>
        <v>0</v>
      </c>
      <c r="AN16" s="42">
        <v>21</v>
      </c>
      <c r="AO16" s="42">
        <f>I16*0.857603898877063</f>
        <v>0</v>
      </c>
      <c r="AP16" s="42">
        <f>I16*(1-0.857603898877063)</f>
        <v>0</v>
      </c>
      <c r="AQ16" s="43" t="s">
        <v>7</v>
      </c>
      <c r="AV16" s="42">
        <f>AW16+AX16</f>
        <v>0</v>
      </c>
      <c r="AW16" s="42">
        <f>H16*AO16</f>
        <v>0</v>
      </c>
      <c r="AX16" s="42">
        <f>H16*AP16</f>
        <v>0</v>
      </c>
      <c r="AY16" s="45" t="s">
        <v>479</v>
      </c>
      <c r="AZ16" s="45" t="s">
        <v>502</v>
      </c>
      <c r="BA16" s="41" t="s">
        <v>511</v>
      </c>
      <c r="BC16" s="42">
        <f>AW16+AX16</f>
        <v>0</v>
      </c>
      <c r="BD16" s="42">
        <f>I16/(100-BE16)*100</f>
        <v>0</v>
      </c>
      <c r="BE16" s="42">
        <v>0</v>
      </c>
      <c r="BF16" s="42">
        <f>16</f>
        <v>16</v>
      </c>
      <c r="BH16" s="24">
        <f>H16*AO16</f>
        <v>0</v>
      </c>
      <c r="BI16" s="24">
        <f>H16*AP16</f>
        <v>0</v>
      </c>
      <c r="BJ16" s="24">
        <f>H16*I16</f>
        <v>0</v>
      </c>
      <c r="BK16" s="24" t="s">
        <v>516</v>
      </c>
      <c r="BL16" s="42">
        <v>31</v>
      </c>
    </row>
    <row r="17" spans="1:64" x14ac:dyDescent="0.2">
      <c r="A17" s="5"/>
      <c r="B17" s="15" t="s">
        <v>84</v>
      </c>
      <c r="C17" s="94" t="s">
        <v>181</v>
      </c>
      <c r="D17" s="95"/>
      <c r="E17" s="95"/>
      <c r="F17" s="95"/>
      <c r="G17" s="95"/>
      <c r="H17" s="95"/>
      <c r="I17" s="95"/>
      <c r="J17" s="95"/>
      <c r="K17" s="95"/>
      <c r="L17" s="95"/>
      <c r="M17" s="96"/>
      <c r="N17" s="5"/>
    </row>
    <row r="18" spans="1:64" x14ac:dyDescent="0.2">
      <c r="A18" s="5"/>
      <c r="C18" s="19" t="s">
        <v>20</v>
      </c>
      <c r="F18" s="20"/>
      <c r="H18" s="68">
        <v>14</v>
      </c>
      <c r="M18" s="36"/>
      <c r="N18" s="5"/>
    </row>
    <row r="19" spans="1:64" x14ac:dyDescent="0.2">
      <c r="A19" s="4" t="s">
        <v>9</v>
      </c>
      <c r="B19" s="14" t="s">
        <v>86</v>
      </c>
      <c r="C19" s="92" t="s">
        <v>180</v>
      </c>
      <c r="D19" s="93"/>
      <c r="E19" s="93"/>
      <c r="F19" s="93"/>
      <c r="G19" s="14" t="s">
        <v>452</v>
      </c>
      <c r="H19" s="67">
        <v>5</v>
      </c>
      <c r="I19" s="24">
        <v>0</v>
      </c>
      <c r="J19" s="24">
        <f>H19*AO19</f>
        <v>0</v>
      </c>
      <c r="K19" s="24">
        <f>H19*AP19</f>
        <v>0</v>
      </c>
      <c r="L19" s="24">
        <f>H19*I19</f>
        <v>0</v>
      </c>
      <c r="M19" s="35" t="s">
        <v>562</v>
      </c>
      <c r="N19" s="5"/>
      <c r="Z19" s="42">
        <f>IF(AQ19="5",BJ19,0)</f>
        <v>0</v>
      </c>
      <c r="AB19" s="42">
        <f>IF(AQ19="1",BH19,0)</f>
        <v>0</v>
      </c>
      <c r="AC19" s="42">
        <f>IF(AQ19="1",BI19,0)</f>
        <v>0</v>
      </c>
      <c r="AD19" s="42">
        <f>IF(AQ19="7",BH19,0)</f>
        <v>0</v>
      </c>
      <c r="AE19" s="42">
        <f>IF(AQ19="7",BI19,0)</f>
        <v>0</v>
      </c>
      <c r="AF19" s="42">
        <f>IF(AQ19="2",BH19,0)</f>
        <v>0</v>
      </c>
      <c r="AG19" s="42">
        <f>IF(AQ19="2",BI19,0)</f>
        <v>0</v>
      </c>
      <c r="AH19" s="42">
        <f>IF(AQ19="0",BJ19,0)</f>
        <v>0</v>
      </c>
      <c r="AI19" s="41"/>
      <c r="AJ19" s="24">
        <f>IF(AN19=0,L19,0)</f>
        <v>0</v>
      </c>
      <c r="AK19" s="24">
        <f>IF(AN19=15,L19,0)</f>
        <v>0</v>
      </c>
      <c r="AL19" s="24">
        <f>IF(AN19=21,L19,0)</f>
        <v>0</v>
      </c>
      <c r="AN19" s="42">
        <v>21</v>
      </c>
      <c r="AO19" s="42">
        <f>I19*0.900434426229508</f>
        <v>0</v>
      </c>
      <c r="AP19" s="42">
        <f>I19*(1-0.900434426229508)</f>
        <v>0</v>
      </c>
      <c r="AQ19" s="43" t="s">
        <v>7</v>
      </c>
      <c r="AV19" s="42">
        <f>AW19+AX19</f>
        <v>0</v>
      </c>
      <c r="AW19" s="42">
        <f>H19*AO19</f>
        <v>0</v>
      </c>
      <c r="AX19" s="42">
        <f>H19*AP19</f>
        <v>0</v>
      </c>
      <c r="AY19" s="45" t="s">
        <v>479</v>
      </c>
      <c r="AZ19" s="45" t="s">
        <v>502</v>
      </c>
      <c r="BA19" s="41" t="s">
        <v>511</v>
      </c>
      <c r="BC19" s="42">
        <f>AW19+AX19</f>
        <v>0</v>
      </c>
      <c r="BD19" s="42">
        <f>I19/(100-BE19)*100</f>
        <v>0</v>
      </c>
      <c r="BE19" s="42">
        <v>0</v>
      </c>
      <c r="BF19" s="42">
        <f>19</f>
        <v>19</v>
      </c>
      <c r="BH19" s="24">
        <f>H19*AO19</f>
        <v>0</v>
      </c>
      <c r="BI19" s="24">
        <f>H19*AP19</f>
        <v>0</v>
      </c>
      <c r="BJ19" s="24">
        <f>H19*I19</f>
        <v>0</v>
      </c>
      <c r="BK19" s="24" t="s">
        <v>516</v>
      </c>
      <c r="BL19" s="42">
        <v>31</v>
      </c>
    </row>
    <row r="20" spans="1:64" x14ac:dyDescent="0.2">
      <c r="A20" s="5"/>
      <c r="B20" s="15" t="s">
        <v>84</v>
      </c>
      <c r="C20" s="94" t="s">
        <v>182</v>
      </c>
      <c r="D20" s="95"/>
      <c r="E20" s="95"/>
      <c r="F20" s="95"/>
      <c r="G20" s="95"/>
      <c r="H20" s="95"/>
      <c r="I20" s="95"/>
      <c r="J20" s="95"/>
      <c r="K20" s="95"/>
      <c r="L20" s="95"/>
      <c r="M20" s="96"/>
      <c r="N20" s="5"/>
    </row>
    <row r="21" spans="1:64" x14ac:dyDescent="0.2">
      <c r="A21" s="5"/>
      <c r="C21" s="19" t="s">
        <v>11</v>
      </c>
      <c r="F21" s="20"/>
      <c r="H21" s="68">
        <v>5</v>
      </c>
      <c r="M21" s="36"/>
      <c r="N21" s="5"/>
    </row>
    <row r="22" spans="1:64" x14ac:dyDescent="0.2">
      <c r="A22" s="6"/>
      <c r="B22" s="16" t="s">
        <v>40</v>
      </c>
      <c r="C22" s="97" t="s">
        <v>183</v>
      </c>
      <c r="D22" s="98"/>
      <c r="E22" s="98"/>
      <c r="F22" s="98"/>
      <c r="G22" s="22" t="s">
        <v>6</v>
      </c>
      <c r="H22" s="22" t="s">
        <v>6</v>
      </c>
      <c r="I22" s="22" t="s">
        <v>6</v>
      </c>
      <c r="J22" s="48">
        <f>SUM(J23:J48)</f>
        <v>0</v>
      </c>
      <c r="K22" s="48">
        <f>SUM(K23:K48)</f>
        <v>0</v>
      </c>
      <c r="L22" s="48">
        <f>SUM(L23:L48)</f>
        <v>0</v>
      </c>
      <c r="M22" s="37"/>
      <c r="N22" s="5"/>
      <c r="AI22" s="41"/>
      <c r="AS22" s="48">
        <f>SUM(AJ23:AJ48)</f>
        <v>0</v>
      </c>
      <c r="AT22" s="48">
        <f>SUM(AK23:AK48)</f>
        <v>0</v>
      </c>
      <c r="AU22" s="48">
        <f>SUM(AL23:AL48)</f>
        <v>0</v>
      </c>
    </row>
    <row r="23" spans="1:64" x14ac:dyDescent="0.2">
      <c r="A23" s="4" t="s">
        <v>10</v>
      </c>
      <c r="B23" s="14" t="s">
        <v>87</v>
      </c>
      <c r="C23" s="92" t="s">
        <v>575</v>
      </c>
      <c r="D23" s="93"/>
      <c r="E23" s="93"/>
      <c r="F23" s="93"/>
      <c r="G23" s="14" t="s">
        <v>453</v>
      </c>
      <c r="H23" s="67">
        <v>123.39400000000001</v>
      </c>
      <c r="I23" s="24">
        <v>0</v>
      </c>
      <c r="J23" s="24">
        <f>H23*AO23</f>
        <v>0</v>
      </c>
      <c r="K23" s="24">
        <f>H23*AP23</f>
        <v>0</v>
      </c>
      <c r="L23" s="24">
        <f>H23*I23</f>
        <v>0</v>
      </c>
      <c r="M23" s="35" t="s">
        <v>562</v>
      </c>
      <c r="N23" s="5"/>
      <c r="Z23" s="42">
        <f>IF(AQ23="5",BJ23,0)</f>
        <v>0</v>
      </c>
      <c r="AB23" s="42">
        <f>IF(AQ23="1",BH23,0)</f>
        <v>0</v>
      </c>
      <c r="AC23" s="42">
        <f>IF(AQ23="1",BI23,0)</f>
        <v>0</v>
      </c>
      <c r="AD23" s="42">
        <f>IF(AQ23="7",BH23,0)</f>
        <v>0</v>
      </c>
      <c r="AE23" s="42">
        <f>IF(AQ23="7",BI23,0)</f>
        <v>0</v>
      </c>
      <c r="AF23" s="42">
        <f>IF(AQ23="2",BH23,0)</f>
        <v>0</v>
      </c>
      <c r="AG23" s="42">
        <f>IF(AQ23="2",BI23,0)</f>
        <v>0</v>
      </c>
      <c r="AH23" s="42">
        <f>IF(AQ23="0",BJ23,0)</f>
        <v>0</v>
      </c>
      <c r="AI23" s="41"/>
      <c r="AJ23" s="24">
        <f>IF(AN23=0,L23,0)</f>
        <v>0</v>
      </c>
      <c r="AK23" s="24">
        <f>IF(AN23=15,L23,0)</f>
        <v>0</v>
      </c>
      <c r="AL23" s="24">
        <f>IF(AN23=21,L23,0)</f>
        <v>0</v>
      </c>
      <c r="AN23" s="42">
        <v>21</v>
      </c>
      <c r="AO23" s="42">
        <f>I23*0.670606389980354</f>
        <v>0</v>
      </c>
      <c r="AP23" s="42">
        <f>I23*(1-0.670606389980354)</f>
        <v>0</v>
      </c>
      <c r="AQ23" s="43" t="s">
        <v>7</v>
      </c>
      <c r="AV23" s="42">
        <f>AW23+AX23</f>
        <v>0</v>
      </c>
      <c r="AW23" s="42">
        <f>H23*AO23</f>
        <v>0</v>
      </c>
      <c r="AX23" s="42">
        <f>H23*AP23</f>
        <v>0</v>
      </c>
      <c r="AY23" s="45" t="s">
        <v>480</v>
      </c>
      <c r="AZ23" s="45" t="s">
        <v>502</v>
      </c>
      <c r="BA23" s="41" t="s">
        <v>511</v>
      </c>
      <c r="BC23" s="42">
        <f>AW23+AX23</f>
        <v>0</v>
      </c>
      <c r="BD23" s="42">
        <f>I23/(100-BE23)*100</f>
        <v>0</v>
      </c>
      <c r="BE23" s="42">
        <v>0</v>
      </c>
      <c r="BF23" s="42">
        <f>23</f>
        <v>23</v>
      </c>
      <c r="BH23" s="24">
        <f>H23*AO23</f>
        <v>0</v>
      </c>
      <c r="BI23" s="24">
        <f>H23*AP23</f>
        <v>0</v>
      </c>
      <c r="BJ23" s="24">
        <f>H23*I23</f>
        <v>0</v>
      </c>
      <c r="BK23" s="24" t="s">
        <v>516</v>
      </c>
      <c r="BL23" s="42">
        <v>34</v>
      </c>
    </row>
    <row r="24" spans="1:64" x14ac:dyDescent="0.2">
      <c r="A24" s="5"/>
      <c r="B24" s="15" t="s">
        <v>84</v>
      </c>
      <c r="C24" s="94" t="s">
        <v>580</v>
      </c>
      <c r="D24" s="95"/>
      <c r="E24" s="95"/>
      <c r="F24" s="95"/>
      <c r="G24" s="95"/>
      <c r="H24" s="95"/>
      <c r="I24" s="95"/>
      <c r="J24" s="95"/>
      <c r="K24" s="95"/>
      <c r="L24" s="95"/>
      <c r="M24" s="96"/>
      <c r="N24" s="5"/>
    </row>
    <row r="25" spans="1:64" x14ac:dyDescent="0.2">
      <c r="A25" s="5"/>
      <c r="C25" s="19" t="s">
        <v>184</v>
      </c>
      <c r="F25" s="20" t="s">
        <v>384</v>
      </c>
      <c r="H25" s="68">
        <v>18.698</v>
      </c>
      <c r="M25" s="36"/>
      <c r="N25" s="5"/>
    </row>
    <row r="26" spans="1:64" x14ac:dyDescent="0.2">
      <c r="A26" s="5"/>
      <c r="C26" s="19" t="s">
        <v>185</v>
      </c>
      <c r="F26" s="20"/>
      <c r="H26" s="68">
        <v>-6.4</v>
      </c>
      <c r="M26" s="36"/>
      <c r="N26" s="5"/>
    </row>
    <row r="27" spans="1:64" x14ac:dyDescent="0.2">
      <c r="A27" s="5"/>
      <c r="C27" s="19" t="s">
        <v>186</v>
      </c>
      <c r="F27" s="20" t="s">
        <v>385</v>
      </c>
      <c r="H27" s="68">
        <v>22.646000000000001</v>
      </c>
      <c r="M27" s="36"/>
      <c r="N27" s="5"/>
    </row>
    <row r="28" spans="1:64" x14ac:dyDescent="0.2">
      <c r="A28" s="5"/>
      <c r="C28" s="19" t="s">
        <v>187</v>
      </c>
      <c r="F28" s="20"/>
      <c r="H28" s="68">
        <v>-2</v>
      </c>
      <c r="M28" s="36"/>
      <c r="N28" s="5"/>
    </row>
    <row r="29" spans="1:64" x14ac:dyDescent="0.2">
      <c r="A29" s="5"/>
      <c r="C29" s="19" t="s">
        <v>188</v>
      </c>
      <c r="F29" s="20" t="s">
        <v>386</v>
      </c>
      <c r="H29" s="68">
        <v>46.465000000000003</v>
      </c>
      <c r="M29" s="36"/>
      <c r="N29" s="5"/>
    </row>
    <row r="30" spans="1:64" x14ac:dyDescent="0.2">
      <c r="A30" s="5"/>
      <c r="C30" s="19" t="s">
        <v>189</v>
      </c>
      <c r="F30" s="20" t="s">
        <v>386</v>
      </c>
      <c r="H30" s="68">
        <v>31.49</v>
      </c>
      <c r="M30" s="36"/>
      <c r="N30" s="5"/>
    </row>
    <row r="31" spans="1:64" x14ac:dyDescent="0.2">
      <c r="A31" s="5"/>
      <c r="C31" s="19" t="s">
        <v>187</v>
      </c>
      <c r="F31" s="20"/>
      <c r="H31" s="68">
        <v>-2</v>
      </c>
      <c r="M31" s="36"/>
      <c r="N31" s="5"/>
    </row>
    <row r="32" spans="1:64" x14ac:dyDescent="0.2">
      <c r="A32" s="5"/>
      <c r="C32" s="19" t="s">
        <v>190</v>
      </c>
      <c r="F32" s="20"/>
      <c r="H32" s="68">
        <v>-3.6</v>
      </c>
      <c r="M32" s="36"/>
      <c r="N32" s="5"/>
    </row>
    <row r="33" spans="1:64" x14ac:dyDescent="0.2">
      <c r="A33" s="5"/>
      <c r="C33" s="19" t="s">
        <v>191</v>
      </c>
      <c r="F33" s="20"/>
      <c r="H33" s="68">
        <v>-4.8</v>
      </c>
      <c r="M33" s="36"/>
      <c r="N33" s="5"/>
    </row>
    <row r="34" spans="1:64" x14ac:dyDescent="0.2">
      <c r="A34" s="5"/>
      <c r="C34" s="19"/>
      <c r="F34" s="20" t="s">
        <v>387</v>
      </c>
      <c r="H34" s="68">
        <v>0</v>
      </c>
      <c r="M34" s="36"/>
      <c r="N34" s="5"/>
    </row>
    <row r="35" spans="1:64" x14ac:dyDescent="0.2">
      <c r="A35" s="5"/>
      <c r="C35" s="19" t="s">
        <v>192</v>
      </c>
      <c r="F35" s="20"/>
      <c r="H35" s="68">
        <v>15.682</v>
      </c>
      <c r="M35" s="36"/>
      <c r="N35" s="5"/>
    </row>
    <row r="36" spans="1:64" x14ac:dyDescent="0.2">
      <c r="A36" s="5"/>
      <c r="C36" s="19" t="s">
        <v>193</v>
      </c>
      <c r="F36" s="20"/>
      <c r="H36" s="68">
        <v>-3.2</v>
      </c>
      <c r="M36" s="36"/>
      <c r="N36" s="5"/>
    </row>
    <row r="37" spans="1:64" x14ac:dyDescent="0.2">
      <c r="A37" s="5"/>
      <c r="C37" s="19"/>
      <c r="F37" s="20" t="s">
        <v>388</v>
      </c>
      <c r="H37" s="68">
        <v>0</v>
      </c>
      <c r="M37" s="36"/>
      <c r="N37" s="5"/>
    </row>
    <row r="38" spans="1:64" x14ac:dyDescent="0.2">
      <c r="A38" s="5"/>
      <c r="C38" s="19" t="s">
        <v>194</v>
      </c>
      <c r="F38" s="20"/>
      <c r="H38" s="68">
        <v>11.813000000000001</v>
      </c>
      <c r="M38" s="36"/>
      <c r="N38" s="5"/>
    </row>
    <row r="39" spans="1:64" x14ac:dyDescent="0.2">
      <c r="A39" s="5"/>
      <c r="C39" s="19" t="s">
        <v>195</v>
      </c>
      <c r="F39" s="20"/>
      <c r="H39" s="68">
        <v>-1.4</v>
      </c>
      <c r="M39" s="36"/>
      <c r="N39" s="5"/>
    </row>
    <row r="40" spans="1:64" x14ac:dyDescent="0.2">
      <c r="A40" s="4" t="s">
        <v>11</v>
      </c>
      <c r="B40" s="14" t="s">
        <v>88</v>
      </c>
      <c r="C40" s="92" t="s">
        <v>576</v>
      </c>
      <c r="D40" s="93"/>
      <c r="E40" s="93"/>
      <c r="F40" s="93"/>
      <c r="G40" s="14" t="s">
        <v>453</v>
      </c>
      <c r="H40" s="67">
        <v>0.99199999999999999</v>
      </c>
      <c r="I40" s="24">
        <v>0</v>
      </c>
      <c r="J40" s="24">
        <f>H40*AO40</f>
        <v>0</v>
      </c>
      <c r="K40" s="24">
        <f>H40*AP40</f>
        <v>0</v>
      </c>
      <c r="L40" s="24">
        <f>H40*I40</f>
        <v>0</v>
      </c>
      <c r="M40" s="35" t="s">
        <v>562</v>
      </c>
      <c r="N40" s="5"/>
      <c r="Z40" s="42">
        <f>IF(AQ40="5",BJ40,0)</f>
        <v>0</v>
      </c>
      <c r="AB40" s="42">
        <f>IF(AQ40="1",BH40,0)</f>
        <v>0</v>
      </c>
      <c r="AC40" s="42">
        <f>IF(AQ40="1",BI40,0)</f>
        <v>0</v>
      </c>
      <c r="AD40" s="42">
        <f>IF(AQ40="7",BH40,0)</f>
        <v>0</v>
      </c>
      <c r="AE40" s="42">
        <f>IF(AQ40="7",BI40,0)</f>
        <v>0</v>
      </c>
      <c r="AF40" s="42">
        <f>IF(AQ40="2",BH40,0)</f>
        <v>0</v>
      </c>
      <c r="AG40" s="42">
        <f>IF(AQ40="2",BI40,0)</f>
        <v>0</v>
      </c>
      <c r="AH40" s="42">
        <f>IF(AQ40="0",BJ40,0)</f>
        <v>0</v>
      </c>
      <c r="AI40" s="41"/>
      <c r="AJ40" s="24">
        <f>IF(AN40=0,L40,0)</f>
        <v>0</v>
      </c>
      <c r="AK40" s="24">
        <f>IF(AN40=15,L40,0)</f>
        <v>0</v>
      </c>
      <c r="AL40" s="24">
        <f>IF(AN40=21,L40,0)</f>
        <v>0</v>
      </c>
      <c r="AN40" s="42">
        <v>21</v>
      </c>
      <c r="AO40" s="42">
        <f>I40*0.745764133283414</f>
        <v>0</v>
      </c>
      <c r="AP40" s="42">
        <f>I40*(1-0.745764133283414)</f>
        <v>0</v>
      </c>
      <c r="AQ40" s="43" t="s">
        <v>7</v>
      </c>
      <c r="AV40" s="42">
        <f>AW40+AX40</f>
        <v>0</v>
      </c>
      <c r="AW40" s="42">
        <f>H40*AO40</f>
        <v>0</v>
      </c>
      <c r="AX40" s="42">
        <f>H40*AP40</f>
        <v>0</v>
      </c>
      <c r="AY40" s="45" t="s">
        <v>480</v>
      </c>
      <c r="AZ40" s="45" t="s">
        <v>502</v>
      </c>
      <c r="BA40" s="41" t="s">
        <v>511</v>
      </c>
      <c r="BC40" s="42">
        <f>AW40+AX40</f>
        <v>0</v>
      </c>
      <c r="BD40" s="42">
        <f>I40/(100-BE40)*100</f>
        <v>0</v>
      </c>
      <c r="BE40" s="42">
        <v>0</v>
      </c>
      <c r="BF40" s="42">
        <f>40</f>
        <v>40</v>
      </c>
      <c r="BH40" s="24">
        <f>H40*AO40</f>
        <v>0</v>
      </c>
      <c r="BI40" s="24">
        <f>H40*AP40</f>
        <v>0</v>
      </c>
      <c r="BJ40" s="24">
        <f>H40*I40</f>
        <v>0</v>
      </c>
      <c r="BK40" s="24" t="s">
        <v>516</v>
      </c>
      <c r="BL40" s="42">
        <v>34</v>
      </c>
    </row>
    <row r="41" spans="1:64" x14ac:dyDescent="0.2">
      <c r="A41" s="5"/>
      <c r="B41" s="15" t="s">
        <v>84</v>
      </c>
      <c r="C41" s="94" t="s">
        <v>578</v>
      </c>
      <c r="D41" s="95"/>
      <c r="E41" s="95"/>
      <c r="F41" s="95"/>
      <c r="G41" s="95"/>
      <c r="H41" s="95"/>
      <c r="I41" s="95"/>
      <c r="J41" s="95"/>
      <c r="K41" s="95"/>
      <c r="L41" s="95"/>
      <c r="M41" s="96"/>
      <c r="N41" s="5"/>
    </row>
    <row r="42" spans="1:64" x14ac:dyDescent="0.2">
      <c r="A42" s="5"/>
      <c r="C42" s="19" t="s">
        <v>196</v>
      </c>
      <c r="F42" s="20" t="s">
        <v>389</v>
      </c>
      <c r="H42" s="68">
        <v>0.20799999999999999</v>
      </c>
      <c r="M42" s="36"/>
      <c r="N42" s="5"/>
    </row>
    <row r="43" spans="1:64" x14ac:dyDescent="0.2">
      <c r="A43" s="5"/>
      <c r="C43" s="19" t="s">
        <v>197</v>
      </c>
      <c r="F43" s="20" t="s">
        <v>390</v>
      </c>
      <c r="H43" s="68">
        <v>0.78400000000000003</v>
      </c>
      <c r="M43" s="36"/>
      <c r="N43" s="5"/>
    </row>
    <row r="44" spans="1:64" x14ac:dyDescent="0.2">
      <c r="A44" s="4" t="s">
        <v>12</v>
      </c>
      <c r="B44" s="14" t="s">
        <v>89</v>
      </c>
      <c r="C44" s="92" t="s">
        <v>577</v>
      </c>
      <c r="D44" s="93"/>
      <c r="E44" s="93"/>
      <c r="F44" s="93"/>
      <c r="G44" s="14" t="s">
        <v>453</v>
      </c>
      <c r="H44" s="67">
        <v>0.73199999999999998</v>
      </c>
      <c r="I44" s="24">
        <v>0</v>
      </c>
      <c r="J44" s="24">
        <f>H44*AO44</f>
        <v>0</v>
      </c>
      <c r="K44" s="24">
        <f>H44*AP44</f>
        <v>0</v>
      </c>
      <c r="L44" s="24">
        <f>H44*I44</f>
        <v>0</v>
      </c>
      <c r="M44" s="35" t="s">
        <v>562</v>
      </c>
      <c r="N44" s="5"/>
      <c r="Z44" s="42">
        <f>IF(AQ44="5",BJ44,0)</f>
        <v>0</v>
      </c>
      <c r="AB44" s="42">
        <f>IF(AQ44="1",BH44,0)</f>
        <v>0</v>
      </c>
      <c r="AC44" s="42">
        <f>IF(AQ44="1",BI44,0)</f>
        <v>0</v>
      </c>
      <c r="AD44" s="42">
        <f>IF(AQ44="7",BH44,0)</f>
        <v>0</v>
      </c>
      <c r="AE44" s="42">
        <f>IF(AQ44="7",BI44,0)</f>
        <v>0</v>
      </c>
      <c r="AF44" s="42">
        <f>IF(AQ44="2",BH44,0)</f>
        <v>0</v>
      </c>
      <c r="AG44" s="42">
        <f>IF(AQ44="2",BI44,0)</f>
        <v>0</v>
      </c>
      <c r="AH44" s="42">
        <f>IF(AQ44="0",BJ44,0)</f>
        <v>0</v>
      </c>
      <c r="AI44" s="41"/>
      <c r="AJ44" s="24">
        <f>IF(AN44=0,L44,0)</f>
        <v>0</v>
      </c>
      <c r="AK44" s="24">
        <f>IF(AN44=15,L44,0)</f>
        <v>0</v>
      </c>
      <c r="AL44" s="24">
        <f>IF(AN44=21,L44,0)</f>
        <v>0</v>
      </c>
      <c r="AN44" s="42">
        <v>21</v>
      </c>
      <c r="AO44" s="42">
        <f>I44*0.762124741805119</f>
        <v>0</v>
      </c>
      <c r="AP44" s="42">
        <f>I44*(1-0.762124741805119)</f>
        <v>0</v>
      </c>
      <c r="AQ44" s="43" t="s">
        <v>7</v>
      </c>
      <c r="AV44" s="42">
        <f>AW44+AX44</f>
        <v>0</v>
      </c>
      <c r="AW44" s="42">
        <f>H44*AO44</f>
        <v>0</v>
      </c>
      <c r="AX44" s="42">
        <f>H44*AP44</f>
        <v>0</v>
      </c>
      <c r="AY44" s="45" t="s">
        <v>480</v>
      </c>
      <c r="AZ44" s="45" t="s">
        <v>502</v>
      </c>
      <c r="BA44" s="41" t="s">
        <v>511</v>
      </c>
      <c r="BC44" s="42">
        <f>AW44+AX44</f>
        <v>0</v>
      </c>
      <c r="BD44" s="42">
        <f>I44/(100-BE44)*100</f>
        <v>0</v>
      </c>
      <c r="BE44" s="42">
        <v>0</v>
      </c>
      <c r="BF44" s="42">
        <f>44</f>
        <v>44</v>
      </c>
      <c r="BH44" s="24">
        <f>H44*AO44</f>
        <v>0</v>
      </c>
      <c r="BI44" s="24">
        <f>H44*AP44</f>
        <v>0</v>
      </c>
      <c r="BJ44" s="24">
        <f>H44*I44</f>
        <v>0</v>
      </c>
      <c r="BK44" s="24" t="s">
        <v>516</v>
      </c>
      <c r="BL44" s="42">
        <v>34</v>
      </c>
    </row>
    <row r="45" spans="1:64" x14ac:dyDescent="0.2">
      <c r="A45" s="5"/>
      <c r="B45" s="15" t="s">
        <v>84</v>
      </c>
      <c r="C45" s="94" t="s">
        <v>579</v>
      </c>
      <c r="D45" s="95"/>
      <c r="E45" s="95"/>
      <c r="F45" s="95"/>
      <c r="G45" s="95"/>
      <c r="H45" s="95"/>
      <c r="I45" s="95"/>
      <c r="J45" s="95"/>
      <c r="K45" s="95"/>
      <c r="L45" s="95"/>
      <c r="M45" s="96"/>
      <c r="N45" s="5"/>
    </row>
    <row r="46" spans="1:64" x14ac:dyDescent="0.2">
      <c r="A46" s="5"/>
      <c r="C46" s="19" t="s">
        <v>198</v>
      </c>
      <c r="F46" s="20" t="s">
        <v>391</v>
      </c>
      <c r="H46" s="68">
        <v>0.372</v>
      </c>
      <c r="M46" s="36"/>
      <c r="N46" s="5"/>
    </row>
    <row r="47" spans="1:64" x14ac:dyDescent="0.2">
      <c r="A47" s="5"/>
      <c r="C47" s="19" t="s">
        <v>199</v>
      </c>
      <c r="F47" s="20" t="s">
        <v>390</v>
      </c>
      <c r="H47" s="68">
        <v>0.36</v>
      </c>
      <c r="M47" s="36"/>
      <c r="N47" s="5"/>
    </row>
    <row r="48" spans="1:64" x14ac:dyDescent="0.2">
      <c r="A48" s="4" t="s">
        <v>13</v>
      </c>
      <c r="B48" s="14" t="s">
        <v>90</v>
      </c>
      <c r="C48" s="92" t="s">
        <v>200</v>
      </c>
      <c r="D48" s="93"/>
      <c r="E48" s="93"/>
      <c r="F48" s="93"/>
      <c r="G48" s="14" t="s">
        <v>453</v>
      </c>
      <c r="H48" s="67">
        <v>25.08</v>
      </c>
      <c r="I48" s="24">
        <v>0</v>
      </c>
      <c r="J48" s="24">
        <f>H48*AO48</f>
        <v>0</v>
      </c>
      <c r="K48" s="24">
        <f>H48*AP48</f>
        <v>0</v>
      </c>
      <c r="L48" s="24">
        <f>H48*I48</f>
        <v>0</v>
      </c>
      <c r="M48" s="35" t="s">
        <v>562</v>
      </c>
      <c r="N48" s="5"/>
      <c r="Z48" s="42">
        <f>IF(AQ48="5",BJ48,0)</f>
        <v>0</v>
      </c>
      <c r="AB48" s="42">
        <f>IF(AQ48="1",BH48,0)</f>
        <v>0</v>
      </c>
      <c r="AC48" s="42">
        <f>IF(AQ48="1",BI48,0)</f>
        <v>0</v>
      </c>
      <c r="AD48" s="42">
        <f>IF(AQ48="7",BH48,0)</f>
        <v>0</v>
      </c>
      <c r="AE48" s="42">
        <f>IF(AQ48="7",BI48,0)</f>
        <v>0</v>
      </c>
      <c r="AF48" s="42">
        <f>IF(AQ48="2",BH48,0)</f>
        <v>0</v>
      </c>
      <c r="AG48" s="42">
        <f>IF(AQ48="2",BI48,0)</f>
        <v>0</v>
      </c>
      <c r="AH48" s="42">
        <f>IF(AQ48="0",BJ48,0)</f>
        <v>0</v>
      </c>
      <c r="AI48" s="41"/>
      <c r="AJ48" s="24">
        <f>IF(AN48=0,L48,0)</f>
        <v>0</v>
      </c>
      <c r="AK48" s="24">
        <f>IF(AN48=15,L48,0)</f>
        <v>0</v>
      </c>
      <c r="AL48" s="24">
        <f>IF(AN48=21,L48,0)</f>
        <v>0</v>
      </c>
      <c r="AN48" s="42">
        <v>21</v>
      </c>
      <c r="AO48" s="42">
        <f>I48*0.43554054054054</f>
        <v>0</v>
      </c>
      <c r="AP48" s="42">
        <f>I48*(1-0.43554054054054)</f>
        <v>0</v>
      </c>
      <c r="AQ48" s="43" t="s">
        <v>7</v>
      </c>
      <c r="AV48" s="42">
        <f>AW48+AX48</f>
        <v>0</v>
      </c>
      <c r="AW48" s="42">
        <f>H48*AO48</f>
        <v>0</v>
      </c>
      <c r="AX48" s="42">
        <f>H48*AP48</f>
        <v>0</v>
      </c>
      <c r="AY48" s="45" t="s">
        <v>480</v>
      </c>
      <c r="AZ48" s="45" t="s">
        <v>502</v>
      </c>
      <c r="BA48" s="41" t="s">
        <v>511</v>
      </c>
      <c r="BC48" s="42">
        <f>AW48+AX48</f>
        <v>0</v>
      </c>
      <c r="BD48" s="42">
        <f>I48/(100-BE48)*100</f>
        <v>0</v>
      </c>
      <c r="BE48" s="42">
        <v>0</v>
      </c>
      <c r="BF48" s="42">
        <f>48</f>
        <v>48</v>
      </c>
      <c r="BH48" s="24">
        <f>H48*AO48</f>
        <v>0</v>
      </c>
      <c r="BI48" s="24">
        <f>H48*AP48</f>
        <v>0</v>
      </c>
      <c r="BJ48" s="24">
        <f>H48*I48</f>
        <v>0</v>
      </c>
      <c r="BK48" s="24" t="s">
        <v>516</v>
      </c>
      <c r="BL48" s="42">
        <v>34</v>
      </c>
    </row>
    <row r="49" spans="1:64" x14ac:dyDescent="0.2">
      <c r="A49" s="5"/>
      <c r="C49" s="19" t="s">
        <v>201</v>
      </c>
      <c r="F49" s="20"/>
      <c r="H49" s="68">
        <v>25.08</v>
      </c>
      <c r="M49" s="36"/>
      <c r="N49" s="5"/>
    </row>
    <row r="50" spans="1:64" x14ac:dyDescent="0.2">
      <c r="A50" s="6"/>
      <c r="B50" s="16" t="s">
        <v>47</v>
      </c>
      <c r="C50" s="97" t="s">
        <v>202</v>
      </c>
      <c r="D50" s="98"/>
      <c r="E50" s="98"/>
      <c r="F50" s="98"/>
      <c r="G50" s="22" t="s">
        <v>6</v>
      </c>
      <c r="H50" s="22" t="s">
        <v>6</v>
      </c>
      <c r="I50" s="22" t="s">
        <v>6</v>
      </c>
      <c r="J50" s="48">
        <f>SUM(J51:J54)</f>
        <v>0</v>
      </c>
      <c r="K50" s="48">
        <f>SUM(K51:K54)</f>
        <v>0</v>
      </c>
      <c r="L50" s="48">
        <f>SUM(L51:L54)</f>
        <v>0</v>
      </c>
      <c r="M50" s="37"/>
      <c r="N50" s="5"/>
      <c r="AI50" s="41"/>
      <c r="AS50" s="48">
        <f>SUM(AJ51:AJ54)</f>
        <v>0</v>
      </c>
      <c r="AT50" s="48">
        <f>SUM(AK51:AK54)</f>
        <v>0</v>
      </c>
      <c r="AU50" s="48">
        <f>SUM(AL51:AL54)</f>
        <v>0</v>
      </c>
    </row>
    <row r="51" spans="1:64" x14ac:dyDescent="0.2">
      <c r="A51" s="4" t="s">
        <v>14</v>
      </c>
      <c r="B51" s="14" t="s">
        <v>91</v>
      </c>
      <c r="C51" s="92" t="s">
        <v>203</v>
      </c>
      <c r="D51" s="93"/>
      <c r="E51" s="93"/>
      <c r="F51" s="93"/>
      <c r="G51" s="14" t="s">
        <v>453</v>
      </c>
      <c r="H51" s="67">
        <v>563.45100000000002</v>
      </c>
      <c r="I51" s="24">
        <v>0</v>
      </c>
      <c r="J51" s="24">
        <f>H51*AO51</f>
        <v>0</v>
      </c>
      <c r="K51" s="24">
        <f>H51*AP51</f>
        <v>0</v>
      </c>
      <c r="L51" s="24">
        <f>H51*I51</f>
        <v>0</v>
      </c>
      <c r="M51" s="35" t="s">
        <v>562</v>
      </c>
      <c r="N51" s="5"/>
      <c r="Z51" s="42">
        <f>IF(AQ51="5",BJ51,0)</f>
        <v>0</v>
      </c>
      <c r="AB51" s="42">
        <f>IF(AQ51="1",BH51,0)</f>
        <v>0</v>
      </c>
      <c r="AC51" s="42">
        <f>IF(AQ51="1",BI51,0)</f>
        <v>0</v>
      </c>
      <c r="AD51" s="42">
        <f>IF(AQ51="7",BH51,0)</f>
        <v>0</v>
      </c>
      <c r="AE51" s="42">
        <f>IF(AQ51="7",BI51,0)</f>
        <v>0</v>
      </c>
      <c r="AF51" s="42">
        <f>IF(AQ51="2",BH51,0)</f>
        <v>0</v>
      </c>
      <c r="AG51" s="42">
        <f>IF(AQ51="2",BI51,0)</f>
        <v>0</v>
      </c>
      <c r="AH51" s="42">
        <f>IF(AQ51="0",BJ51,0)</f>
        <v>0</v>
      </c>
      <c r="AI51" s="41"/>
      <c r="AJ51" s="24">
        <f>IF(AN51=0,L51,0)</f>
        <v>0</v>
      </c>
      <c r="AK51" s="24">
        <f>IF(AN51=15,L51,0)</f>
        <v>0</v>
      </c>
      <c r="AL51" s="24">
        <f>IF(AN51=21,L51,0)</f>
        <v>0</v>
      </c>
      <c r="AN51" s="42">
        <v>21</v>
      </c>
      <c r="AO51" s="42">
        <f>I51*0.38993176344621</f>
        <v>0</v>
      </c>
      <c r="AP51" s="42">
        <f>I51*(1-0.38993176344621)</f>
        <v>0</v>
      </c>
      <c r="AQ51" s="43" t="s">
        <v>7</v>
      </c>
      <c r="AV51" s="42">
        <f>AW51+AX51</f>
        <v>0</v>
      </c>
      <c r="AW51" s="42">
        <f>H51*AO51</f>
        <v>0</v>
      </c>
      <c r="AX51" s="42">
        <f>H51*AP51</f>
        <v>0</v>
      </c>
      <c r="AY51" s="45" t="s">
        <v>481</v>
      </c>
      <c r="AZ51" s="45" t="s">
        <v>503</v>
      </c>
      <c r="BA51" s="41" t="s">
        <v>511</v>
      </c>
      <c r="BC51" s="42">
        <f>AW51+AX51</f>
        <v>0</v>
      </c>
      <c r="BD51" s="42">
        <f>I51/(100-BE51)*100</f>
        <v>0</v>
      </c>
      <c r="BE51" s="42">
        <v>0</v>
      </c>
      <c r="BF51" s="42">
        <f>51</f>
        <v>51</v>
      </c>
      <c r="BH51" s="24">
        <f>H51*AO51</f>
        <v>0</v>
      </c>
      <c r="BI51" s="24">
        <f>H51*AP51</f>
        <v>0</v>
      </c>
      <c r="BJ51" s="24">
        <f>H51*I51</f>
        <v>0</v>
      </c>
      <c r="BK51" s="24" t="s">
        <v>516</v>
      </c>
      <c r="BL51" s="42">
        <v>41</v>
      </c>
    </row>
    <row r="52" spans="1:64" x14ac:dyDescent="0.2">
      <c r="A52" s="5"/>
      <c r="C52" s="19" t="s">
        <v>204</v>
      </c>
      <c r="F52" s="20"/>
      <c r="H52" s="68">
        <v>536.62</v>
      </c>
      <c r="M52" s="36"/>
      <c r="N52" s="5"/>
    </row>
    <row r="53" spans="1:64" x14ac:dyDescent="0.2">
      <c r="A53" s="5"/>
      <c r="C53" s="19" t="s">
        <v>205</v>
      </c>
      <c r="F53" s="20"/>
      <c r="H53" s="68">
        <v>26.831</v>
      </c>
      <c r="M53" s="36"/>
      <c r="N53" s="5"/>
    </row>
    <row r="54" spans="1:64" x14ac:dyDescent="0.2">
      <c r="A54" s="4" t="s">
        <v>15</v>
      </c>
      <c r="B54" s="14" t="s">
        <v>92</v>
      </c>
      <c r="C54" s="92" t="s">
        <v>206</v>
      </c>
      <c r="D54" s="93"/>
      <c r="E54" s="93"/>
      <c r="F54" s="93"/>
      <c r="G54" s="14" t="s">
        <v>453</v>
      </c>
      <c r="H54" s="67">
        <v>55.62</v>
      </c>
      <c r="I54" s="24">
        <v>0</v>
      </c>
      <c r="J54" s="24">
        <f>H54*AO54</f>
        <v>0</v>
      </c>
      <c r="K54" s="24">
        <f>H54*AP54</f>
        <v>0</v>
      </c>
      <c r="L54" s="24">
        <f>H54*I54</f>
        <v>0</v>
      </c>
      <c r="M54" s="35" t="s">
        <v>562</v>
      </c>
      <c r="N54" s="5"/>
      <c r="Z54" s="42">
        <f>IF(AQ54="5",BJ54,0)</f>
        <v>0</v>
      </c>
      <c r="AB54" s="42">
        <f>IF(AQ54="1",BH54,0)</f>
        <v>0</v>
      </c>
      <c r="AC54" s="42">
        <f>IF(AQ54="1",BI54,0)</f>
        <v>0</v>
      </c>
      <c r="AD54" s="42">
        <f>IF(AQ54="7",BH54,0)</f>
        <v>0</v>
      </c>
      <c r="AE54" s="42">
        <f>IF(AQ54="7",BI54,0)</f>
        <v>0</v>
      </c>
      <c r="AF54" s="42">
        <f>IF(AQ54="2",BH54,0)</f>
        <v>0</v>
      </c>
      <c r="AG54" s="42">
        <f>IF(AQ54="2",BI54,0)</f>
        <v>0</v>
      </c>
      <c r="AH54" s="42">
        <f>IF(AQ54="0",BJ54,0)</f>
        <v>0</v>
      </c>
      <c r="AI54" s="41"/>
      <c r="AJ54" s="24">
        <f>IF(AN54=0,L54,0)</f>
        <v>0</v>
      </c>
      <c r="AK54" s="24">
        <f>IF(AN54=15,L54,0)</f>
        <v>0</v>
      </c>
      <c r="AL54" s="24">
        <f>IF(AN54=21,L54,0)</f>
        <v>0</v>
      </c>
      <c r="AN54" s="42">
        <v>21</v>
      </c>
      <c r="AO54" s="42">
        <f>I54*0.425856367097794</f>
        <v>0</v>
      </c>
      <c r="AP54" s="42">
        <f>I54*(1-0.425856367097794)</f>
        <v>0</v>
      </c>
      <c r="AQ54" s="43" t="s">
        <v>7</v>
      </c>
      <c r="AV54" s="42">
        <f>AW54+AX54</f>
        <v>0</v>
      </c>
      <c r="AW54" s="42">
        <f>H54*AO54</f>
        <v>0</v>
      </c>
      <c r="AX54" s="42">
        <f>H54*AP54</f>
        <v>0</v>
      </c>
      <c r="AY54" s="45" t="s">
        <v>481</v>
      </c>
      <c r="AZ54" s="45" t="s">
        <v>503</v>
      </c>
      <c r="BA54" s="41" t="s">
        <v>511</v>
      </c>
      <c r="BC54" s="42">
        <f>AW54+AX54</f>
        <v>0</v>
      </c>
      <c r="BD54" s="42">
        <f>I54/(100-BE54)*100</f>
        <v>0</v>
      </c>
      <c r="BE54" s="42">
        <v>0</v>
      </c>
      <c r="BF54" s="42">
        <f>54</f>
        <v>54</v>
      </c>
      <c r="BH54" s="24">
        <f>H54*AO54</f>
        <v>0</v>
      </c>
      <c r="BI54" s="24">
        <f>H54*AP54</f>
        <v>0</v>
      </c>
      <c r="BJ54" s="24">
        <f>H54*I54</f>
        <v>0</v>
      </c>
      <c r="BK54" s="24" t="s">
        <v>516</v>
      </c>
      <c r="BL54" s="42">
        <v>41</v>
      </c>
    </row>
    <row r="55" spans="1:64" x14ac:dyDescent="0.2">
      <c r="A55" s="5"/>
      <c r="C55" s="19" t="s">
        <v>207</v>
      </c>
      <c r="F55" s="20" t="s">
        <v>392</v>
      </c>
      <c r="H55" s="68">
        <v>55.62</v>
      </c>
      <c r="M55" s="36"/>
      <c r="N55" s="5"/>
    </row>
    <row r="56" spans="1:64" x14ac:dyDescent="0.2">
      <c r="A56" s="6"/>
      <c r="B56" s="16" t="s">
        <v>66</v>
      </c>
      <c r="C56" s="97" t="s">
        <v>208</v>
      </c>
      <c r="D56" s="98"/>
      <c r="E56" s="98"/>
      <c r="F56" s="98"/>
      <c r="G56" s="22" t="s">
        <v>6</v>
      </c>
      <c r="H56" s="22" t="s">
        <v>6</v>
      </c>
      <c r="I56" s="22" t="s">
        <v>6</v>
      </c>
      <c r="J56" s="48">
        <f>SUM(J57:J57)</f>
        <v>0</v>
      </c>
      <c r="K56" s="48">
        <f>SUM(K57:K57)</f>
        <v>0</v>
      </c>
      <c r="L56" s="48">
        <f>SUM(L57:L57)</f>
        <v>0</v>
      </c>
      <c r="M56" s="37"/>
      <c r="N56" s="5"/>
      <c r="AI56" s="41"/>
      <c r="AS56" s="48">
        <f>SUM(AJ57:AJ57)</f>
        <v>0</v>
      </c>
      <c r="AT56" s="48">
        <f>SUM(AK57:AK57)</f>
        <v>0</v>
      </c>
      <c r="AU56" s="48">
        <f>SUM(AL57:AL57)</f>
        <v>0</v>
      </c>
    </row>
    <row r="57" spans="1:64" x14ac:dyDescent="0.2">
      <c r="A57" s="4" t="s">
        <v>16</v>
      </c>
      <c r="B57" s="14" t="s">
        <v>93</v>
      </c>
      <c r="C57" s="92" t="s">
        <v>574</v>
      </c>
      <c r="D57" s="93"/>
      <c r="E57" s="93"/>
      <c r="F57" s="93"/>
      <c r="G57" s="14" t="s">
        <v>453</v>
      </c>
      <c r="H57" s="67">
        <v>250.096</v>
      </c>
      <c r="I57" s="24">
        <v>0</v>
      </c>
      <c r="J57" s="24">
        <f>H57*AO57</f>
        <v>0</v>
      </c>
      <c r="K57" s="24">
        <f>H57*AP57</f>
        <v>0</v>
      </c>
      <c r="L57" s="24">
        <f>H57*I57</f>
        <v>0</v>
      </c>
      <c r="M57" s="35" t="s">
        <v>562</v>
      </c>
      <c r="N57" s="5"/>
      <c r="Z57" s="42">
        <f>IF(AQ57="5",BJ57,0)</f>
        <v>0</v>
      </c>
      <c r="AB57" s="42">
        <f>IF(AQ57="1",BH57,0)</f>
        <v>0</v>
      </c>
      <c r="AC57" s="42">
        <f>IF(AQ57="1",BI57,0)</f>
        <v>0</v>
      </c>
      <c r="AD57" s="42">
        <f>IF(AQ57="7",BH57,0)</f>
        <v>0</v>
      </c>
      <c r="AE57" s="42">
        <f>IF(AQ57="7",BI57,0)</f>
        <v>0</v>
      </c>
      <c r="AF57" s="42">
        <f>IF(AQ57="2",BH57,0)</f>
        <v>0</v>
      </c>
      <c r="AG57" s="42">
        <f>IF(AQ57="2",BI57,0)</f>
        <v>0</v>
      </c>
      <c r="AH57" s="42">
        <f>IF(AQ57="0",BJ57,0)</f>
        <v>0</v>
      </c>
      <c r="AI57" s="41"/>
      <c r="AJ57" s="24">
        <f>IF(AN57=0,L57,0)</f>
        <v>0</v>
      </c>
      <c r="AK57" s="24">
        <f>IF(AN57=15,L57,0)</f>
        <v>0</v>
      </c>
      <c r="AL57" s="24">
        <f>IF(AN57=21,L57,0)</f>
        <v>0</v>
      </c>
      <c r="AN57" s="42">
        <v>21</v>
      </c>
      <c r="AO57" s="42">
        <f>I57*0.402966863682356</f>
        <v>0</v>
      </c>
      <c r="AP57" s="42">
        <f>I57*(1-0.402966863682356)</f>
        <v>0</v>
      </c>
      <c r="AQ57" s="43" t="s">
        <v>7</v>
      </c>
      <c r="AV57" s="42">
        <f>AW57+AX57</f>
        <v>0</v>
      </c>
      <c r="AW57" s="42">
        <f>H57*AO57</f>
        <v>0</v>
      </c>
      <c r="AX57" s="42">
        <f>H57*AP57</f>
        <v>0</v>
      </c>
      <c r="AY57" s="45" t="s">
        <v>482</v>
      </c>
      <c r="AZ57" s="45" t="s">
        <v>504</v>
      </c>
      <c r="BA57" s="41" t="s">
        <v>511</v>
      </c>
      <c r="BC57" s="42">
        <f>AW57+AX57</f>
        <v>0</v>
      </c>
      <c r="BD57" s="42">
        <f>I57/(100-BE57)*100</f>
        <v>0</v>
      </c>
      <c r="BE57" s="42">
        <v>0</v>
      </c>
      <c r="BF57" s="42">
        <f>57</f>
        <v>57</v>
      </c>
      <c r="BH57" s="24">
        <f>H57*AO57</f>
        <v>0</v>
      </c>
      <c r="BI57" s="24">
        <f>H57*AP57</f>
        <v>0</v>
      </c>
      <c r="BJ57" s="24">
        <f>H57*I57</f>
        <v>0</v>
      </c>
      <c r="BK57" s="24" t="s">
        <v>516</v>
      </c>
      <c r="BL57" s="42">
        <v>60</v>
      </c>
    </row>
    <row r="58" spans="1:64" x14ac:dyDescent="0.2">
      <c r="A58" s="5"/>
      <c r="C58" s="19" t="s">
        <v>209</v>
      </c>
      <c r="F58" s="20" t="s">
        <v>393</v>
      </c>
      <c r="H58" s="68">
        <v>246.78800000000001</v>
      </c>
      <c r="M58" s="36"/>
      <c r="N58" s="5"/>
    </row>
    <row r="59" spans="1:64" x14ac:dyDescent="0.2">
      <c r="A59" s="5"/>
      <c r="C59" s="19" t="s">
        <v>210</v>
      </c>
      <c r="F59" s="20" t="s">
        <v>394</v>
      </c>
      <c r="H59" s="68">
        <v>1.8440000000000001</v>
      </c>
      <c r="M59" s="36"/>
      <c r="N59" s="5"/>
    </row>
    <row r="60" spans="1:64" x14ac:dyDescent="0.2">
      <c r="A60" s="5"/>
      <c r="C60" s="19" t="s">
        <v>211</v>
      </c>
      <c r="F60" s="20" t="s">
        <v>395</v>
      </c>
      <c r="H60" s="68">
        <v>1.464</v>
      </c>
      <c r="M60" s="36"/>
      <c r="N60" s="5"/>
    </row>
    <row r="61" spans="1:64" x14ac:dyDescent="0.2">
      <c r="A61" s="6"/>
      <c r="B61" s="16" t="s">
        <v>67</v>
      </c>
      <c r="C61" s="97" t="s">
        <v>212</v>
      </c>
      <c r="D61" s="98"/>
      <c r="E61" s="98"/>
      <c r="F61" s="98"/>
      <c r="G61" s="22" t="s">
        <v>6</v>
      </c>
      <c r="H61" s="22" t="s">
        <v>6</v>
      </c>
      <c r="I61" s="22" t="s">
        <v>6</v>
      </c>
      <c r="J61" s="48">
        <f>SUM(J62:J72)</f>
        <v>0</v>
      </c>
      <c r="K61" s="48">
        <f>SUM(K62:K72)</f>
        <v>0</v>
      </c>
      <c r="L61" s="48">
        <f>SUM(L62:L72)</f>
        <v>0</v>
      </c>
      <c r="M61" s="37"/>
      <c r="N61" s="5"/>
      <c r="AI61" s="41"/>
      <c r="AS61" s="48">
        <f>SUM(AJ62:AJ72)</f>
        <v>0</v>
      </c>
      <c r="AT61" s="48">
        <f>SUM(AK62:AK72)</f>
        <v>0</v>
      </c>
      <c r="AU61" s="48">
        <f>SUM(AL62:AL72)</f>
        <v>0</v>
      </c>
    </row>
    <row r="62" spans="1:64" x14ac:dyDescent="0.2">
      <c r="A62" s="4" t="s">
        <v>17</v>
      </c>
      <c r="B62" s="14" t="s">
        <v>94</v>
      </c>
      <c r="C62" s="92" t="s">
        <v>213</v>
      </c>
      <c r="D62" s="93"/>
      <c r="E62" s="93"/>
      <c r="F62" s="93"/>
      <c r="G62" s="14" t="s">
        <v>453</v>
      </c>
      <c r="H62" s="67">
        <v>250.096</v>
      </c>
      <c r="I62" s="24">
        <v>0</v>
      </c>
      <c r="J62" s="24">
        <f>H62*AO62</f>
        <v>0</v>
      </c>
      <c r="K62" s="24">
        <f>H62*AP62</f>
        <v>0</v>
      </c>
      <c r="L62" s="24">
        <f>H62*I62</f>
        <v>0</v>
      </c>
      <c r="M62" s="35" t="s">
        <v>562</v>
      </c>
      <c r="N62" s="5"/>
      <c r="Z62" s="42">
        <f>IF(AQ62="5",BJ62,0)</f>
        <v>0</v>
      </c>
      <c r="AB62" s="42">
        <f>IF(AQ62="1",BH62,0)</f>
        <v>0</v>
      </c>
      <c r="AC62" s="42">
        <f>IF(AQ62="1",BI62,0)</f>
        <v>0</v>
      </c>
      <c r="AD62" s="42">
        <f>IF(AQ62="7",BH62,0)</f>
        <v>0</v>
      </c>
      <c r="AE62" s="42">
        <f>IF(AQ62="7",BI62,0)</f>
        <v>0</v>
      </c>
      <c r="AF62" s="42">
        <f>IF(AQ62="2",BH62,0)</f>
        <v>0</v>
      </c>
      <c r="AG62" s="42">
        <f>IF(AQ62="2",BI62,0)</f>
        <v>0</v>
      </c>
      <c r="AH62" s="42">
        <f>IF(AQ62="0",BJ62,0)</f>
        <v>0</v>
      </c>
      <c r="AI62" s="41"/>
      <c r="AJ62" s="24">
        <f>IF(AN62=0,L62,0)</f>
        <v>0</v>
      </c>
      <c r="AK62" s="24">
        <f>IF(AN62=15,L62,0)</f>
        <v>0</v>
      </c>
      <c r="AL62" s="24">
        <f>IF(AN62=21,L62,0)</f>
        <v>0</v>
      </c>
      <c r="AN62" s="42">
        <v>21</v>
      </c>
      <c r="AO62" s="42">
        <f>I62*0.105012983218928</f>
        <v>0</v>
      </c>
      <c r="AP62" s="42">
        <f>I62*(1-0.105012983218928)</f>
        <v>0</v>
      </c>
      <c r="AQ62" s="43" t="s">
        <v>7</v>
      </c>
      <c r="AV62" s="42">
        <f>AW62+AX62</f>
        <v>0</v>
      </c>
      <c r="AW62" s="42">
        <f>H62*AO62</f>
        <v>0</v>
      </c>
      <c r="AX62" s="42">
        <f>H62*AP62</f>
        <v>0</v>
      </c>
      <c r="AY62" s="45" t="s">
        <v>483</v>
      </c>
      <c r="AZ62" s="45" t="s">
        <v>504</v>
      </c>
      <c r="BA62" s="41" t="s">
        <v>511</v>
      </c>
      <c r="BC62" s="42">
        <f>AW62+AX62</f>
        <v>0</v>
      </c>
      <c r="BD62" s="42">
        <f>I62/(100-BE62)*100</f>
        <v>0</v>
      </c>
      <c r="BE62" s="42">
        <v>0</v>
      </c>
      <c r="BF62" s="42">
        <f>62</f>
        <v>62</v>
      </c>
      <c r="BH62" s="24">
        <f>H62*AO62</f>
        <v>0</v>
      </c>
      <c r="BI62" s="24">
        <f>H62*AP62</f>
        <v>0</v>
      </c>
      <c r="BJ62" s="24">
        <f>H62*I62</f>
        <v>0</v>
      </c>
      <c r="BK62" s="24" t="s">
        <v>516</v>
      </c>
      <c r="BL62" s="42">
        <v>61</v>
      </c>
    </row>
    <row r="63" spans="1:64" x14ac:dyDescent="0.2">
      <c r="A63" s="5"/>
      <c r="C63" s="19" t="s">
        <v>209</v>
      </c>
      <c r="F63" s="20" t="s">
        <v>393</v>
      </c>
      <c r="H63" s="68">
        <v>246.78800000000001</v>
      </c>
      <c r="M63" s="36"/>
      <c r="N63" s="5"/>
    </row>
    <row r="64" spans="1:64" x14ac:dyDescent="0.2">
      <c r="A64" s="5"/>
      <c r="C64" s="19" t="s">
        <v>210</v>
      </c>
      <c r="F64" s="20" t="s">
        <v>394</v>
      </c>
      <c r="H64" s="68">
        <v>1.8440000000000001</v>
      </c>
      <c r="M64" s="36"/>
      <c r="N64" s="5"/>
    </row>
    <row r="65" spans="1:64" x14ac:dyDescent="0.2">
      <c r="A65" s="5"/>
      <c r="C65" s="19" t="s">
        <v>211</v>
      </c>
      <c r="F65" s="20" t="s">
        <v>395</v>
      </c>
      <c r="H65" s="68">
        <v>1.464</v>
      </c>
      <c r="M65" s="36"/>
      <c r="N65" s="5"/>
    </row>
    <row r="66" spans="1:64" x14ac:dyDescent="0.2">
      <c r="A66" s="4" t="s">
        <v>18</v>
      </c>
      <c r="B66" s="14" t="s">
        <v>581</v>
      </c>
      <c r="C66" s="92" t="s">
        <v>214</v>
      </c>
      <c r="D66" s="92"/>
      <c r="E66" s="92"/>
      <c r="F66" s="92"/>
      <c r="G66" s="14" t="s">
        <v>453</v>
      </c>
      <c r="H66" s="67">
        <v>80</v>
      </c>
      <c r="I66" s="24">
        <v>0</v>
      </c>
      <c r="J66" s="24">
        <f>H66*AO66</f>
        <v>0</v>
      </c>
      <c r="K66" s="24">
        <f>H66*AP66</f>
        <v>0</v>
      </c>
      <c r="L66" s="24">
        <f>H66*I66</f>
        <v>0</v>
      </c>
      <c r="M66" s="35"/>
      <c r="N66" s="5"/>
      <c r="Z66" s="42">
        <f>IF(AQ66="5",BJ66,0)</f>
        <v>0</v>
      </c>
      <c r="AB66" s="42">
        <f>IF(AQ66="1",BH66,0)</f>
        <v>0</v>
      </c>
      <c r="AC66" s="42">
        <f>IF(AQ66="1",BI66,0)</f>
        <v>0</v>
      </c>
      <c r="AD66" s="42">
        <f>IF(AQ66="7",BH66,0)</f>
        <v>0</v>
      </c>
      <c r="AE66" s="42">
        <f>IF(AQ66="7",BI66,0)</f>
        <v>0</v>
      </c>
      <c r="AF66" s="42">
        <f>IF(AQ66="2",BH66,0)</f>
        <v>0</v>
      </c>
      <c r="AG66" s="42">
        <f>IF(AQ66="2",BI66,0)</f>
        <v>0</v>
      </c>
      <c r="AH66" s="42">
        <f>IF(AQ66="0",BJ66,0)</f>
        <v>0</v>
      </c>
      <c r="AI66" s="41"/>
      <c r="AJ66" s="24">
        <f>IF(AN66=0,L66,0)</f>
        <v>0</v>
      </c>
      <c r="AK66" s="24">
        <f>IF(AN66=15,L66,0)</f>
        <v>0</v>
      </c>
      <c r="AL66" s="24">
        <f>IF(AN66=21,L66,0)</f>
        <v>0</v>
      </c>
      <c r="AN66" s="42">
        <v>21</v>
      </c>
      <c r="AO66" s="42">
        <f>I66*0</f>
        <v>0</v>
      </c>
      <c r="AP66" s="42">
        <f>I66*(1-0)</f>
        <v>0</v>
      </c>
      <c r="AQ66" s="43" t="s">
        <v>7</v>
      </c>
      <c r="AV66" s="42">
        <f>AW66+AX66</f>
        <v>0</v>
      </c>
      <c r="AW66" s="42">
        <f>H66*AO66</f>
        <v>0</v>
      </c>
      <c r="AX66" s="42">
        <f>H66*AP66</f>
        <v>0</v>
      </c>
      <c r="AY66" s="45" t="s">
        <v>483</v>
      </c>
      <c r="AZ66" s="45" t="s">
        <v>504</v>
      </c>
      <c r="BA66" s="41" t="s">
        <v>511</v>
      </c>
      <c r="BC66" s="42">
        <f>AW66+AX66</f>
        <v>0</v>
      </c>
      <c r="BD66" s="42">
        <f>I66/(100-BE66)*100</f>
        <v>0</v>
      </c>
      <c r="BE66" s="42">
        <v>0</v>
      </c>
      <c r="BF66" s="42">
        <f>66</f>
        <v>66</v>
      </c>
      <c r="BH66" s="24">
        <f>H66*AO66</f>
        <v>0</v>
      </c>
      <c r="BI66" s="24">
        <f>H66*AP66</f>
        <v>0</v>
      </c>
      <c r="BJ66" s="24">
        <f>H66*I66</f>
        <v>0</v>
      </c>
      <c r="BK66" s="24" t="s">
        <v>516</v>
      </c>
      <c r="BL66" s="42">
        <v>61</v>
      </c>
    </row>
    <row r="67" spans="1:64" x14ac:dyDescent="0.2">
      <c r="A67" s="5"/>
      <c r="B67" s="15" t="s">
        <v>84</v>
      </c>
      <c r="C67" s="94" t="s">
        <v>215</v>
      </c>
      <c r="D67" s="95"/>
      <c r="E67" s="95"/>
      <c r="F67" s="95"/>
      <c r="G67" s="95"/>
      <c r="H67" s="95"/>
      <c r="I67" s="95"/>
      <c r="J67" s="95"/>
      <c r="K67" s="95"/>
      <c r="L67" s="95"/>
      <c r="M67" s="96"/>
      <c r="N67" s="5"/>
    </row>
    <row r="68" spans="1:64" x14ac:dyDescent="0.2">
      <c r="A68" s="5"/>
      <c r="C68" s="19" t="s">
        <v>7</v>
      </c>
      <c r="F68" s="20"/>
      <c r="H68" s="68">
        <v>1</v>
      </c>
      <c r="M68" s="36"/>
      <c r="N68" s="5"/>
    </row>
    <row r="69" spans="1:64" x14ac:dyDescent="0.2">
      <c r="A69" s="4" t="s">
        <v>19</v>
      </c>
      <c r="B69" s="14" t="s">
        <v>95</v>
      </c>
      <c r="C69" s="92" t="s">
        <v>216</v>
      </c>
      <c r="D69" s="93"/>
      <c r="E69" s="93"/>
      <c r="F69" s="93"/>
      <c r="G69" s="14" t="s">
        <v>453</v>
      </c>
      <c r="H69" s="67">
        <v>20</v>
      </c>
      <c r="I69" s="24">
        <v>0</v>
      </c>
      <c r="J69" s="24">
        <f>H69*AO69</f>
        <v>0</v>
      </c>
      <c r="K69" s="24">
        <f>H69*AP69</f>
        <v>0</v>
      </c>
      <c r="L69" s="24">
        <f>H69*I69</f>
        <v>0</v>
      </c>
      <c r="M69" s="35" t="s">
        <v>562</v>
      </c>
      <c r="N69" s="5"/>
      <c r="Z69" s="42">
        <f>IF(AQ69="5",BJ69,0)</f>
        <v>0</v>
      </c>
      <c r="AB69" s="42">
        <f>IF(AQ69="1",BH69,0)</f>
        <v>0</v>
      </c>
      <c r="AC69" s="42">
        <f>IF(AQ69="1",BI69,0)</f>
        <v>0</v>
      </c>
      <c r="AD69" s="42">
        <f>IF(AQ69="7",BH69,0)</f>
        <v>0</v>
      </c>
      <c r="AE69" s="42">
        <f>IF(AQ69="7",BI69,0)</f>
        <v>0</v>
      </c>
      <c r="AF69" s="42">
        <f>IF(AQ69="2",BH69,0)</f>
        <v>0</v>
      </c>
      <c r="AG69" s="42">
        <f>IF(AQ69="2",BI69,0)</f>
        <v>0</v>
      </c>
      <c r="AH69" s="42">
        <f>IF(AQ69="0",BJ69,0)</f>
        <v>0</v>
      </c>
      <c r="AI69" s="41"/>
      <c r="AJ69" s="24">
        <f>IF(AN69=0,L69,0)</f>
        <v>0</v>
      </c>
      <c r="AK69" s="24">
        <f>IF(AN69=15,L69,0)</f>
        <v>0</v>
      </c>
      <c r="AL69" s="24">
        <f>IF(AN69=21,L69,0)</f>
        <v>0</v>
      </c>
      <c r="AN69" s="42">
        <v>21</v>
      </c>
      <c r="AO69" s="42">
        <f>I69*0.0802624471350839</f>
        <v>0</v>
      </c>
      <c r="AP69" s="42">
        <f>I69*(1-0.0802624471350839)</f>
        <v>0</v>
      </c>
      <c r="AQ69" s="43" t="s">
        <v>7</v>
      </c>
      <c r="AV69" s="42">
        <f>AW69+AX69</f>
        <v>0</v>
      </c>
      <c r="AW69" s="42">
        <f>H69*AO69</f>
        <v>0</v>
      </c>
      <c r="AX69" s="42">
        <f>H69*AP69</f>
        <v>0</v>
      </c>
      <c r="AY69" s="45" t="s">
        <v>483</v>
      </c>
      <c r="AZ69" s="45" t="s">
        <v>504</v>
      </c>
      <c r="BA69" s="41" t="s">
        <v>511</v>
      </c>
      <c r="BC69" s="42">
        <f>AW69+AX69</f>
        <v>0</v>
      </c>
      <c r="BD69" s="42">
        <f>I69/(100-BE69)*100</f>
        <v>0</v>
      </c>
      <c r="BE69" s="42">
        <v>0</v>
      </c>
      <c r="BF69" s="42">
        <f>69</f>
        <v>69</v>
      </c>
      <c r="BH69" s="24">
        <f>H69*AO69</f>
        <v>0</v>
      </c>
      <c r="BI69" s="24">
        <f>H69*AP69</f>
        <v>0</v>
      </c>
      <c r="BJ69" s="24">
        <f>H69*I69</f>
        <v>0</v>
      </c>
      <c r="BK69" s="24" t="s">
        <v>516</v>
      </c>
      <c r="BL69" s="42">
        <v>61</v>
      </c>
    </row>
    <row r="70" spans="1:64" x14ac:dyDescent="0.2">
      <c r="A70" s="5"/>
      <c r="B70" s="15" t="s">
        <v>84</v>
      </c>
      <c r="C70" s="94" t="s">
        <v>217</v>
      </c>
      <c r="D70" s="95"/>
      <c r="E70" s="95"/>
      <c r="F70" s="95"/>
      <c r="G70" s="95"/>
      <c r="H70" s="95"/>
      <c r="I70" s="95"/>
      <c r="J70" s="95"/>
      <c r="K70" s="95"/>
      <c r="L70" s="95"/>
      <c r="M70" s="96"/>
      <c r="N70" s="5"/>
    </row>
    <row r="71" spans="1:64" x14ac:dyDescent="0.2">
      <c r="A71" s="5"/>
      <c r="C71" s="19" t="s">
        <v>26</v>
      </c>
      <c r="F71" s="20" t="s">
        <v>396</v>
      </c>
      <c r="H71" s="68">
        <v>20</v>
      </c>
      <c r="M71" s="36"/>
      <c r="N71" s="5"/>
    </row>
    <row r="72" spans="1:64" x14ac:dyDescent="0.2">
      <c r="A72" s="4" t="s">
        <v>20</v>
      </c>
      <c r="B72" s="14" t="s">
        <v>96</v>
      </c>
      <c r="C72" s="92" t="s">
        <v>218</v>
      </c>
      <c r="D72" s="93"/>
      <c r="E72" s="93"/>
      <c r="F72" s="93"/>
      <c r="G72" s="14" t="s">
        <v>453</v>
      </c>
      <c r="H72" s="67">
        <v>250.096</v>
      </c>
      <c r="I72" s="24">
        <v>0</v>
      </c>
      <c r="J72" s="24">
        <f>H72*AO72</f>
        <v>0</v>
      </c>
      <c r="K72" s="24">
        <f>H72*AP72</f>
        <v>0</v>
      </c>
      <c r="L72" s="24">
        <f>H72*I72</f>
        <v>0</v>
      </c>
      <c r="M72" s="35" t="s">
        <v>562</v>
      </c>
      <c r="N72" s="5"/>
      <c r="Z72" s="42">
        <f>IF(AQ72="5",BJ72,0)</f>
        <v>0</v>
      </c>
      <c r="AB72" s="42">
        <f>IF(AQ72="1",BH72,0)</f>
        <v>0</v>
      </c>
      <c r="AC72" s="42">
        <f>IF(AQ72="1",BI72,0)</f>
        <v>0</v>
      </c>
      <c r="AD72" s="42">
        <f>IF(AQ72="7",BH72,0)</f>
        <v>0</v>
      </c>
      <c r="AE72" s="42">
        <f>IF(AQ72="7",BI72,0)</f>
        <v>0</v>
      </c>
      <c r="AF72" s="42">
        <f>IF(AQ72="2",BH72,0)</f>
        <v>0</v>
      </c>
      <c r="AG72" s="42">
        <f>IF(AQ72="2",BI72,0)</f>
        <v>0</v>
      </c>
      <c r="AH72" s="42">
        <f>IF(AQ72="0",BJ72,0)</f>
        <v>0</v>
      </c>
      <c r="AI72" s="41"/>
      <c r="AJ72" s="24">
        <f>IF(AN72=0,L72,0)</f>
        <v>0</v>
      </c>
      <c r="AK72" s="24">
        <f>IF(AN72=15,L72,0)</f>
        <v>0</v>
      </c>
      <c r="AL72" s="24">
        <f>IF(AN72=21,L72,0)</f>
        <v>0</v>
      </c>
      <c r="AN72" s="42">
        <v>21</v>
      </c>
      <c r="AO72" s="42">
        <f>I72*0.264961207046815</f>
        <v>0</v>
      </c>
      <c r="AP72" s="42">
        <f>I72*(1-0.264961207046815)</f>
        <v>0</v>
      </c>
      <c r="AQ72" s="43" t="s">
        <v>7</v>
      </c>
      <c r="AV72" s="42">
        <f>AW72+AX72</f>
        <v>0</v>
      </c>
      <c r="AW72" s="42">
        <f>H72*AO72</f>
        <v>0</v>
      </c>
      <c r="AX72" s="42">
        <f>H72*AP72</f>
        <v>0</v>
      </c>
      <c r="AY72" s="45" t="s">
        <v>483</v>
      </c>
      <c r="AZ72" s="45" t="s">
        <v>504</v>
      </c>
      <c r="BA72" s="41" t="s">
        <v>511</v>
      </c>
      <c r="BC72" s="42">
        <f>AW72+AX72</f>
        <v>0</v>
      </c>
      <c r="BD72" s="42">
        <f>I72/(100-BE72)*100</f>
        <v>0</v>
      </c>
      <c r="BE72" s="42">
        <v>0</v>
      </c>
      <c r="BF72" s="42">
        <f>72</f>
        <v>72</v>
      </c>
      <c r="BH72" s="24">
        <f>H72*AO72</f>
        <v>0</v>
      </c>
      <c r="BI72" s="24">
        <f>H72*AP72</f>
        <v>0</v>
      </c>
      <c r="BJ72" s="24">
        <f>H72*I72</f>
        <v>0</v>
      </c>
      <c r="BK72" s="24" t="s">
        <v>516</v>
      </c>
      <c r="BL72" s="42">
        <v>61</v>
      </c>
    </row>
    <row r="73" spans="1:64" x14ac:dyDescent="0.2">
      <c r="A73" s="5"/>
      <c r="B73" s="15" t="s">
        <v>84</v>
      </c>
      <c r="C73" s="94" t="s">
        <v>573</v>
      </c>
      <c r="D73" s="95"/>
      <c r="E73" s="95"/>
      <c r="F73" s="95"/>
      <c r="G73" s="95"/>
      <c r="H73" s="95"/>
      <c r="I73" s="95"/>
      <c r="J73" s="95"/>
      <c r="K73" s="95"/>
      <c r="L73" s="95"/>
      <c r="M73" s="96"/>
      <c r="N73" s="5"/>
    </row>
    <row r="74" spans="1:64" x14ac:dyDescent="0.2">
      <c r="A74" s="5"/>
      <c r="C74" s="19" t="s">
        <v>209</v>
      </c>
      <c r="F74" s="20" t="s">
        <v>393</v>
      </c>
      <c r="H74" s="68">
        <v>246.78800000000001</v>
      </c>
      <c r="M74" s="36"/>
      <c r="N74" s="5"/>
    </row>
    <row r="75" spans="1:64" x14ac:dyDescent="0.2">
      <c r="A75" s="5"/>
      <c r="C75" s="19" t="s">
        <v>210</v>
      </c>
      <c r="F75" s="20" t="s">
        <v>394</v>
      </c>
      <c r="H75" s="68">
        <v>1.8440000000000001</v>
      </c>
      <c r="M75" s="36"/>
      <c r="N75" s="5"/>
    </row>
    <row r="76" spans="1:64" x14ac:dyDescent="0.2">
      <c r="A76" s="5"/>
      <c r="C76" s="19" t="s">
        <v>211</v>
      </c>
      <c r="F76" s="20" t="s">
        <v>395</v>
      </c>
      <c r="H76" s="68">
        <v>1.464</v>
      </c>
      <c r="M76" s="36"/>
      <c r="N76" s="5"/>
    </row>
    <row r="77" spans="1:64" x14ac:dyDescent="0.2">
      <c r="A77" s="6"/>
      <c r="B77" s="16" t="s">
        <v>69</v>
      </c>
      <c r="C77" s="97" t="s">
        <v>219</v>
      </c>
      <c r="D77" s="98"/>
      <c r="E77" s="98"/>
      <c r="F77" s="98"/>
      <c r="G77" s="22" t="s">
        <v>6</v>
      </c>
      <c r="H77" s="22" t="s">
        <v>6</v>
      </c>
      <c r="I77" s="22" t="s">
        <v>6</v>
      </c>
      <c r="J77" s="48">
        <f>SUM(J78:J81)</f>
        <v>0</v>
      </c>
      <c r="K77" s="48">
        <f>SUM(K78:K81)</f>
        <v>0</v>
      </c>
      <c r="L77" s="48">
        <f>SUM(L78:L81)</f>
        <v>0</v>
      </c>
      <c r="M77" s="37"/>
      <c r="N77" s="5"/>
      <c r="AI77" s="41"/>
      <c r="AS77" s="48">
        <f>SUM(AJ78:AJ81)</f>
        <v>0</v>
      </c>
      <c r="AT77" s="48">
        <f>SUM(AK78:AK81)</f>
        <v>0</v>
      </c>
      <c r="AU77" s="48">
        <f>SUM(AL78:AL81)</f>
        <v>0</v>
      </c>
    </row>
    <row r="78" spans="1:64" x14ac:dyDescent="0.2">
      <c r="A78" s="4" t="s">
        <v>21</v>
      </c>
      <c r="B78" s="14" t="s">
        <v>97</v>
      </c>
      <c r="C78" s="92" t="s">
        <v>572</v>
      </c>
      <c r="D78" s="93"/>
      <c r="E78" s="93"/>
      <c r="F78" s="93"/>
      <c r="G78" s="14" t="s">
        <v>453</v>
      </c>
      <c r="H78" s="67">
        <v>443.74</v>
      </c>
      <c r="I78" s="24">
        <v>0</v>
      </c>
      <c r="J78" s="24">
        <f>H78*AO78</f>
        <v>0</v>
      </c>
      <c r="K78" s="24">
        <f>H78*AP78</f>
        <v>0</v>
      </c>
      <c r="L78" s="24">
        <f>H78*I78</f>
        <v>0</v>
      </c>
      <c r="M78" s="35" t="s">
        <v>562</v>
      </c>
      <c r="N78" s="5"/>
      <c r="Z78" s="42">
        <f>IF(AQ78="5",BJ78,0)</f>
        <v>0</v>
      </c>
      <c r="AB78" s="42">
        <f>IF(AQ78="1",BH78,0)</f>
        <v>0</v>
      </c>
      <c r="AC78" s="42">
        <f>IF(AQ78="1",BI78,0)</f>
        <v>0</v>
      </c>
      <c r="AD78" s="42">
        <f>IF(AQ78="7",BH78,0)</f>
        <v>0</v>
      </c>
      <c r="AE78" s="42">
        <f>IF(AQ78="7",BI78,0)</f>
        <v>0</v>
      </c>
      <c r="AF78" s="42">
        <f>IF(AQ78="2",BH78,0)</f>
        <v>0</v>
      </c>
      <c r="AG78" s="42">
        <f>IF(AQ78="2",BI78,0)</f>
        <v>0</v>
      </c>
      <c r="AH78" s="42">
        <f>IF(AQ78="0",BJ78,0)</f>
        <v>0</v>
      </c>
      <c r="AI78" s="41"/>
      <c r="AJ78" s="24">
        <f>IF(AN78=0,L78,0)</f>
        <v>0</v>
      </c>
      <c r="AK78" s="24">
        <f>IF(AN78=15,L78,0)</f>
        <v>0</v>
      </c>
      <c r="AL78" s="24">
        <f>IF(AN78=21,L78,0)</f>
        <v>0</v>
      </c>
      <c r="AN78" s="42">
        <v>21</v>
      </c>
      <c r="AO78" s="42">
        <f>I78*0.609443195998969</f>
        <v>0</v>
      </c>
      <c r="AP78" s="42">
        <f>I78*(1-0.609443195998969)</f>
        <v>0</v>
      </c>
      <c r="AQ78" s="43" t="s">
        <v>7</v>
      </c>
      <c r="AV78" s="42">
        <f>AW78+AX78</f>
        <v>0</v>
      </c>
      <c r="AW78" s="42">
        <f>H78*AO78</f>
        <v>0</v>
      </c>
      <c r="AX78" s="42">
        <f>H78*AP78</f>
        <v>0</v>
      </c>
      <c r="AY78" s="45" t="s">
        <v>484</v>
      </c>
      <c r="AZ78" s="45" t="s">
        <v>504</v>
      </c>
      <c r="BA78" s="41" t="s">
        <v>511</v>
      </c>
      <c r="BC78" s="42">
        <f>AW78+AX78</f>
        <v>0</v>
      </c>
      <c r="BD78" s="42">
        <f>I78/(100-BE78)*100</f>
        <v>0</v>
      </c>
      <c r="BE78" s="42">
        <v>0</v>
      </c>
      <c r="BF78" s="42">
        <f>78</f>
        <v>78</v>
      </c>
      <c r="BH78" s="24">
        <f>H78*AO78</f>
        <v>0</v>
      </c>
      <c r="BI78" s="24">
        <f>H78*AP78</f>
        <v>0</v>
      </c>
      <c r="BJ78" s="24">
        <f>H78*I78</f>
        <v>0</v>
      </c>
      <c r="BK78" s="24" t="s">
        <v>516</v>
      </c>
      <c r="BL78" s="42">
        <v>63</v>
      </c>
    </row>
    <row r="79" spans="1:64" x14ac:dyDescent="0.2">
      <c r="A79" s="5"/>
      <c r="C79" s="19" t="s">
        <v>220</v>
      </c>
      <c r="F79" s="20" t="s">
        <v>397</v>
      </c>
      <c r="H79" s="68">
        <v>72.72</v>
      </c>
      <c r="M79" s="36"/>
      <c r="N79" s="5"/>
    </row>
    <row r="80" spans="1:64" x14ac:dyDescent="0.2">
      <c r="A80" s="5"/>
      <c r="C80" s="19" t="s">
        <v>221</v>
      </c>
      <c r="F80" s="20" t="s">
        <v>398</v>
      </c>
      <c r="H80" s="68">
        <v>371.02</v>
      </c>
      <c r="M80" s="36"/>
      <c r="N80" s="5"/>
    </row>
    <row r="81" spans="1:64" x14ac:dyDescent="0.2">
      <c r="A81" s="4" t="s">
        <v>22</v>
      </c>
      <c r="B81" s="14" t="s">
        <v>98</v>
      </c>
      <c r="C81" s="92" t="s">
        <v>571</v>
      </c>
      <c r="D81" s="93"/>
      <c r="E81" s="93"/>
      <c r="F81" s="93"/>
      <c r="G81" s="14" t="s">
        <v>453</v>
      </c>
      <c r="H81" s="67">
        <v>17.100000000000001</v>
      </c>
      <c r="I81" s="24">
        <v>0</v>
      </c>
      <c r="J81" s="24">
        <f>H81*AO81</f>
        <v>0</v>
      </c>
      <c r="K81" s="24">
        <f>H81*AP81</f>
        <v>0</v>
      </c>
      <c r="L81" s="24">
        <f>H81*I81</f>
        <v>0</v>
      </c>
      <c r="M81" s="35" t="s">
        <v>562</v>
      </c>
      <c r="N81" s="5"/>
      <c r="Z81" s="42">
        <f>IF(AQ81="5",BJ81,0)</f>
        <v>0</v>
      </c>
      <c r="AB81" s="42">
        <f>IF(AQ81="1",BH81,0)</f>
        <v>0</v>
      </c>
      <c r="AC81" s="42">
        <f>IF(AQ81="1",BI81,0)</f>
        <v>0</v>
      </c>
      <c r="AD81" s="42">
        <f>IF(AQ81="7",BH81,0)</f>
        <v>0</v>
      </c>
      <c r="AE81" s="42">
        <f>IF(AQ81="7",BI81,0)</f>
        <v>0</v>
      </c>
      <c r="AF81" s="42">
        <f>IF(AQ81="2",BH81,0)</f>
        <v>0</v>
      </c>
      <c r="AG81" s="42">
        <f>IF(AQ81="2",BI81,0)</f>
        <v>0</v>
      </c>
      <c r="AH81" s="42">
        <f>IF(AQ81="0",BJ81,0)</f>
        <v>0</v>
      </c>
      <c r="AI81" s="41"/>
      <c r="AJ81" s="24">
        <f>IF(AN81=0,L81,0)</f>
        <v>0</v>
      </c>
      <c r="AK81" s="24">
        <f>IF(AN81=15,L81,0)</f>
        <v>0</v>
      </c>
      <c r="AL81" s="24">
        <f>IF(AN81=21,L81,0)</f>
        <v>0</v>
      </c>
      <c r="AN81" s="42">
        <v>21</v>
      </c>
      <c r="AO81" s="42">
        <f>I81*0.568167702309028</f>
        <v>0</v>
      </c>
      <c r="AP81" s="42">
        <f>I81*(1-0.568167702309028)</f>
        <v>0</v>
      </c>
      <c r="AQ81" s="43" t="s">
        <v>7</v>
      </c>
      <c r="AV81" s="42">
        <f>AW81+AX81</f>
        <v>0</v>
      </c>
      <c r="AW81" s="42">
        <f>H81*AO81</f>
        <v>0</v>
      </c>
      <c r="AX81" s="42">
        <f>H81*AP81</f>
        <v>0</v>
      </c>
      <c r="AY81" s="45" t="s">
        <v>484</v>
      </c>
      <c r="AZ81" s="45" t="s">
        <v>504</v>
      </c>
      <c r="BA81" s="41" t="s">
        <v>511</v>
      </c>
      <c r="BC81" s="42">
        <f>AW81+AX81</f>
        <v>0</v>
      </c>
      <c r="BD81" s="42">
        <f>I81/(100-BE81)*100</f>
        <v>0</v>
      </c>
      <c r="BE81" s="42">
        <v>0</v>
      </c>
      <c r="BF81" s="42">
        <f>81</f>
        <v>81</v>
      </c>
      <c r="BH81" s="24">
        <f>H81*AO81</f>
        <v>0</v>
      </c>
      <c r="BI81" s="24">
        <f>H81*AP81</f>
        <v>0</v>
      </c>
      <c r="BJ81" s="24">
        <f>H81*I81</f>
        <v>0</v>
      </c>
      <c r="BK81" s="24" t="s">
        <v>516</v>
      </c>
      <c r="BL81" s="42">
        <v>63</v>
      </c>
    </row>
    <row r="82" spans="1:64" x14ac:dyDescent="0.2">
      <c r="A82" s="5"/>
      <c r="C82" s="19" t="s">
        <v>222</v>
      </c>
      <c r="F82" s="20" t="s">
        <v>399</v>
      </c>
      <c r="H82" s="68">
        <v>17.100000000000001</v>
      </c>
      <c r="M82" s="36"/>
      <c r="N82" s="5"/>
    </row>
    <row r="83" spans="1:64" x14ac:dyDescent="0.2">
      <c r="A83" s="6"/>
      <c r="B83" s="16" t="s">
        <v>70</v>
      </c>
      <c r="C83" s="97" t="s">
        <v>223</v>
      </c>
      <c r="D83" s="98"/>
      <c r="E83" s="98"/>
      <c r="F83" s="98"/>
      <c r="G83" s="22" t="s">
        <v>6</v>
      </c>
      <c r="H83" s="22" t="s">
        <v>6</v>
      </c>
      <c r="I83" s="22" t="s">
        <v>6</v>
      </c>
      <c r="J83" s="48">
        <f>SUM(J84:J95)</f>
        <v>0</v>
      </c>
      <c r="K83" s="48">
        <f>SUM(K84:K95)</f>
        <v>0</v>
      </c>
      <c r="L83" s="48">
        <f>SUM(L84:L95)</f>
        <v>0</v>
      </c>
      <c r="M83" s="37"/>
      <c r="N83" s="5"/>
      <c r="AI83" s="41"/>
      <c r="AS83" s="48">
        <f>SUM(AJ84:AJ95)</f>
        <v>0</v>
      </c>
      <c r="AT83" s="48">
        <f>SUM(AK84:AK95)</f>
        <v>0</v>
      </c>
      <c r="AU83" s="48">
        <f>SUM(AL84:AL95)</f>
        <v>0</v>
      </c>
    </row>
    <row r="84" spans="1:64" x14ac:dyDescent="0.2">
      <c r="A84" s="4" t="s">
        <v>23</v>
      </c>
      <c r="B84" s="14" t="s">
        <v>99</v>
      </c>
      <c r="C84" s="92" t="s">
        <v>224</v>
      </c>
      <c r="D84" s="93"/>
      <c r="E84" s="93"/>
      <c r="F84" s="93"/>
      <c r="G84" s="14" t="s">
        <v>452</v>
      </c>
      <c r="H84" s="67">
        <v>11</v>
      </c>
      <c r="I84" s="24">
        <v>0</v>
      </c>
      <c r="J84" s="24">
        <f>H84*AO84</f>
        <v>0</v>
      </c>
      <c r="K84" s="24">
        <f>H84*AP84</f>
        <v>0</v>
      </c>
      <c r="L84" s="24">
        <f>H84*I84</f>
        <v>0</v>
      </c>
      <c r="M84" s="35" t="s">
        <v>562</v>
      </c>
      <c r="N84" s="5"/>
      <c r="Z84" s="42">
        <f>IF(AQ84="5",BJ84,0)</f>
        <v>0</v>
      </c>
      <c r="AB84" s="42">
        <f>IF(AQ84="1",BH84,0)</f>
        <v>0</v>
      </c>
      <c r="AC84" s="42">
        <f>IF(AQ84="1",BI84,0)</f>
        <v>0</v>
      </c>
      <c r="AD84" s="42">
        <f>IF(AQ84="7",BH84,0)</f>
        <v>0</v>
      </c>
      <c r="AE84" s="42">
        <f>IF(AQ84="7",BI84,0)</f>
        <v>0</v>
      </c>
      <c r="AF84" s="42">
        <f>IF(AQ84="2",BH84,0)</f>
        <v>0</v>
      </c>
      <c r="AG84" s="42">
        <f>IF(AQ84="2",BI84,0)</f>
        <v>0</v>
      </c>
      <c r="AH84" s="42">
        <f>IF(AQ84="0",BJ84,0)</f>
        <v>0</v>
      </c>
      <c r="AI84" s="41"/>
      <c r="AJ84" s="24">
        <f>IF(AN84=0,L84,0)</f>
        <v>0</v>
      </c>
      <c r="AK84" s="24">
        <f>IF(AN84=15,L84,0)</f>
        <v>0</v>
      </c>
      <c r="AL84" s="24">
        <f>IF(AN84=21,L84,0)</f>
        <v>0</v>
      </c>
      <c r="AN84" s="42">
        <v>21</v>
      </c>
      <c r="AO84" s="42">
        <f>I84*0.644019120458891</f>
        <v>0</v>
      </c>
      <c r="AP84" s="42">
        <f>I84*(1-0.644019120458891)</f>
        <v>0</v>
      </c>
      <c r="AQ84" s="43" t="s">
        <v>7</v>
      </c>
      <c r="AV84" s="42">
        <f>AW84+AX84</f>
        <v>0</v>
      </c>
      <c r="AW84" s="42">
        <f>H84*AO84</f>
        <v>0</v>
      </c>
      <c r="AX84" s="42">
        <f>H84*AP84</f>
        <v>0</v>
      </c>
      <c r="AY84" s="45" t="s">
        <v>485</v>
      </c>
      <c r="AZ84" s="45" t="s">
        <v>504</v>
      </c>
      <c r="BA84" s="41" t="s">
        <v>511</v>
      </c>
      <c r="BC84" s="42">
        <f>AW84+AX84</f>
        <v>0</v>
      </c>
      <c r="BD84" s="42">
        <f>I84/(100-BE84)*100</f>
        <v>0</v>
      </c>
      <c r="BE84" s="42">
        <v>0</v>
      </c>
      <c r="BF84" s="42">
        <f>84</f>
        <v>84</v>
      </c>
      <c r="BH84" s="24">
        <f>H84*AO84</f>
        <v>0</v>
      </c>
      <c r="BI84" s="24">
        <f>H84*AP84</f>
        <v>0</v>
      </c>
      <c r="BJ84" s="24">
        <f>H84*I84</f>
        <v>0</v>
      </c>
      <c r="BK84" s="24" t="s">
        <v>516</v>
      </c>
      <c r="BL84" s="42">
        <v>64</v>
      </c>
    </row>
    <row r="85" spans="1:64" x14ac:dyDescent="0.2">
      <c r="A85" s="5"/>
      <c r="B85" s="15" t="s">
        <v>84</v>
      </c>
      <c r="C85" s="94" t="s">
        <v>225</v>
      </c>
      <c r="D85" s="95"/>
      <c r="E85" s="95"/>
      <c r="F85" s="95"/>
      <c r="G85" s="95"/>
      <c r="H85" s="95"/>
      <c r="I85" s="95"/>
      <c r="J85" s="95"/>
      <c r="K85" s="95"/>
      <c r="L85" s="95"/>
      <c r="M85" s="96"/>
      <c r="N85" s="5"/>
    </row>
    <row r="86" spans="1:64" x14ac:dyDescent="0.2">
      <c r="A86" s="5"/>
      <c r="C86" s="19" t="s">
        <v>17</v>
      </c>
      <c r="F86" s="20"/>
      <c r="H86" s="68">
        <v>11</v>
      </c>
      <c r="M86" s="36"/>
      <c r="N86" s="5"/>
    </row>
    <row r="87" spans="1:64" x14ac:dyDescent="0.2">
      <c r="A87" s="4" t="s">
        <v>24</v>
      </c>
      <c r="B87" s="14" t="s">
        <v>100</v>
      </c>
      <c r="C87" s="92" t="s">
        <v>224</v>
      </c>
      <c r="D87" s="93"/>
      <c r="E87" s="93"/>
      <c r="F87" s="93"/>
      <c r="G87" s="14" t="s">
        <v>452</v>
      </c>
      <c r="H87" s="67">
        <v>7</v>
      </c>
      <c r="I87" s="24">
        <v>0</v>
      </c>
      <c r="J87" s="24">
        <f>H87*AO87</f>
        <v>0</v>
      </c>
      <c r="K87" s="24">
        <f>H87*AP87</f>
        <v>0</v>
      </c>
      <c r="L87" s="24">
        <f>H87*I87</f>
        <v>0</v>
      </c>
      <c r="M87" s="35" t="s">
        <v>562</v>
      </c>
      <c r="N87" s="5"/>
      <c r="Z87" s="42">
        <f>IF(AQ87="5",BJ87,0)</f>
        <v>0</v>
      </c>
      <c r="AB87" s="42">
        <f>IF(AQ87="1",BH87,0)</f>
        <v>0</v>
      </c>
      <c r="AC87" s="42">
        <f>IF(AQ87="1",BI87,0)</f>
        <v>0</v>
      </c>
      <c r="AD87" s="42">
        <f>IF(AQ87="7",BH87,0)</f>
        <v>0</v>
      </c>
      <c r="AE87" s="42">
        <f>IF(AQ87="7",BI87,0)</f>
        <v>0</v>
      </c>
      <c r="AF87" s="42">
        <f>IF(AQ87="2",BH87,0)</f>
        <v>0</v>
      </c>
      <c r="AG87" s="42">
        <f>IF(AQ87="2",BI87,0)</f>
        <v>0</v>
      </c>
      <c r="AH87" s="42">
        <f>IF(AQ87="0",BJ87,0)</f>
        <v>0</v>
      </c>
      <c r="AI87" s="41"/>
      <c r="AJ87" s="24">
        <f>IF(AN87=0,L87,0)</f>
        <v>0</v>
      </c>
      <c r="AK87" s="24">
        <f>IF(AN87=15,L87,0)</f>
        <v>0</v>
      </c>
      <c r="AL87" s="24">
        <f>IF(AN87=21,L87,0)</f>
        <v>0</v>
      </c>
      <c r="AN87" s="42">
        <v>21</v>
      </c>
      <c r="AO87" s="42">
        <f>I87*0.648056710775047</f>
        <v>0</v>
      </c>
      <c r="AP87" s="42">
        <f>I87*(1-0.648056710775047)</f>
        <v>0</v>
      </c>
      <c r="AQ87" s="43" t="s">
        <v>7</v>
      </c>
      <c r="AV87" s="42">
        <f>AW87+AX87</f>
        <v>0</v>
      </c>
      <c r="AW87" s="42">
        <f>H87*AO87</f>
        <v>0</v>
      </c>
      <c r="AX87" s="42">
        <f>H87*AP87</f>
        <v>0</v>
      </c>
      <c r="AY87" s="45" t="s">
        <v>485</v>
      </c>
      <c r="AZ87" s="45" t="s">
        <v>504</v>
      </c>
      <c r="BA87" s="41" t="s">
        <v>511</v>
      </c>
      <c r="BC87" s="42">
        <f>AW87+AX87</f>
        <v>0</v>
      </c>
      <c r="BD87" s="42">
        <f>I87/(100-BE87)*100</f>
        <v>0</v>
      </c>
      <c r="BE87" s="42">
        <v>0</v>
      </c>
      <c r="BF87" s="42">
        <f>87</f>
        <v>87</v>
      </c>
      <c r="BH87" s="24">
        <f>H87*AO87</f>
        <v>0</v>
      </c>
      <c r="BI87" s="24">
        <f>H87*AP87</f>
        <v>0</v>
      </c>
      <c r="BJ87" s="24">
        <f>H87*I87</f>
        <v>0</v>
      </c>
      <c r="BK87" s="24" t="s">
        <v>516</v>
      </c>
      <c r="BL87" s="42">
        <v>64</v>
      </c>
    </row>
    <row r="88" spans="1:64" x14ac:dyDescent="0.2">
      <c r="A88" s="5"/>
      <c r="B88" s="15" t="s">
        <v>84</v>
      </c>
      <c r="C88" s="94" t="s">
        <v>226</v>
      </c>
      <c r="D88" s="95"/>
      <c r="E88" s="95"/>
      <c r="F88" s="95"/>
      <c r="G88" s="95"/>
      <c r="H88" s="95"/>
      <c r="I88" s="95"/>
      <c r="J88" s="95"/>
      <c r="K88" s="95"/>
      <c r="L88" s="95"/>
      <c r="M88" s="96"/>
      <c r="N88" s="5"/>
    </row>
    <row r="89" spans="1:64" x14ac:dyDescent="0.2">
      <c r="A89" s="5"/>
      <c r="C89" s="19" t="s">
        <v>13</v>
      </c>
      <c r="F89" s="20"/>
      <c r="H89" s="68">
        <v>7</v>
      </c>
      <c r="M89" s="36"/>
      <c r="N89" s="5"/>
    </row>
    <row r="90" spans="1:64" x14ac:dyDescent="0.2">
      <c r="A90" s="4" t="s">
        <v>25</v>
      </c>
      <c r="B90" s="14" t="s">
        <v>101</v>
      </c>
      <c r="C90" s="92" t="s">
        <v>224</v>
      </c>
      <c r="D90" s="93"/>
      <c r="E90" s="93"/>
      <c r="F90" s="93"/>
      <c r="G90" s="14" t="s">
        <v>452</v>
      </c>
      <c r="H90" s="67">
        <v>6</v>
      </c>
      <c r="I90" s="24">
        <v>0</v>
      </c>
      <c r="J90" s="24">
        <f>H90*AO90</f>
        <v>0</v>
      </c>
      <c r="K90" s="24">
        <f>H90*AP90</f>
        <v>0</v>
      </c>
      <c r="L90" s="24">
        <f>H90*I90</f>
        <v>0</v>
      </c>
      <c r="M90" s="35" t="s">
        <v>562</v>
      </c>
      <c r="N90" s="5"/>
      <c r="Z90" s="42">
        <f>IF(AQ90="5",BJ90,0)</f>
        <v>0</v>
      </c>
      <c r="AB90" s="42">
        <f>IF(AQ90="1",BH90,0)</f>
        <v>0</v>
      </c>
      <c r="AC90" s="42">
        <f>IF(AQ90="1",BI90,0)</f>
        <v>0</v>
      </c>
      <c r="AD90" s="42">
        <f>IF(AQ90="7",BH90,0)</f>
        <v>0</v>
      </c>
      <c r="AE90" s="42">
        <f>IF(AQ90="7",BI90,0)</f>
        <v>0</v>
      </c>
      <c r="AF90" s="42">
        <f>IF(AQ90="2",BH90,0)</f>
        <v>0</v>
      </c>
      <c r="AG90" s="42">
        <f>IF(AQ90="2",BI90,0)</f>
        <v>0</v>
      </c>
      <c r="AH90" s="42">
        <f>IF(AQ90="0",BJ90,0)</f>
        <v>0</v>
      </c>
      <c r="AI90" s="41"/>
      <c r="AJ90" s="24">
        <f>IF(AN90=0,L90,0)</f>
        <v>0</v>
      </c>
      <c r="AK90" s="24">
        <f>IF(AN90=15,L90,0)</f>
        <v>0</v>
      </c>
      <c r="AL90" s="24">
        <f>IF(AN90=21,L90,0)</f>
        <v>0</v>
      </c>
      <c r="AN90" s="42">
        <v>21</v>
      </c>
      <c r="AO90" s="42">
        <f>I90*0.652652985074627</f>
        <v>0</v>
      </c>
      <c r="AP90" s="42">
        <f>I90*(1-0.652652985074627)</f>
        <v>0</v>
      </c>
      <c r="AQ90" s="43" t="s">
        <v>7</v>
      </c>
      <c r="AV90" s="42">
        <f>AW90+AX90</f>
        <v>0</v>
      </c>
      <c r="AW90" s="42">
        <f>H90*AO90</f>
        <v>0</v>
      </c>
      <c r="AX90" s="42">
        <f>H90*AP90</f>
        <v>0</v>
      </c>
      <c r="AY90" s="45" t="s">
        <v>485</v>
      </c>
      <c r="AZ90" s="45" t="s">
        <v>504</v>
      </c>
      <c r="BA90" s="41" t="s">
        <v>511</v>
      </c>
      <c r="BC90" s="42">
        <f>AW90+AX90</f>
        <v>0</v>
      </c>
      <c r="BD90" s="42">
        <f>I90/(100-BE90)*100</f>
        <v>0</v>
      </c>
      <c r="BE90" s="42">
        <v>0</v>
      </c>
      <c r="BF90" s="42">
        <f>90</f>
        <v>90</v>
      </c>
      <c r="BH90" s="24">
        <f>H90*AO90</f>
        <v>0</v>
      </c>
      <c r="BI90" s="24">
        <f>H90*AP90</f>
        <v>0</v>
      </c>
      <c r="BJ90" s="24">
        <f>H90*I90</f>
        <v>0</v>
      </c>
      <c r="BK90" s="24" t="s">
        <v>516</v>
      </c>
      <c r="BL90" s="42">
        <v>64</v>
      </c>
    </row>
    <row r="91" spans="1:64" x14ac:dyDescent="0.2">
      <c r="A91" s="5"/>
      <c r="B91" s="15" t="s">
        <v>84</v>
      </c>
      <c r="C91" s="94" t="s">
        <v>227</v>
      </c>
      <c r="D91" s="95"/>
      <c r="E91" s="95"/>
      <c r="F91" s="95"/>
      <c r="G91" s="95"/>
      <c r="H91" s="95"/>
      <c r="I91" s="95"/>
      <c r="J91" s="95"/>
      <c r="K91" s="95"/>
      <c r="L91" s="95"/>
      <c r="M91" s="96"/>
      <c r="N91" s="5"/>
    </row>
    <row r="92" spans="1:64" x14ac:dyDescent="0.2">
      <c r="A92" s="5"/>
      <c r="C92" s="19" t="s">
        <v>12</v>
      </c>
      <c r="F92" s="20"/>
      <c r="H92" s="68">
        <v>6</v>
      </c>
      <c r="M92" s="36"/>
      <c r="N92" s="5"/>
    </row>
    <row r="93" spans="1:64" x14ac:dyDescent="0.2">
      <c r="A93" s="4" t="s">
        <v>26</v>
      </c>
      <c r="B93" s="14" t="s">
        <v>102</v>
      </c>
      <c r="C93" s="92" t="s">
        <v>228</v>
      </c>
      <c r="D93" s="93"/>
      <c r="E93" s="93"/>
      <c r="F93" s="93"/>
      <c r="G93" s="14" t="s">
        <v>583</v>
      </c>
      <c r="H93" s="67">
        <v>15</v>
      </c>
      <c r="I93" s="24">
        <v>0</v>
      </c>
      <c r="J93" s="24">
        <f>H93*AO93</f>
        <v>0</v>
      </c>
      <c r="K93" s="24">
        <f>H93*AP93</f>
        <v>0</v>
      </c>
      <c r="L93" s="24">
        <f>H93*I93</f>
        <v>0</v>
      </c>
      <c r="M93" s="35"/>
      <c r="N93" s="5"/>
      <c r="Z93" s="42">
        <f>IF(AQ93="5",BJ93,0)</f>
        <v>0</v>
      </c>
      <c r="AB93" s="42">
        <f>IF(AQ93="1",BH93,0)</f>
        <v>0</v>
      </c>
      <c r="AC93" s="42">
        <f>IF(AQ93="1",BI93,0)</f>
        <v>0</v>
      </c>
      <c r="AD93" s="42">
        <f>IF(AQ93="7",BH93,0)</f>
        <v>0</v>
      </c>
      <c r="AE93" s="42">
        <f>IF(AQ93="7",BI93,0)</f>
        <v>0</v>
      </c>
      <c r="AF93" s="42">
        <f>IF(AQ93="2",BH93,0)</f>
        <v>0</v>
      </c>
      <c r="AG93" s="42">
        <f>IF(AQ93="2",BI93,0)</f>
        <v>0</v>
      </c>
      <c r="AH93" s="42">
        <f>IF(AQ93="0",BJ93,0)</f>
        <v>0</v>
      </c>
      <c r="AI93" s="41"/>
      <c r="AJ93" s="24">
        <f>IF(AN93=0,L93,0)</f>
        <v>0</v>
      </c>
      <c r="AK93" s="24">
        <f>IF(AN93=15,L93,0)</f>
        <v>0</v>
      </c>
      <c r="AL93" s="24">
        <f>IF(AN93=21,L93,0)</f>
        <v>0</v>
      </c>
      <c r="AN93" s="42">
        <v>21</v>
      </c>
      <c r="AO93" s="42">
        <f>I93*0</f>
        <v>0</v>
      </c>
      <c r="AP93" s="42">
        <f>I93*(1-0)</f>
        <v>0</v>
      </c>
      <c r="AQ93" s="43" t="s">
        <v>7</v>
      </c>
      <c r="AV93" s="42">
        <f>AW93+AX93</f>
        <v>0</v>
      </c>
      <c r="AW93" s="42">
        <f>H93*AO93</f>
        <v>0</v>
      </c>
      <c r="AX93" s="42">
        <f>H93*AP93</f>
        <v>0</v>
      </c>
      <c r="AY93" s="45" t="s">
        <v>485</v>
      </c>
      <c r="AZ93" s="45" t="s">
        <v>504</v>
      </c>
      <c r="BA93" s="41" t="s">
        <v>511</v>
      </c>
      <c r="BC93" s="42">
        <f>AW93+AX93</f>
        <v>0</v>
      </c>
      <c r="BD93" s="42">
        <f>I93/(100-BE93)*100</f>
        <v>0</v>
      </c>
      <c r="BE93" s="42">
        <v>0</v>
      </c>
      <c r="BF93" s="42">
        <f>93</f>
        <v>93</v>
      </c>
      <c r="BH93" s="24">
        <f>H93*AO93</f>
        <v>0</v>
      </c>
      <c r="BI93" s="24">
        <f>H93*AP93</f>
        <v>0</v>
      </c>
      <c r="BJ93" s="24">
        <f>H93*I93</f>
        <v>0</v>
      </c>
      <c r="BK93" s="24" t="s">
        <v>516</v>
      </c>
      <c r="BL93" s="42">
        <v>64</v>
      </c>
    </row>
    <row r="94" spans="1:64" ht="165.75" x14ac:dyDescent="0.2">
      <c r="A94" s="5"/>
      <c r="C94" s="71" t="s">
        <v>582</v>
      </c>
      <c r="F94" s="20"/>
      <c r="H94" s="68">
        <v>15</v>
      </c>
      <c r="M94" s="36"/>
      <c r="N94" s="5"/>
    </row>
    <row r="95" spans="1:64" ht="30.75" customHeight="1" x14ac:dyDescent="0.2">
      <c r="A95" s="4" t="s">
        <v>27</v>
      </c>
      <c r="B95" s="14" t="s">
        <v>103</v>
      </c>
      <c r="C95" s="110" t="s">
        <v>584</v>
      </c>
      <c r="D95" s="93"/>
      <c r="E95" s="93"/>
      <c r="F95" s="93"/>
      <c r="G95" s="14" t="s">
        <v>452</v>
      </c>
      <c r="H95" s="67">
        <v>1</v>
      </c>
      <c r="I95" s="24">
        <v>0</v>
      </c>
      <c r="J95" s="24">
        <f>H95*AO95</f>
        <v>0</v>
      </c>
      <c r="K95" s="24">
        <f>H95*AP95</f>
        <v>0</v>
      </c>
      <c r="L95" s="24">
        <f>H95*I95</f>
        <v>0</v>
      </c>
      <c r="M95" s="35"/>
      <c r="N95" s="5"/>
      <c r="Z95" s="42">
        <f>IF(AQ95="5",BJ95,0)</f>
        <v>0</v>
      </c>
      <c r="AB95" s="42">
        <f>IF(AQ95="1",BH95,0)</f>
        <v>0</v>
      </c>
      <c r="AC95" s="42">
        <f>IF(AQ95="1",BI95,0)</f>
        <v>0</v>
      </c>
      <c r="AD95" s="42">
        <f>IF(AQ95="7",BH95,0)</f>
        <v>0</v>
      </c>
      <c r="AE95" s="42">
        <f>IF(AQ95="7",BI95,0)</f>
        <v>0</v>
      </c>
      <c r="AF95" s="42">
        <f>IF(AQ95="2",BH95,0)</f>
        <v>0</v>
      </c>
      <c r="AG95" s="42">
        <f>IF(AQ95="2",BI95,0)</f>
        <v>0</v>
      </c>
      <c r="AH95" s="42">
        <f>IF(AQ95="0",BJ95,0)</f>
        <v>0</v>
      </c>
      <c r="AI95" s="41"/>
      <c r="AJ95" s="24">
        <f>IF(AN95=0,L95,0)</f>
        <v>0</v>
      </c>
      <c r="AK95" s="24">
        <f>IF(AN95=15,L95,0)</f>
        <v>0</v>
      </c>
      <c r="AL95" s="24">
        <f>IF(AN95=21,L95,0)</f>
        <v>0</v>
      </c>
      <c r="AN95" s="42">
        <v>21</v>
      </c>
      <c r="AO95" s="42">
        <f>I95*0</f>
        <v>0</v>
      </c>
      <c r="AP95" s="42">
        <f>I95*(1-0)</f>
        <v>0</v>
      </c>
      <c r="AQ95" s="43" t="s">
        <v>7</v>
      </c>
      <c r="AV95" s="42">
        <f>AW95+AX95</f>
        <v>0</v>
      </c>
      <c r="AW95" s="42">
        <f>H95*AO95</f>
        <v>0</v>
      </c>
      <c r="AX95" s="42">
        <f>H95*AP95</f>
        <v>0</v>
      </c>
      <c r="AY95" s="45" t="s">
        <v>485</v>
      </c>
      <c r="AZ95" s="45" t="s">
        <v>504</v>
      </c>
      <c r="BA95" s="41" t="s">
        <v>511</v>
      </c>
      <c r="BC95" s="42">
        <f>AW95+AX95</f>
        <v>0</v>
      </c>
      <c r="BD95" s="42">
        <f>I95/(100-BE95)*100</f>
        <v>0</v>
      </c>
      <c r="BE95" s="42">
        <v>0</v>
      </c>
      <c r="BF95" s="42">
        <f>95</f>
        <v>95</v>
      </c>
      <c r="BH95" s="24">
        <f>H95*AO95</f>
        <v>0</v>
      </c>
      <c r="BI95" s="24">
        <f>H95*AP95</f>
        <v>0</v>
      </c>
      <c r="BJ95" s="24">
        <f>H95*I95</f>
        <v>0</v>
      </c>
      <c r="BK95" s="24" t="s">
        <v>516</v>
      </c>
      <c r="BL95" s="42">
        <v>64</v>
      </c>
    </row>
    <row r="96" spans="1:64" x14ac:dyDescent="0.2">
      <c r="A96" s="5"/>
      <c r="C96" s="19" t="s">
        <v>7</v>
      </c>
      <c r="F96" s="20" t="s">
        <v>400</v>
      </c>
      <c r="H96" s="68">
        <v>1</v>
      </c>
      <c r="M96" s="36"/>
      <c r="N96" s="5"/>
    </row>
    <row r="97" spans="1:64" x14ac:dyDescent="0.2">
      <c r="A97" s="6"/>
      <c r="B97" s="16" t="s">
        <v>104</v>
      </c>
      <c r="C97" s="97" t="s">
        <v>229</v>
      </c>
      <c r="D97" s="98"/>
      <c r="E97" s="98"/>
      <c r="F97" s="98"/>
      <c r="G97" s="22" t="s">
        <v>6</v>
      </c>
      <c r="H97" s="22" t="s">
        <v>6</v>
      </c>
      <c r="I97" s="22" t="s">
        <v>6</v>
      </c>
      <c r="J97" s="48">
        <f>SUM(J98:J101)</f>
        <v>0</v>
      </c>
      <c r="K97" s="48">
        <f>SUM(K98:K101)</f>
        <v>0</v>
      </c>
      <c r="L97" s="48">
        <f>SUM(L98:L101)</f>
        <v>0</v>
      </c>
      <c r="M97" s="37"/>
      <c r="N97" s="5"/>
      <c r="AI97" s="41"/>
      <c r="AS97" s="48">
        <f>SUM(AJ98:AJ101)</f>
        <v>0</v>
      </c>
      <c r="AT97" s="48">
        <f>SUM(AK98:AK101)</f>
        <v>0</v>
      </c>
      <c r="AU97" s="48">
        <f>SUM(AL98:AL101)</f>
        <v>0</v>
      </c>
    </row>
    <row r="98" spans="1:64" x14ac:dyDescent="0.2">
      <c r="A98" s="4" t="s">
        <v>28</v>
      </c>
      <c r="B98" s="14" t="s">
        <v>105</v>
      </c>
      <c r="C98" s="92" t="s">
        <v>230</v>
      </c>
      <c r="D98" s="93"/>
      <c r="E98" s="93"/>
      <c r="F98" s="93"/>
      <c r="G98" s="14" t="s">
        <v>453</v>
      </c>
      <c r="H98" s="67">
        <v>238.32</v>
      </c>
      <c r="I98" s="24">
        <v>0</v>
      </c>
      <c r="J98" s="24">
        <f>H98*AO98</f>
        <v>0</v>
      </c>
      <c r="K98" s="24">
        <f>H98*AP98</f>
        <v>0</v>
      </c>
      <c r="L98" s="24">
        <f>H98*I98</f>
        <v>0</v>
      </c>
      <c r="M98" s="35" t="s">
        <v>562</v>
      </c>
      <c r="N98" s="5"/>
      <c r="Z98" s="42">
        <f>IF(AQ98="5",BJ98,0)</f>
        <v>0</v>
      </c>
      <c r="AB98" s="42">
        <f>IF(AQ98="1",BH98,0)</f>
        <v>0</v>
      </c>
      <c r="AC98" s="42">
        <f>IF(AQ98="1",BI98,0)</f>
        <v>0</v>
      </c>
      <c r="AD98" s="42">
        <f>IF(AQ98="7",BH98,0)</f>
        <v>0</v>
      </c>
      <c r="AE98" s="42">
        <f>IF(AQ98="7",BI98,0)</f>
        <v>0</v>
      </c>
      <c r="AF98" s="42">
        <f>IF(AQ98="2",BH98,0)</f>
        <v>0</v>
      </c>
      <c r="AG98" s="42">
        <f>IF(AQ98="2",BI98,0)</f>
        <v>0</v>
      </c>
      <c r="AH98" s="42">
        <f>IF(AQ98="0",BJ98,0)</f>
        <v>0</v>
      </c>
      <c r="AI98" s="41"/>
      <c r="AJ98" s="24">
        <f>IF(AN98=0,L98,0)</f>
        <v>0</v>
      </c>
      <c r="AK98" s="24">
        <f>IF(AN98=15,L98,0)</f>
        <v>0</v>
      </c>
      <c r="AL98" s="24">
        <f>IF(AN98=21,L98,0)</f>
        <v>0</v>
      </c>
      <c r="AN98" s="42">
        <v>21</v>
      </c>
      <c r="AO98" s="42">
        <f>I98*0.545474285486763</f>
        <v>0</v>
      </c>
      <c r="AP98" s="42">
        <f>I98*(1-0.545474285486763)</f>
        <v>0</v>
      </c>
      <c r="AQ98" s="43" t="s">
        <v>13</v>
      </c>
      <c r="AV98" s="42">
        <f>AW98+AX98</f>
        <v>0</v>
      </c>
      <c r="AW98" s="42">
        <f>H98*AO98</f>
        <v>0</v>
      </c>
      <c r="AX98" s="42">
        <f>H98*AP98</f>
        <v>0</v>
      </c>
      <c r="AY98" s="45" t="s">
        <v>486</v>
      </c>
      <c r="AZ98" s="45" t="s">
        <v>505</v>
      </c>
      <c r="BA98" s="41" t="s">
        <v>511</v>
      </c>
      <c r="BC98" s="42">
        <f>AW98+AX98</f>
        <v>0</v>
      </c>
      <c r="BD98" s="42">
        <f>I98/(100-BE98)*100</f>
        <v>0</v>
      </c>
      <c r="BE98" s="42">
        <v>0</v>
      </c>
      <c r="BF98" s="42">
        <f>98</f>
        <v>98</v>
      </c>
      <c r="BH98" s="24">
        <f>H98*AO98</f>
        <v>0</v>
      </c>
      <c r="BI98" s="24">
        <f>H98*AP98</f>
        <v>0</v>
      </c>
      <c r="BJ98" s="24">
        <f>H98*I98</f>
        <v>0</v>
      </c>
      <c r="BK98" s="24" t="s">
        <v>516</v>
      </c>
      <c r="BL98" s="42">
        <v>711</v>
      </c>
    </row>
    <row r="99" spans="1:64" x14ac:dyDescent="0.2">
      <c r="A99" s="5"/>
      <c r="C99" s="19" t="s">
        <v>220</v>
      </c>
      <c r="F99" s="20" t="s">
        <v>397</v>
      </c>
      <c r="H99" s="68">
        <v>72.72</v>
      </c>
      <c r="M99" s="36"/>
      <c r="N99" s="5"/>
    </row>
    <row r="100" spans="1:64" x14ac:dyDescent="0.2">
      <c r="A100" s="5"/>
      <c r="C100" s="19" t="s">
        <v>231</v>
      </c>
      <c r="F100" s="20" t="s">
        <v>401</v>
      </c>
      <c r="H100" s="68">
        <v>165.6</v>
      </c>
      <c r="M100" s="36"/>
      <c r="N100" s="5"/>
    </row>
    <row r="101" spans="1:64" x14ac:dyDescent="0.2">
      <c r="A101" s="4" t="s">
        <v>29</v>
      </c>
      <c r="B101" s="14" t="s">
        <v>106</v>
      </c>
      <c r="C101" s="92" t="s">
        <v>232</v>
      </c>
      <c r="D101" s="93"/>
      <c r="E101" s="93"/>
      <c r="F101" s="93"/>
      <c r="G101" s="14" t="s">
        <v>455</v>
      </c>
      <c r="H101" s="67">
        <v>0.3</v>
      </c>
      <c r="I101" s="24">
        <v>0</v>
      </c>
      <c r="J101" s="24">
        <f>H101*AO101</f>
        <v>0</v>
      </c>
      <c r="K101" s="24">
        <f>H101*AP101</f>
        <v>0</v>
      </c>
      <c r="L101" s="24">
        <f>H101*I101</f>
        <v>0</v>
      </c>
      <c r="M101" s="35" t="s">
        <v>562</v>
      </c>
      <c r="N101" s="5"/>
      <c r="Z101" s="42">
        <f>IF(AQ101="5",BJ101,0)</f>
        <v>0</v>
      </c>
      <c r="AB101" s="42">
        <f>IF(AQ101="1",BH101,0)</f>
        <v>0</v>
      </c>
      <c r="AC101" s="42">
        <f>IF(AQ101="1",BI101,0)</f>
        <v>0</v>
      </c>
      <c r="AD101" s="42">
        <f>IF(AQ101="7",BH101,0)</f>
        <v>0</v>
      </c>
      <c r="AE101" s="42">
        <f>IF(AQ101="7",BI101,0)</f>
        <v>0</v>
      </c>
      <c r="AF101" s="42">
        <f>IF(AQ101="2",BH101,0)</f>
        <v>0</v>
      </c>
      <c r="AG101" s="42">
        <f>IF(AQ101="2",BI101,0)</f>
        <v>0</v>
      </c>
      <c r="AH101" s="42">
        <f>IF(AQ101="0",BJ101,0)</f>
        <v>0</v>
      </c>
      <c r="AI101" s="41"/>
      <c r="AJ101" s="24">
        <f>IF(AN101=0,L101,0)</f>
        <v>0</v>
      </c>
      <c r="AK101" s="24">
        <f>IF(AN101=15,L101,0)</f>
        <v>0</v>
      </c>
      <c r="AL101" s="24">
        <f>IF(AN101=21,L101,0)</f>
        <v>0</v>
      </c>
      <c r="AN101" s="42">
        <v>21</v>
      </c>
      <c r="AO101" s="42">
        <f>I101*0</f>
        <v>0</v>
      </c>
      <c r="AP101" s="42">
        <f>I101*(1-0)</f>
        <v>0</v>
      </c>
      <c r="AQ101" s="43" t="s">
        <v>11</v>
      </c>
      <c r="AV101" s="42">
        <f>AW101+AX101</f>
        <v>0</v>
      </c>
      <c r="AW101" s="42">
        <f>H101*AO101</f>
        <v>0</v>
      </c>
      <c r="AX101" s="42">
        <f>H101*AP101</f>
        <v>0</v>
      </c>
      <c r="AY101" s="45" t="s">
        <v>486</v>
      </c>
      <c r="AZ101" s="45" t="s">
        <v>505</v>
      </c>
      <c r="BA101" s="41" t="s">
        <v>511</v>
      </c>
      <c r="BC101" s="42">
        <f>AW101+AX101</f>
        <v>0</v>
      </c>
      <c r="BD101" s="42">
        <f>I101/(100-BE101)*100</f>
        <v>0</v>
      </c>
      <c r="BE101" s="42">
        <v>0</v>
      </c>
      <c r="BF101" s="42">
        <f>101</f>
        <v>101</v>
      </c>
      <c r="BH101" s="24">
        <f>H101*AO101</f>
        <v>0</v>
      </c>
      <c r="BI101" s="24">
        <f>H101*AP101</f>
        <v>0</v>
      </c>
      <c r="BJ101" s="24">
        <f>H101*I101</f>
        <v>0</v>
      </c>
      <c r="BK101" s="24" t="s">
        <v>516</v>
      </c>
      <c r="BL101" s="42">
        <v>711</v>
      </c>
    </row>
    <row r="102" spans="1:64" x14ac:dyDescent="0.2">
      <c r="A102" s="6"/>
      <c r="B102" s="16" t="s">
        <v>107</v>
      </c>
      <c r="C102" s="97" t="s">
        <v>233</v>
      </c>
      <c r="D102" s="98"/>
      <c r="E102" s="98"/>
      <c r="F102" s="98"/>
      <c r="G102" s="22" t="s">
        <v>6</v>
      </c>
      <c r="H102" s="22" t="s">
        <v>6</v>
      </c>
      <c r="I102" s="22" t="s">
        <v>6</v>
      </c>
      <c r="J102" s="48">
        <f>SUM(J103:J103)</f>
        <v>0</v>
      </c>
      <c r="K102" s="48">
        <f>SUM(K103:K103)</f>
        <v>0</v>
      </c>
      <c r="L102" s="48">
        <f>SUM(L103:L103)</f>
        <v>0</v>
      </c>
      <c r="M102" s="37"/>
      <c r="N102" s="5"/>
      <c r="AI102" s="41"/>
      <c r="AS102" s="48">
        <f>SUM(AJ103:AJ103)</f>
        <v>0</v>
      </c>
      <c r="AT102" s="48">
        <f>SUM(AK103:AK103)</f>
        <v>0</v>
      </c>
      <c r="AU102" s="48">
        <f>SUM(AL103:AL103)</f>
        <v>0</v>
      </c>
    </row>
    <row r="103" spans="1:64" x14ac:dyDescent="0.2">
      <c r="A103" s="4" t="s">
        <v>30</v>
      </c>
      <c r="B103" s="14" t="s">
        <v>108</v>
      </c>
      <c r="C103" s="92" t="s">
        <v>234</v>
      </c>
      <c r="D103" s="93"/>
      <c r="E103" s="93"/>
      <c r="F103" s="93"/>
      <c r="G103" s="14" t="s">
        <v>454</v>
      </c>
      <c r="H103" s="67">
        <v>1</v>
      </c>
      <c r="I103" s="24">
        <v>0</v>
      </c>
      <c r="J103" s="24">
        <f>H103*AO103</f>
        <v>0</v>
      </c>
      <c r="K103" s="24">
        <f>H103*AP103</f>
        <v>0</v>
      </c>
      <c r="L103" s="24">
        <f>H103*I103</f>
        <v>0</v>
      </c>
      <c r="M103" s="35"/>
      <c r="N103" s="5"/>
      <c r="Z103" s="42">
        <f>IF(AQ103="5",BJ103,0)</f>
        <v>0</v>
      </c>
      <c r="AB103" s="42">
        <f>IF(AQ103="1",BH103,0)</f>
        <v>0</v>
      </c>
      <c r="AC103" s="42">
        <f>IF(AQ103="1",BI103,0)</f>
        <v>0</v>
      </c>
      <c r="AD103" s="42">
        <f>IF(AQ103="7",BH103,0)</f>
        <v>0</v>
      </c>
      <c r="AE103" s="42">
        <f>IF(AQ103="7",BI103,0)</f>
        <v>0</v>
      </c>
      <c r="AF103" s="42">
        <f>IF(AQ103="2",BH103,0)</f>
        <v>0</v>
      </c>
      <c r="AG103" s="42">
        <f>IF(AQ103="2",BI103,0)</f>
        <v>0</v>
      </c>
      <c r="AH103" s="42">
        <f>IF(AQ103="0",BJ103,0)</f>
        <v>0</v>
      </c>
      <c r="AI103" s="41"/>
      <c r="AJ103" s="24">
        <f>IF(AN103=0,L103,0)</f>
        <v>0</v>
      </c>
      <c r="AK103" s="24">
        <f>IF(AN103=15,L103,0)</f>
        <v>0</v>
      </c>
      <c r="AL103" s="24">
        <f>IF(AN103=21,L103,0)</f>
        <v>0</v>
      </c>
      <c r="AN103" s="42">
        <v>21</v>
      </c>
      <c r="AO103" s="42">
        <f>I103*0</f>
        <v>0</v>
      </c>
      <c r="AP103" s="42">
        <f>I103*(1-0)</f>
        <v>0</v>
      </c>
      <c r="AQ103" s="43" t="s">
        <v>13</v>
      </c>
      <c r="AV103" s="42">
        <f>AW103+AX103</f>
        <v>0</v>
      </c>
      <c r="AW103" s="42">
        <f>H103*AO103</f>
        <v>0</v>
      </c>
      <c r="AX103" s="42">
        <f>H103*AP103</f>
        <v>0</v>
      </c>
      <c r="AY103" s="45" t="s">
        <v>487</v>
      </c>
      <c r="AZ103" s="45" t="s">
        <v>506</v>
      </c>
      <c r="BA103" s="41" t="s">
        <v>511</v>
      </c>
      <c r="BC103" s="42">
        <f>AW103+AX103</f>
        <v>0</v>
      </c>
      <c r="BD103" s="42">
        <f>I103/(100-BE103)*100</f>
        <v>0</v>
      </c>
      <c r="BE103" s="42">
        <v>0</v>
      </c>
      <c r="BF103" s="42">
        <f>103</f>
        <v>103</v>
      </c>
      <c r="BH103" s="24">
        <f>H103*AO103</f>
        <v>0</v>
      </c>
      <c r="BI103" s="24">
        <f>H103*AP103</f>
        <v>0</v>
      </c>
      <c r="BJ103" s="24">
        <f>H103*I103</f>
        <v>0</v>
      </c>
      <c r="BK103" s="24" t="s">
        <v>516</v>
      </c>
      <c r="BL103" s="42">
        <v>725</v>
      </c>
    </row>
    <row r="104" spans="1:64" ht="63.75" x14ac:dyDescent="0.2">
      <c r="A104" s="5"/>
      <c r="C104" s="71" t="s">
        <v>585</v>
      </c>
      <c r="D104" s="72"/>
      <c r="F104" s="73" t="s">
        <v>586</v>
      </c>
      <c r="H104" s="68">
        <v>1</v>
      </c>
      <c r="M104" s="36"/>
      <c r="N104" s="5"/>
    </row>
    <row r="105" spans="1:64" x14ac:dyDescent="0.2">
      <c r="A105" s="6"/>
      <c r="B105" s="16" t="s">
        <v>109</v>
      </c>
      <c r="C105" s="97" t="s">
        <v>235</v>
      </c>
      <c r="D105" s="98"/>
      <c r="E105" s="98"/>
      <c r="F105" s="98"/>
      <c r="G105" s="22" t="s">
        <v>6</v>
      </c>
      <c r="H105" s="22" t="s">
        <v>6</v>
      </c>
      <c r="I105" s="22" t="s">
        <v>6</v>
      </c>
      <c r="J105" s="48">
        <f>SUM(J106:J106)</f>
        <v>0</v>
      </c>
      <c r="K105" s="48">
        <f>SUM(K106:K106)</f>
        <v>0</v>
      </c>
      <c r="L105" s="48">
        <f>SUM(L106:L106)</f>
        <v>0</v>
      </c>
      <c r="M105" s="37"/>
      <c r="N105" s="5"/>
      <c r="AI105" s="41"/>
      <c r="AS105" s="48">
        <f>SUM(AJ106:AJ106)</f>
        <v>0</v>
      </c>
      <c r="AT105" s="48">
        <f>SUM(AK106:AK106)</f>
        <v>0</v>
      </c>
      <c r="AU105" s="48">
        <f>SUM(AL106:AL106)</f>
        <v>0</v>
      </c>
    </row>
    <row r="106" spans="1:64" x14ac:dyDescent="0.2">
      <c r="A106" s="4" t="s">
        <v>31</v>
      </c>
      <c r="B106" s="14" t="s">
        <v>110</v>
      </c>
      <c r="C106" s="92" t="s">
        <v>236</v>
      </c>
      <c r="D106" s="93"/>
      <c r="E106" s="93"/>
      <c r="F106" s="93"/>
      <c r="G106" s="14" t="s">
        <v>583</v>
      </c>
      <c r="H106" s="67">
        <v>24</v>
      </c>
      <c r="I106" s="24">
        <v>0</v>
      </c>
      <c r="J106" s="24">
        <f>H106*AO106</f>
        <v>0</v>
      </c>
      <c r="K106" s="24">
        <f>H106*AP106</f>
        <v>0</v>
      </c>
      <c r="L106" s="24">
        <f>H106*I106</f>
        <v>0</v>
      </c>
      <c r="M106" s="35"/>
      <c r="N106" s="5"/>
      <c r="Z106" s="42">
        <f>IF(AQ106="5",BJ106,0)</f>
        <v>0</v>
      </c>
      <c r="AB106" s="42">
        <f>IF(AQ106="1",BH106,0)</f>
        <v>0</v>
      </c>
      <c r="AC106" s="42">
        <f>IF(AQ106="1",BI106,0)</f>
        <v>0</v>
      </c>
      <c r="AD106" s="42">
        <f>IF(AQ106="7",BH106,0)</f>
        <v>0</v>
      </c>
      <c r="AE106" s="42">
        <f>IF(AQ106="7",BI106,0)</f>
        <v>0</v>
      </c>
      <c r="AF106" s="42">
        <f>IF(AQ106="2",BH106,0)</f>
        <v>0</v>
      </c>
      <c r="AG106" s="42">
        <f>IF(AQ106="2",BI106,0)</f>
        <v>0</v>
      </c>
      <c r="AH106" s="42">
        <f>IF(AQ106="0",BJ106,0)</f>
        <v>0</v>
      </c>
      <c r="AI106" s="41"/>
      <c r="AJ106" s="24">
        <f>IF(AN106=0,L106,0)</f>
        <v>0</v>
      </c>
      <c r="AK106" s="24">
        <f>IF(AN106=15,L106,0)</f>
        <v>0</v>
      </c>
      <c r="AL106" s="24">
        <f>IF(AN106=21,L106,0)</f>
        <v>0</v>
      </c>
      <c r="AN106" s="42">
        <v>21</v>
      </c>
      <c r="AO106" s="42">
        <f>I106*0</f>
        <v>0</v>
      </c>
      <c r="AP106" s="42">
        <f>I106*(1-0)</f>
        <v>0</v>
      </c>
      <c r="AQ106" s="43" t="s">
        <v>13</v>
      </c>
      <c r="AV106" s="42">
        <f>AW106+AX106</f>
        <v>0</v>
      </c>
      <c r="AW106" s="42">
        <f>H106*AO106</f>
        <v>0</v>
      </c>
      <c r="AX106" s="42">
        <f>H106*AP106</f>
        <v>0</v>
      </c>
      <c r="AY106" s="45" t="s">
        <v>488</v>
      </c>
      <c r="AZ106" s="45" t="s">
        <v>507</v>
      </c>
      <c r="BA106" s="41" t="s">
        <v>511</v>
      </c>
      <c r="BC106" s="42">
        <f>AW106+AX106</f>
        <v>0</v>
      </c>
      <c r="BD106" s="42">
        <f>I106/(100-BE106)*100</f>
        <v>0</v>
      </c>
      <c r="BE106" s="42">
        <v>0</v>
      </c>
      <c r="BF106" s="42">
        <f>106</f>
        <v>106</v>
      </c>
      <c r="BH106" s="24">
        <f>H106*AO106</f>
        <v>0</v>
      </c>
      <c r="BI106" s="24">
        <f>H106*AP106</f>
        <v>0</v>
      </c>
      <c r="BJ106" s="24">
        <f>H106*I106</f>
        <v>0</v>
      </c>
      <c r="BK106" s="24" t="s">
        <v>516</v>
      </c>
      <c r="BL106" s="42">
        <v>766</v>
      </c>
    </row>
    <row r="107" spans="1:64" ht="293.25" x14ac:dyDescent="0.2">
      <c r="A107" s="5"/>
      <c r="C107" s="71" t="s">
        <v>587</v>
      </c>
      <c r="F107" s="20"/>
      <c r="H107" s="68">
        <v>24</v>
      </c>
      <c r="M107" s="36"/>
      <c r="N107" s="5"/>
    </row>
    <row r="108" spans="1:64" x14ac:dyDescent="0.2">
      <c r="A108" s="6"/>
      <c r="B108" s="16" t="s">
        <v>111</v>
      </c>
      <c r="C108" s="97" t="s">
        <v>237</v>
      </c>
      <c r="D108" s="98"/>
      <c r="E108" s="98"/>
      <c r="F108" s="98"/>
      <c r="G108" s="22" t="s">
        <v>6</v>
      </c>
      <c r="H108" s="22" t="s">
        <v>6</v>
      </c>
      <c r="I108" s="22" t="s">
        <v>6</v>
      </c>
      <c r="J108" s="48">
        <f>SUM(J109:J121)</f>
        <v>0</v>
      </c>
      <c r="K108" s="48">
        <f>SUM(K109:K121)</f>
        <v>0</v>
      </c>
      <c r="L108" s="48">
        <f>SUM(L109:L121)</f>
        <v>0</v>
      </c>
      <c r="M108" s="37"/>
      <c r="N108" s="5"/>
      <c r="AI108" s="41"/>
      <c r="AS108" s="48">
        <f>SUM(AJ109:AJ121)</f>
        <v>0</v>
      </c>
      <c r="AT108" s="48">
        <f>SUM(AK109:AK121)</f>
        <v>0</v>
      </c>
      <c r="AU108" s="48">
        <f>SUM(AL109:AL121)</f>
        <v>0</v>
      </c>
    </row>
    <row r="109" spans="1:64" x14ac:dyDescent="0.2">
      <c r="A109" s="4" t="s">
        <v>32</v>
      </c>
      <c r="B109" s="14" t="s">
        <v>112</v>
      </c>
      <c r="C109" s="92" t="s">
        <v>238</v>
      </c>
      <c r="D109" s="93"/>
      <c r="E109" s="93"/>
      <c r="F109" s="93"/>
      <c r="G109" s="14" t="s">
        <v>453</v>
      </c>
      <c r="H109" s="67">
        <v>72.72</v>
      </c>
      <c r="I109" s="24">
        <v>0</v>
      </c>
      <c r="J109" s="24">
        <f>H109*AO109</f>
        <v>0</v>
      </c>
      <c r="K109" s="24">
        <f>H109*AP109</f>
        <v>0</v>
      </c>
      <c r="L109" s="24">
        <f>H109*I109</f>
        <v>0</v>
      </c>
      <c r="M109" s="35" t="s">
        <v>562</v>
      </c>
      <c r="N109" s="5"/>
      <c r="Z109" s="42">
        <f>IF(AQ109="5",BJ109,0)</f>
        <v>0</v>
      </c>
      <c r="AB109" s="42">
        <f>IF(AQ109="1",BH109,0)</f>
        <v>0</v>
      </c>
      <c r="AC109" s="42">
        <f>IF(AQ109="1",BI109,0)</f>
        <v>0</v>
      </c>
      <c r="AD109" s="42">
        <f>IF(AQ109="7",BH109,0)</f>
        <v>0</v>
      </c>
      <c r="AE109" s="42">
        <f>IF(AQ109="7",BI109,0)</f>
        <v>0</v>
      </c>
      <c r="AF109" s="42">
        <f>IF(AQ109="2",BH109,0)</f>
        <v>0</v>
      </c>
      <c r="AG109" s="42">
        <f>IF(AQ109="2",BI109,0)</f>
        <v>0</v>
      </c>
      <c r="AH109" s="42">
        <f>IF(AQ109="0",BJ109,0)</f>
        <v>0</v>
      </c>
      <c r="AI109" s="41"/>
      <c r="AJ109" s="24">
        <f>IF(AN109=0,L109,0)</f>
        <v>0</v>
      </c>
      <c r="AK109" s="24">
        <f>IF(AN109=15,L109,0)</f>
        <v>0</v>
      </c>
      <c r="AL109" s="24">
        <f>IF(AN109=21,L109,0)</f>
        <v>0</v>
      </c>
      <c r="AN109" s="42">
        <v>21</v>
      </c>
      <c r="AO109" s="42">
        <f>I109*0.506650283652715</f>
        <v>0</v>
      </c>
      <c r="AP109" s="42">
        <f>I109*(1-0.506650283652715)</f>
        <v>0</v>
      </c>
      <c r="AQ109" s="43" t="s">
        <v>13</v>
      </c>
      <c r="AV109" s="42">
        <f>AW109+AX109</f>
        <v>0</v>
      </c>
      <c r="AW109" s="42">
        <f>H109*AO109</f>
        <v>0</v>
      </c>
      <c r="AX109" s="42">
        <f>H109*AP109</f>
        <v>0</v>
      </c>
      <c r="AY109" s="45" t="s">
        <v>489</v>
      </c>
      <c r="AZ109" s="45" t="s">
        <v>508</v>
      </c>
      <c r="BA109" s="41" t="s">
        <v>511</v>
      </c>
      <c r="BC109" s="42">
        <f>AW109+AX109</f>
        <v>0</v>
      </c>
      <c r="BD109" s="42">
        <f>I109/(100-BE109)*100</f>
        <v>0</v>
      </c>
      <c r="BE109" s="42">
        <v>0</v>
      </c>
      <c r="BF109" s="42">
        <f>109</f>
        <v>109</v>
      </c>
      <c r="BH109" s="24">
        <f>H109*AO109</f>
        <v>0</v>
      </c>
      <c r="BI109" s="24">
        <f>H109*AP109</f>
        <v>0</v>
      </c>
      <c r="BJ109" s="24">
        <f>H109*I109</f>
        <v>0</v>
      </c>
      <c r="BK109" s="24" t="s">
        <v>516</v>
      </c>
      <c r="BL109" s="42">
        <v>771</v>
      </c>
    </row>
    <row r="110" spans="1:64" x14ac:dyDescent="0.2">
      <c r="A110" s="5"/>
      <c r="C110" s="19" t="s">
        <v>220</v>
      </c>
      <c r="F110" s="20"/>
      <c r="H110" s="68">
        <v>72.72</v>
      </c>
      <c r="M110" s="36"/>
      <c r="N110" s="5"/>
    </row>
    <row r="111" spans="1:64" x14ac:dyDescent="0.2">
      <c r="A111" s="4" t="s">
        <v>33</v>
      </c>
      <c r="B111" s="14" t="s">
        <v>113</v>
      </c>
      <c r="C111" s="92" t="s">
        <v>239</v>
      </c>
      <c r="D111" s="93"/>
      <c r="E111" s="93"/>
      <c r="F111" s="93"/>
      <c r="G111" s="14" t="s">
        <v>456</v>
      </c>
      <c r="H111" s="67">
        <v>10.199999999999999</v>
      </c>
      <c r="I111" s="24">
        <v>0</v>
      </c>
      <c r="J111" s="24">
        <f>H111*AO111</f>
        <v>0</v>
      </c>
      <c r="K111" s="24">
        <f>H111*AP111</f>
        <v>0</v>
      </c>
      <c r="L111" s="24">
        <f>H111*I111</f>
        <v>0</v>
      </c>
      <c r="M111" s="35" t="s">
        <v>562</v>
      </c>
      <c r="N111" s="5"/>
      <c r="Z111" s="42">
        <f>IF(AQ111="5",BJ111,0)</f>
        <v>0</v>
      </c>
      <c r="AB111" s="42">
        <f>IF(AQ111="1",BH111,0)</f>
        <v>0</v>
      </c>
      <c r="AC111" s="42">
        <f>IF(AQ111="1",BI111,0)</f>
        <v>0</v>
      </c>
      <c r="AD111" s="42">
        <f>IF(AQ111="7",BH111,0)</f>
        <v>0</v>
      </c>
      <c r="AE111" s="42">
        <f>IF(AQ111="7",BI111,0)</f>
        <v>0</v>
      </c>
      <c r="AF111" s="42">
        <f>IF(AQ111="2",BH111,0)</f>
        <v>0</v>
      </c>
      <c r="AG111" s="42">
        <f>IF(AQ111="2",BI111,0)</f>
        <v>0</v>
      </c>
      <c r="AH111" s="42">
        <f>IF(AQ111="0",BJ111,0)</f>
        <v>0</v>
      </c>
      <c r="AI111" s="41"/>
      <c r="AJ111" s="24">
        <f>IF(AN111=0,L111,0)</f>
        <v>0</v>
      </c>
      <c r="AK111" s="24">
        <f>IF(AN111=15,L111,0)</f>
        <v>0</v>
      </c>
      <c r="AL111" s="24">
        <f>IF(AN111=21,L111,0)</f>
        <v>0</v>
      </c>
      <c r="AN111" s="42">
        <v>21</v>
      </c>
      <c r="AO111" s="42">
        <f>I111*0.0793291559159602</f>
        <v>0</v>
      </c>
      <c r="AP111" s="42">
        <f>I111*(1-0.0793291559159602)</f>
        <v>0</v>
      </c>
      <c r="AQ111" s="43" t="s">
        <v>13</v>
      </c>
      <c r="AV111" s="42">
        <f>AW111+AX111</f>
        <v>0</v>
      </c>
      <c r="AW111" s="42">
        <f>H111*AO111</f>
        <v>0</v>
      </c>
      <c r="AX111" s="42">
        <f>H111*AP111</f>
        <v>0</v>
      </c>
      <c r="AY111" s="45" t="s">
        <v>489</v>
      </c>
      <c r="AZ111" s="45" t="s">
        <v>508</v>
      </c>
      <c r="BA111" s="41" t="s">
        <v>511</v>
      </c>
      <c r="BC111" s="42">
        <f>AW111+AX111</f>
        <v>0</v>
      </c>
      <c r="BD111" s="42">
        <f>I111/(100-BE111)*100</f>
        <v>0</v>
      </c>
      <c r="BE111" s="42">
        <v>0</v>
      </c>
      <c r="BF111" s="42">
        <f>111</f>
        <v>111</v>
      </c>
      <c r="BH111" s="24">
        <f>H111*AO111</f>
        <v>0</v>
      </c>
      <c r="BI111" s="24">
        <f>H111*AP111</f>
        <v>0</v>
      </c>
      <c r="BJ111" s="24">
        <f>H111*I111</f>
        <v>0</v>
      </c>
      <c r="BK111" s="24" t="s">
        <v>516</v>
      </c>
      <c r="BL111" s="42">
        <v>771</v>
      </c>
    </row>
    <row r="112" spans="1:64" x14ac:dyDescent="0.2">
      <c r="A112" s="5"/>
      <c r="C112" s="19" t="s">
        <v>240</v>
      </c>
      <c r="F112" s="20" t="s">
        <v>399</v>
      </c>
      <c r="H112" s="68">
        <v>10.199999999999999</v>
      </c>
      <c r="M112" s="36"/>
      <c r="N112" s="5"/>
    </row>
    <row r="113" spans="1:64" x14ac:dyDescent="0.2">
      <c r="A113" s="7" t="s">
        <v>34</v>
      </c>
      <c r="B113" s="17" t="s">
        <v>114</v>
      </c>
      <c r="C113" s="111" t="s">
        <v>563</v>
      </c>
      <c r="D113" s="112"/>
      <c r="E113" s="112"/>
      <c r="F113" s="112"/>
      <c r="G113" s="17" t="s">
        <v>452</v>
      </c>
      <c r="H113" s="69">
        <v>35.700000000000003</v>
      </c>
      <c r="I113" s="25">
        <v>0</v>
      </c>
      <c r="J113" s="25">
        <f>H113*AO113</f>
        <v>0</v>
      </c>
      <c r="K113" s="25">
        <f>H113*AP113</f>
        <v>0</v>
      </c>
      <c r="L113" s="25">
        <f>H113*I113</f>
        <v>0</v>
      </c>
      <c r="M113" s="38" t="s">
        <v>562</v>
      </c>
      <c r="N113" s="5"/>
      <c r="Z113" s="42">
        <f>IF(AQ113="5",BJ113,0)</f>
        <v>0</v>
      </c>
      <c r="AB113" s="42">
        <f>IF(AQ113="1",BH113,0)</f>
        <v>0</v>
      </c>
      <c r="AC113" s="42">
        <f>IF(AQ113="1",BI113,0)</f>
        <v>0</v>
      </c>
      <c r="AD113" s="42">
        <f>IF(AQ113="7",BH113,0)</f>
        <v>0</v>
      </c>
      <c r="AE113" s="42">
        <f>IF(AQ113="7",BI113,0)</f>
        <v>0</v>
      </c>
      <c r="AF113" s="42">
        <f>IF(AQ113="2",BH113,0)</f>
        <v>0</v>
      </c>
      <c r="AG113" s="42">
        <f>IF(AQ113="2",BI113,0)</f>
        <v>0</v>
      </c>
      <c r="AH113" s="42">
        <f>IF(AQ113="0",BJ113,0)</f>
        <v>0</v>
      </c>
      <c r="AI113" s="41"/>
      <c r="AJ113" s="25">
        <f>IF(AN113=0,L113,0)</f>
        <v>0</v>
      </c>
      <c r="AK113" s="25">
        <f>IF(AN113=15,L113,0)</f>
        <v>0</v>
      </c>
      <c r="AL113" s="25">
        <f>IF(AN113=21,L113,0)</f>
        <v>0</v>
      </c>
      <c r="AN113" s="42">
        <v>21</v>
      </c>
      <c r="AO113" s="42">
        <f>I113*1</f>
        <v>0</v>
      </c>
      <c r="AP113" s="42">
        <f>I113*(1-1)</f>
        <v>0</v>
      </c>
      <c r="AQ113" s="44" t="s">
        <v>13</v>
      </c>
      <c r="AV113" s="42">
        <f>AW113+AX113</f>
        <v>0</v>
      </c>
      <c r="AW113" s="42">
        <f>H113*AO113</f>
        <v>0</v>
      </c>
      <c r="AX113" s="42">
        <f>H113*AP113</f>
        <v>0</v>
      </c>
      <c r="AY113" s="45" t="s">
        <v>489</v>
      </c>
      <c r="AZ113" s="45" t="s">
        <v>508</v>
      </c>
      <c r="BA113" s="41" t="s">
        <v>511</v>
      </c>
      <c r="BC113" s="42">
        <f>AW113+AX113</f>
        <v>0</v>
      </c>
      <c r="BD113" s="42">
        <f>I113/(100-BE113)*100</f>
        <v>0</v>
      </c>
      <c r="BE113" s="42">
        <v>0</v>
      </c>
      <c r="BF113" s="42">
        <f>113</f>
        <v>113</v>
      </c>
      <c r="BH113" s="25">
        <f>H113*AO113</f>
        <v>0</v>
      </c>
      <c r="BI113" s="25">
        <f>H113*AP113</f>
        <v>0</v>
      </c>
      <c r="BJ113" s="25">
        <f>H113*I113</f>
        <v>0</v>
      </c>
      <c r="BK113" s="25" t="s">
        <v>161</v>
      </c>
      <c r="BL113" s="42">
        <v>771</v>
      </c>
    </row>
    <row r="114" spans="1:64" x14ac:dyDescent="0.2">
      <c r="A114" s="5"/>
      <c r="C114" s="19" t="s">
        <v>241</v>
      </c>
      <c r="F114" s="20"/>
      <c r="H114" s="68">
        <v>34</v>
      </c>
      <c r="M114" s="36"/>
      <c r="N114" s="5"/>
    </row>
    <row r="115" spans="1:64" x14ac:dyDescent="0.2">
      <c r="A115" s="5"/>
      <c r="C115" s="19" t="s">
        <v>242</v>
      </c>
      <c r="F115" s="20"/>
      <c r="H115" s="68">
        <v>1.7</v>
      </c>
      <c r="M115" s="36"/>
      <c r="N115" s="5"/>
    </row>
    <row r="116" spans="1:64" x14ac:dyDescent="0.2">
      <c r="A116" s="4" t="s">
        <v>35</v>
      </c>
      <c r="B116" s="14" t="s">
        <v>115</v>
      </c>
      <c r="C116" s="92" t="s">
        <v>243</v>
      </c>
      <c r="D116" s="93"/>
      <c r="E116" s="93"/>
      <c r="F116" s="93"/>
      <c r="G116" s="14" t="s">
        <v>453</v>
      </c>
      <c r="H116" s="67">
        <v>72.72</v>
      </c>
      <c r="I116" s="24">
        <v>0</v>
      </c>
      <c r="J116" s="24">
        <f>H116*AO116</f>
        <v>0</v>
      </c>
      <c r="K116" s="24">
        <f>H116*AP116</f>
        <v>0</v>
      </c>
      <c r="L116" s="24">
        <f>H116*I116</f>
        <v>0</v>
      </c>
      <c r="M116" s="35" t="s">
        <v>562</v>
      </c>
      <c r="N116" s="5"/>
      <c r="Z116" s="42">
        <f>IF(AQ116="5",BJ116,0)</f>
        <v>0</v>
      </c>
      <c r="AB116" s="42">
        <f>IF(AQ116="1",BH116,0)</f>
        <v>0</v>
      </c>
      <c r="AC116" s="42">
        <f>IF(AQ116="1",BI116,0)</f>
        <v>0</v>
      </c>
      <c r="AD116" s="42">
        <f>IF(AQ116="7",BH116,0)</f>
        <v>0</v>
      </c>
      <c r="AE116" s="42">
        <f>IF(AQ116="7",BI116,0)</f>
        <v>0</v>
      </c>
      <c r="AF116" s="42">
        <f>IF(AQ116="2",BH116,0)</f>
        <v>0</v>
      </c>
      <c r="AG116" s="42">
        <f>IF(AQ116="2",BI116,0)</f>
        <v>0</v>
      </c>
      <c r="AH116" s="42">
        <f>IF(AQ116="0",BJ116,0)</f>
        <v>0</v>
      </c>
      <c r="AI116" s="41"/>
      <c r="AJ116" s="24">
        <f>IF(AN116=0,L116,0)</f>
        <v>0</v>
      </c>
      <c r="AK116" s="24">
        <f>IF(AN116=15,L116,0)</f>
        <v>0</v>
      </c>
      <c r="AL116" s="24">
        <f>IF(AN116=21,L116,0)</f>
        <v>0</v>
      </c>
      <c r="AN116" s="42">
        <v>21</v>
      </c>
      <c r="AO116" s="42">
        <f>I116*0.111366078158904</f>
        <v>0</v>
      </c>
      <c r="AP116" s="42">
        <f>I116*(1-0.111366078158904)</f>
        <v>0</v>
      </c>
      <c r="AQ116" s="43" t="s">
        <v>13</v>
      </c>
      <c r="AV116" s="42">
        <f>AW116+AX116</f>
        <v>0</v>
      </c>
      <c r="AW116" s="42">
        <f>H116*AO116</f>
        <v>0</v>
      </c>
      <c r="AX116" s="42">
        <f>H116*AP116</f>
        <v>0</v>
      </c>
      <c r="AY116" s="45" t="s">
        <v>489</v>
      </c>
      <c r="AZ116" s="45" t="s">
        <v>508</v>
      </c>
      <c r="BA116" s="41" t="s">
        <v>511</v>
      </c>
      <c r="BC116" s="42">
        <f>AW116+AX116</f>
        <v>0</v>
      </c>
      <c r="BD116" s="42">
        <f>I116/(100-BE116)*100</f>
        <v>0</v>
      </c>
      <c r="BE116" s="42">
        <v>0</v>
      </c>
      <c r="BF116" s="42">
        <f>116</f>
        <v>116</v>
      </c>
      <c r="BH116" s="24">
        <f>H116*AO116</f>
        <v>0</v>
      </c>
      <c r="BI116" s="24">
        <f>H116*AP116</f>
        <v>0</v>
      </c>
      <c r="BJ116" s="24">
        <f>H116*I116</f>
        <v>0</v>
      </c>
      <c r="BK116" s="24" t="s">
        <v>516</v>
      </c>
      <c r="BL116" s="42">
        <v>771</v>
      </c>
    </row>
    <row r="117" spans="1:64" x14ac:dyDescent="0.2">
      <c r="A117" s="5"/>
      <c r="C117" s="19" t="s">
        <v>220</v>
      </c>
      <c r="F117" s="20"/>
      <c r="H117" s="68">
        <v>72.72</v>
      </c>
      <c r="M117" s="36"/>
      <c r="N117" s="5"/>
    </row>
    <row r="118" spans="1:64" x14ac:dyDescent="0.2">
      <c r="A118" s="7" t="s">
        <v>36</v>
      </c>
      <c r="B118" s="17" t="s">
        <v>116</v>
      </c>
      <c r="C118" s="111" t="s">
        <v>564</v>
      </c>
      <c r="D118" s="112"/>
      <c r="E118" s="112"/>
      <c r="F118" s="112"/>
      <c r="G118" s="17" t="s">
        <v>453</v>
      </c>
      <c r="H118" s="69">
        <v>76.355999999999995</v>
      </c>
      <c r="I118" s="25">
        <v>0</v>
      </c>
      <c r="J118" s="25">
        <f>H118*AO118</f>
        <v>0</v>
      </c>
      <c r="K118" s="25">
        <f>H118*AP118</f>
        <v>0</v>
      </c>
      <c r="L118" s="25">
        <f>H118*I118</f>
        <v>0</v>
      </c>
      <c r="M118" s="38" t="s">
        <v>562</v>
      </c>
      <c r="N118" s="5"/>
      <c r="Z118" s="42">
        <f>IF(AQ118="5",BJ118,0)</f>
        <v>0</v>
      </c>
      <c r="AB118" s="42">
        <f>IF(AQ118="1",BH118,0)</f>
        <v>0</v>
      </c>
      <c r="AC118" s="42">
        <f>IF(AQ118="1",BI118,0)</f>
        <v>0</v>
      </c>
      <c r="AD118" s="42">
        <f>IF(AQ118="7",BH118,0)</f>
        <v>0</v>
      </c>
      <c r="AE118" s="42">
        <f>IF(AQ118="7",BI118,0)</f>
        <v>0</v>
      </c>
      <c r="AF118" s="42">
        <f>IF(AQ118="2",BH118,0)</f>
        <v>0</v>
      </c>
      <c r="AG118" s="42">
        <f>IF(AQ118="2",BI118,0)</f>
        <v>0</v>
      </c>
      <c r="AH118" s="42">
        <f>IF(AQ118="0",BJ118,0)</f>
        <v>0</v>
      </c>
      <c r="AI118" s="41"/>
      <c r="AJ118" s="25">
        <f>IF(AN118=0,L118,0)</f>
        <v>0</v>
      </c>
      <c r="AK118" s="25">
        <f>IF(AN118=15,L118,0)</f>
        <v>0</v>
      </c>
      <c r="AL118" s="25">
        <f>IF(AN118=21,L118,0)</f>
        <v>0</v>
      </c>
      <c r="AN118" s="42">
        <v>21</v>
      </c>
      <c r="AO118" s="42">
        <f>I118*1</f>
        <v>0</v>
      </c>
      <c r="AP118" s="42">
        <f>I118*(1-1)</f>
        <v>0</v>
      </c>
      <c r="AQ118" s="44" t="s">
        <v>13</v>
      </c>
      <c r="AV118" s="42">
        <f>AW118+AX118</f>
        <v>0</v>
      </c>
      <c r="AW118" s="42">
        <f>H118*AO118</f>
        <v>0</v>
      </c>
      <c r="AX118" s="42">
        <f>H118*AP118</f>
        <v>0</v>
      </c>
      <c r="AY118" s="45" t="s">
        <v>489</v>
      </c>
      <c r="AZ118" s="45" t="s">
        <v>508</v>
      </c>
      <c r="BA118" s="41" t="s">
        <v>511</v>
      </c>
      <c r="BC118" s="42">
        <f>AW118+AX118</f>
        <v>0</v>
      </c>
      <c r="BD118" s="42">
        <f>I118/(100-BE118)*100</f>
        <v>0</v>
      </c>
      <c r="BE118" s="42">
        <v>0</v>
      </c>
      <c r="BF118" s="42">
        <f>118</f>
        <v>118</v>
      </c>
      <c r="BH118" s="25">
        <f>H118*AO118</f>
        <v>0</v>
      </c>
      <c r="BI118" s="25">
        <f>H118*AP118</f>
        <v>0</v>
      </c>
      <c r="BJ118" s="25">
        <f>H118*I118</f>
        <v>0</v>
      </c>
      <c r="BK118" s="25" t="s">
        <v>161</v>
      </c>
      <c r="BL118" s="42">
        <v>771</v>
      </c>
    </row>
    <row r="119" spans="1:64" x14ac:dyDescent="0.2">
      <c r="A119" s="5"/>
      <c r="C119" s="19" t="s">
        <v>220</v>
      </c>
      <c r="F119" s="20"/>
      <c r="H119" s="68">
        <v>72.72</v>
      </c>
      <c r="M119" s="36"/>
      <c r="N119" s="5"/>
    </row>
    <row r="120" spans="1:64" x14ac:dyDescent="0.2">
      <c r="A120" s="5"/>
      <c r="C120" s="19" t="s">
        <v>244</v>
      </c>
      <c r="F120" s="20"/>
      <c r="H120" s="68">
        <v>3.6360000000000001</v>
      </c>
      <c r="M120" s="36"/>
      <c r="N120" s="5"/>
    </row>
    <row r="121" spans="1:64" x14ac:dyDescent="0.2">
      <c r="A121" s="4" t="s">
        <v>37</v>
      </c>
      <c r="B121" s="14" t="s">
        <v>117</v>
      </c>
      <c r="C121" s="92" t="s">
        <v>245</v>
      </c>
      <c r="D121" s="93"/>
      <c r="E121" s="93"/>
      <c r="F121" s="93"/>
      <c r="G121" s="14" t="s">
        <v>455</v>
      </c>
      <c r="H121" s="67">
        <v>5.1879999999999997</v>
      </c>
      <c r="I121" s="24">
        <v>0</v>
      </c>
      <c r="J121" s="24">
        <f>H121*AO121</f>
        <v>0</v>
      </c>
      <c r="K121" s="24">
        <f>H121*AP121</f>
        <v>0</v>
      </c>
      <c r="L121" s="24">
        <f>H121*I121</f>
        <v>0</v>
      </c>
      <c r="M121" s="35" t="s">
        <v>562</v>
      </c>
      <c r="N121" s="5"/>
      <c r="Z121" s="42">
        <f>IF(AQ121="5",BJ121,0)</f>
        <v>0</v>
      </c>
      <c r="AB121" s="42">
        <f>IF(AQ121="1",BH121,0)</f>
        <v>0</v>
      </c>
      <c r="AC121" s="42">
        <f>IF(AQ121="1",BI121,0)</f>
        <v>0</v>
      </c>
      <c r="AD121" s="42">
        <f>IF(AQ121="7",BH121,0)</f>
        <v>0</v>
      </c>
      <c r="AE121" s="42">
        <f>IF(AQ121="7",BI121,0)</f>
        <v>0</v>
      </c>
      <c r="AF121" s="42">
        <f>IF(AQ121="2",BH121,0)</f>
        <v>0</v>
      </c>
      <c r="AG121" s="42">
        <f>IF(AQ121="2",BI121,0)</f>
        <v>0</v>
      </c>
      <c r="AH121" s="42">
        <f>IF(AQ121="0",BJ121,0)</f>
        <v>0</v>
      </c>
      <c r="AI121" s="41"/>
      <c r="AJ121" s="24">
        <f>IF(AN121=0,L121,0)</f>
        <v>0</v>
      </c>
      <c r="AK121" s="24">
        <f>IF(AN121=15,L121,0)</f>
        <v>0</v>
      </c>
      <c r="AL121" s="24">
        <f>IF(AN121=21,L121,0)</f>
        <v>0</v>
      </c>
      <c r="AN121" s="42">
        <v>21</v>
      </c>
      <c r="AO121" s="42">
        <f>I121*0</f>
        <v>0</v>
      </c>
      <c r="AP121" s="42">
        <f>I121*(1-0)</f>
        <v>0</v>
      </c>
      <c r="AQ121" s="43" t="s">
        <v>11</v>
      </c>
      <c r="AV121" s="42">
        <f>AW121+AX121</f>
        <v>0</v>
      </c>
      <c r="AW121" s="42">
        <f>H121*AO121</f>
        <v>0</v>
      </c>
      <c r="AX121" s="42">
        <f>H121*AP121</f>
        <v>0</v>
      </c>
      <c r="AY121" s="45" t="s">
        <v>489</v>
      </c>
      <c r="AZ121" s="45" t="s">
        <v>508</v>
      </c>
      <c r="BA121" s="41" t="s">
        <v>511</v>
      </c>
      <c r="BC121" s="42">
        <f>AW121+AX121</f>
        <v>0</v>
      </c>
      <c r="BD121" s="42">
        <f>I121/(100-BE121)*100</f>
        <v>0</v>
      </c>
      <c r="BE121" s="42">
        <v>0</v>
      </c>
      <c r="BF121" s="42">
        <f>121</f>
        <v>121</v>
      </c>
      <c r="BH121" s="24">
        <f>H121*AO121</f>
        <v>0</v>
      </c>
      <c r="BI121" s="24">
        <f>H121*AP121</f>
        <v>0</v>
      </c>
      <c r="BJ121" s="24">
        <f>H121*I121</f>
        <v>0</v>
      </c>
      <c r="BK121" s="24" t="s">
        <v>516</v>
      </c>
      <c r="BL121" s="42">
        <v>771</v>
      </c>
    </row>
    <row r="122" spans="1:64" x14ac:dyDescent="0.2">
      <c r="A122" s="6"/>
      <c r="B122" s="16" t="s">
        <v>118</v>
      </c>
      <c r="C122" s="97" t="s">
        <v>246</v>
      </c>
      <c r="D122" s="98"/>
      <c r="E122" s="98"/>
      <c r="F122" s="98"/>
      <c r="G122" s="22" t="s">
        <v>6</v>
      </c>
      <c r="H122" s="22" t="s">
        <v>6</v>
      </c>
      <c r="I122" s="22" t="s">
        <v>6</v>
      </c>
      <c r="J122" s="48">
        <f>SUM(J123:J123)</f>
        <v>0</v>
      </c>
      <c r="K122" s="48">
        <f>SUM(K123:K123)</f>
        <v>0</v>
      </c>
      <c r="L122" s="48">
        <f>SUM(L123:L123)</f>
        <v>0</v>
      </c>
      <c r="M122" s="37"/>
      <c r="N122" s="5"/>
      <c r="AI122" s="41"/>
      <c r="AS122" s="48">
        <f>SUM(AJ123:AJ123)</f>
        <v>0</v>
      </c>
      <c r="AT122" s="48">
        <f>SUM(AK123:AK123)</f>
        <v>0</v>
      </c>
      <c r="AU122" s="48">
        <f>SUM(AL123:AL123)</f>
        <v>0</v>
      </c>
    </row>
    <row r="123" spans="1:64" x14ac:dyDescent="0.2">
      <c r="A123" s="4" t="s">
        <v>38</v>
      </c>
      <c r="B123" s="14" t="s">
        <v>119</v>
      </c>
      <c r="C123" s="92" t="s">
        <v>247</v>
      </c>
      <c r="D123" s="93"/>
      <c r="E123" s="93"/>
      <c r="F123" s="93"/>
      <c r="G123" s="14" t="s">
        <v>453</v>
      </c>
      <c r="H123" s="67">
        <v>67</v>
      </c>
      <c r="I123" s="24">
        <v>0</v>
      </c>
      <c r="J123" s="24">
        <f>H123*AO123</f>
        <v>0</v>
      </c>
      <c r="K123" s="24">
        <f>H123*AP123</f>
        <v>0</v>
      </c>
      <c r="L123" s="24">
        <f>H123*I123</f>
        <v>0</v>
      </c>
      <c r="M123" s="35" t="s">
        <v>562</v>
      </c>
      <c r="N123" s="5"/>
      <c r="Z123" s="42">
        <f>IF(AQ123="5",BJ123,0)</f>
        <v>0</v>
      </c>
      <c r="AB123" s="42">
        <f>IF(AQ123="1",BH123,0)</f>
        <v>0</v>
      </c>
      <c r="AC123" s="42">
        <f>IF(AQ123="1",BI123,0)</f>
        <v>0</v>
      </c>
      <c r="AD123" s="42">
        <f>IF(AQ123="7",BH123,0)</f>
        <v>0</v>
      </c>
      <c r="AE123" s="42">
        <f>IF(AQ123="7",BI123,0)</f>
        <v>0</v>
      </c>
      <c r="AF123" s="42">
        <f>IF(AQ123="2",BH123,0)</f>
        <v>0</v>
      </c>
      <c r="AG123" s="42">
        <f>IF(AQ123="2",BI123,0)</f>
        <v>0</v>
      </c>
      <c r="AH123" s="42">
        <f>IF(AQ123="0",BJ123,0)</f>
        <v>0</v>
      </c>
      <c r="AI123" s="41"/>
      <c r="AJ123" s="24">
        <f>IF(AN123=0,L123,0)</f>
        <v>0</v>
      </c>
      <c r="AK123" s="24">
        <f>IF(AN123=15,L123,0)</f>
        <v>0</v>
      </c>
      <c r="AL123" s="24">
        <f>IF(AN123=21,L123,0)</f>
        <v>0</v>
      </c>
      <c r="AN123" s="42">
        <v>21</v>
      </c>
      <c r="AO123" s="42">
        <f>I123*0</f>
        <v>0</v>
      </c>
      <c r="AP123" s="42">
        <f>I123*(1-0)</f>
        <v>0</v>
      </c>
      <c r="AQ123" s="43" t="s">
        <v>13</v>
      </c>
      <c r="AV123" s="42">
        <f>AW123+AX123</f>
        <v>0</v>
      </c>
      <c r="AW123" s="42">
        <f>H123*AO123</f>
        <v>0</v>
      </c>
      <c r="AX123" s="42">
        <f>H123*AP123</f>
        <v>0</v>
      </c>
      <c r="AY123" s="45" t="s">
        <v>490</v>
      </c>
      <c r="AZ123" s="45" t="s">
        <v>508</v>
      </c>
      <c r="BA123" s="41" t="s">
        <v>511</v>
      </c>
      <c r="BC123" s="42">
        <f>AW123+AX123</f>
        <v>0</v>
      </c>
      <c r="BD123" s="42">
        <f>I123/(100-BE123)*100</f>
        <v>0</v>
      </c>
      <c r="BE123" s="42">
        <v>0</v>
      </c>
      <c r="BF123" s="42">
        <f>123</f>
        <v>123</v>
      </c>
      <c r="BH123" s="24">
        <f>H123*AO123</f>
        <v>0</v>
      </c>
      <c r="BI123" s="24">
        <f>H123*AP123</f>
        <v>0</v>
      </c>
      <c r="BJ123" s="24">
        <f>H123*I123</f>
        <v>0</v>
      </c>
      <c r="BK123" s="24" t="s">
        <v>516</v>
      </c>
      <c r="BL123" s="42">
        <v>775</v>
      </c>
    </row>
    <row r="124" spans="1:64" x14ac:dyDescent="0.2">
      <c r="A124" s="5"/>
      <c r="C124" s="19" t="s">
        <v>73</v>
      </c>
      <c r="F124" s="20"/>
      <c r="H124" s="68">
        <v>67</v>
      </c>
      <c r="M124" s="36"/>
      <c r="N124" s="5"/>
    </row>
    <row r="125" spans="1:64" x14ac:dyDescent="0.2">
      <c r="A125" s="6"/>
      <c r="B125" s="16" t="s">
        <v>120</v>
      </c>
      <c r="C125" s="97" t="s">
        <v>248</v>
      </c>
      <c r="D125" s="98"/>
      <c r="E125" s="98"/>
      <c r="F125" s="98"/>
      <c r="G125" s="22" t="s">
        <v>6</v>
      </c>
      <c r="H125" s="22" t="s">
        <v>6</v>
      </c>
      <c r="I125" s="22" t="s">
        <v>6</v>
      </c>
      <c r="J125" s="48">
        <f>SUM(J126:J161)</f>
        <v>0</v>
      </c>
      <c r="K125" s="48">
        <f>SUM(K126:K161)</f>
        <v>0</v>
      </c>
      <c r="L125" s="48">
        <f>SUM(L126:L161)</f>
        <v>0</v>
      </c>
      <c r="M125" s="37"/>
      <c r="N125" s="5"/>
      <c r="AI125" s="41"/>
      <c r="AS125" s="48">
        <f>SUM(AJ126:AJ161)</f>
        <v>0</v>
      </c>
      <c r="AT125" s="48">
        <f>SUM(AK126:AK161)</f>
        <v>0</v>
      </c>
      <c r="AU125" s="48">
        <f>SUM(AL126:AL161)</f>
        <v>0</v>
      </c>
    </row>
    <row r="126" spans="1:64" x14ac:dyDescent="0.2">
      <c r="A126" s="4" t="s">
        <v>39</v>
      </c>
      <c r="B126" s="14" t="s">
        <v>121</v>
      </c>
      <c r="C126" s="92" t="s">
        <v>249</v>
      </c>
      <c r="D126" s="93"/>
      <c r="E126" s="93"/>
      <c r="F126" s="93"/>
      <c r="G126" s="14" t="s">
        <v>456</v>
      </c>
      <c r="H126" s="67">
        <v>219.87</v>
      </c>
      <c r="I126" s="24">
        <v>0</v>
      </c>
      <c r="J126" s="24">
        <f>H126*AO126</f>
        <v>0</v>
      </c>
      <c r="K126" s="24">
        <f>H126*AP126</f>
        <v>0</v>
      </c>
      <c r="L126" s="24">
        <f>H126*I126</f>
        <v>0</v>
      </c>
      <c r="M126" s="35" t="s">
        <v>562</v>
      </c>
      <c r="N126" s="5"/>
      <c r="Z126" s="42">
        <f>IF(AQ126="5",BJ126,0)</f>
        <v>0</v>
      </c>
      <c r="AB126" s="42">
        <f>IF(AQ126="1",BH126,0)</f>
        <v>0</v>
      </c>
      <c r="AC126" s="42">
        <f>IF(AQ126="1",BI126,0)</f>
        <v>0</v>
      </c>
      <c r="AD126" s="42">
        <f>IF(AQ126="7",BH126,0)</f>
        <v>0</v>
      </c>
      <c r="AE126" s="42">
        <f>IF(AQ126="7",BI126,0)</f>
        <v>0</v>
      </c>
      <c r="AF126" s="42">
        <f>IF(AQ126="2",BH126,0)</f>
        <v>0</v>
      </c>
      <c r="AG126" s="42">
        <f>IF(AQ126="2",BI126,0)</f>
        <v>0</v>
      </c>
      <c r="AH126" s="42">
        <f>IF(AQ126="0",BJ126,0)</f>
        <v>0</v>
      </c>
      <c r="AI126" s="41"/>
      <c r="AJ126" s="24">
        <f>IF(AN126=0,L126,0)</f>
        <v>0</v>
      </c>
      <c r="AK126" s="24">
        <f>IF(AN126=15,L126,0)</f>
        <v>0</v>
      </c>
      <c r="AL126" s="24">
        <f>IF(AN126=21,L126,0)</f>
        <v>0</v>
      </c>
      <c r="AN126" s="42">
        <v>21</v>
      </c>
      <c r="AO126" s="42">
        <f>I126*0</f>
        <v>0</v>
      </c>
      <c r="AP126" s="42">
        <f>I126*(1-0)</f>
        <v>0</v>
      </c>
      <c r="AQ126" s="43" t="s">
        <v>13</v>
      </c>
      <c r="AV126" s="42">
        <f>AW126+AX126</f>
        <v>0</v>
      </c>
      <c r="AW126" s="42">
        <f>H126*AO126</f>
        <v>0</v>
      </c>
      <c r="AX126" s="42">
        <f>H126*AP126</f>
        <v>0</v>
      </c>
      <c r="AY126" s="45" t="s">
        <v>491</v>
      </c>
      <c r="AZ126" s="45" t="s">
        <v>508</v>
      </c>
      <c r="BA126" s="41" t="s">
        <v>511</v>
      </c>
      <c r="BC126" s="42">
        <f>AW126+AX126</f>
        <v>0</v>
      </c>
      <c r="BD126" s="42">
        <f>I126/(100-BE126)*100</f>
        <v>0</v>
      </c>
      <c r="BE126" s="42">
        <v>0</v>
      </c>
      <c r="BF126" s="42">
        <f>126</f>
        <v>126</v>
      </c>
      <c r="BH126" s="24">
        <f>H126*AO126</f>
        <v>0</v>
      </c>
      <c r="BI126" s="24">
        <f>H126*AP126</f>
        <v>0</v>
      </c>
      <c r="BJ126" s="24">
        <f>H126*I126</f>
        <v>0</v>
      </c>
      <c r="BK126" s="24" t="s">
        <v>516</v>
      </c>
      <c r="BL126" s="42">
        <v>776</v>
      </c>
    </row>
    <row r="127" spans="1:64" x14ac:dyDescent="0.2">
      <c r="A127" s="5"/>
      <c r="B127" s="15" t="s">
        <v>84</v>
      </c>
      <c r="C127" s="94" t="s">
        <v>250</v>
      </c>
      <c r="D127" s="95"/>
      <c r="E127" s="95"/>
      <c r="F127" s="95"/>
      <c r="G127" s="95"/>
      <c r="H127" s="95"/>
      <c r="I127" s="95"/>
      <c r="J127" s="95"/>
      <c r="K127" s="95"/>
      <c r="L127" s="95"/>
      <c r="M127" s="96"/>
      <c r="N127" s="5"/>
    </row>
    <row r="128" spans="1:64" x14ac:dyDescent="0.2">
      <c r="A128" s="5"/>
      <c r="C128" s="19"/>
      <c r="F128" s="20" t="s">
        <v>402</v>
      </c>
      <c r="H128" s="68">
        <v>0</v>
      </c>
      <c r="M128" s="36"/>
      <c r="N128" s="5"/>
    </row>
    <row r="129" spans="1:14" x14ac:dyDescent="0.2">
      <c r="A129" s="5"/>
      <c r="C129" s="19" t="s">
        <v>251</v>
      </c>
      <c r="F129" s="20"/>
      <c r="H129" s="68">
        <v>11.9</v>
      </c>
      <c r="M129" s="36"/>
      <c r="N129" s="5"/>
    </row>
    <row r="130" spans="1:14" x14ac:dyDescent="0.2">
      <c r="A130" s="5"/>
      <c r="C130" s="19" t="s">
        <v>252</v>
      </c>
      <c r="F130" s="20"/>
      <c r="H130" s="68">
        <v>13.3</v>
      </c>
      <c r="M130" s="36"/>
      <c r="N130" s="5"/>
    </row>
    <row r="131" spans="1:14" x14ac:dyDescent="0.2">
      <c r="A131" s="5"/>
      <c r="C131" s="19" t="s">
        <v>253</v>
      </c>
      <c r="F131" s="20"/>
      <c r="H131" s="68">
        <v>4.7</v>
      </c>
      <c r="M131" s="36"/>
      <c r="N131" s="5"/>
    </row>
    <row r="132" spans="1:14" x14ac:dyDescent="0.2">
      <c r="A132" s="5"/>
      <c r="C132" s="19" t="s">
        <v>254</v>
      </c>
      <c r="F132" s="20"/>
      <c r="H132" s="68">
        <v>26.75</v>
      </c>
      <c r="M132" s="36"/>
      <c r="N132" s="5"/>
    </row>
    <row r="133" spans="1:14" x14ac:dyDescent="0.2">
      <c r="A133" s="5"/>
      <c r="C133" s="19" t="s">
        <v>255</v>
      </c>
      <c r="F133" s="20"/>
      <c r="H133" s="68">
        <v>10.199999999999999</v>
      </c>
      <c r="M133" s="36"/>
      <c r="N133" s="5"/>
    </row>
    <row r="134" spans="1:14" x14ac:dyDescent="0.2">
      <c r="A134" s="5"/>
      <c r="C134" s="19" t="s">
        <v>256</v>
      </c>
      <c r="F134" s="20"/>
      <c r="H134" s="68">
        <v>12.5</v>
      </c>
      <c r="M134" s="36"/>
      <c r="N134" s="5"/>
    </row>
    <row r="135" spans="1:14" x14ac:dyDescent="0.2">
      <c r="A135" s="5"/>
      <c r="C135" s="19" t="s">
        <v>257</v>
      </c>
      <c r="F135" s="20"/>
      <c r="H135" s="68">
        <v>13.1</v>
      </c>
      <c r="M135" s="36"/>
      <c r="N135" s="5"/>
    </row>
    <row r="136" spans="1:14" x14ac:dyDescent="0.2">
      <c r="A136" s="5"/>
      <c r="C136" s="19" t="s">
        <v>252</v>
      </c>
      <c r="F136" s="20"/>
      <c r="H136" s="68">
        <v>13.3</v>
      </c>
      <c r="M136" s="36"/>
      <c r="N136" s="5"/>
    </row>
    <row r="137" spans="1:14" x14ac:dyDescent="0.2">
      <c r="A137" s="5"/>
      <c r="C137" s="19" t="s">
        <v>258</v>
      </c>
      <c r="F137" s="20"/>
      <c r="H137" s="68">
        <v>7.7</v>
      </c>
      <c r="M137" s="36"/>
      <c r="N137" s="5"/>
    </row>
    <row r="138" spans="1:14" x14ac:dyDescent="0.2">
      <c r="A138" s="5"/>
      <c r="C138" s="19" t="s">
        <v>259</v>
      </c>
      <c r="F138" s="20"/>
      <c r="H138" s="68">
        <v>24.9</v>
      </c>
      <c r="M138" s="36"/>
      <c r="N138" s="5"/>
    </row>
    <row r="139" spans="1:14" x14ac:dyDescent="0.2">
      <c r="A139" s="5"/>
      <c r="C139" s="19"/>
      <c r="F139" s="20" t="s">
        <v>403</v>
      </c>
      <c r="H139" s="68">
        <v>0</v>
      </c>
      <c r="M139" s="36"/>
      <c r="N139" s="5"/>
    </row>
    <row r="140" spans="1:14" x14ac:dyDescent="0.2">
      <c r="A140" s="5"/>
      <c r="C140" s="19" t="s">
        <v>260</v>
      </c>
      <c r="F140" s="20"/>
      <c r="H140" s="68">
        <v>22.6</v>
      </c>
      <c r="M140" s="36"/>
      <c r="N140" s="5"/>
    </row>
    <row r="141" spans="1:14" x14ac:dyDescent="0.2">
      <c r="A141" s="5"/>
      <c r="C141" s="19" t="s">
        <v>261</v>
      </c>
      <c r="F141" s="20"/>
      <c r="H141" s="68">
        <v>19.440000000000001</v>
      </c>
      <c r="M141" s="36"/>
      <c r="N141" s="5"/>
    </row>
    <row r="142" spans="1:14" x14ac:dyDescent="0.2">
      <c r="A142" s="5"/>
      <c r="C142" s="19" t="s">
        <v>262</v>
      </c>
      <c r="F142" s="20"/>
      <c r="H142" s="68">
        <v>13.4</v>
      </c>
      <c r="M142" s="36"/>
      <c r="N142" s="5"/>
    </row>
    <row r="143" spans="1:14" x14ac:dyDescent="0.2">
      <c r="A143" s="5"/>
      <c r="C143" s="19" t="s">
        <v>263</v>
      </c>
      <c r="F143" s="20"/>
      <c r="H143" s="68">
        <v>13.04</v>
      </c>
      <c r="M143" s="36"/>
      <c r="N143" s="5"/>
    </row>
    <row r="144" spans="1:14" x14ac:dyDescent="0.2">
      <c r="A144" s="5"/>
      <c r="C144" s="19" t="s">
        <v>263</v>
      </c>
      <c r="F144" s="20"/>
      <c r="H144" s="68">
        <v>13.04</v>
      </c>
      <c r="M144" s="36"/>
      <c r="N144" s="5"/>
    </row>
    <row r="145" spans="1:64" x14ac:dyDescent="0.2">
      <c r="A145" s="4" t="s">
        <v>40</v>
      </c>
      <c r="B145" s="14" t="s">
        <v>122</v>
      </c>
      <c r="C145" s="92" t="s">
        <v>264</v>
      </c>
      <c r="D145" s="93"/>
      <c r="E145" s="93"/>
      <c r="F145" s="93"/>
      <c r="G145" s="14" t="s">
        <v>456</v>
      </c>
      <c r="H145" s="67">
        <v>203.28</v>
      </c>
      <c r="I145" s="24">
        <v>0</v>
      </c>
      <c r="J145" s="24">
        <f>H145*AO145</f>
        <v>0</v>
      </c>
      <c r="K145" s="24">
        <f>H145*AP145</f>
        <v>0</v>
      </c>
      <c r="L145" s="24">
        <f>H145*I145</f>
        <v>0</v>
      </c>
      <c r="M145" s="35" t="s">
        <v>562</v>
      </c>
      <c r="N145" s="5"/>
      <c r="Z145" s="42">
        <f>IF(AQ145="5",BJ145,0)</f>
        <v>0</v>
      </c>
      <c r="AB145" s="42">
        <f>IF(AQ145="1",BH145,0)</f>
        <v>0</v>
      </c>
      <c r="AC145" s="42">
        <f>IF(AQ145="1",BI145,0)</f>
        <v>0</v>
      </c>
      <c r="AD145" s="42">
        <f>IF(AQ145="7",BH145,0)</f>
        <v>0</v>
      </c>
      <c r="AE145" s="42">
        <f>IF(AQ145="7",BI145,0)</f>
        <v>0</v>
      </c>
      <c r="AF145" s="42">
        <f>IF(AQ145="2",BH145,0)</f>
        <v>0</v>
      </c>
      <c r="AG145" s="42">
        <f>IF(AQ145="2",BI145,0)</f>
        <v>0</v>
      </c>
      <c r="AH145" s="42">
        <f>IF(AQ145="0",BJ145,0)</f>
        <v>0</v>
      </c>
      <c r="AI145" s="41"/>
      <c r="AJ145" s="24">
        <f>IF(AN145=0,L145,0)</f>
        <v>0</v>
      </c>
      <c r="AK145" s="24">
        <f>IF(AN145=15,L145,0)</f>
        <v>0</v>
      </c>
      <c r="AL145" s="24">
        <f>IF(AN145=21,L145,0)</f>
        <v>0</v>
      </c>
      <c r="AN145" s="42">
        <v>21</v>
      </c>
      <c r="AO145" s="42">
        <f>I145*0.11492545751574</f>
        <v>0</v>
      </c>
      <c r="AP145" s="42">
        <f>I145*(1-0.11492545751574)</f>
        <v>0</v>
      </c>
      <c r="AQ145" s="43" t="s">
        <v>13</v>
      </c>
      <c r="AV145" s="42">
        <f>AW145+AX145</f>
        <v>0</v>
      </c>
      <c r="AW145" s="42">
        <f>H145*AO145</f>
        <v>0</v>
      </c>
      <c r="AX145" s="42">
        <f>H145*AP145</f>
        <v>0</v>
      </c>
      <c r="AY145" s="45" t="s">
        <v>491</v>
      </c>
      <c r="AZ145" s="45" t="s">
        <v>508</v>
      </c>
      <c r="BA145" s="41" t="s">
        <v>511</v>
      </c>
      <c r="BC145" s="42">
        <f>AW145+AX145</f>
        <v>0</v>
      </c>
      <c r="BD145" s="42">
        <f>I145/(100-BE145)*100</f>
        <v>0</v>
      </c>
      <c r="BE145" s="42">
        <v>0</v>
      </c>
      <c r="BF145" s="42">
        <f>145</f>
        <v>145</v>
      </c>
      <c r="BH145" s="24">
        <f>H145*AO145</f>
        <v>0</v>
      </c>
      <c r="BI145" s="24">
        <f>H145*AP145</f>
        <v>0</v>
      </c>
      <c r="BJ145" s="24">
        <f>H145*I145</f>
        <v>0</v>
      </c>
      <c r="BK145" s="24" t="s">
        <v>516</v>
      </c>
      <c r="BL145" s="42">
        <v>776</v>
      </c>
    </row>
    <row r="146" spans="1:64" x14ac:dyDescent="0.2">
      <c r="A146" s="5"/>
      <c r="C146" s="19" t="s">
        <v>265</v>
      </c>
      <c r="F146" s="20"/>
      <c r="H146" s="68">
        <v>203.28</v>
      </c>
      <c r="M146" s="36"/>
      <c r="N146" s="5"/>
    </row>
    <row r="147" spans="1:64" x14ac:dyDescent="0.2">
      <c r="A147" s="7" t="s">
        <v>41</v>
      </c>
      <c r="B147" s="17" t="s">
        <v>123</v>
      </c>
      <c r="C147" s="111" t="s">
        <v>565</v>
      </c>
      <c r="D147" s="112"/>
      <c r="E147" s="112"/>
      <c r="F147" s="112"/>
      <c r="G147" s="17" t="s">
        <v>456</v>
      </c>
      <c r="H147" s="69">
        <v>213.44399999999999</v>
      </c>
      <c r="I147" s="25">
        <v>0</v>
      </c>
      <c r="J147" s="25">
        <f>H147*AO147</f>
        <v>0</v>
      </c>
      <c r="K147" s="25">
        <f>H147*AP147</f>
        <v>0</v>
      </c>
      <c r="L147" s="25">
        <f>H147*I147</f>
        <v>0</v>
      </c>
      <c r="M147" s="38" t="s">
        <v>562</v>
      </c>
      <c r="N147" s="5"/>
      <c r="Z147" s="42">
        <f>IF(AQ147="5",BJ147,0)</f>
        <v>0</v>
      </c>
      <c r="AB147" s="42">
        <f>IF(AQ147="1",BH147,0)</f>
        <v>0</v>
      </c>
      <c r="AC147" s="42">
        <f>IF(AQ147="1",BI147,0)</f>
        <v>0</v>
      </c>
      <c r="AD147" s="42">
        <f>IF(AQ147="7",BH147,0)</f>
        <v>0</v>
      </c>
      <c r="AE147" s="42">
        <f>IF(AQ147="7",BI147,0)</f>
        <v>0</v>
      </c>
      <c r="AF147" s="42">
        <f>IF(AQ147="2",BH147,0)</f>
        <v>0</v>
      </c>
      <c r="AG147" s="42">
        <f>IF(AQ147="2",BI147,0)</f>
        <v>0</v>
      </c>
      <c r="AH147" s="42">
        <f>IF(AQ147="0",BJ147,0)</f>
        <v>0</v>
      </c>
      <c r="AI147" s="41"/>
      <c r="AJ147" s="25">
        <f>IF(AN147=0,L147,0)</f>
        <v>0</v>
      </c>
      <c r="AK147" s="25">
        <f>IF(AN147=15,L147,0)</f>
        <v>0</v>
      </c>
      <c r="AL147" s="25">
        <f>IF(AN147=21,L147,0)</f>
        <v>0</v>
      </c>
      <c r="AN147" s="42">
        <v>21</v>
      </c>
      <c r="AO147" s="42">
        <f>I147*1</f>
        <v>0</v>
      </c>
      <c r="AP147" s="42">
        <f>I147*(1-1)</f>
        <v>0</v>
      </c>
      <c r="AQ147" s="44" t="s">
        <v>13</v>
      </c>
      <c r="AV147" s="42">
        <f>AW147+AX147</f>
        <v>0</v>
      </c>
      <c r="AW147" s="42">
        <f>H147*AO147</f>
        <v>0</v>
      </c>
      <c r="AX147" s="42">
        <f>H147*AP147</f>
        <v>0</v>
      </c>
      <c r="AY147" s="45" t="s">
        <v>491</v>
      </c>
      <c r="AZ147" s="45" t="s">
        <v>508</v>
      </c>
      <c r="BA147" s="41" t="s">
        <v>511</v>
      </c>
      <c r="BC147" s="42">
        <f>AW147+AX147</f>
        <v>0</v>
      </c>
      <c r="BD147" s="42">
        <f>I147/(100-BE147)*100</f>
        <v>0</v>
      </c>
      <c r="BE147" s="42">
        <v>0</v>
      </c>
      <c r="BF147" s="42">
        <f>147</f>
        <v>147</v>
      </c>
      <c r="BH147" s="25">
        <f>H147*AO147</f>
        <v>0</v>
      </c>
      <c r="BI147" s="25">
        <f>H147*AP147</f>
        <v>0</v>
      </c>
      <c r="BJ147" s="25">
        <f>H147*I147</f>
        <v>0</v>
      </c>
      <c r="BK147" s="25" t="s">
        <v>161</v>
      </c>
      <c r="BL147" s="42">
        <v>776</v>
      </c>
    </row>
    <row r="148" spans="1:64" x14ac:dyDescent="0.2">
      <c r="A148" s="5"/>
      <c r="C148" s="19" t="s">
        <v>265</v>
      </c>
      <c r="F148" s="20"/>
      <c r="H148" s="68">
        <v>203.28</v>
      </c>
      <c r="M148" s="36"/>
      <c r="N148" s="5"/>
    </row>
    <row r="149" spans="1:64" x14ac:dyDescent="0.2">
      <c r="A149" s="5"/>
      <c r="C149" s="19" t="s">
        <v>266</v>
      </c>
      <c r="F149" s="20"/>
      <c r="H149" s="68">
        <v>10.164</v>
      </c>
      <c r="M149" s="36"/>
      <c r="N149" s="5"/>
    </row>
    <row r="150" spans="1:64" x14ac:dyDescent="0.2">
      <c r="A150" s="4" t="s">
        <v>42</v>
      </c>
      <c r="B150" s="14" t="s">
        <v>124</v>
      </c>
      <c r="C150" s="92" t="s">
        <v>267</v>
      </c>
      <c r="D150" s="93"/>
      <c r="E150" s="93"/>
      <c r="F150" s="93"/>
      <c r="G150" s="14" t="s">
        <v>453</v>
      </c>
      <c r="H150" s="67">
        <v>230.6</v>
      </c>
      <c r="I150" s="24">
        <v>0</v>
      </c>
      <c r="J150" s="24">
        <f>H150*AO150</f>
        <v>0</v>
      </c>
      <c r="K150" s="24">
        <f>H150*AP150</f>
        <v>0</v>
      </c>
      <c r="L150" s="24">
        <f>H150*I150</f>
        <v>0</v>
      </c>
      <c r="M150" s="35" t="s">
        <v>562</v>
      </c>
      <c r="N150" s="5"/>
      <c r="Z150" s="42">
        <f>IF(AQ150="5",BJ150,0)</f>
        <v>0</v>
      </c>
      <c r="AB150" s="42">
        <f>IF(AQ150="1",BH150,0)</f>
        <v>0</v>
      </c>
      <c r="AC150" s="42">
        <f>IF(AQ150="1",BI150,0)</f>
        <v>0</v>
      </c>
      <c r="AD150" s="42">
        <f>IF(AQ150="7",BH150,0)</f>
        <v>0</v>
      </c>
      <c r="AE150" s="42">
        <f>IF(AQ150="7",BI150,0)</f>
        <v>0</v>
      </c>
      <c r="AF150" s="42">
        <f>IF(AQ150="2",BH150,0)</f>
        <v>0</v>
      </c>
      <c r="AG150" s="42">
        <f>IF(AQ150="2",BI150,0)</f>
        <v>0</v>
      </c>
      <c r="AH150" s="42">
        <f>IF(AQ150="0",BJ150,0)</f>
        <v>0</v>
      </c>
      <c r="AI150" s="41"/>
      <c r="AJ150" s="24">
        <f>IF(AN150=0,L150,0)</f>
        <v>0</v>
      </c>
      <c r="AK150" s="24">
        <f>IF(AN150=15,L150,0)</f>
        <v>0</v>
      </c>
      <c r="AL150" s="24">
        <f>IF(AN150=21,L150,0)</f>
        <v>0</v>
      </c>
      <c r="AN150" s="42">
        <v>21</v>
      </c>
      <c r="AO150" s="42">
        <f>I150*0</f>
        <v>0</v>
      </c>
      <c r="AP150" s="42">
        <f>I150*(1-0)</f>
        <v>0</v>
      </c>
      <c r="AQ150" s="43" t="s">
        <v>13</v>
      </c>
      <c r="AV150" s="42">
        <f>AW150+AX150</f>
        <v>0</v>
      </c>
      <c r="AW150" s="42">
        <f>H150*AO150</f>
        <v>0</v>
      </c>
      <c r="AX150" s="42">
        <f>H150*AP150</f>
        <v>0</v>
      </c>
      <c r="AY150" s="45" t="s">
        <v>491</v>
      </c>
      <c r="AZ150" s="45" t="s">
        <v>508</v>
      </c>
      <c r="BA150" s="41" t="s">
        <v>511</v>
      </c>
      <c r="BC150" s="42">
        <f>AW150+AX150</f>
        <v>0</v>
      </c>
      <c r="BD150" s="42">
        <f>I150/(100-BE150)*100</f>
        <v>0</v>
      </c>
      <c r="BE150" s="42">
        <v>0</v>
      </c>
      <c r="BF150" s="42">
        <f>150</f>
        <v>150</v>
      </c>
      <c r="BH150" s="24">
        <f>H150*AO150</f>
        <v>0</v>
      </c>
      <c r="BI150" s="24">
        <f>H150*AP150</f>
        <v>0</v>
      </c>
      <c r="BJ150" s="24">
        <f>H150*I150</f>
        <v>0</v>
      </c>
      <c r="BK150" s="24" t="s">
        <v>516</v>
      </c>
      <c r="BL150" s="42">
        <v>776</v>
      </c>
    </row>
    <row r="151" spans="1:64" x14ac:dyDescent="0.2">
      <c r="A151" s="5"/>
      <c r="B151" s="15" t="s">
        <v>84</v>
      </c>
      <c r="C151" s="94" t="s">
        <v>268</v>
      </c>
      <c r="D151" s="95"/>
      <c r="E151" s="95"/>
      <c r="F151" s="95"/>
      <c r="G151" s="95"/>
      <c r="H151" s="95"/>
      <c r="I151" s="95"/>
      <c r="J151" s="95"/>
      <c r="K151" s="95"/>
      <c r="L151" s="95"/>
      <c r="M151" s="96"/>
      <c r="N151" s="5"/>
    </row>
    <row r="152" spans="1:64" x14ac:dyDescent="0.2">
      <c r="A152" s="5"/>
      <c r="C152" s="19" t="s">
        <v>269</v>
      </c>
      <c r="F152" s="20" t="s">
        <v>404</v>
      </c>
      <c r="H152" s="68">
        <v>147.69999999999999</v>
      </c>
      <c r="M152" s="36"/>
      <c r="N152" s="5"/>
    </row>
    <row r="153" spans="1:64" x14ac:dyDescent="0.2">
      <c r="A153" s="5"/>
      <c r="C153" s="19" t="s">
        <v>270</v>
      </c>
      <c r="F153" s="20" t="s">
        <v>403</v>
      </c>
      <c r="H153" s="68">
        <v>82.9</v>
      </c>
      <c r="M153" s="36"/>
      <c r="N153" s="5"/>
    </row>
    <row r="154" spans="1:64" x14ac:dyDescent="0.2">
      <c r="A154" s="4" t="s">
        <v>43</v>
      </c>
      <c r="B154" s="14" t="s">
        <v>125</v>
      </c>
      <c r="C154" s="92" t="s">
        <v>570</v>
      </c>
      <c r="D154" s="93"/>
      <c r="E154" s="93"/>
      <c r="F154" s="93"/>
      <c r="G154" s="14" t="s">
        <v>453</v>
      </c>
      <c r="H154" s="67">
        <v>371.02</v>
      </c>
      <c r="I154" s="24">
        <v>0</v>
      </c>
      <c r="J154" s="24">
        <f>H154*AO154</f>
        <v>0</v>
      </c>
      <c r="K154" s="24">
        <f>H154*AP154</f>
        <v>0</v>
      </c>
      <c r="L154" s="24">
        <f>H154*I154</f>
        <v>0</v>
      </c>
      <c r="M154" s="35" t="s">
        <v>562</v>
      </c>
      <c r="N154" s="5"/>
      <c r="Z154" s="42">
        <f>IF(AQ154="5",BJ154,0)</f>
        <v>0</v>
      </c>
      <c r="AB154" s="42">
        <f>IF(AQ154="1",BH154,0)</f>
        <v>0</v>
      </c>
      <c r="AC154" s="42">
        <f>IF(AQ154="1",BI154,0)</f>
        <v>0</v>
      </c>
      <c r="AD154" s="42">
        <f>IF(AQ154="7",BH154,0)</f>
        <v>0</v>
      </c>
      <c r="AE154" s="42">
        <f>IF(AQ154="7",BI154,0)</f>
        <v>0</v>
      </c>
      <c r="AF154" s="42">
        <f>IF(AQ154="2",BH154,0)</f>
        <v>0</v>
      </c>
      <c r="AG154" s="42">
        <f>IF(AQ154="2",BI154,0)</f>
        <v>0</v>
      </c>
      <c r="AH154" s="42">
        <f>IF(AQ154="0",BJ154,0)</f>
        <v>0</v>
      </c>
      <c r="AI154" s="41"/>
      <c r="AJ154" s="24">
        <f>IF(AN154=0,L154,0)</f>
        <v>0</v>
      </c>
      <c r="AK154" s="24">
        <f>IF(AN154=15,L154,0)</f>
        <v>0</v>
      </c>
      <c r="AL154" s="24">
        <f>IF(AN154=21,L154,0)</f>
        <v>0</v>
      </c>
      <c r="AN154" s="42">
        <v>21</v>
      </c>
      <c r="AO154" s="42">
        <f>I154*0.271376343850322</f>
        <v>0</v>
      </c>
      <c r="AP154" s="42">
        <f>I154*(1-0.271376343850322)</f>
        <v>0</v>
      </c>
      <c r="AQ154" s="43" t="s">
        <v>13</v>
      </c>
      <c r="AV154" s="42">
        <f>AW154+AX154</f>
        <v>0</v>
      </c>
      <c r="AW154" s="42">
        <f>H154*AO154</f>
        <v>0</v>
      </c>
      <c r="AX154" s="42">
        <f>H154*AP154</f>
        <v>0</v>
      </c>
      <c r="AY154" s="45" t="s">
        <v>491</v>
      </c>
      <c r="AZ154" s="45" t="s">
        <v>508</v>
      </c>
      <c r="BA154" s="41" t="s">
        <v>511</v>
      </c>
      <c r="BC154" s="42">
        <f>AW154+AX154</f>
        <v>0</v>
      </c>
      <c r="BD154" s="42">
        <f>I154/(100-BE154)*100</f>
        <v>0</v>
      </c>
      <c r="BE154" s="42">
        <v>0</v>
      </c>
      <c r="BF154" s="42">
        <f>154</f>
        <v>154</v>
      </c>
      <c r="BH154" s="24">
        <f>H154*AO154</f>
        <v>0</v>
      </c>
      <c r="BI154" s="24">
        <f>H154*AP154</f>
        <v>0</v>
      </c>
      <c r="BJ154" s="24">
        <f>H154*I154</f>
        <v>0</v>
      </c>
      <c r="BK154" s="24" t="s">
        <v>516</v>
      </c>
      <c r="BL154" s="42">
        <v>776</v>
      </c>
    </row>
    <row r="155" spans="1:64" x14ac:dyDescent="0.2">
      <c r="A155" s="5"/>
      <c r="B155" s="15" t="s">
        <v>84</v>
      </c>
      <c r="C155" s="94" t="s">
        <v>271</v>
      </c>
      <c r="D155" s="95"/>
      <c r="E155" s="95"/>
      <c r="F155" s="95"/>
      <c r="G155" s="95"/>
      <c r="H155" s="95"/>
      <c r="I155" s="95"/>
      <c r="J155" s="95"/>
      <c r="K155" s="95"/>
      <c r="L155" s="95"/>
      <c r="M155" s="96"/>
      <c r="N155" s="5"/>
    </row>
    <row r="156" spans="1:64" x14ac:dyDescent="0.2">
      <c r="A156" s="5"/>
      <c r="C156" s="19" t="s">
        <v>221</v>
      </c>
      <c r="F156" s="20" t="s">
        <v>589</v>
      </c>
      <c r="H156" s="68">
        <v>371.02</v>
      </c>
      <c r="M156" s="36"/>
      <c r="N156" s="5"/>
    </row>
    <row r="157" spans="1:64" x14ac:dyDescent="0.2">
      <c r="A157" s="7" t="s">
        <v>44</v>
      </c>
      <c r="B157" s="17" t="s">
        <v>126</v>
      </c>
      <c r="C157" s="111" t="s">
        <v>566</v>
      </c>
      <c r="D157" s="112"/>
      <c r="E157" s="112"/>
      <c r="F157" s="112"/>
      <c r="G157" s="17" t="s">
        <v>453</v>
      </c>
      <c r="H157" s="69">
        <v>389.57100000000003</v>
      </c>
      <c r="I157" s="25">
        <v>0</v>
      </c>
      <c r="J157" s="25">
        <f>H157*AO157</f>
        <v>0</v>
      </c>
      <c r="K157" s="25">
        <f>H157*AP157</f>
        <v>0</v>
      </c>
      <c r="L157" s="25">
        <f>H157*I157</f>
        <v>0</v>
      </c>
      <c r="M157" s="38" t="s">
        <v>562</v>
      </c>
      <c r="N157" s="5"/>
      <c r="Z157" s="42">
        <f>IF(AQ157="5",BJ157,0)</f>
        <v>0</v>
      </c>
      <c r="AB157" s="42">
        <f>IF(AQ157="1",BH157,0)</f>
        <v>0</v>
      </c>
      <c r="AC157" s="42">
        <f>IF(AQ157="1",BI157,0)</f>
        <v>0</v>
      </c>
      <c r="AD157" s="42">
        <f>IF(AQ157="7",BH157,0)</f>
        <v>0</v>
      </c>
      <c r="AE157" s="42">
        <f>IF(AQ157="7",BI157,0)</f>
        <v>0</v>
      </c>
      <c r="AF157" s="42">
        <f>IF(AQ157="2",BH157,0)</f>
        <v>0</v>
      </c>
      <c r="AG157" s="42">
        <f>IF(AQ157="2",BI157,0)</f>
        <v>0</v>
      </c>
      <c r="AH157" s="42">
        <f>IF(AQ157="0",BJ157,0)</f>
        <v>0</v>
      </c>
      <c r="AI157" s="41"/>
      <c r="AJ157" s="25">
        <f>IF(AN157=0,L157,0)</f>
        <v>0</v>
      </c>
      <c r="AK157" s="25">
        <f>IF(AN157=15,L157,0)</f>
        <v>0</v>
      </c>
      <c r="AL157" s="25">
        <f>IF(AN157=21,L157,0)</f>
        <v>0</v>
      </c>
      <c r="AN157" s="42">
        <v>21</v>
      </c>
      <c r="AO157" s="42">
        <f>I157*1</f>
        <v>0</v>
      </c>
      <c r="AP157" s="42">
        <f>I157*(1-1)</f>
        <v>0</v>
      </c>
      <c r="AQ157" s="44" t="s">
        <v>13</v>
      </c>
      <c r="AV157" s="42">
        <f>AW157+AX157</f>
        <v>0</v>
      </c>
      <c r="AW157" s="42">
        <f>H157*AO157</f>
        <v>0</v>
      </c>
      <c r="AX157" s="42">
        <f>H157*AP157</f>
        <v>0</v>
      </c>
      <c r="AY157" s="45" t="s">
        <v>491</v>
      </c>
      <c r="AZ157" s="45" t="s">
        <v>508</v>
      </c>
      <c r="BA157" s="41" t="s">
        <v>511</v>
      </c>
      <c r="BC157" s="42">
        <f>AW157+AX157</f>
        <v>0</v>
      </c>
      <c r="BD157" s="42">
        <f>I157/(100-BE157)*100</f>
        <v>0</v>
      </c>
      <c r="BE157" s="42">
        <v>0</v>
      </c>
      <c r="BF157" s="42">
        <f>157</f>
        <v>157</v>
      </c>
      <c r="BH157" s="25">
        <f>H157*AO157</f>
        <v>0</v>
      </c>
      <c r="BI157" s="25">
        <f>H157*AP157</f>
        <v>0</v>
      </c>
      <c r="BJ157" s="25">
        <f>H157*I157</f>
        <v>0</v>
      </c>
      <c r="BK157" s="25" t="s">
        <v>161</v>
      </c>
      <c r="BL157" s="42">
        <v>776</v>
      </c>
    </row>
    <row r="158" spans="1:64" x14ac:dyDescent="0.2">
      <c r="A158" s="5"/>
      <c r="B158" s="15" t="s">
        <v>84</v>
      </c>
      <c r="C158" s="94" t="s">
        <v>590</v>
      </c>
      <c r="D158" s="95"/>
      <c r="E158" s="95"/>
      <c r="F158" s="95"/>
      <c r="G158" s="95"/>
      <c r="H158" s="95"/>
      <c r="I158" s="95"/>
      <c r="J158" s="95"/>
      <c r="K158" s="95"/>
      <c r="L158" s="95"/>
      <c r="M158" s="96"/>
      <c r="N158" s="5"/>
    </row>
    <row r="159" spans="1:64" x14ac:dyDescent="0.2">
      <c r="A159" s="5"/>
      <c r="C159" s="19" t="s">
        <v>221</v>
      </c>
      <c r="F159" s="20"/>
      <c r="H159" s="68">
        <v>371.02</v>
      </c>
      <c r="M159" s="36"/>
      <c r="N159" s="5"/>
    </row>
    <row r="160" spans="1:64" x14ac:dyDescent="0.2">
      <c r="A160" s="5"/>
      <c r="C160" s="19" t="s">
        <v>272</v>
      </c>
      <c r="F160" s="20"/>
      <c r="H160" s="68">
        <v>18.550999999999998</v>
      </c>
      <c r="M160" s="36"/>
      <c r="N160" s="5"/>
    </row>
    <row r="161" spans="1:64" x14ac:dyDescent="0.2">
      <c r="A161" s="4" t="s">
        <v>45</v>
      </c>
      <c r="B161" s="14" t="s">
        <v>127</v>
      </c>
      <c r="C161" s="92" t="s">
        <v>273</v>
      </c>
      <c r="D161" s="93"/>
      <c r="E161" s="93"/>
      <c r="F161" s="93"/>
      <c r="G161" s="14" t="s">
        <v>455</v>
      </c>
      <c r="H161" s="67">
        <v>1.6080000000000001</v>
      </c>
      <c r="I161" s="24">
        <v>0</v>
      </c>
      <c r="J161" s="24">
        <f>H161*AO161</f>
        <v>0</v>
      </c>
      <c r="K161" s="24">
        <f>H161*AP161</f>
        <v>0</v>
      </c>
      <c r="L161" s="24">
        <f>H161*I161</f>
        <v>0</v>
      </c>
      <c r="M161" s="35" t="s">
        <v>562</v>
      </c>
      <c r="N161" s="5"/>
      <c r="Z161" s="42">
        <f>IF(AQ161="5",BJ161,0)</f>
        <v>0</v>
      </c>
      <c r="AB161" s="42">
        <f>IF(AQ161="1",BH161,0)</f>
        <v>0</v>
      </c>
      <c r="AC161" s="42">
        <f>IF(AQ161="1",BI161,0)</f>
        <v>0</v>
      </c>
      <c r="AD161" s="42">
        <f>IF(AQ161="7",BH161,0)</f>
        <v>0</v>
      </c>
      <c r="AE161" s="42">
        <f>IF(AQ161="7",BI161,0)</f>
        <v>0</v>
      </c>
      <c r="AF161" s="42">
        <f>IF(AQ161="2",BH161,0)</f>
        <v>0</v>
      </c>
      <c r="AG161" s="42">
        <f>IF(AQ161="2",BI161,0)</f>
        <v>0</v>
      </c>
      <c r="AH161" s="42">
        <f>IF(AQ161="0",BJ161,0)</f>
        <v>0</v>
      </c>
      <c r="AI161" s="41"/>
      <c r="AJ161" s="24">
        <f>IF(AN161=0,L161,0)</f>
        <v>0</v>
      </c>
      <c r="AK161" s="24">
        <f>IF(AN161=15,L161,0)</f>
        <v>0</v>
      </c>
      <c r="AL161" s="24">
        <f>IF(AN161=21,L161,0)</f>
        <v>0</v>
      </c>
      <c r="AN161" s="42">
        <v>21</v>
      </c>
      <c r="AO161" s="42">
        <f>I161*0</f>
        <v>0</v>
      </c>
      <c r="AP161" s="42">
        <f>I161*(1-0)</f>
        <v>0</v>
      </c>
      <c r="AQ161" s="43" t="s">
        <v>11</v>
      </c>
      <c r="AV161" s="42">
        <f>AW161+AX161</f>
        <v>0</v>
      </c>
      <c r="AW161" s="42">
        <f>H161*AO161</f>
        <v>0</v>
      </c>
      <c r="AX161" s="42">
        <f>H161*AP161</f>
        <v>0</v>
      </c>
      <c r="AY161" s="45" t="s">
        <v>491</v>
      </c>
      <c r="AZ161" s="45" t="s">
        <v>508</v>
      </c>
      <c r="BA161" s="41" t="s">
        <v>511</v>
      </c>
      <c r="BC161" s="42">
        <f>AW161+AX161</f>
        <v>0</v>
      </c>
      <c r="BD161" s="42">
        <f>I161/(100-BE161)*100</f>
        <v>0</v>
      </c>
      <c r="BE161" s="42">
        <v>0</v>
      </c>
      <c r="BF161" s="42">
        <f>160</f>
        <v>160</v>
      </c>
      <c r="BH161" s="24">
        <f>H161*AO161</f>
        <v>0</v>
      </c>
      <c r="BI161" s="24">
        <f>H161*AP161</f>
        <v>0</v>
      </c>
      <c r="BJ161" s="24">
        <f>H161*I161</f>
        <v>0</v>
      </c>
      <c r="BK161" s="24" t="s">
        <v>516</v>
      </c>
      <c r="BL161" s="42">
        <v>776</v>
      </c>
    </row>
    <row r="162" spans="1:64" x14ac:dyDescent="0.2">
      <c r="A162" s="6"/>
      <c r="B162" s="16" t="s">
        <v>128</v>
      </c>
      <c r="C162" s="97" t="s">
        <v>274</v>
      </c>
      <c r="D162" s="98"/>
      <c r="E162" s="98"/>
      <c r="F162" s="98"/>
      <c r="G162" s="22" t="s">
        <v>6</v>
      </c>
      <c r="H162" s="22" t="s">
        <v>6</v>
      </c>
      <c r="I162" s="22" t="s">
        <v>6</v>
      </c>
      <c r="J162" s="48">
        <f>SUM(J163:J188)</f>
        <v>0</v>
      </c>
      <c r="K162" s="48">
        <f>SUM(K163:K188)</f>
        <v>0</v>
      </c>
      <c r="L162" s="48">
        <f>SUM(L163:L188)</f>
        <v>0</v>
      </c>
      <c r="M162" s="37"/>
      <c r="N162" s="5"/>
      <c r="AI162" s="41"/>
      <c r="AS162" s="48">
        <f>SUM(AJ163:AJ188)</f>
        <v>0</v>
      </c>
      <c r="AT162" s="48">
        <f>SUM(AK163:AK188)</f>
        <v>0</v>
      </c>
      <c r="AU162" s="48">
        <f>SUM(AL163:AL188)</f>
        <v>0</v>
      </c>
    </row>
    <row r="163" spans="1:64" x14ac:dyDescent="0.2">
      <c r="A163" s="4" t="s">
        <v>46</v>
      </c>
      <c r="B163" s="14" t="s">
        <v>129</v>
      </c>
      <c r="C163" s="92" t="s">
        <v>275</v>
      </c>
      <c r="D163" s="93"/>
      <c r="E163" s="93"/>
      <c r="F163" s="93"/>
      <c r="G163" s="14" t="s">
        <v>453</v>
      </c>
      <c r="H163" s="67">
        <v>165.6</v>
      </c>
      <c r="I163" s="24">
        <v>0</v>
      </c>
      <c r="J163" s="24">
        <f>H163*AO163</f>
        <v>0</v>
      </c>
      <c r="K163" s="24">
        <f>H163*AP163</f>
        <v>0</v>
      </c>
      <c r="L163" s="24">
        <f>H163*I163</f>
        <v>0</v>
      </c>
      <c r="M163" s="35" t="s">
        <v>562</v>
      </c>
      <c r="N163" s="5"/>
      <c r="Z163" s="42">
        <f>IF(AQ163="5",BJ163,0)</f>
        <v>0</v>
      </c>
      <c r="AB163" s="42">
        <f>IF(AQ163="1",BH163,0)</f>
        <v>0</v>
      </c>
      <c r="AC163" s="42">
        <f>IF(AQ163="1",BI163,0)</f>
        <v>0</v>
      </c>
      <c r="AD163" s="42">
        <f>IF(AQ163="7",BH163,0)</f>
        <v>0</v>
      </c>
      <c r="AE163" s="42">
        <f>IF(AQ163="7",BI163,0)</f>
        <v>0</v>
      </c>
      <c r="AF163" s="42">
        <f>IF(AQ163="2",BH163,0)</f>
        <v>0</v>
      </c>
      <c r="AG163" s="42">
        <f>IF(AQ163="2",BI163,0)</f>
        <v>0</v>
      </c>
      <c r="AH163" s="42">
        <f>IF(AQ163="0",BJ163,0)</f>
        <v>0</v>
      </c>
      <c r="AI163" s="41"/>
      <c r="AJ163" s="24">
        <f>IF(AN163=0,L163,0)</f>
        <v>0</v>
      </c>
      <c r="AK163" s="24">
        <f>IF(AN163=15,L163,0)</f>
        <v>0</v>
      </c>
      <c r="AL163" s="24">
        <f>IF(AN163=21,L163,0)</f>
        <v>0</v>
      </c>
      <c r="AN163" s="42">
        <v>21</v>
      </c>
      <c r="AO163" s="42">
        <f>I163*0.506651665786513</f>
        <v>0</v>
      </c>
      <c r="AP163" s="42">
        <f>I163*(1-0.506651665786513)</f>
        <v>0</v>
      </c>
      <c r="AQ163" s="43" t="s">
        <v>13</v>
      </c>
      <c r="AV163" s="42">
        <f>AW163+AX163</f>
        <v>0</v>
      </c>
      <c r="AW163" s="42">
        <f>H163*AO163</f>
        <v>0</v>
      </c>
      <c r="AX163" s="42">
        <f>H163*AP163</f>
        <v>0</v>
      </c>
      <c r="AY163" s="45" t="s">
        <v>492</v>
      </c>
      <c r="AZ163" s="45" t="s">
        <v>509</v>
      </c>
      <c r="BA163" s="41" t="s">
        <v>511</v>
      </c>
      <c r="BC163" s="42">
        <f>AW163+AX163</f>
        <v>0</v>
      </c>
      <c r="BD163" s="42">
        <f>I163/(100-BE163)*100</f>
        <v>0</v>
      </c>
      <c r="BE163" s="42">
        <v>0</v>
      </c>
      <c r="BF163" s="42">
        <f>162</f>
        <v>162</v>
      </c>
      <c r="BH163" s="24">
        <f>H163*AO163</f>
        <v>0</v>
      </c>
      <c r="BI163" s="24">
        <f>H163*AP163</f>
        <v>0</v>
      </c>
      <c r="BJ163" s="24">
        <f>H163*I163</f>
        <v>0</v>
      </c>
      <c r="BK163" s="24" t="s">
        <v>516</v>
      </c>
      <c r="BL163" s="42">
        <v>781</v>
      </c>
    </row>
    <row r="164" spans="1:64" x14ac:dyDescent="0.2">
      <c r="A164" s="5"/>
      <c r="C164" s="19" t="s">
        <v>231</v>
      </c>
      <c r="F164" s="20"/>
      <c r="H164" s="68">
        <v>165.6</v>
      </c>
      <c r="M164" s="36"/>
      <c r="N164" s="5"/>
    </row>
    <row r="165" spans="1:64" x14ac:dyDescent="0.2">
      <c r="A165" s="4" t="s">
        <v>47</v>
      </c>
      <c r="B165" s="14" t="s">
        <v>130</v>
      </c>
      <c r="C165" s="92" t="s">
        <v>276</v>
      </c>
      <c r="D165" s="93"/>
      <c r="E165" s="93"/>
      <c r="F165" s="93"/>
      <c r="G165" s="14" t="s">
        <v>453</v>
      </c>
      <c r="H165" s="67">
        <v>165.6</v>
      </c>
      <c r="I165" s="24">
        <v>0</v>
      </c>
      <c r="J165" s="24">
        <f>H165*AO165</f>
        <v>0</v>
      </c>
      <c r="K165" s="24">
        <f>H165*AP165</f>
        <v>0</v>
      </c>
      <c r="L165" s="24">
        <f>H165*I165</f>
        <v>0</v>
      </c>
      <c r="M165" s="35" t="s">
        <v>562</v>
      </c>
      <c r="N165" s="5"/>
      <c r="Z165" s="42">
        <f>IF(AQ165="5",BJ165,0)</f>
        <v>0</v>
      </c>
      <c r="AB165" s="42">
        <f>IF(AQ165="1",BH165,0)</f>
        <v>0</v>
      </c>
      <c r="AC165" s="42">
        <f>IF(AQ165="1",BI165,0)</f>
        <v>0</v>
      </c>
      <c r="AD165" s="42">
        <f>IF(AQ165="7",BH165,0)</f>
        <v>0</v>
      </c>
      <c r="AE165" s="42">
        <f>IF(AQ165="7",BI165,0)</f>
        <v>0</v>
      </c>
      <c r="AF165" s="42">
        <f>IF(AQ165="2",BH165,0)</f>
        <v>0</v>
      </c>
      <c r="AG165" s="42">
        <f>IF(AQ165="2",BI165,0)</f>
        <v>0</v>
      </c>
      <c r="AH165" s="42">
        <f>IF(AQ165="0",BJ165,0)</f>
        <v>0</v>
      </c>
      <c r="AI165" s="41"/>
      <c r="AJ165" s="24">
        <f>IF(AN165=0,L165,0)</f>
        <v>0</v>
      </c>
      <c r="AK165" s="24">
        <f>IF(AN165=15,L165,0)</f>
        <v>0</v>
      </c>
      <c r="AL165" s="24">
        <f>IF(AN165=21,L165,0)</f>
        <v>0</v>
      </c>
      <c r="AN165" s="42">
        <v>21</v>
      </c>
      <c r="AO165" s="42">
        <f>I165*0.0768627827646847</f>
        <v>0</v>
      </c>
      <c r="AP165" s="42">
        <f>I165*(1-0.0768627827646847)</f>
        <v>0</v>
      </c>
      <c r="AQ165" s="43" t="s">
        <v>13</v>
      </c>
      <c r="AV165" s="42">
        <f>AW165+AX165</f>
        <v>0</v>
      </c>
      <c r="AW165" s="42">
        <f>H165*AO165</f>
        <v>0</v>
      </c>
      <c r="AX165" s="42">
        <f>H165*AP165</f>
        <v>0</v>
      </c>
      <c r="AY165" s="45" t="s">
        <v>492</v>
      </c>
      <c r="AZ165" s="45" t="s">
        <v>509</v>
      </c>
      <c r="BA165" s="41" t="s">
        <v>511</v>
      </c>
      <c r="BC165" s="42">
        <f>AW165+AX165</f>
        <v>0</v>
      </c>
      <c r="BD165" s="42">
        <f>I165/(100-BE165)*100</f>
        <v>0</v>
      </c>
      <c r="BE165" s="42">
        <v>0</v>
      </c>
      <c r="BF165" s="42">
        <f>164</f>
        <v>164</v>
      </c>
      <c r="BH165" s="24">
        <f>H165*AO165</f>
        <v>0</v>
      </c>
      <c r="BI165" s="24">
        <f>H165*AP165</f>
        <v>0</v>
      </c>
      <c r="BJ165" s="24">
        <f>H165*I165</f>
        <v>0</v>
      </c>
      <c r="BK165" s="24" t="s">
        <v>516</v>
      </c>
      <c r="BL165" s="42">
        <v>781</v>
      </c>
    </row>
    <row r="166" spans="1:64" x14ac:dyDescent="0.2">
      <c r="A166" s="5"/>
      <c r="B166" s="15" t="s">
        <v>84</v>
      </c>
      <c r="C166" s="94" t="s">
        <v>277</v>
      </c>
      <c r="D166" s="95"/>
      <c r="E166" s="95"/>
      <c r="F166" s="95"/>
      <c r="G166" s="95"/>
      <c r="H166" s="95"/>
      <c r="I166" s="95"/>
      <c r="J166" s="95"/>
      <c r="K166" s="95"/>
      <c r="L166" s="95"/>
      <c r="M166" s="96"/>
      <c r="N166" s="5"/>
    </row>
    <row r="167" spans="1:64" x14ac:dyDescent="0.2">
      <c r="A167" s="5"/>
      <c r="C167" s="19" t="s">
        <v>278</v>
      </c>
      <c r="F167" s="20" t="s">
        <v>389</v>
      </c>
      <c r="H167" s="68">
        <v>9.4499999999999993</v>
      </c>
      <c r="M167" s="36"/>
      <c r="N167" s="5"/>
    </row>
    <row r="168" spans="1:64" x14ac:dyDescent="0.2">
      <c r="A168" s="5"/>
      <c r="C168" s="19" t="s">
        <v>279</v>
      </c>
      <c r="F168" s="20" t="s">
        <v>405</v>
      </c>
      <c r="H168" s="68">
        <v>7.95</v>
      </c>
      <c r="M168" s="36"/>
      <c r="N168" s="5"/>
    </row>
    <row r="169" spans="1:64" x14ac:dyDescent="0.2">
      <c r="A169" s="5"/>
      <c r="C169" s="19" t="s">
        <v>279</v>
      </c>
      <c r="F169" s="20" t="s">
        <v>406</v>
      </c>
      <c r="H169" s="68">
        <v>7.95</v>
      </c>
      <c r="M169" s="36"/>
      <c r="N169" s="5"/>
    </row>
    <row r="170" spans="1:64" x14ac:dyDescent="0.2">
      <c r="A170" s="5"/>
      <c r="C170" s="19" t="s">
        <v>280</v>
      </c>
      <c r="F170" s="20" t="s">
        <v>407</v>
      </c>
      <c r="H170" s="68">
        <v>7.05</v>
      </c>
      <c r="M170" s="36"/>
      <c r="N170" s="5"/>
    </row>
    <row r="171" spans="1:64" x14ac:dyDescent="0.2">
      <c r="A171" s="5"/>
      <c r="C171" s="19" t="s">
        <v>281</v>
      </c>
      <c r="F171" s="20" t="s">
        <v>408</v>
      </c>
      <c r="H171" s="68">
        <v>7.8</v>
      </c>
      <c r="M171" s="36"/>
      <c r="N171" s="5"/>
    </row>
    <row r="172" spans="1:64" x14ac:dyDescent="0.2">
      <c r="A172" s="5"/>
      <c r="C172" s="19" t="s">
        <v>278</v>
      </c>
      <c r="F172" s="20" t="s">
        <v>409</v>
      </c>
      <c r="H172" s="68">
        <v>9.4499999999999993</v>
      </c>
      <c r="M172" s="36"/>
      <c r="N172" s="5"/>
    </row>
    <row r="173" spans="1:64" x14ac:dyDescent="0.2">
      <c r="A173" s="5"/>
      <c r="C173" s="19" t="s">
        <v>282</v>
      </c>
      <c r="F173" s="20" t="s">
        <v>391</v>
      </c>
      <c r="H173" s="68">
        <v>12.75</v>
      </c>
      <c r="M173" s="36"/>
      <c r="N173" s="5"/>
    </row>
    <row r="174" spans="1:64" x14ac:dyDescent="0.2">
      <c r="A174" s="5"/>
      <c r="C174" s="19" t="s">
        <v>283</v>
      </c>
      <c r="F174" s="20" t="s">
        <v>410</v>
      </c>
      <c r="H174" s="68">
        <v>8.85</v>
      </c>
      <c r="M174" s="36"/>
      <c r="N174" s="5"/>
    </row>
    <row r="175" spans="1:64" x14ac:dyDescent="0.2">
      <c r="A175" s="5"/>
      <c r="C175" s="19" t="s">
        <v>284</v>
      </c>
      <c r="F175" s="20" t="s">
        <v>411</v>
      </c>
      <c r="H175" s="68">
        <v>5.85</v>
      </c>
      <c r="M175" s="36"/>
      <c r="N175" s="5"/>
    </row>
    <row r="176" spans="1:64" x14ac:dyDescent="0.2">
      <c r="A176" s="5"/>
      <c r="C176" s="19" t="s">
        <v>285</v>
      </c>
      <c r="F176" s="20" t="s">
        <v>412</v>
      </c>
      <c r="H176" s="68">
        <v>5.7</v>
      </c>
      <c r="M176" s="36"/>
      <c r="N176" s="5"/>
    </row>
    <row r="177" spans="1:64" x14ac:dyDescent="0.2">
      <c r="A177" s="5"/>
      <c r="C177" s="19" t="s">
        <v>286</v>
      </c>
      <c r="F177" s="20" t="s">
        <v>413</v>
      </c>
      <c r="H177" s="68">
        <v>12.15</v>
      </c>
      <c r="M177" s="36"/>
      <c r="N177" s="5"/>
    </row>
    <row r="178" spans="1:64" x14ac:dyDescent="0.2">
      <c r="A178" s="5"/>
      <c r="C178" s="19" t="s">
        <v>287</v>
      </c>
      <c r="F178" s="20" t="s">
        <v>414</v>
      </c>
      <c r="H178" s="68">
        <v>6</v>
      </c>
      <c r="M178" s="36"/>
      <c r="N178" s="5"/>
    </row>
    <row r="179" spans="1:64" x14ac:dyDescent="0.2">
      <c r="A179" s="5"/>
      <c r="C179" s="19" t="s">
        <v>288</v>
      </c>
      <c r="F179" s="20" t="s">
        <v>415</v>
      </c>
      <c r="H179" s="68">
        <v>18.899999999999999</v>
      </c>
      <c r="M179" s="36"/>
      <c r="N179" s="5"/>
    </row>
    <row r="180" spans="1:64" x14ac:dyDescent="0.2">
      <c r="A180" s="5"/>
      <c r="C180" s="19" t="s">
        <v>289</v>
      </c>
      <c r="F180" s="20" t="s">
        <v>416</v>
      </c>
      <c r="H180" s="68">
        <v>16.5</v>
      </c>
      <c r="M180" s="36"/>
      <c r="N180" s="5"/>
    </row>
    <row r="181" spans="1:64" x14ac:dyDescent="0.2">
      <c r="A181" s="5"/>
      <c r="C181" s="19" t="s">
        <v>281</v>
      </c>
      <c r="F181" s="20" t="s">
        <v>417</v>
      </c>
      <c r="H181" s="68">
        <v>7.8</v>
      </c>
      <c r="M181" s="36"/>
      <c r="N181" s="5"/>
    </row>
    <row r="182" spans="1:64" x14ac:dyDescent="0.2">
      <c r="A182" s="5"/>
      <c r="C182" s="19" t="s">
        <v>290</v>
      </c>
      <c r="F182" s="20" t="s">
        <v>418</v>
      </c>
      <c r="H182" s="68">
        <v>6.9</v>
      </c>
      <c r="M182" s="36"/>
      <c r="N182" s="5"/>
    </row>
    <row r="183" spans="1:64" x14ac:dyDescent="0.2">
      <c r="A183" s="5"/>
      <c r="C183" s="19" t="s">
        <v>280</v>
      </c>
      <c r="F183" s="20" t="s">
        <v>419</v>
      </c>
      <c r="H183" s="68">
        <v>7.05</v>
      </c>
      <c r="M183" s="36"/>
      <c r="N183" s="5"/>
    </row>
    <row r="184" spans="1:64" x14ac:dyDescent="0.2">
      <c r="A184" s="5"/>
      <c r="C184" s="19" t="s">
        <v>291</v>
      </c>
      <c r="F184" s="20" t="s">
        <v>420</v>
      </c>
      <c r="H184" s="68">
        <v>7.5</v>
      </c>
      <c r="M184" s="36"/>
      <c r="N184" s="5"/>
    </row>
    <row r="185" spans="1:64" x14ac:dyDescent="0.2">
      <c r="A185" s="7" t="s">
        <v>48</v>
      </c>
      <c r="B185" s="17" t="s">
        <v>131</v>
      </c>
      <c r="C185" s="111" t="s">
        <v>292</v>
      </c>
      <c r="D185" s="112"/>
      <c r="E185" s="112"/>
      <c r="F185" s="112"/>
      <c r="G185" s="17" t="s">
        <v>453</v>
      </c>
      <c r="H185" s="69">
        <v>178.84800000000001</v>
      </c>
      <c r="I185" s="25">
        <v>0</v>
      </c>
      <c r="J185" s="25">
        <f>H185*AO185</f>
        <v>0</v>
      </c>
      <c r="K185" s="25">
        <f>H185*AP185</f>
        <v>0</v>
      </c>
      <c r="L185" s="25">
        <f>H185*I185</f>
        <v>0</v>
      </c>
      <c r="M185" s="38" t="s">
        <v>562</v>
      </c>
      <c r="N185" s="5"/>
      <c r="Z185" s="42">
        <f>IF(AQ185="5",BJ185,0)</f>
        <v>0</v>
      </c>
      <c r="AB185" s="42">
        <f>IF(AQ185="1",BH185,0)</f>
        <v>0</v>
      </c>
      <c r="AC185" s="42">
        <f>IF(AQ185="1",BI185,0)</f>
        <v>0</v>
      </c>
      <c r="AD185" s="42">
        <f>IF(AQ185="7",BH185,0)</f>
        <v>0</v>
      </c>
      <c r="AE185" s="42">
        <f>IF(AQ185="7",BI185,0)</f>
        <v>0</v>
      </c>
      <c r="AF185" s="42">
        <f>IF(AQ185="2",BH185,0)</f>
        <v>0</v>
      </c>
      <c r="AG185" s="42">
        <f>IF(AQ185="2",BI185,0)</f>
        <v>0</v>
      </c>
      <c r="AH185" s="42">
        <f>IF(AQ185="0",BJ185,0)</f>
        <v>0</v>
      </c>
      <c r="AI185" s="41"/>
      <c r="AJ185" s="25">
        <f>IF(AN185=0,L185,0)</f>
        <v>0</v>
      </c>
      <c r="AK185" s="25">
        <f>IF(AN185=15,L185,0)</f>
        <v>0</v>
      </c>
      <c r="AL185" s="25">
        <f>IF(AN185=21,L185,0)</f>
        <v>0</v>
      </c>
      <c r="AN185" s="42">
        <v>21</v>
      </c>
      <c r="AO185" s="42">
        <f>I185*1</f>
        <v>0</v>
      </c>
      <c r="AP185" s="42">
        <f>I185*(1-1)</f>
        <v>0</v>
      </c>
      <c r="AQ185" s="44" t="s">
        <v>13</v>
      </c>
      <c r="AV185" s="42">
        <f>AW185+AX185</f>
        <v>0</v>
      </c>
      <c r="AW185" s="42">
        <f>H185*AO185</f>
        <v>0</v>
      </c>
      <c r="AX185" s="42">
        <f>H185*AP185</f>
        <v>0</v>
      </c>
      <c r="AY185" s="45" t="s">
        <v>492</v>
      </c>
      <c r="AZ185" s="45" t="s">
        <v>509</v>
      </c>
      <c r="BA185" s="41" t="s">
        <v>511</v>
      </c>
      <c r="BC185" s="42">
        <f>AW185+AX185</f>
        <v>0</v>
      </c>
      <c r="BD185" s="42">
        <f>I185/(100-BE185)*100</f>
        <v>0</v>
      </c>
      <c r="BE185" s="42">
        <v>0</v>
      </c>
      <c r="BF185" s="42">
        <f>184</f>
        <v>184</v>
      </c>
      <c r="BH185" s="25">
        <f>H185*AO185</f>
        <v>0</v>
      </c>
      <c r="BI185" s="25">
        <f>H185*AP185</f>
        <v>0</v>
      </c>
      <c r="BJ185" s="25">
        <f>H185*I185</f>
        <v>0</v>
      </c>
      <c r="BK185" s="25" t="s">
        <v>161</v>
      </c>
      <c r="BL185" s="42">
        <v>781</v>
      </c>
    </row>
    <row r="186" spans="1:64" x14ac:dyDescent="0.2">
      <c r="A186" s="5"/>
      <c r="C186" s="19" t="s">
        <v>231</v>
      </c>
      <c r="F186" s="20"/>
      <c r="H186" s="68">
        <v>165.6</v>
      </c>
      <c r="M186" s="36"/>
      <c r="N186" s="5"/>
    </row>
    <row r="187" spans="1:64" x14ac:dyDescent="0.2">
      <c r="A187" s="5"/>
      <c r="C187" s="19" t="s">
        <v>293</v>
      </c>
      <c r="F187" s="20"/>
      <c r="H187" s="68">
        <v>13.247999999999999</v>
      </c>
      <c r="M187" s="36"/>
      <c r="N187" s="5"/>
    </row>
    <row r="188" spans="1:64" x14ac:dyDescent="0.2">
      <c r="A188" s="4" t="s">
        <v>49</v>
      </c>
      <c r="B188" s="14" t="s">
        <v>132</v>
      </c>
      <c r="C188" s="92" t="s">
        <v>294</v>
      </c>
      <c r="D188" s="93"/>
      <c r="E188" s="93"/>
      <c r="F188" s="93"/>
      <c r="G188" s="14" t="s">
        <v>455</v>
      </c>
      <c r="H188" s="67">
        <v>11.61</v>
      </c>
      <c r="I188" s="24">
        <v>0</v>
      </c>
      <c r="J188" s="24">
        <f>H188*AO188</f>
        <v>0</v>
      </c>
      <c r="K188" s="24">
        <f>H188*AP188</f>
        <v>0</v>
      </c>
      <c r="L188" s="24">
        <f>H188*I188</f>
        <v>0</v>
      </c>
      <c r="M188" s="35" t="s">
        <v>562</v>
      </c>
      <c r="N188" s="5"/>
      <c r="Z188" s="42">
        <f>IF(AQ188="5",BJ188,0)</f>
        <v>0</v>
      </c>
      <c r="AB188" s="42">
        <f>IF(AQ188="1",BH188,0)</f>
        <v>0</v>
      </c>
      <c r="AC188" s="42">
        <f>IF(AQ188="1",BI188,0)</f>
        <v>0</v>
      </c>
      <c r="AD188" s="42">
        <f>IF(AQ188="7",BH188,0)</f>
        <v>0</v>
      </c>
      <c r="AE188" s="42">
        <f>IF(AQ188="7",BI188,0)</f>
        <v>0</v>
      </c>
      <c r="AF188" s="42">
        <f>IF(AQ188="2",BH188,0)</f>
        <v>0</v>
      </c>
      <c r="AG188" s="42">
        <f>IF(AQ188="2",BI188,0)</f>
        <v>0</v>
      </c>
      <c r="AH188" s="42">
        <f>IF(AQ188="0",BJ188,0)</f>
        <v>0</v>
      </c>
      <c r="AI188" s="41"/>
      <c r="AJ188" s="24">
        <f>IF(AN188=0,L188,0)</f>
        <v>0</v>
      </c>
      <c r="AK188" s="24">
        <f>IF(AN188=15,L188,0)</f>
        <v>0</v>
      </c>
      <c r="AL188" s="24">
        <f>IF(AN188=21,L188,0)</f>
        <v>0</v>
      </c>
      <c r="AN188" s="42">
        <v>21</v>
      </c>
      <c r="AO188" s="42">
        <f>I188*0</f>
        <v>0</v>
      </c>
      <c r="AP188" s="42">
        <f>I188*(1-0)</f>
        <v>0</v>
      </c>
      <c r="AQ188" s="43" t="s">
        <v>11</v>
      </c>
      <c r="AV188" s="42">
        <f>AW188+AX188</f>
        <v>0</v>
      </c>
      <c r="AW188" s="42">
        <f>H188*AO188</f>
        <v>0</v>
      </c>
      <c r="AX188" s="42">
        <f>H188*AP188</f>
        <v>0</v>
      </c>
      <c r="AY188" s="45" t="s">
        <v>492</v>
      </c>
      <c r="AZ188" s="45" t="s">
        <v>509</v>
      </c>
      <c r="BA188" s="41" t="s">
        <v>511</v>
      </c>
      <c r="BC188" s="42">
        <f>AW188+AX188</f>
        <v>0</v>
      </c>
      <c r="BD188" s="42">
        <f>I188/(100-BE188)*100</f>
        <v>0</v>
      </c>
      <c r="BE188" s="42">
        <v>0</v>
      </c>
      <c r="BF188" s="42">
        <f>187</f>
        <v>187</v>
      </c>
      <c r="BH188" s="24">
        <f>H188*AO188</f>
        <v>0</v>
      </c>
      <c r="BI188" s="24">
        <f>H188*AP188</f>
        <v>0</v>
      </c>
      <c r="BJ188" s="24">
        <f>H188*I188</f>
        <v>0</v>
      </c>
      <c r="BK188" s="24" t="s">
        <v>516</v>
      </c>
      <c r="BL188" s="42">
        <v>781</v>
      </c>
    </row>
    <row r="189" spans="1:64" x14ac:dyDescent="0.2">
      <c r="A189" s="6"/>
      <c r="B189" s="16" t="s">
        <v>133</v>
      </c>
      <c r="C189" s="97" t="s">
        <v>295</v>
      </c>
      <c r="D189" s="98"/>
      <c r="E189" s="98"/>
      <c r="F189" s="98"/>
      <c r="G189" s="22" t="s">
        <v>6</v>
      </c>
      <c r="H189" s="22" t="s">
        <v>6</v>
      </c>
      <c r="I189" s="22" t="s">
        <v>6</v>
      </c>
      <c r="J189" s="48">
        <f>SUM(J190:J190)</f>
        <v>0</v>
      </c>
      <c r="K189" s="48">
        <f>SUM(K190:K190)</f>
        <v>0</v>
      </c>
      <c r="L189" s="48">
        <f>SUM(L190:L190)</f>
        <v>0</v>
      </c>
      <c r="M189" s="37"/>
      <c r="N189" s="5"/>
      <c r="AI189" s="41"/>
      <c r="AS189" s="48">
        <f>SUM(AJ190:AJ190)</f>
        <v>0</v>
      </c>
      <c r="AT189" s="48">
        <f>SUM(AK190:AK190)</f>
        <v>0</v>
      </c>
      <c r="AU189" s="48">
        <f>SUM(AL190:AL190)</f>
        <v>0</v>
      </c>
    </row>
    <row r="190" spans="1:64" x14ac:dyDescent="0.2">
      <c r="A190" s="4" t="s">
        <v>50</v>
      </c>
      <c r="B190" s="14" t="s">
        <v>134</v>
      </c>
      <c r="C190" s="92" t="s">
        <v>569</v>
      </c>
      <c r="D190" s="93"/>
      <c r="E190" s="93"/>
      <c r="F190" s="93"/>
      <c r="G190" s="14" t="s">
        <v>453</v>
      </c>
      <c r="H190" s="67">
        <v>443.74</v>
      </c>
      <c r="I190" s="24">
        <v>0</v>
      </c>
      <c r="J190" s="24">
        <f>H190*AO190</f>
        <v>0</v>
      </c>
      <c r="K190" s="24">
        <f>H190*AP190</f>
        <v>0</v>
      </c>
      <c r="L190" s="24">
        <f>H190*I190</f>
        <v>0</v>
      </c>
      <c r="M190" s="35" t="s">
        <v>562</v>
      </c>
      <c r="N190" s="5"/>
      <c r="Z190" s="42">
        <f>IF(AQ190="5",BJ190,0)</f>
        <v>0</v>
      </c>
      <c r="AB190" s="42">
        <f>IF(AQ190="1",BH190,0)</f>
        <v>0</v>
      </c>
      <c r="AC190" s="42">
        <f>IF(AQ190="1",BI190,0)</f>
        <v>0</v>
      </c>
      <c r="AD190" s="42">
        <f>IF(AQ190="7",BH190,0)</f>
        <v>0</v>
      </c>
      <c r="AE190" s="42">
        <f>IF(AQ190="7",BI190,0)</f>
        <v>0</v>
      </c>
      <c r="AF190" s="42">
        <f>IF(AQ190="2",BH190,0)</f>
        <v>0</v>
      </c>
      <c r="AG190" s="42">
        <f>IF(AQ190="2",BI190,0)</f>
        <v>0</v>
      </c>
      <c r="AH190" s="42">
        <f>IF(AQ190="0",BJ190,0)</f>
        <v>0</v>
      </c>
      <c r="AI190" s="41"/>
      <c r="AJ190" s="24">
        <f>IF(AN190=0,L190,0)</f>
        <v>0</v>
      </c>
      <c r="AK190" s="24">
        <f>IF(AN190=15,L190,0)</f>
        <v>0</v>
      </c>
      <c r="AL190" s="24">
        <f>IF(AN190=21,L190,0)</f>
        <v>0</v>
      </c>
      <c r="AN190" s="42">
        <v>21</v>
      </c>
      <c r="AO190" s="42">
        <f>I190*0.404519720731681</f>
        <v>0</v>
      </c>
      <c r="AP190" s="42">
        <f>I190*(1-0.404519720731681)</f>
        <v>0</v>
      </c>
      <c r="AQ190" s="43" t="s">
        <v>13</v>
      </c>
      <c r="AV190" s="42">
        <f>AW190+AX190</f>
        <v>0</v>
      </c>
      <c r="AW190" s="42">
        <f>H190*AO190</f>
        <v>0</v>
      </c>
      <c r="AX190" s="42">
        <f>H190*AP190</f>
        <v>0</v>
      </c>
      <c r="AY190" s="45" t="s">
        <v>493</v>
      </c>
      <c r="AZ190" s="45" t="s">
        <v>509</v>
      </c>
      <c r="BA190" s="41" t="s">
        <v>511</v>
      </c>
      <c r="BC190" s="42">
        <f>AW190+AX190</f>
        <v>0</v>
      </c>
      <c r="BD190" s="42">
        <f>I190/(100-BE190)*100</f>
        <v>0</v>
      </c>
      <c r="BE190" s="42">
        <v>0</v>
      </c>
      <c r="BF190" s="42">
        <f>189</f>
        <v>189</v>
      </c>
      <c r="BH190" s="24">
        <f>H190*AO190</f>
        <v>0</v>
      </c>
      <c r="BI190" s="24">
        <f>H190*AP190</f>
        <v>0</v>
      </c>
      <c r="BJ190" s="24">
        <f>H190*I190</f>
        <v>0</v>
      </c>
      <c r="BK190" s="24" t="s">
        <v>516</v>
      </c>
      <c r="BL190" s="42">
        <v>783</v>
      </c>
    </row>
    <row r="191" spans="1:64" x14ac:dyDescent="0.2">
      <c r="A191" s="5"/>
      <c r="C191" s="19" t="s">
        <v>221</v>
      </c>
      <c r="F191" s="20" t="s">
        <v>421</v>
      </c>
      <c r="H191" s="68">
        <v>371.02</v>
      </c>
      <c r="M191" s="36"/>
      <c r="N191" s="5"/>
    </row>
    <row r="192" spans="1:64" x14ac:dyDescent="0.2">
      <c r="A192" s="5"/>
      <c r="C192" s="19" t="s">
        <v>220</v>
      </c>
      <c r="F192" s="20" t="s">
        <v>397</v>
      </c>
      <c r="H192" s="68">
        <v>72.72</v>
      </c>
      <c r="M192" s="36"/>
      <c r="N192" s="5"/>
    </row>
    <row r="193" spans="1:64" x14ac:dyDescent="0.2">
      <c r="A193" s="6"/>
      <c r="B193" s="16" t="s">
        <v>135</v>
      </c>
      <c r="C193" s="97" t="s">
        <v>296</v>
      </c>
      <c r="D193" s="98"/>
      <c r="E193" s="98"/>
      <c r="F193" s="98"/>
      <c r="G193" s="22" t="s">
        <v>6</v>
      </c>
      <c r="H193" s="22" t="s">
        <v>6</v>
      </c>
      <c r="I193" s="22" t="s">
        <v>6</v>
      </c>
      <c r="J193" s="48">
        <f>SUM(J194:J200)</f>
        <v>0</v>
      </c>
      <c r="K193" s="48">
        <f>SUM(K194:K200)</f>
        <v>0</v>
      </c>
      <c r="L193" s="48">
        <f>SUM(L194:L200)</f>
        <v>0</v>
      </c>
      <c r="M193" s="37"/>
      <c r="N193" s="5"/>
      <c r="AI193" s="41"/>
      <c r="AS193" s="48">
        <f>SUM(AJ194:AJ200)</f>
        <v>0</v>
      </c>
      <c r="AT193" s="48">
        <f>SUM(AK194:AK200)</f>
        <v>0</v>
      </c>
      <c r="AU193" s="48">
        <f>SUM(AL194:AL200)</f>
        <v>0</v>
      </c>
    </row>
    <row r="194" spans="1:64" x14ac:dyDescent="0.2">
      <c r="A194" s="4" t="s">
        <v>51</v>
      </c>
      <c r="B194" s="14" t="s">
        <v>136</v>
      </c>
      <c r="C194" s="92" t="s">
        <v>567</v>
      </c>
      <c r="D194" s="93"/>
      <c r="E194" s="93"/>
      <c r="F194" s="93"/>
      <c r="G194" s="14" t="s">
        <v>453</v>
      </c>
      <c r="H194" s="67">
        <v>676.73599999999999</v>
      </c>
      <c r="I194" s="24">
        <v>0</v>
      </c>
      <c r="J194" s="24">
        <f>H194*AO194</f>
        <v>0</v>
      </c>
      <c r="K194" s="24">
        <f>H194*AP194</f>
        <v>0</v>
      </c>
      <c r="L194" s="24">
        <f>H194*I194</f>
        <v>0</v>
      </c>
      <c r="M194" s="35" t="s">
        <v>562</v>
      </c>
      <c r="N194" s="5"/>
      <c r="Z194" s="42">
        <f>IF(AQ194="5",BJ194,0)</f>
        <v>0</v>
      </c>
      <c r="AB194" s="42">
        <f>IF(AQ194="1",BH194,0)</f>
        <v>0</v>
      </c>
      <c r="AC194" s="42">
        <f>IF(AQ194="1",BI194,0)</f>
        <v>0</v>
      </c>
      <c r="AD194" s="42">
        <f>IF(AQ194="7",BH194,0)</f>
        <v>0</v>
      </c>
      <c r="AE194" s="42">
        <f>IF(AQ194="7",BI194,0)</f>
        <v>0</v>
      </c>
      <c r="AF194" s="42">
        <f>IF(AQ194="2",BH194,0)</f>
        <v>0</v>
      </c>
      <c r="AG194" s="42">
        <f>IF(AQ194="2",BI194,0)</f>
        <v>0</v>
      </c>
      <c r="AH194" s="42">
        <f>IF(AQ194="0",BJ194,0)</f>
        <v>0</v>
      </c>
      <c r="AI194" s="41"/>
      <c r="AJ194" s="24">
        <f>IF(AN194=0,L194,0)</f>
        <v>0</v>
      </c>
      <c r="AK194" s="24">
        <f>IF(AN194=15,L194,0)</f>
        <v>0</v>
      </c>
      <c r="AL194" s="24">
        <f>IF(AN194=21,L194,0)</f>
        <v>0</v>
      </c>
      <c r="AN194" s="42">
        <v>21</v>
      </c>
      <c r="AO194" s="42">
        <f>I194*0.261587962924794</f>
        <v>0</v>
      </c>
      <c r="AP194" s="42">
        <f>I194*(1-0.261587962924794)</f>
        <v>0</v>
      </c>
      <c r="AQ194" s="43" t="s">
        <v>13</v>
      </c>
      <c r="AV194" s="42">
        <f>AW194+AX194</f>
        <v>0</v>
      </c>
      <c r="AW194" s="42">
        <f>H194*AO194</f>
        <v>0</v>
      </c>
      <c r="AX194" s="42">
        <f>H194*AP194</f>
        <v>0</v>
      </c>
      <c r="AY194" s="45" t="s">
        <v>494</v>
      </c>
      <c r="AZ194" s="45" t="s">
        <v>509</v>
      </c>
      <c r="BA194" s="41" t="s">
        <v>511</v>
      </c>
      <c r="BC194" s="42">
        <f>AW194+AX194</f>
        <v>0</v>
      </c>
      <c r="BD194" s="42">
        <f>I194/(100-BE194)*100</f>
        <v>0</v>
      </c>
      <c r="BE194" s="42">
        <v>0</v>
      </c>
      <c r="BF194" s="42">
        <f>193</f>
        <v>193</v>
      </c>
      <c r="BH194" s="24">
        <f>H194*AO194</f>
        <v>0</v>
      </c>
      <c r="BI194" s="24">
        <f>H194*AP194</f>
        <v>0</v>
      </c>
      <c r="BJ194" s="24">
        <f>H194*I194</f>
        <v>0</v>
      </c>
      <c r="BK194" s="24" t="s">
        <v>516</v>
      </c>
      <c r="BL194" s="42">
        <v>784</v>
      </c>
    </row>
    <row r="195" spans="1:64" x14ac:dyDescent="0.2">
      <c r="A195" s="5"/>
      <c r="C195" s="19" t="s">
        <v>297</v>
      </c>
      <c r="F195" s="20" t="s">
        <v>422</v>
      </c>
      <c r="H195" s="68">
        <v>592.24</v>
      </c>
      <c r="M195" s="36"/>
      <c r="N195" s="5"/>
    </row>
    <row r="196" spans="1:64" x14ac:dyDescent="0.2">
      <c r="A196" s="5"/>
      <c r="C196" s="19" t="s">
        <v>209</v>
      </c>
      <c r="F196" s="20" t="s">
        <v>393</v>
      </c>
      <c r="H196" s="68">
        <v>246.78800000000001</v>
      </c>
      <c r="M196" s="36"/>
      <c r="N196" s="5"/>
    </row>
    <row r="197" spans="1:64" x14ac:dyDescent="0.2">
      <c r="A197" s="5"/>
      <c r="C197" s="19" t="s">
        <v>210</v>
      </c>
      <c r="F197" s="20" t="s">
        <v>394</v>
      </c>
      <c r="H197" s="68">
        <v>1.8440000000000001</v>
      </c>
      <c r="M197" s="36"/>
      <c r="N197" s="5"/>
    </row>
    <row r="198" spans="1:64" x14ac:dyDescent="0.2">
      <c r="A198" s="5"/>
      <c r="C198" s="19" t="s">
        <v>211</v>
      </c>
      <c r="F198" s="20" t="s">
        <v>395</v>
      </c>
      <c r="H198" s="68">
        <v>1.464</v>
      </c>
      <c r="M198" s="36"/>
      <c r="N198" s="5"/>
    </row>
    <row r="199" spans="1:64" x14ac:dyDescent="0.2">
      <c r="A199" s="5"/>
      <c r="C199" s="19" t="s">
        <v>298</v>
      </c>
      <c r="F199" s="20" t="s">
        <v>423</v>
      </c>
      <c r="H199" s="68">
        <v>-165.6</v>
      </c>
      <c r="M199" s="36"/>
      <c r="N199" s="5"/>
    </row>
    <row r="200" spans="1:64" x14ac:dyDescent="0.2">
      <c r="A200" s="4" t="s">
        <v>52</v>
      </c>
      <c r="B200" s="14" t="s">
        <v>137</v>
      </c>
      <c r="C200" s="92" t="s">
        <v>568</v>
      </c>
      <c r="D200" s="93"/>
      <c r="E200" s="93"/>
      <c r="F200" s="93"/>
      <c r="G200" s="14" t="s">
        <v>453</v>
      </c>
      <c r="H200" s="67">
        <v>676.73599999999999</v>
      </c>
      <c r="I200" s="24">
        <v>0</v>
      </c>
      <c r="J200" s="24">
        <f>H200*AO200</f>
        <v>0</v>
      </c>
      <c r="K200" s="24">
        <f>H200*AP200</f>
        <v>0</v>
      </c>
      <c r="L200" s="24">
        <f>H200*I200</f>
        <v>0</v>
      </c>
      <c r="M200" s="35" t="s">
        <v>562</v>
      </c>
      <c r="N200" s="5"/>
      <c r="Z200" s="42">
        <f>IF(AQ200="5",BJ200,0)</f>
        <v>0</v>
      </c>
      <c r="AB200" s="42">
        <f>IF(AQ200="1",BH200,0)</f>
        <v>0</v>
      </c>
      <c r="AC200" s="42">
        <f>IF(AQ200="1",BI200,0)</f>
        <v>0</v>
      </c>
      <c r="AD200" s="42">
        <f>IF(AQ200="7",BH200,0)</f>
        <v>0</v>
      </c>
      <c r="AE200" s="42">
        <f>IF(AQ200="7",BI200,0)</f>
        <v>0</v>
      </c>
      <c r="AF200" s="42">
        <f>IF(AQ200="2",BH200,0)</f>
        <v>0</v>
      </c>
      <c r="AG200" s="42">
        <f>IF(AQ200="2",BI200,0)</f>
        <v>0</v>
      </c>
      <c r="AH200" s="42">
        <f>IF(AQ200="0",BJ200,0)</f>
        <v>0</v>
      </c>
      <c r="AI200" s="41"/>
      <c r="AJ200" s="24">
        <f>IF(AN200=0,L200,0)</f>
        <v>0</v>
      </c>
      <c r="AK200" s="24">
        <f>IF(AN200=15,L200,0)</f>
        <v>0</v>
      </c>
      <c r="AL200" s="24">
        <f>IF(AN200=21,L200,0)</f>
        <v>0</v>
      </c>
      <c r="AN200" s="42">
        <v>21</v>
      </c>
      <c r="AO200" s="42">
        <f>I200*0.238713161350829</f>
        <v>0</v>
      </c>
      <c r="AP200" s="42">
        <f>I200*(1-0.238713161350829)</f>
        <v>0</v>
      </c>
      <c r="AQ200" s="43" t="s">
        <v>13</v>
      </c>
      <c r="AV200" s="42">
        <f>AW200+AX200</f>
        <v>0</v>
      </c>
      <c r="AW200" s="42">
        <f>H200*AO200</f>
        <v>0</v>
      </c>
      <c r="AX200" s="42">
        <f>H200*AP200</f>
        <v>0</v>
      </c>
      <c r="AY200" s="45" t="s">
        <v>494</v>
      </c>
      <c r="AZ200" s="45" t="s">
        <v>509</v>
      </c>
      <c r="BA200" s="41" t="s">
        <v>511</v>
      </c>
      <c r="BC200" s="42">
        <f>AW200+AX200</f>
        <v>0</v>
      </c>
      <c r="BD200" s="42">
        <f>I200/(100-BE200)*100</f>
        <v>0</v>
      </c>
      <c r="BE200" s="42">
        <v>0</v>
      </c>
      <c r="BF200" s="42">
        <f>199</f>
        <v>199</v>
      </c>
      <c r="BH200" s="24">
        <f>H200*AO200</f>
        <v>0</v>
      </c>
      <c r="BI200" s="24">
        <f>H200*AP200</f>
        <v>0</v>
      </c>
      <c r="BJ200" s="24">
        <f>H200*I200</f>
        <v>0</v>
      </c>
      <c r="BK200" s="24" t="s">
        <v>516</v>
      </c>
      <c r="BL200" s="42">
        <v>784</v>
      </c>
    </row>
    <row r="201" spans="1:64" x14ac:dyDescent="0.2">
      <c r="A201" s="5"/>
      <c r="C201" s="19" t="s">
        <v>297</v>
      </c>
      <c r="F201" s="20" t="s">
        <v>422</v>
      </c>
      <c r="H201" s="68">
        <v>592.24</v>
      </c>
      <c r="M201" s="36"/>
      <c r="N201" s="5"/>
    </row>
    <row r="202" spans="1:64" x14ac:dyDescent="0.2">
      <c r="A202" s="5"/>
      <c r="C202" s="19" t="s">
        <v>209</v>
      </c>
      <c r="F202" s="20" t="s">
        <v>393</v>
      </c>
      <c r="H202" s="68">
        <v>246.78800000000001</v>
      </c>
      <c r="M202" s="36"/>
      <c r="N202" s="5"/>
    </row>
    <row r="203" spans="1:64" x14ac:dyDescent="0.2">
      <c r="A203" s="5"/>
      <c r="C203" s="19" t="s">
        <v>210</v>
      </c>
      <c r="F203" s="20" t="s">
        <v>394</v>
      </c>
      <c r="H203" s="68">
        <v>1.8440000000000001</v>
      </c>
      <c r="M203" s="36"/>
      <c r="N203" s="5"/>
    </row>
    <row r="204" spans="1:64" x14ac:dyDescent="0.2">
      <c r="A204" s="5"/>
      <c r="C204" s="19" t="s">
        <v>211</v>
      </c>
      <c r="F204" s="20" t="s">
        <v>395</v>
      </c>
      <c r="H204" s="68">
        <v>1.464</v>
      </c>
      <c r="M204" s="36"/>
      <c r="N204" s="5"/>
    </row>
    <row r="205" spans="1:64" x14ac:dyDescent="0.2">
      <c r="A205" s="5"/>
      <c r="C205" s="19" t="s">
        <v>298</v>
      </c>
      <c r="F205" s="20" t="s">
        <v>423</v>
      </c>
      <c r="H205" s="68">
        <v>-165.6</v>
      </c>
      <c r="M205" s="36"/>
      <c r="N205" s="5"/>
    </row>
    <row r="206" spans="1:64" x14ac:dyDescent="0.2">
      <c r="A206" s="6"/>
      <c r="B206" s="16" t="s">
        <v>138</v>
      </c>
      <c r="C206" s="97" t="s">
        <v>299</v>
      </c>
      <c r="D206" s="98"/>
      <c r="E206" s="98"/>
      <c r="F206" s="98"/>
      <c r="G206" s="22" t="s">
        <v>6</v>
      </c>
      <c r="H206" s="22" t="s">
        <v>6</v>
      </c>
      <c r="I206" s="22" t="s">
        <v>6</v>
      </c>
      <c r="J206" s="48">
        <f>SUM(J207:J207)</f>
        <v>0</v>
      </c>
      <c r="K206" s="48">
        <f>SUM(K207:K207)</f>
        <v>0</v>
      </c>
      <c r="L206" s="48">
        <f>SUM(L207:L207)</f>
        <v>0</v>
      </c>
      <c r="M206" s="37"/>
      <c r="N206" s="5"/>
      <c r="AI206" s="41"/>
      <c r="AS206" s="48">
        <f>SUM(AJ207:AJ207)</f>
        <v>0</v>
      </c>
      <c r="AT206" s="48">
        <f>SUM(AK207:AK207)</f>
        <v>0</v>
      </c>
      <c r="AU206" s="48">
        <f>SUM(AL207:AL207)</f>
        <v>0</v>
      </c>
    </row>
    <row r="207" spans="1:64" x14ac:dyDescent="0.2">
      <c r="A207" s="4" t="s">
        <v>53</v>
      </c>
      <c r="B207" s="14" t="s">
        <v>139</v>
      </c>
      <c r="C207" s="92" t="s">
        <v>300</v>
      </c>
      <c r="D207" s="93"/>
      <c r="E207" s="93"/>
      <c r="F207" s="93"/>
      <c r="G207" s="14" t="s">
        <v>453</v>
      </c>
      <c r="H207" s="67">
        <v>592.24</v>
      </c>
      <c r="I207" s="24">
        <v>0</v>
      </c>
      <c r="J207" s="24">
        <f>H207*AO207</f>
        <v>0</v>
      </c>
      <c r="K207" s="24">
        <f>H207*AP207</f>
        <v>0</v>
      </c>
      <c r="L207" s="24">
        <f>H207*I207</f>
        <v>0</v>
      </c>
      <c r="M207" s="35" t="s">
        <v>562</v>
      </c>
      <c r="N207" s="5"/>
      <c r="Z207" s="42">
        <f>IF(AQ207="5",BJ207,0)</f>
        <v>0</v>
      </c>
      <c r="AB207" s="42">
        <f>IF(AQ207="1",BH207,0)</f>
        <v>0</v>
      </c>
      <c r="AC207" s="42">
        <f>IF(AQ207="1",BI207,0)</f>
        <v>0</v>
      </c>
      <c r="AD207" s="42">
        <f>IF(AQ207="7",BH207,0)</f>
        <v>0</v>
      </c>
      <c r="AE207" s="42">
        <f>IF(AQ207="7",BI207,0)</f>
        <v>0</v>
      </c>
      <c r="AF207" s="42">
        <f>IF(AQ207="2",BH207,0)</f>
        <v>0</v>
      </c>
      <c r="AG207" s="42">
        <f>IF(AQ207="2",BI207,0)</f>
        <v>0</v>
      </c>
      <c r="AH207" s="42">
        <f>IF(AQ207="0",BJ207,0)</f>
        <v>0</v>
      </c>
      <c r="AI207" s="41"/>
      <c r="AJ207" s="24">
        <f>IF(AN207=0,L207,0)</f>
        <v>0</v>
      </c>
      <c r="AK207" s="24">
        <f>IF(AN207=15,L207,0)</f>
        <v>0</v>
      </c>
      <c r="AL207" s="24">
        <f>IF(AN207=21,L207,0)</f>
        <v>0</v>
      </c>
      <c r="AN207" s="42">
        <v>21</v>
      </c>
      <c r="AO207" s="42">
        <f>I207*0.327179392744627</f>
        <v>0</v>
      </c>
      <c r="AP207" s="42">
        <f>I207*(1-0.327179392744627)</f>
        <v>0</v>
      </c>
      <c r="AQ207" s="43" t="s">
        <v>7</v>
      </c>
      <c r="AV207" s="42">
        <f>AW207+AX207</f>
        <v>0</v>
      </c>
      <c r="AW207" s="42">
        <f>H207*AO207</f>
        <v>0</v>
      </c>
      <c r="AX207" s="42">
        <f>H207*AP207</f>
        <v>0</v>
      </c>
      <c r="AY207" s="45" t="s">
        <v>495</v>
      </c>
      <c r="AZ207" s="45" t="s">
        <v>510</v>
      </c>
      <c r="BA207" s="41" t="s">
        <v>511</v>
      </c>
      <c r="BC207" s="42">
        <f>AW207+AX207</f>
        <v>0</v>
      </c>
      <c r="BD207" s="42">
        <f>I207/(100-BE207)*100</f>
        <v>0</v>
      </c>
      <c r="BE207" s="42">
        <v>0</v>
      </c>
      <c r="BF207" s="42">
        <f>206</f>
        <v>206</v>
      </c>
      <c r="BH207" s="24">
        <f>H207*AO207</f>
        <v>0</v>
      </c>
      <c r="BI207" s="24">
        <f>H207*AP207</f>
        <v>0</v>
      </c>
      <c r="BJ207" s="24">
        <f>H207*I207</f>
        <v>0</v>
      </c>
      <c r="BK207" s="24" t="s">
        <v>516</v>
      </c>
      <c r="BL207" s="42">
        <v>94</v>
      </c>
    </row>
    <row r="208" spans="1:64" x14ac:dyDescent="0.2">
      <c r="A208" s="5"/>
      <c r="C208" s="19" t="s">
        <v>297</v>
      </c>
      <c r="F208" s="20"/>
      <c r="H208" s="68">
        <v>592.24</v>
      </c>
      <c r="M208" s="36"/>
      <c r="N208" s="5"/>
    </row>
    <row r="209" spans="1:64" x14ac:dyDescent="0.2">
      <c r="A209" s="6"/>
      <c r="B209" s="16" t="s">
        <v>140</v>
      </c>
      <c r="C209" s="97" t="s">
        <v>301</v>
      </c>
      <c r="D209" s="98"/>
      <c r="E209" s="98"/>
      <c r="F209" s="98"/>
      <c r="G209" s="22" t="s">
        <v>6</v>
      </c>
      <c r="H209" s="22" t="s">
        <v>6</v>
      </c>
      <c r="I209" s="22" t="s">
        <v>6</v>
      </c>
      <c r="J209" s="48">
        <f>SUM(J210:J214)</f>
        <v>0</v>
      </c>
      <c r="K209" s="48">
        <f>SUM(K210:K214)</f>
        <v>0</v>
      </c>
      <c r="L209" s="48">
        <f>SUM(L210:L214)</f>
        <v>0</v>
      </c>
      <c r="M209" s="37"/>
      <c r="N209" s="5"/>
      <c r="AI209" s="41"/>
      <c r="AS209" s="48">
        <f>SUM(AJ210:AJ214)</f>
        <v>0</v>
      </c>
      <c r="AT209" s="48">
        <f>SUM(AK210:AK214)</f>
        <v>0</v>
      </c>
      <c r="AU209" s="48">
        <f>SUM(AL210:AL214)</f>
        <v>0</v>
      </c>
    </row>
    <row r="210" spans="1:64" x14ac:dyDescent="0.2">
      <c r="A210" s="4" t="s">
        <v>54</v>
      </c>
      <c r="B210" s="14" t="s">
        <v>141</v>
      </c>
      <c r="C210" s="92" t="s">
        <v>302</v>
      </c>
      <c r="D210" s="93"/>
      <c r="E210" s="93"/>
      <c r="F210" s="93"/>
      <c r="G210" s="14" t="s">
        <v>453</v>
      </c>
      <c r="H210" s="67">
        <v>592.24</v>
      </c>
      <c r="I210" s="24">
        <v>0</v>
      </c>
      <c r="J210" s="24">
        <f>H210*AO210</f>
        <v>0</v>
      </c>
      <c r="K210" s="24">
        <f>H210*AP210</f>
        <v>0</v>
      </c>
      <c r="L210" s="24">
        <f>H210*I210</f>
        <v>0</v>
      </c>
      <c r="M210" s="35" t="s">
        <v>562</v>
      </c>
      <c r="N210" s="5"/>
      <c r="Z210" s="42">
        <f>IF(AQ210="5",BJ210,0)</f>
        <v>0</v>
      </c>
      <c r="AB210" s="42">
        <f>IF(AQ210="1",BH210,0)</f>
        <v>0</v>
      </c>
      <c r="AC210" s="42">
        <f>IF(AQ210="1",BI210,0)</f>
        <v>0</v>
      </c>
      <c r="AD210" s="42">
        <f>IF(AQ210="7",BH210,0)</f>
        <v>0</v>
      </c>
      <c r="AE210" s="42">
        <f>IF(AQ210="7",BI210,0)</f>
        <v>0</v>
      </c>
      <c r="AF210" s="42">
        <f>IF(AQ210="2",BH210,0)</f>
        <v>0</v>
      </c>
      <c r="AG210" s="42">
        <f>IF(AQ210="2",BI210,0)</f>
        <v>0</v>
      </c>
      <c r="AH210" s="42">
        <f>IF(AQ210="0",BJ210,0)</f>
        <v>0</v>
      </c>
      <c r="AI210" s="41"/>
      <c r="AJ210" s="24">
        <f>IF(AN210=0,L210,0)</f>
        <v>0</v>
      </c>
      <c r="AK210" s="24">
        <f>IF(AN210=15,L210,0)</f>
        <v>0</v>
      </c>
      <c r="AL210" s="24">
        <f>IF(AN210=21,L210,0)</f>
        <v>0</v>
      </c>
      <c r="AN210" s="42">
        <v>21</v>
      </c>
      <c r="AO210" s="42">
        <f>I210*0.012078431372549</f>
        <v>0</v>
      </c>
      <c r="AP210" s="42">
        <f>I210*(1-0.012078431372549)</f>
        <v>0</v>
      </c>
      <c r="AQ210" s="43" t="s">
        <v>7</v>
      </c>
      <c r="AV210" s="42">
        <f>AW210+AX210</f>
        <v>0</v>
      </c>
      <c r="AW210" s="42">
        <f>H210*AO210</f>
        <v>0</v>
      </c>
      <c r="AX210" s="42">
        <f>H210*AP210</f>
        <v>0</v>
      </c>
      <c r="AY210" s="45" t="s">
        <v>496</v>
      </c>
      <c r="AZ210" s="45" t="s">
        <v>510</v>
      </c>
      <c r="BA210" s="41" t="s">
        <v>511</v>
      </c>
      <c r="BC210" s="42">
        <f>AW210+AX210</f>
        <v>0</v>
      </c>
      <c r="BD210" s="42">
        <f>I210/(100-BE210)*100</f>
        <v>0</v>
      </c>
      <c r="BE210" s="42">
        <v>0</v>
      </c>
      <c r="BF210" s="42">
        <f>209</f>
        <v>209</v>
      </c>
      <c r="BH210" s="24">
        <f>H210*AO210</f>
        <v>0</v>
      </c>
      <c r="BI210" s="24">
        <f>H210*AP210</f>
        <v>0</v>
      </c>
      <c r="BJ210" s="24">
        <f>H210*I210</f>
        <v>0</v>
      </c>
      <c r="BK210" s="24" t="s">
        <v>516</v>
      </c>
      <c r="BL210" s="42">
        <v>95</v>
      </c>
    </row>
    <row r="211" spans="1:64" x14ac:dyDescent="0.2">
      <c r="A211" s="5"/>
      <c r="C211" s="19" t="s">
        <v>303</v>
      </c>
      <c r="F211" s="20"/>
      <c r="H211" s="68">
        <v>592.24</v>
      </c>
      <c r="M211" s="36"/>
      <c r="N211" s="5"/>
    </row>
    <row r="212" spans="1:64" x14ac:dyDescent="0.2">
      <c r="A212" s="4" t="s">
        <v>55</v>
      </c>
      <c r="B212" s="14" t="s">
        <v>142</v>
      </c>
      <c r="C212" s="92" t="s">
        <v>304</v>
      </c>
      <c r="D212" s="93"/>
      <c r="E212" s="93"/>
      <c r="F212" s="93"/>
      <c r="G212" s="14" t="s">
        <v>452</v>
      </c>
      <c r="H212" s="67">
        <v>1</v>
      </c>
      <c r="I212" s="24">
        <v>0</v>
      </c>
      <c r="J212" s="24">
        <f>H212*AO212</f>
        <v>0</v>
      </c>
      <c r="K212" s="24">
        <f>H212*AP212</f>
        <v>0</v>
      </c>
      <c r="L212" s="24">
        <f>H212*I212</f>
        <v>0</v>
      </c>
      <c r="M212" s="35"/>
      <c r="N212" s="5"/>
      <c r="Z212" s="42">
        <f>IF(AQ212="5",BJ212,0)</f>
        <v>0</v>
      </c>
      <c r="AB212" s="42">
        <f>IF(AQ212="1",BH212,0)</f>
        <v>0</v>
      </c>
      <c r="AC212" s="42">
        <f>IF(AQ212="1",BI212,0)</f>
        <v>0</v>
      </c>
      <c r="AD212" s="42">
        <f>IF(AQ212="7",BH212,0)</f>
        <v>0</v>
      </c>
      <c r="AE212" s="42">
        <f>IF(AQ212="7",BI212,0)</f>
        <v>0</v>
      </c>
      <c r="AF212" s="42">
        <f>IF(AQ212="2",BH212,0)</f>
        <v>0</v>
      </c>
      <c r="AG212" s="42">
        <f>IF(AQ212="2",BI212,0)</f>
        <v>0</v>
      </c>
      <c r="AH212" s="42">
        <f>IF(AQ212="0",BJ212,0)</f>
        <v>0</v>
      </c>
      <c r="AI212" s="41"/>
      <c r="AJ212" s="24">
        <f>IF(AN212=0,L212,0)</f>
        <v>0</v>
      </c>
      <c r="AK212" s="24">
        <f>IF(AN212=15,L212,0)</f>
        <v>0</v>
      </c>
      <c r="AL212" s="24">
        <f>IF(AN212=21,L212,0)</f>
        <v>0</v>
      </c>
      <c r="AN212" s="42">
        <v>21</v>
      </c>
      <c r="AO212" s="42">
        <f>I212*0</f>
        <v>0</v>
      </c>
      <c r="AP212" s="42">
        <f>I212*(1-0)</f>
        <v>0</v>
      </c>
      <c r="AQ212" s="43" t="s">
        <v>7</v>
      </c>
      <c r="AV212" s="42">
        <f>AW212+AX212</f>
        <v>0</v>
      </c>
      <c r="AW212" s="42">
        <f>H212*AO212</f>
        <v>0</v>
      </c>
      <c r="AX212" s="42">
        <f>H212*AP212</f>
        <v>0</v>
      </c>
      <c r="AY212" s="45" t="s">
        <v>496</v>
      </c>
      <c r="AZ212" s="45" t="s">
        <v>510</v>
      </c>
      <c r="BA212" s="41" t="s">
        <v>511</v>
      </c>
      <c r="BC212" s="42">
        <f>AW212+AX212</f>
        <v>0</v>
      </c>
      <c r="BD212" s="42">
        <f>I212/(100-BE212)*100</f>
        <v>0</v>
      </c>
      <c r="BE212" s="42">
        <v>0</v>
      </c>
      <c r="BF212" s="42">
        <f>211</f>
        <v>211</v>
      </c>
      <c r="BH212" s="24">
        <f>H212*AO212</f>
        <v>0</v>
      </c>
      <c r="BI212" s="24">
        <f>H212*AP212</f>
        <v>0</v>
      </c>
      <c r="BJ212" s="24">
        <f>H212*I212</f>
        <v>0</v>
      </c>
      <c r="BK212" s="24" t="s">
        <v>516</v>
      </c>
      <c r="BL212" s="42">
        <v>95</v>
      </c>
    </row>
    <row r="213" spans="1:64" x14ac:dyDescent="0.2">
      <c r="A213" s="5"/>
      <c r="C213" s="19" t="s">
        <v>7</v>
      </c>
      <c r="F213" s="20"/>
      <c r="H213" s="68">
        <v>1</v>
      </c>
      <c r="M213" s="36"/>
      <c r="N213" s="5"/>
    </row>
    <row r="214" spans="1:64" x14ac:dyDescent="0.2">
      <c r="A214" s="4" t="s">
        <v>56</v>
      </c>
      <c r="B214" s="14" t="s">
        <v>143</v>
      </c>
      <c r="C214" s="92" t="s">
        <v>305</v>
      </c>
      <c r="D214" s="93"/>
      <c r="E214" s="93"/>
      <c r="F214" s="93"/>
      <c r="G214" s="14" t="s">
        <v>454</v>
      </c>
      <c r="H214" s="67">
        <v>1</v>
      </c>
      <c r="I214" s="24">
        <v>0</v>
      </c>
      <c r="J214" s="24">
        <f>H214*AO214</f>
        <v>0</v>
      </c>
      <c r="K214" s="24">
        <f>H214*AP214</f>
        <v>0</v>
      </c>
      <c r="L214" s="24">
        <f>H214*I214</f>
        <v>0</v>
      </c>
      <c r="M214" s="35"/>
      <c r="N214" s="5"/>
      <c r="Z214" s="42">
        <f>IF(AQ214="5",BJ214,0)</f>
        <v>0</v>
      </c>
      <c r="AB214" s="42">
        <f>IF(AQ214="1",BH214,0)</f>
        <v>0</v>
      </c>
      <c r="AC214" s="42">
        <f>IF(AQ214="1",BI214,0)</f>
        <v>0</v>
      </c>
      <c r="AD214" s="42">
        <f>IF(AQ214="7",BH214,0)</f>
        <v>0</v>
      </c>
      <c r="AE214" s="42">
        <f>IF(AQ214="7",BI214,0)</f>
        <v>0</v>
      </c>
      <c r="AF214" s="42">
        <f>IF(AQ214="2",BH214,0)</f>
        <v>0</v>
      </c>
      <c r="AG214" s="42">
        <f>IF(AQ214="2",BI214,0)</f>
        <v>0</v>
      </c>
      <c r="AH214" s="42">
        <f>IF(AQ214="0",BJ214,0)</f>
        <v>0</v>
      </c>
      <c r="AI214" s="41"/>
      <c r="AJ214" s="24">
        <f>IF(AN214=0,L214,0)</f>
        <v>0</v>
      </c>
      <c r="AK214" s="24">
        <f>IF(AN214=15,L214,0)</f>
        <v>0</v>
      </c>
      <c r="AL214" s="24">
        <f>IF(AN214=21,L214,0)</f>
        <v>0</v>
      </c>
      <c r="AN214" s="42">
        <v>21</v>
      </c>
      <c r="AO214" s="42">
        <f>I214*0</f>
        <v>0</v>
      </c>
      <c r="AP214" s="42">
        <f>I214*(1-0)</f>
        <v>0</v>
      </c>
      <c r="AQ214" s="43" t="s">
        <v>7</v>
      </c>
      <c r="AV214" s="42">
        <f>AW214+AX214</f>
        <v>0</v>
      </c>
      <c r="AW214" s="42">
        <f>H214*AO214</f>
        <v>0</v>
      </c>
      <c r="AX214" s="42">
        <f>H214*AP214</f>
        <v>0</v>
      </c>
      <c r="AY214" s="45" t="s">
        <v>496</v>
      </c>
      <c r="AZ214" s="45" t="s">
        <v>510</v>
      </c>
      <c r="BA214" s="41" t="s">
        <v>511</v>
      </c>
      <c r="BC214" s="42">
        <f>AW214+AX214</f>
        <v>0</v>
      </c>
      <c r="BD214" s="42">
        <f>I214/(100-BE214)*100</f>
        <v>0</v>
      </c>
      <c r="BE214" s="42">
        <v>0</v>
      </c>
      <c r="BF214" s="42">
        <f>213</f>
        <v>213</v>
      </c>
      <c r="BH214" s="24">
        <f>H214*AO214</f>
        <v>0</v>
      </c>
      <c r="BI214" s="24">
        <f>H214*AP214</f>
        <v>0</v>
      </c>
      <c r="BJ214" s="24">
        <f>H214*I214</f>
        <v>0</v>
      </c>
      <c r="BK214" s="24" t="s">
        <v>516</v>
      </c>
      <c r="BL214" s="42">
        <v>95</v>
      </c>
    </row>
    <row r="215" spans="1:64" ht="29.25" customHeight="1" x14ac:dyDescent="0.2">
      <c r="A215" s="5"/>
      <c r="B215" s="15" t="s">
        <v>84</v>
      </c>
      <c r="C215" s="94" t="s">
        <v>591</v>
      </c>
      <c r="D215" s="95"/>
      <c r="E215" s="95"/>
      <c r="F215" s="95"/>
      <c r="G215" s="95"/>
      <c r="H215" s="95"/>
      <c r="I215" s="95"/>
      <c r="J215" s="95"/>
      <c r="K215" s="95"/>
      <c r="L215" s="95"/>
      <c r="M215" s="96"/>
      <c r="N215" s="5"/>
    </row>
    <row r="216" spans="1:64" x14ac:dyDescent="0.2">
      <c r="A216" s="5"/>
      <c r="C216" s="19" t="s">
        <v>7</v>
      </c>
      <c r="F216" s="20"/>
      <c r="H216" s="68">
        <v>1</v>
      </c>
      <c r="M216" s="36"/>
      <c r="N216" s="5"/>
    </row>
    <row r="217" spans="1:64" x14ac:dyDescent="0.2">
      <c r="A217" s="6"/>
      <c r="B217" s="16" t="s">
        <v>144</v>
      </c>
      <c r="C217" s="97" t="s">
        <v>306</v>
      </c>
      <c r="D217" s="98"/>
      <c r="E217" s="98"/>
      <c r="F217" s="98"/>
      <c r="G217" s="22" t="s">
        <v>6</v>
      </c>
      <c r="H217" s="22" t="s">
        <v>6</v>
      </c>
      <c r="I217" s="22" t="s">
        <v>6</v>
      </c>
      <c r="J217" s="48">
        <f>SUM(J218:J270)</f>
        <v>0</v>
      </c>
      <c r="K217" s="48">
        <f>SUM(K218:K270)</f>
        <v>0</v>
      </c>
      <c r="L217" s="48">
        <f>SUM(L218:L270)</f>
        <v>0</v>
      </c>
      <c r="M217" s="37"/>
      <c r="N217" s="5"/>
      <c r="AI217" s="41"/>
      <c r="AS217" s="48">
        <f>SUM(AJ218:AJ270)</f>
        <v>0</v>
      </c>
      <c r="AT217" s="48">
        <f>SUM(AK218:AK270)</f>
        <v>0</v>
      </c>
      <c r="AU217" s="48">
        <f>SUM(AL218:AL270)</f>
        <v>0</v>
      </c>
    </row>
    <row r="218" spans="1:64" x14ac:dyDescent="0.2">
      <c r="A218" s="4" t="s">
        <v>57</v>
      </c>
      <c r="B218" s="14" t="s">
        <v>145</v>
      </c>
      <c r="C218" s="92" t="s">
        <v>307</v>
      </c>
      <c r="D218" s="93"/>
      <c r="E218" s="93"/>
      <c r="F218" s="93"/>
      <c r="G218" s="14" t="s">
        <v>457</v>
      </c>
      <c r="H218" s="67">
        <v>16.353999999999999</v>
      </c>
      <c r="I218" s="24">
        <v>0</v>
      </c>
      <c r="J218" s="24">
        <f>H218*AO218</f>
        <v>0</v>
      </c>
      <c r="K218" s="24">
        <f>H218*AP218</f>
        <v>0</v>
      </c>
      <c r="L218" s="24">
        <f>H218*I218</f>
        <v>0</v>
      </c>
      <c r="M218" s="35" t="s">
        <v>562</v>
      </c>
      <c r="N218" s="5"/>
      <c r="Z218" s="42">
        <f>IF(AQ218="5",BJ218,0)</f>
        <v>0</v>
      </c>
      <c r="AB218" s="42">
        <f>IF(AQ218="1",BH218,0)</f>
        <v>0</v>
      </c>
      <c r="AC218" s="42">
        <f>IF(AQ218="1",BI218,0)</f>
        <v>0</v>
      </c>
      <c r="AD218" s="42">
        <f>IF(AQ218="7",BH218,0)</f>
        <v>0</v>
      </c>
      <c r="AE218" s="42">
        <f>IF(AQ218="7",BI218,0)</f>
        <v>0</v>
      </c>
      <c r="AF218" s="42">
        <f>IF(AQ218="2",BH218,0)</f>
        <v>0</v>
      </c>
      <c r="AG218" s="42">
        <f>IF(AQ218="2",BI218,0)</f>
        <v>0</v>
      </c>
      <c r="AH218" s="42">
        <f>IF(AQ218="0",BJ218,0)</f>
        <v>0</v>
      </c>
      <c r="AI218" s="41"/>
      <c r="AJ218" s="24">
        <f>IF(AN218=0,L218,0)</f>
        <v>0</v>
      </c>
      <c r="AK218" s="24">
        <f>IF(AN218=15,L218,0)</f>
        <v>0</v>
      </c>
      <c r="AL218" s="24">
        <f>IF(AN218=21,L218,0)</f>
        <v>0</v>
      </c>
      <c r="AN218" s="42">
        <v>21</v>
      </c>
      <c r="AO218" s="42">
        <f>I218*0.0395688548073291</f>
        <v>0</v>
      </c>
      <c r="AP218" s="42">
        <f>I218*(1-0.0395688548073291)</f>
        <v>0</v>
      </c>
      <c r="AQ218" s="43" t="s">
        <v>7</v>
      </c>
      <c r="AV218" s="42">
        <f>AW218+AX218</f>
        <v>0</v>
      </c>
      <c r="AW218" s="42">
        <f>H218*AO218</f>
        <v>0</v>
      </c>
      <c r="AX218" s="42">
        <f>H218*AP218</f>
        <v>0</v>
      </c>
      <c r="AY218" s="45" t="s">
        <v>497</v>
      </c>
      <c r="AZ218" s="45" t="s">
        <v>510</v>
      </c>
      <c r="BA218" s="41" t="s">
        <v>511</v>
      </c>
      <c r="BC218" s="42">
        <f>AW218+AX218</f>
        <v>0</v>
      </c>
      <c r="BD218" s="42">
        <f>I218/(100-BE218)*100</f>
        <v>0</v>
      </c>
      <c r="BE218" s="42">
        <v>0</v>
      </c>
      <c r="BF218" s="42">
        <f>216</f>
        <v>216</v>
      </c>
      <c r="BH218" s="24">
        <f>H218*AO218</f>
        <v>0</v>
      </c>
      <c r="BI218" s="24">
        <f>H218*AP218</f>
        <v>0</v>
      </c>
      <c r="BJ218" s="24">
        <f>H218*I218</f>
        <v>0</v>
      </c>
      <c r="BK218" s="24" t="s">
        <v>516</v>
      </c>
      <c r="BL218" s="42">
        <v>96</v>
      </c>
    </row>
    <row r="219" spans="1:64" x14ac:dyDescent="0.2">
      <c r="A219" s="5"/>
      <c r="C219" s="19"/>
      <c r="F219" s="20" t="s">
        <v>424</v>
      </c>
      <c r="H219" s="68">
        <v>0</v>
      </c>
      <c r="M219" s="36"/>
      <c r="N219" s="5"/>
    </row>
    <row r="220" spans="1:64" x14ac:dyDescent="0.2">
      <c r="A220" s="5"/>
      <c r="C220" s="19" t="s">
        <v>308</v>
      </c>
      <c r="F220" s="20" t="s">
        <v>425</v>
      </c>
      <c r="H220" s="68">
        <v>1.137</v>
      </c>
      <c r="M220" s="36"/>
      <c r="N220" s="5"/>
    </row>
    <row r="221" spans="1:64" x14ac:dyDescent="0.2">
      <c r="A221" s="5"/>
      <c r="C221" s="19" t="s">
        <v>309</v>
      </c>
      <c r="F221" s="20"/>
      <c r="H221" s="68">
        <v>-0.28000000000000003</v>
      </c>
      <c r="M221" s="36"/>
      <c r="N221" s="5"/>
    </row>
    <row r="222" spans="1:64" x14ac:dyDescent="0.2">
      <c r="A222" s="5"/>
      <c r="C222" s="19" t="s">
        <v>310</v>
      </c>
      <c r="F222" s="20"/>
      <c r="H222" s="68">
        <v>-0.18</v>
      </c>
      <c r="M222" s="36"/>
      <c r="N222" s="5"/>
    </row>
    <row r="223" spans="1:64" x14ac:dyDescent="0.2">
      <c r="A223" s="5"/>
      <c r="C223" s="19" t="s">
        <v>311</v>
      </c>
      <c r="F223" s="20" t="s">
        <v>426</v>
      </c>
      <c r="H223" s="68">
        <v>8.8640000000000008</v>
      </c>
      <c r="M223" s="36"/>
      <c r="N223" s="5"/>
    </row>
    <row r="224" spans="1:64" x14ac:dyDescent="0.2">
      <c r="A224" s="5"/>
      <c r="C224" s="19" t="s">
        <v>312</v>
      </c>
      <c r="F224" s="20"/>
      <c r="H224" s="68">
        <v>-1.08</v>
      </c>
      <c r="M224" s="36"/>
      <c r="N224" s="5"/>
    </row>
    <row r="225" spans="1:14" x14ac:dyDescent="0.2">
      <c r="A225" s="5"/>
      <c r="C225" s="19" t="s">
        <v>313</v>
      </c>
      <c r="F225" s="20"/>
      <c r="H225" s="68">
        <v>-0.14000000000000001</v>
      </c>
      <c r="M225" s="36"/>
      <c r="N225" s="5"/>
    </row>
    <row r="226" spans="1:14" x14ac:dyDescent="0.2">
      <c r="A226" s="5"/>
      <c r="C226" s="19" t="s">
        <v>314</v>
      </c>
      <c r="F226" s="20" t="s">
        <v>427</v>
      </c>
      <c r="H226" s="68">
        <v>2.5</v>
      </c>
      <c r="M226" s="36"/>
      <c r="N226" s="5"/>
    </row>
    <row r="227" spans="1:14" x14ac:dyDescent="0.2">
      <c r="A227" s="5"/>
      <c r="C227" s="19" t="s">
        <v>309</v>
      </c>
      <c r="F227" s="20"/>
      <c r="H227" s="68">
        <v>-0.28000000000000003</v>
      </c>
      <c r="M227" s="36"/>
      <c r="N227" s="5"/>
    </row>
    <row r="228" spans="1:14" x14ac:dyDescent="0.2">
      <c r="A228" s="5"/>
      <c r="C228" s="19" t="s">
        <v>315</v>
      </c>
      <c r="F228" s="20"/>
      <c r="H228" s="68">
        <v>-0.18</v>
      </c>
      <c r="M228" s="36"/>
      <c r="N228" s="5"/>
    </row>
    <row r="229" spans="1:14" x14ac:dyDescent="0.2">
      <c r="A229" s="5"/>
      <c r="C229" s="19"/>
      <c r="F229" s="20" t="s">
        <v>428</v>
      </c>
      <c r="H229" s="68">
        <v>0</v>
      </c>
      <c r="M229" s="36"/>
      <c r="N229" s="5"/>
    </row>
    <row r="230" spans="1:14" x14ac:dyDescent="0.2">
      <c r="A230" s="5"/>
      <c r="C230" s="19" t="s">
        <v>316</v>
      </c>
      <c r="F230" s="20"/>
      <c r="H230" s="68">
        <v>1.613</v>
      </c>
      <c r="M230" s="36"/>
      <c r="N230" s="5"/>
    </row>
    <row r="231" spans="1:14" x14ac:dyDescent="0.2">
      <c r="A231" s="5"/>
      <c r="C231" s="19" t="s">
        <v>317</v>
      </c>
      <c r="F231" s="20"/>
      <c r="H231" s="68">
        <v>-0.21</v>
      </c>
      <c r="M231" s="36"/>
      <c r="N231" s="5"/>
    </row>
    <row r="232" spans="1:14" x14ac:dyDescent="0.2">
      <c r="A232" s="5"/>
      <c r="C232" s="19" t="s">
        <v>318</v>
      </c>
      <c r="F232" s="20"/>
      <c r="H232" s="68">
        <v>-0.27</v>
      </c>
      <c r="M232" s="36"/>
      <c r="N232" s="5"/>
    </row>
    <row r="233" spans="1:14" x14ac:dyDescent="0.2">
      <c r="A233" s="5"/>
      <c r="C233" s="19"/>
      <c r="F233" s="20" t="s">
        <v>429</v>
      </c>
      <c r="H233" s="68">
        <v>0</v>
      </c>
      <c r="M233" s="36"/>
      <c r="N233" s="5"/>
    </row>
    <row r="234" spans="1:14" x14ac:dyDescent="0.2">
      <c r="A234" s="5"/>
      <c r="C234" s="19" t="s">
        <v>319</v>
      </c>
      <c r="F234" s="20"/>
      <c r="H234" s="68">
        <v>0.28100000000000003</v>
      </c>
      <c r="M234" s="36"/>
      <c r="N234" s="5"/>
    </row>
    <row r="235" spans="1:14" x14ac:dyDescent="0.2">
      <c r="A235" s="5"/>
      <c r="C235" s="19"/>
      <c r="F235" s="20" t="s">
        <v>430</v>
      </c>
      <c r="H235" s="68">
        <v>0</v>
      </c>
      <c r="M235" s="36"/>
      <c r="N235" s="5"/>
    </row>
    <row r="236" spans="1:14" x14ac:dyDescent="0.2">
      <c r="A236" s="5"/>
      <c r="C236" s="19" t="s">
        <v>320</v>
      </c>
      <c r="F236" s="20" t="s">
        <v>431</v>
      </c>
      <c r="H236" s="68">
        <v>2.226</v>
      </c>
      <c r="M236" s="36"/>
      <c r="N236" s="5"/>
    </row>
    <row r="237" spans="1:14" x14ac:dyDescent="0.2">
      <c r="A237" s="5"/>
      <c r="C237" s="19"/>
      <c r="F237" s="20" t="s">
        <v>432</v>
      </c>
      <c r="H237" s="68">
        <v>0</v>
      </c>
      <c r="M237" s="36"/>
      <c r="N237" s="5"/>
    </row>
    <row r="238" spans="1:14" x14ac:dyDescent="0.2">
      <c r="A238" s="5"/>
      <c r="C238" s="19" t="s">
        <v>321</v>
      </c>
      <c r="F238" s="20" t="s">
        <v>433</v>
      </c>
      <c r="H238" s="68">
        <v>0.27</v>
      </c>
      <c r="M238" s="36"/>
      <c r="N238" s="5"/>
    </row>
    <row r="239" spans="1:14" x14ac:dyDescent="0.2">
      <c r="A239" s="5"/>
      <c r="C239" s="19" t="s">
        <v>322</v>
      </c>
      <c r="F239" s="20" t="s">
        <v>434</v>
      </c>
      <c r="H239" s="68">
        <v>4.7E-2</v>
      </c>
      <c r="M239" s="36"/>
      <c r="N239" s="5"/>
    </row>
    <row r="240" spans="1:14" x14ac:dyDescent="0.2">
      <c r="A240" s="5"/>
      <c r="C240" s="19" t="s">
        <v>323</v>
      </c>
      <c r="F240" s="20" t="s">
        <v>435</v>
      </c>
      <c r="H240" s="68">
        <v>0.10100000000000001</v>
      </c>
      <c r="M240" s="36"/>
      <c r="N240" s="5"/>
    </row>
    <row r="241" spans="1:64" x14ac:dyDescent="0.2">
      <c r="A241" s="5"/>
      <c r="C241" s="19" t="s">
        <v>324</v>
      </c>
      <c r="F241" s="20" t="s">
        <v>410</v>
      </c>
      <c r="H241" s="68">
        <v>1.901</v>
      </c>
      <c r="M241" s="36"/>
      <c r="N241" s="5"/>
    </row>
    <row r="242" spans="1:64" x14ac:dyDescent="0.2">
      <c r="A242" s="5"/>
      <c r="C242" s="19" t="s">
        <v>325</v>
      </c>
      <c r="F242" s="20" t="s">
        <v>436</v>
      </c>
      <c r="H242" s="68">
        <v>3.4000000000000002E-2</v>
      </c>
      <c r="M242" s="36"/>
      <c r="N242" s="5"/>
    </row>
    <row r="243" spans="1:64" x14ac:dyDescent="0.2">
      <c r="A243" s="4" t="s">
        <v>58</v>
      </c>
      <c r="B243" s="14" t="s">
        <v>146</v>
      </c>
      <c r="C243" s="92" t="s">
        <v>326</v>
      </c>
      <c r="D243" s="93"/>
      <c r="E243" s="93"/>
      <c r="F243" s="93"/>
      <c r="G243" s="14" t="s">
        <v>457</v>
      </c>
      <c r="H243" s="67">
        <v>1.3680000000000001</v>
      </c>
      <c r="I243" s="24">
        <v>0</v>
      </c>
      <c r="J243" s="24">
        <f>H243*AO243</f>
        <v>0</v>
      </c>
      <c r="K243" s="24">
        <f>H243*AP243</f>
        <v>0</v>
      </c>
      <c r="L243" s="24">
        <f>H243*I243</f>
        <v>0</v>
      </c>
      <c r="M243" s="35" t="s">
        <v>562</v>
      </c>
      <c r="N243" s="5"/>
      <c r="Z243" s="42">
        <f>IF(AQ243="5",BJ243,0)</f>
        <v>0</v>
      </c>
      <c r="AB243" s="42">
        <f>IF(AQ243="1",BH243,0)</f>
        <v>0</v>
      </c>
      <c r="AC243" s="42">
        <f>IF(AQ243="1",BI243,0)</f>
        <v>0</v>
      </c>
      <c r="AD243" s="42">
        <f>IF(AQ243="7",BH243,0)</f>
        <v>0</v>
      </c>
      <c r="AE243" s="42">
        <f>IF(AQ243="7",BI243,0)</f>
        <v>0</v>
      </c>
      <c r="AF243" s="42">
        <f>IF(AQ243="2",BH243,0)</f>
        <v>0</v>
      </c>
      <c r="AG243" s="42">
        <f>IF(AQ243="2",BI243,0)</f>
        <v>0</v>
      </c>
      <c r="AH243" s="42">
        <f>IF(AQ243="0",BJ243,0)</f>
        <v>0</v>
      </c>
      <c r="AI243" s="41"/>
      <c r="AJ243" s="24">
        <f>IF(AN243=0,L243,0)</f>
        <v>0</v>
      </c>
      <c r="AK243" s="24">
        <f>IF(AN243=15,L243,0)</f>
        <v>0</v>
      </c>
      <c r="AL243" s="24">
        <f>IF(AN243=21,L243,0)</f>
        <v>0</v>
      </c>
      <c r="AN243" s="42">
        <v>21</v>
      </c>
      <c r="AO243" s="42">
        <f>I243*0</f>
        <v>0</v>
      </c>
      <c r="AP243" s="42">
        <f>I243*(1-0)</f>
        <v>0</v>
      </c>
      <c r="AQ243" s="43" t="s">
        <v>7</v>
      </c>
      <c r="AV243" s="42">
        <f>AW243+AX243</f>
        <v>0</v>
      </c>
      <c r="AW243" s="42">
        <f>H243*AO243</f>
        <v>0</v>
      </c>
      <c r="AX243" s="42">
        <f>H243*AP243</f>
        <v>0</v>
      </c>
      <c r="AY243" s="45" t="s">
        <v>497</v>
      </c>
      <c r="AZ243" s="45" t="s">
        <v>510</v>
      </c>
      <c r="BA243" s="41" t="s">
        <v>511</v>
      </c>
      <c r="BC243" s="42">
        <f>AW243+AX243</f>
        <v>0</v>
      </c>
      <c r="BD243" s="42">
        <f>I243/(100-BE243)*100</f>
        <v>0</v>
      </c>
      <c r="BE243" s="42">
        <v>0</v>
      </c>
      <c r="BF243" s="42">
        <f>241</f>
        <v>241</v>
      </c>
      <c r="BH243" s="24">
        <f>H243*AO243</f>
        <v>0</v>
      </c>
      <c r="BI243" s="24">
        <f>H243*AP243</f>
        <v>0</v>
      </c>
      <c r="BJ243" s="24">
        <f>H243*I243</f>
        <v>0</v>
      </c>
      <c r="BK243" s="24" t="s">
        <v>516</v>
      </c>
      <c r="BL243" s="42">
        <v>96</v>
      </c>
    </row>
    <row r="244" spans="1:64" x14ac:dyDescent="0.2">
      <c r="A244" s="5"/>
      <c r="B244" s="15" t="s">
        <v>84</v>
      </c>
      <c r="C244" s="94" t="s">
        <v>327</v>
      </c>
      <c r="D244" s="95"/>
      <c r="E244" s="95"/>
      <c r="F244" s="95"/>
      <c r="G244" s="95"/>
      <c r="H244" s="95"/>
      <c r="I244" s="95"/>
      <c r="J244" s="95"/>
      <c r="K244" s="95"/>
      <c r="L244" s="95"/>
      <c r="M244" s="96"/>
      <c r="N244" s="5"/>
    </row>
    <row r="245" spans="1:64" x14ac:dyDescent="0.2">
      <c r="A245" s="5"/>
      <c r="C245" s="19" t="s">
        <v>328</v>
      </c>
      <c r="F245" s="20" t="s">
        <v>399</v>
      </c>
      <c r="H245" s="68">
        <v>1.3680000000000001</v>
      </c>
      <c r="M245" s="36"/>
      <c r="N245" s="5"/>
    </row>
    <row r="246" spans="1:64" x14ac:dyDescent="0.2">
      <c r="A246" s="4" t="s">
        <v>59</v>
      </c>
      <c r="B246" s="14" t="s">
        <v>147</v>
      </c>
      <c r="C246" s="92" t="s">
        <v>329</v>
      </c>
      <c r="D246" s="93"/>
      <c r="E246" s="93"/>
      <c r="F246" s="93"/>
      <c r="G246" s="14" t="s">
        <v>453</v>
      </c>
      <c r="H246" s="67">
        <v>42.3</v>
      </c>
      <c r="I246" s="24">
        <v>0</v>
      </c>
      <c r="J246" s="24">
        <f>H246*AO246</f>
        <v>0</v>
      </c>
      <c r="K246" s="24">
        <f>H246*AP246</f>
        <v>0</v>
      </c>
      <c r="L246" s="24">
        <f>H246*I246</f>
        <v>0</v>
      </c>
      <c r="M246" s="35" t="s">
        <v>562</v>
      </c>
      <c r="N246" s="5"/>
      <c r="Z246" s="42">
        <f>IF(AQ246="5",BJ246,0)</f>
        <v>0</v>
      </c>
      <c r="AB246" s="42">
        <f>IF(AQ246="1",BH246,0)</f>
        <v>0</v>
      </c>
      <c r="AC246" s="42">
        <f>IF(AQ246="1",BI246,0)</f>
        <v>0</v>
      </c>
      <c r="AD246" s="42">
        <f>IF(AQ246="7",BH246,0)</f>
        <v>0</v>
      </c>
      <c r="AE246" s="42">
        <f>IF(AQ246="7",BI246,0)</f>
        <v>0</v>
      </c>
      <c r="AF246" s="42">
        <f>IF(AQ246="2",BH246,0)</f>
        <v>0</v>
      </c>
      <c r="AG246" s="42">
        <f>IF(AQ246="2",BI246,0)</f>
        <v>0</v>
      </c>
      <c r="AH246" s="42">
        <f>IF(AQ246="0",BJ246,0)</f>
        <v>0</v>
      </c>
      <c r="AI246" s="41"/>
      <c r="AJ246" s="24">
        <f>IF(AN246=0,L246,0)</f>
        <v>0</v>
      </c>
      <c r="AK246" s="24">
        <f>IF(AN246=15,L246,0)</f>
        <v>0</v>
      </c>
      <c r="AL246" s="24">
        <f>IF(AN246=21,L246,0)</f>
        <v>0</v>
      </c>
      <c r="AN246" s="42">
        <v>21</v>
      </c>
      <c r="AO246" s="42">
        <f>I246*0</f>
        <v>0</v>
      </c>
      <c r="AP246" s="42">
        <f>I246*(1-0)</f>
        <v>0</v>
      </c>
      <c r="AQ246" s="43" t="s">
        <v>7</v>
      </c>
      <c r="AV246" s="42">
        <f>AW246+AX246</f>
        <v>0</v>
      </c>
      <c r="AW246" s="42">
        <f>H246*AO246</f>
        <v>0</v>
      </c>
      <c r="AX246" s="42">
        <f>H246*AP246</f>
        <v>0</v>
      </c>
      <c r="AY246" s="45" t="s">
        <v>497</v>
      </c>
      <c r="AZ246" s="45" t="s">
        <v>510</v>
      </c>
      <c r="BA246" s="41" t="s">
        <v>511</v>
      </c>
      <c r="BC246" s="42">
        <f>AW246+AX246</f>
        <v>0</v>
      </c>
      <c r="BD246" s="42">
        <f>I246/(100-BE246)*100</f>
        <v>0</v>
      </c>
      <c r="BE246" s="42">
        <v>0</v>
      </c>
      <c r="BF246" s="42">
        <f>244</f>
        <v>244</v>
      </c>
      <c r="BH246" s="24">
        <f>H246*AO246</f>
        <v>0</v>
      </c>
      <c r="BI246" s="24">
        <f>H246*AP246</f>
        <v>0</v>
      </c>
      <c r="BJ246" s="24">
        <f>H246*I246</f>
        <v>0</v>
      </c>
      <c r="BK246" s="24" t="s">
        <v>516</v>
      </c>
      <c r="BL246" s="42">
        <v>96</v>
      </c>
    </row>
    <row r="247" spans="1:64" x14ac:dyDescent="0.2">
      <c r="A247" s="5"/>
      <c r="C247" s="19" t="s">
        <v>330</v>
      </c>
      <c r="F247" s="20"/>
      <c r="H247" s="68">
        <v>42.3</v>
      </c>
      <c r="M247" s="36"/>
      <c r="N247" s="5"/>
    </row>
    <row r="248" spans="1:64" x14ac:dyDescent="0.2">
      <c r="A248" s="4" t="s">
        <v>60</v>
      </c>
      <c r="B248" s="14" t="s">
        <v>148</v>
      </c>
      <c r="C248" s="92" t="s">
        <v>331</v>
      </c>
      <c r="D248" s="93"/>
      <c r="E248" s="93"/>
      <c r="F248" s="93"/>
      <c r="G248" s="14" t="s">
        <v>456</v>
      </c>
      <c r="H248" s="67">
        <v>24.47</v>
      </c>
      <c r="I248" s="24">
        <v>0</v>
      </c>
      <c r="J248" s="24">
        <f>H248*AO248</f>
        <v>0</v>
      </c>
      <c r="K248" s="24">
        <f>H248*AP248</f>
        <v>0</v>
      </c>
      <c r="L248" s="24">
        <f>H248*I248</f>
        <v>0</v>
      </c>
      <c r="M248" s="35" t="s">
        <v>562</v>
      </c>
      <c r="N248" s="5"/>
      <c r="Z248" s="42">
        <f>IF(AQ248="5",BJ248,0)</f>
        <v>0</v>
      </c>
      <c r="AB248" s="42">
        <f>IF(AQ248="1",BH248,0)</f>
        <v>0</v>
      </c>
      <c r="AC248" s="42">
        <f>IF(AQ248="1",BI248,0)</f>
        <v>0</v>
      </c>
      <c r="AD248" s="42">
        <f>IF(AQ248="7",BH248,0)</f>
        <v>0</v>
      </c>
      <c r="AE248" s="42">
        <f>IF(AQ248="7",BI248,0)</f>
        <v>0</v>
      </c>
      <c r="AF248" s="42">
        <f>IF(AQ248="2",BH248,0)</f>
        <v>0</v>
      </c>
      <c r="AG248" s="42">
        <f>IF(AQ248="2",BI248,0)</f>
        <v>0</v>
      </c>
      <c r="AH248" s="42">
        <f>IF(AQ248="0",BJ248,0)</f>
        <v>0</v>
      </c>
      <c r="AI248" s="41"/>
      <c r="AJ248" s="24">
        <f>IF(AN248=0,L248,0)</f>
        <v>0</v>
      </c>
      <c r="AK248" s="24">
        <f>IF(AN248=15,L248,0)</f>
        <v>0</v>
      </c>
      <c r="AL248" s="24">
        <f>IF(AN248=21,L248,0)</f>
        <v>0</v>
      </c>
      <c r="AN248" s="42">
        <v>21</v>
      </c>
      <c r="AO248" s="42">
        <f>I248*0</f>
        <v>0</v>
      </c>
      <c r="AP248" s="42">
        <f>I248*(1-0)</f>
        <v>0</v>
      </c>
      <c r="AQ248" s="43" t="s">
        <v>7</v>
      </c>
      <c r="AV248" s="42">
        <f>AW248+AX248</f>
        <v>0</v>
      </c>
      <c r="AW248" s="42">
        <f>H248*AO248</f>
        <v>0</v>
      </c>
      <c r="AX248" s="42">
        <f>H248*AP248</f>
        <v>0</v>
      </c>
      <c r="AY248" s="45" t="s">
        <v>497</v>
      </c>
      <c r="AZ248" s="45" t="s">
        <v>510</v>
      </c>
      <c r="BA248" s="41" t="s">
        <v>511</v>
      </c>
      <c r="BC248" s="42">
        <f>AW248+AX248</f>
        <v>0</v>
      </c>
      <c r="BD248" s="42">
        <f>I248/(100-BE248)*100</f>
        <v>0</v>
      </c>
      <c r="BE248" s="42">
        <v>0</v>
      </c>
      <c r="BF248" s="42">
        <f>246</f>
        <v>246</v>
      </c>
      <c r="BH248" s="24">
        <f>H248*AO248</f>
        <v>0</v>
      </c>
      <c r="BI248" s="24">
        <f>H248*AP248</f>
        <v>0</v>
      </c>
      <c r="BJ248" s="24">
        <f>H248*I248</f>
        <v>0</v>
      </c>
      <c r="BK248" s="24" t="s">
        <v>516</v>
      </c>
      <c r="BL248" s="42">
        <v>96</v>
      </c>
    </row>
    <row r="249" spans="1:64" x14ac:dyDescent="0.2">
      <c r="A249" s="5"/>
      <c r="C249" s="19" t="s">
        <v>332</v>
      </c>
      <c r="F249" s="20"/>
      <c r="H249" s="68">
        <v>24.47</v>
      </c>
      <c r="M249" s="36"/>
      <c r="N249" s="5"/>
    </row>
    <row r="250" spans="1:64" x14ac:dyDescent="0.2">
      <c r="A250" s="4" t="s">
        <v>61</v>
      </c>
      <c r="B250" s="14" t="s">
        <v>149</v>
      </c>
      <c r="C250" s="92" t="s">
        <v>333</v>
      </c>
      <c r="D250" s="93"/>
      <c r="E250" s="93"/>
      <c r="F250" s="93"/>
      <c r="G250" s="14" t="s">
        <v>453</v>
      </c>
      <c r="H250" s="67">
        <v>47</v>
      </c>
      <c r="I250" s="24">
        <v>0</v>
      </c>
      <c r="J250" s="24">
        <f>H250*AO250</f>
        <v>0</v>
      </c>
      <c r="K250" s="24">
        <f>H250*AP250</f>
        <v>0</v>
      </c>
      <c r="L250" s="24">
        <f>H250*I250</f>
        <v>0</v>
      </c>
      <c r="M250" s="35" t="s">
        <v>562</v>
      </c>
      <c r="N250" s="5"/>
      <c r="Z250" s="42">
        <f>IF(AQ250="5",BJ250,0)</f>
        <v>0</v>
      </c>
      <c r="AB250" s="42">
        <f>IF(AQ250="1",BH250,0)</f>
        <v>0</v>
      </c>
      <c r="AC250" s="42">
        <f>IF(AQ250="1",BI250,0)</f>
        <v>0</v>
      </c>
      <c r="AD250" s="42">
        <f>IF(AQ250="7",BH250,0)</f>
        <v>0</v>
      </c>
      <c r="AE250" s="42">
        <f>IF(AQ250="7",BI250,0)</f>
        <v>0</v>
      </c>
      <c r="AF250" s="42">
        <f>IF(AQ250="2",BH250,0)</f>
        <v>0</v>
      </c>
      <c r="AG250" s="42">
        <f>IF(AQ250="2",BI250,0)</f>
        <v>0</v>
      </c>
      <c r="AH250" s="42">
        <f>IF(AQ250="0",BJ250,0)</f>
        <v>0</v>
      </c>
      <c r="AI250" s="41"/>
      <c r="AJ250" s="24">
        <f>IF(AN250=0,L250,0)</f>
        <v>0</v>
      </c>
      <c r="AK250" s="24">
        <f>IF(AN250=15,L250,0)</f>
        <v>0</v>
      </c>
      <c r="AL250" s="24">
        <f>IF(AN250=21,L250,0)</f>
        <v>0</v>
      </c>
      <c r="AN250" s="42">
        <v>21</v>
      </c>
      <c r="AO250" s="42">
        <f>I250*0</f>
        <v>0</v>
      </c>
      <c r="AP250" s="42">
        <f>I250*(1-0)</f>
        <v>0</v>
      </c>
      <c r="AQ250" s="43" t="s">
        <v>7</v>
      </c>
      <c r="AV250" s="42">
        <f>AW250+AX250</f>
        <v>0</v>
      </c>
      <c r="AW250" s="42">
        <f>H250*AO250</f>
        <v>0</v>
      </c>
      <c r="AX250" s="42">
        <f>H250*AP250</f>
        <v>0</v>
      </c>
      <c r="AY250" s="45" t="s">
        <v>497</v>
      </c>
      <c r="AZ250" s="45" t="s">
        <v>510</v>
      </c>
      <c r="BA250" s="41" t="s">
        <v>511</v>
      </c>
      <c r="BC250" s="42">
        <f>AW250+AX250</f>
        <v>0</v>
      </c>
      <c r="BD250" s="42">
        <f>I250/(100-BE250)*100</f>
        <v>0</v>
      </c>
      <c r="BE250" s="42">
        <v>0</v>
      </c>
      <c r="BF250" s="42">
        <f>248</f>
        <v>248</v>
      </c>
      <c r="BH250" s="24">
        <f>H250*AO250</f>
        <v>0</v>
      </c>
      <c r="BI250" s="24">
        <f>H250*AP250</f>
        <v>0</v>
      </c>
      <c r="BJ250" s="24">
        <f>H250*I250</f>
        <v>0</v>
      </c>
      <c r="BK250" s="24" t="s">
        <v>516</v>
      </c>
      <c r="BL250" s="42">
        <v>96</v>
      </c>
    </row>
    <row r="251" spans="1:64" x14ac:dyDescent="0.2">
      <c r="A251" s="5"/>
      <c r="B251" s="15" t="s">
        <v>84</v>
      </c>
      <c r="C251" s="94" t="s">
        <v>334</v>
      </c>
      <c r="D251" s="95"/>
      <c r="E251" s="95"/>
      <c r="F251" s="95"/>
      <c r="G251" s="95"/>
      <c r="H251" s="95"/>
      <c r="I251" s="95"/>
      <c r="J251" s="95"/>
      <c r="K251" s="95"/>
      <c r="L251" s="95"/>
      <c r="M251" s="96"/>
      <c r="N251" s="5"/>
    </row>
    <row r="252" spans="1:64" x14ac:dyDescent="0.2">
      <c r="A252" s="5"/>
      <c r="C252" s="19" t="s">
        <v>330</v>
      </c>
      <c r="F252" s="20" t="s">
        <v>437</v>
      </c>
      <c r="H252" s="68">
        <v>42.3</v>
      </c>
      <c r="M252" s="36"/>
      <c r="N252" s="5"/>
    </row>
    <row r="253" spans="1:64" x14ac:dyDescent="0.2">
      <c r="A253" s="5"/>
      <c r="C253" s="19" t="s">
        <v>335</v>
      </c>
      <c r="F253" s="20" t="s">
        <v>438</v>
      </c>
      <c r="H253" s="68">
        <v>4.7</v>
      </c>
      <c r="M253" s="36"/>
      <c r="N253" s="5"/>
    </row>
    <row r="254" spans="1:64" ht="29.25" customHeight="1" x14ac:dyDescent="0.2">
      <c r="A254" s="4" t="s">
        <v>62</v>
      </c>
      <c r="B254" s="14" t="s">
        <v>150</v>
      </c>
      <c r="C254" s="110" t="s">
        <v>588</v>
      </c>
      <c r="D254" s="93"/>
      <c r="E254" s="93"/>
      <c r="F254" s="93"/>
      <c r="G254" s="14" t="s">
        <v>453</v>
      </c>
      <c r="H254" s="67">
        <v>13.031000000000001</v>
      </c>
      <c r="I254" s="24">
        <v>0</v>
      </c>
      <c r="J254" s="24">
        <f>H254*AO254</f>
        <v>0</v>
      </c>
      <c r="K254" s="24">
        <f>H254*AP254</f>
        <v>0</v>
      </c>
      <c r="L254" s="24">
        <f>H254*I254</f>
        <v>0</v>
      </c>
      <c r="M254" s="35"/>
      <c r="N254" s="5"/>
      <c r="Z254" s="42">
        <f>IF(AQ254="5",BJ254,0)</f>
        <v>0</v>
      </c>
      <c r="AB254" s="42">
        <f>IF(AQ254="1",BH254,0)</f>
        <v>0</v>
      </c>
      <c r="AC254" s="42">
        <f>IF(AQ254="1",BI254,0)</f>
        <v>0</v>
      </c>
      <c r="AD254" s="42">
        <f>IF(AQ254="7",BH254,0)</f>
        <v>0</v>
      </c>
      <c r="AE254" s="42">
        <f>IF(AQ254="7",BI254,0)</f>
        <v>0</v>
      </c>
      <c r="AF254" s="42">
        <f>IF(AQ254="2",BH254,0)</f>
        <v>0</v>
      </c>
      <c r="AG254" s="42">
        <f>IF(AQ254="2",BI254,0)</f>
        <v>0</v>
      </c>
      <c r="AH254" s="42">
        <f>IF(AQ254="0",BJ254,0)</f>
        <v>0</v>
      </c>
      <c r="AI254" s="41"/>
      <c r="AJ254" s="24">
        <f>IF(AN254=0,L254,0)</f>
        <v>0</v>
      </c>
      <c r="AK254" s="24">
        <f>IF(AN254=15,L254,0)</f>
        <v>0</v>
      </c>
      <c r="AL254" s="24">
        <f>IF(AN254=21,L254,0)</f>
        <v>0</v>
      </c>
      <c r="AN254" s="42">
        <v>21</v>
      </c>
      <c r="AO254" s="42">
        <f>I254*0</f>
        <v>0</v>
      </c>
      <c r="AP254" s="42">
        <f>I254*(1-0)</f>
        <v>0</v>
      </c>
      <c r="AQ254" s="43" t="s">
        <v>7</v>
      </c>
      <c r="AV254" s="42">
        <f>AW254+AX254</f>
        <v>0</v>
      </c>
      <c r="AW254" s="42">
        <f>H254*AO254</f>
        <v>0</v>
      </c>
      <c r="AX254" s="42">
        <f>H254*AP254</f>
        <v>0</v>
      </c>
      <c r="AY254" s="45" t="s">
        <v>497</v>
      </c>
      <c r="AZ254" s="45" t="s">
        <v>510</v>
      </c>
      <c r="BA254" s="41" t="s">
        <v>511</v>
      </c>
      <c r="BC254" s="42">
        <f>AW254+AX254</f>
        <v>0</v>
      </c>
      <c r="BD254" s="42">
        <f>I254/(100-BE254)*100</f>
        <v>0</v>
      </c>
      <c r="BE254" s="42">
        <v>0</v>
      </c>
      <c r="BF254" s="42">
        <f>252</f>
        <v>252</v>
      </c>
      <c r="BH254" s="24">
        <f>H254*AO254</f>
        <v>0</v>
      </c>
      <c r="BI254" s="24">
        <f>H254*AP254</f>
        <v>0</v>
      </c>
      <c r="BJ254" s="24">
        <f>H254*I254</f>
        <v>0</v>
      </c>
      <c r="BK254" s="24" t="s">
        <v>516</v>
      </c>
      <c r="BL254" s="42">
        <v>96</v>
      </c>
    </row>
    <row r="255" spans="1:64" x14ac:dyDescent="0.2">
      <c r="A255" s="5"/>
      <c r="C255" s="19" t="s">
        <v>336</v>
      </c>
      <c r="F255" s="20" t="s">
        <v>439</v>
      </c>
      <c r="H255" s="68">
        <v>13.031000000000001</v>
      </c>
      <c r="M255" s="36"/>
      <c r="N255" s="5"/>
    </row>
    <row r="256" spans="1:64" ht="35.25" customHeight="1" x14ac:dyDescent="0.2">
      <c r="A256" s="4" t="s">
        <v>63</v>
      </c>
      <c r="B256" s="14" t="s">
        <v>151</v>
      </c>
      <c r="C256" s="110" t="s">
        <v>588</v>
      </c>
      <c r="D256" s="93"/>
      <c r="E256" s="93"/>
      <c r="F256" s="93"/>
      <c r="G256" s="14" t="s">
        <v>454</v>
      </c>
      <c r="H256" s="67">
        <v>1</v>
      </c>
      <c r="I256" s="24">
        <v>0</v>
      </c>
      <c r="J256" s="24">
        <f>H256*AO256</f>
        <v>0</v>
      </c>
      <c r="K256" s="24">
        <f>H256*AP256</f>
        <v>0</v>
      </c>
      <c r="L256" s="24">
        <f>H256*I256</f>
        <v>0</v>
      </c>
      <c r="M256" s="35"/>
      <c r="N256" s="5"/>
      <c r="Z256" s="42">
        <f>IF(AQ256="5",BJ256,0)</f>
        <v>0</v>
      </c>
      <c r="AB256" s="42">
        <f>IF(AQ256="1",BH256,0)</f>
        <v>0</v>
      </c>
      <c r="AC256" s="42">
        <f>IF(AQ256="1",BI256,0)</f>
        <v>0</v>
      </c>
      <c r="AD256" s="42">
        <f>IF(AQ256="7",BH256,0)</f>
        <v>0</v>
      </c>
      <c r="AE256" s="42">
        <f>IF(AQ256="7",BI256,0)</f>
        <v>0</v>
      </c>
      <c r="AF256" s="42">
        <f>IF(AQ256="2",BH256,0)</f>
        <v>0</v>
      </c>
      <c r="AG256" s="42">
        <f>IF(AQ256="2",BI256,0)</f>
        <v>0</v>
      </c>
      <c r="AH256" s="42">
        <f>IF(AQ256="0",BJ256,0)</f>
        <v>0</v>
      </c>
      <c r="AI256" s="41"/>
      <c r="AJ256" s="24">
        <f>IF(AN256=0,L256,0)</f>
        <v>0</v>
      </c>
      <c r="AK256" s="24">
        <f>IF(AN256=15,L256,0)</f>
        <v>0</v>
      </c>
      <c r="AL256" s="24">
        <f>IF(AN256=21,L256,0)</f>
        <v>0</v>
      </c>
      <c r="AN256" s="42">
        <v>21</v>
      </c>
      <c r="AO256" s="42">
        <f>I256*0</f>
        <v>0</v>
      </c>
      <c r="AP256" s="42">
        <f>I256*(1-0)</f>
        <v>0</v>
      </c>
      <c r="AQ256" s="43" t="s">
        <v>7</v>
      </c>
      <c r="AV256" s="42">
        <f>AW256+AX256</f>
        <v>0</v>
      </c>
      <c r="AW256" s="42">
        <f>H256*AO256</f>
        <v>0</v>
      </c>
      <c r="AX256" s="42">
        <f>H256*AP256</f>
        <v>0</v>
      </c>
      <c r="AY256" s="45" t="s">
        <v>497</v>
      </c>
      <c r="AZ256" s="45" t="s">
        <v>510</v>
      </c>
      <c r="BA256" s="41" t="s">
        <v>511</v>
      </c>
      <c r="BC256" s="42">
        <f>AW256+AX256</f>
        <v>0</v>
      </c>
      <c r="BD256" s="42">
        <f>I256/(100-BE256)*100</f>
        <v>0</v>
      </c>
      <c r="BE256" s="42">
        <v>0</v>
      </c>
      <c r="BF256" s="42">
        <f>254</f>
        <v>254</v>
      </c>
      <c r="BH256" s="24">
        <f>H256*AO256</f>
        <v>0</v>
      </c>
      <c r="BI256" s="24">
        <f>H256*AP256</f>
        <v>0</v>
      </c>
      <c r="BJ256" s="24">
        <f>H256*I256</f>
        <v>0</v>
      </c>
      <c r="BK256" s="24" t="s">
        <v>516</v>
      </c>
      <c r="BL256" s="42">
        <v>96</v>
      </c>
    </row>
    <row r="257" spans="1:64" x14ac:dyDescent="0.2">
      <c r="A257" s="5"/>
      <c r="B257" s="15" t="s">
        <v>84</v>
      </c>
      <c r="C257" s="94" t="s">
        <v>337</v>
      </c>
      <c r="D257" s="95"/>
      <c r="E257" s="95"/>
      <c r="F257" s="95"/>
      <c r="G257" s="95"/>
      <c r="H257" s="95"/>
      <c r="I257" s="95"/>
      <c r="J257" s="95"/>
      <c r="K257" s="95"/>
      <c r="L257" s="95"/>
      <c r="M257" s="96"/>
      <c r="N257" s="5"/>
    </row>
    <row r="258" spans="1:64" x14ac:dyDescent="0.2">
      <c r="A258" s="5"/>
      <c r="C258" s="19" t="s">
        <v>7</v>
      </c>
      <c r="F258" s="20"/>
      <c r="H258" s="68">
        <v>1</v>
      </c>
      <c r="M258" s="36"/>
      <c r="N258" s="5"/>
    </row>
    <row r="259" spans="1:64" x14ac:dyDescent="0.2">
      <c r="A259" s="4" t="s">
        <v>64</v>
      </c>
      <c r="B259" s="14" t="s">
        <v>152</v>
      </c>
      <c r="C259" s="92" t="s">
        <v>338</v>
      </c>
      <c r="D259" s="93"/>
      <c r="E259" s="93"/>
      <c r="F259" s="93"/>
      <c r="G259" s="14" t="s">
        <v>452</v>
      </c>
      <c r="H259" s="67">
        <v>1</v>
      </c>
      <c r="I259" s="24">
        <v>0</v>
      </c>
      <c r="J259" s="24">
        <f>H259*AO259</f>
        <v>0</v>
      </c>
      <c r="K259" s="24">
        <f>H259*AP259</f>
        <v>0</v>
      </c>
      <c r="L259" s="24">
        <f>H259*I259</f>
        <v>0</v>
      </c>
      <c r="M259" s="35"/>
      <c r="N259" s="5"/>
      <c r="Z259" s="42">
        <f>IF(AQ259="5",BJ259,0)</f>
        <v>0</v>
      </c>
      <c r="AB259" s="42">
        <f>IF(AQ259="1",BH259,0)</f>
        <v>0</v>
      </c>
      <c r="AC259" s="42">
        <f>IF(AQ259="1",BI259,0)</f>
        <v>0</v>
      </c>
      <c r="AD259" s="42">
        <f>IF(AQ259="7",BH259,0)</f>
        <v>0</v>
      </c>
      <c r="AE259" s="42">
        <f>IF(AQ259="7",BI259,0)</f>
        <v>0</v>
      </c>
      <c r="AF259" s="42">
        <f>IF(AQ259="2",BH259,0)</f>
        <v>0</v>
      </c>
      <c r="AG259" s="42">
        <f>IF(AQ259="2",BI259,0)</f>
        <v>0</v>
      </c>
      <c r="AH259" s="42">
        <f>IF(AQ259="0",BJ259,0)</f>
        <v>0</v>
      </c>
      <c r="AI259" s="41"/>
      <c r="AJ259" s="24">
        <f>IF(AN259=0,L259,0)</f>
        <v>0</v>
      </c>
      <c r="AK259" s="24">
        <f>IF(AN259=15,L259,0)</f>
        <v>0</v>
      </c>
      <c r="AL259" s="24">
        <f>IF(AN259=21,L259,0)</f>
        <v>0</v>
      </c>
      <c r="AN259" s="42">
        <v>21</v>
      </c>
      <c r="AO259" s="42">
        <f>I259*0.0509582417582418</f>
        <v>0</v>
      </c>
      <c r="AP259" s="42">
        <f>I259*(1-0.0509582417582418)</f>
        <v>0</v>
      </c>
      <c r="AQ259" s="43" t="s">
        <v>7</v>
      </c>
      <c r="AV259" s="42">
        <f>AW259+AX259</f>
        <v>0</v>
      </c>
      <c r="AW259" s="42">
        <f>H259*AO259</f>
        <v>0</v>
      </c>
      <c r="AX259" s="42">
        <f>H259*AP259</f>
        <v>0</v>
      </c>
      <c r="AY259" s="45" t="s">
        <v>497</v>
      </c>
      <c r="AZ259" s="45" t="s">
        <v>510</v>
      </c>
      <c r="BA259" s="41" t="s">
        <v>511</v>
      </c>
      <c r="BC259" s="42">
        <f>AW259+AX259</f>
        <v>0</v>
      </c>
      <c r="BD259" s="42">
        <f>I259/(100-BE259)*100</f>
        <v>0</v>
      </c>
      <c r="BE259" s="42">
        <v>0</v>
      </c>
      <c r="BF259" s="42">
        <f>257</f>
        <v>257</v>
      </c>
      <c r="BH259" s="24">
        <f>H259*AO259</f>
        <v>0</v>
      </c>
      <c r="BI259" s="24">
        <f>H259*AP259</f>
        <v>0</v>
      </c>
      <c r="BJ259" s="24">
        <f>H259*I259</f>
        <v>0</v>
      </c>
      <c r="BK259" s="24" t="s">
        <v>516</v>
      </c>
      <c r="BL259" s="42">
        <v>96</v>
      </c>
    </row>
    <row r="260" spans="1:64" x14ac:dyDescent="0.2">
      <c r="A260" s="5"/>
      <c r="B260" s="15" t="s">
        <v>84</v>
      </c>
      <c r="C260" s="94" t="s">
        <v>339</v>
      </c>
      <c r="D260" s="95"/>
      <c r="E260" s="95"/>
      <c r="F260" s="95"/>
      <c r="G260" s="95"/>
      <c r="H260" s="95"/>
      <c r="I260" s="95"/>
      <c r="J260" s="95"/>
      <c r="K260" s="95"/>
      <c r="L260" s="95"/>
      <c r="M260" s="96"/>
      <c r="N260" s="5"/>
    </row>
    <row r="261" spans="1:64" x14ac:dyDescent="0.2">
      <c r="A261" s="5"/>
      <c r="C261" s="19" t="s">
        <v>7</v>
      </c>
      <c r="F261" s="20"/>
      <c r="H261" s="68">
        <v>1</v>
      </c>
      <c r="M261" s="36"/>
      <c r="N261" s="5"/>
    </row>
    <row r="262" spans="1:64" x14ac:dyDescent="0.2">
      <c r="A262" s="4" t="s">
        <v>65</v>
      </c>
      <c r="B262" s="14" t="s">
        <v>153</v>
      </c>
      <c r="C262" s="92" t="s">
        <v>340</v>
      </c>
      <c r="D262" s="93"/>
      <c r="E262" s="93"/>
      <c r="F262" s="93"/>
      <c r="G262" s="14" t="s">
        <v>452</v>
      </c>
      <c r="H262" s="67">
        <v>19</v>
      </c>
      <c r="I262" s="24">
        <v>0</v>
      </c>
      <c r="J262" s="24">
        <f>H262*AO262</f>
        <v>0</v>
      </c>
      <c r="K262" s="24">
        <f>H262*AP262</f>
        <v>0</v>
      </c>
      <c r="L262" s="24">
        <f>H262*I262</f>
        <v>0</v>
      </c>
      <c r="M262" s="35" t="s">
        <v>562</v>
      </c>
      <c r="N262" s="5"/>
      <c r="Z262" s="42">
        <f>IF(AQ262="5",BJ262,0)</f>
        <v>0</v>
      </c>
      <c r="AB262" s="42">
        <f>IF(AQ262="1",BH262,0)</f>
        <v>0</v>
      </c>
      <c r="AC262" s="42">
        <f>IF(AQ262="1",BI262,0)</f>
        <v>0</v>
      </c>
      <c r="AD262" s="42">
        <f>IF(AQ262="7",BH262,0)</f>
        <v>0</v>
      </c>
      <c r="AE262" s="42">
        <f>IF(AQ262="7",BI262,0)</f>
        <v>0</v>
      </c>
      <c r="AF262" s="42">
        <f>IF(AQ262="2",BH262,0)</f>
        <v>0</v>
      </c>
      <c r="AG262" s="42">
        <f>IF(AQ262="2",BI262,0)</f>
        <v>0</v>
      </c>
      <c r="AH262" s="42">
        <f>IF(AQ262="0",BJ262,0)</f>
        <v>0</v>
      </c>
      <c r="AI262" s="41"/>
      <c r="AJ262" s="24">
        <f>IF(AN262=0,L262,0)</f>
        <v>0</v>
      </c>
      <c r="AK262" s="24">
        <f>IF(AN262=15,L262,0)</f>
        <v>0</v>
      </c>
      <c r="AL262" s="24">
        <f>IF(AN262=21,L262,0)</f>
        <v>0</v>
      </c>
      <c r="AN262" s="42">
        <v>21</v>
      </c>
      <c r="AO262" s="42">
        <f>I262*0</f>
        <v>0</v>
      </c>
      <c r="AP262" s="42">
        <f>I262*(1-0)</f>
        <v>0</v>
      </c>
      <c r="AQ262" s="43" t="s">
        <v>7</v>
      </c>
      <c r="AV262" s="42">
        <f>AW262+AX262</f>
        <v>0</v>
      </c>
      <c r="AW262" s="42">
        <f>H262*AO262</f>
        <v>0</v>
      </c>
      <c r="AX262" s="42">
        <f>H262*AP262</f>
        <v>0</v>
      </c>
      <c r="AY262" s="45" t="s">
        <v>497</v>
      </c>
      <c r="AZ262" s="45" t="s">
        <v>510</v>
      </c>
      <c r="BA262" s="41" t="s">
        <v>511</v>
      </c>
      <c r="BC262" s="42">
        <f>AW262+AX262</f>
        <v>0</v>
      </c>
      <c r="BD262" s="42">
        <f>I262/(100-BE262)*100</f>
        <v>0</v>
      </c>
      <c r="BE262" s="42">
        <v>0</v>
      </c>
      <c r="BF262" s="42">
        <f>260</f>
        <v>260</v>
      </c>
      <c r="BH262" s="24">
        <f>H262*AO262</f>
        <v>0</v>
      </c>
      <c r="BI262" s="24">
        <f>H262*AP262</f>
        <v>0</v>
      </c>
      <c r="BJ262" s="24">
        <f>H262*I262</f>
        <v>0</v>
      </c>
      <c r="BK262" s="24" t="s">
        <v>516</v>
      </c>
      <c r="BL262" s="42">
        <v>96</v>
      </c>
    </row>
    <row r="263" spans="1:64" x14ac:dyDescent="0.2">
      <c r="A263" s="5"/>
      <c r="C263" s="19" t="s">
        <v>15</v>
      </c>
      <c r="F263" s="20" t="s">
        <v>440</v>
      </c>
      <c r="H263" s="68">
        <v>9</v>
      </c>
      <c r="M263" s="36"/>
      <c r="N263" s="5"/>
    </row>
    <row r="264" spans="1:64" x14ac:dyDescent="0.2">
      <c r="A264" s="5"/>
      <c r="C264" s="19" t="s">
        <v>16</v>
      </c>
      <c r="F264" s="20" t="s">
        <v>441</v>
      </c>
      <c r="H264" s="68">
        <v>10</v>
      </c>
      <c r="M264" s="36"/>
      <c r="N264" s="5"/>
    </row>
    <row r="265" spans="1:64" x14ac:dyDescent="0.2">
      <c r="A265" s="4" t="s">
        <v>66</v>
      </c>
      <c r="B265" s="14" t="s">
        <v>154</v>
      </c>
      <c r="C265" s="92" t="s">
        <v>341</v>
      </c>
      <c r="D265" s="93"/>
      <c r="E265" s="93"/>
      <c r="F265" s="93"/>
      <c r="G265" s="14" t="s">
        <v>452</v>
      </c>
      <c r="H265" s="67">
        <v>1</v>
      </c>
      <c r="I265" s="24">
        <v>0</v>
      </c>
      <c r="J265" s="24">
        <f>H265*AO265</f>
        <v>0</v>
      </c>
      <c r="K265" s="24">
        <f>H265*AP265</f>
        <v>0</v>
      </c>
      <c r="L265" s="24">
        <f>H265*I265</f>
        <v>0</v>
      </c>
      <c r="M265" s="35" t="s">
        <v>562</v>
      </c>
      <c r="N265" s="5"/>
      <c r="Z265" s="42">
        <f>IF(AQ265="5",BJ265,0)</f>
        <v>0</v>
      </c>
      <c r="AB265" s="42">
        <f>IF(AQ265="1",BH265,0)</f>
        <v>0</v>
      </c>
      <c r="AC265" s="42">
        <f>IF(AQ265="1",BI265,0)</f>
        <v>0</v>
      </c>
      <c r="AD265" s="42">
        <f>IF(AQ265="7",BH265,0)</f>
        <v>0</v>
      </c>
      <c r="AE265" s="42">
        <f>IF(AQ265="7",BI265,0)</f>
        <v>0</v>
      </c>
      <c r="AF265" s="42">
        <f>IF(AQ265="2",BH265,0)</f>
        <v>0</v>
      </c>
      <c r="AG265" s="42">
        <f>IF(AQ265="2",BI265,0)</f>
        <v>0</v>
      </c>
      <c r="AH265" s="42">
        <f>IF(AQ265="0",BJ265,0)</f>
        <v>0</v>
      </c>
      <c r="AI265" s="41"/>
      <c r="AJ265" s="24">
        <f>IF(AN265=0,L265,0)</f>
        <v>0</v>
      </c>
      <c r="AK265" s="24">
        <f>IF(AN265=15,L265,0)</f>
        <v>0</v>
      </c>
      <c r="AL265" s="24">
        <f>IF(AN265=21,L265,0)</f>
        <v>0</v>
      </c>
      <c r="AN265" s="42">
        <v>21</v>
      </c>
      <c r="AO265" s="42">
        <f>I265*0</f>
        <v>0</v>
      </c>
      <c r="AP265" s="42">
        <f>I265*(1-0)</f>
        <v>0</v>
      </c>
      <c r="AQ265" s="43" t="s">
        <v>7</v>
      </c>
      <c r="AV265" s="42">
        <f>AW265+AX265</f>
        <v>0</v>
      </c>
      <c r="AW265" s="42">
        <f>H265*AO265</f>
        <v>0</v>
      </c>
      <c r="AX265" s="42">
        <f>H265*AP265</f>
        <v>0</v>
      </c>
      <c r="AY265" s="45" t="s">
        <v>497</v>
      </c>
      <c r="AZ265" s="45" t="s">
        <v>510</v>
      </c>
      <c r="BA265" s="41" t="s">
        <v>511</v>
      </c>
      <c r="BC265" s="42">
        <f>AW265+AX265</f>
        <v>0</v>
      </c>
      <c r="BD265" s="42">
        <f>I265/(100-BE265)*100</f>
        <v>0</v>
      </c>
      <c r="BE265" s="42">
        <v>0</v>
      </c>
      <c r="BF265" s="42">
        <f>263</f>
        <v>263</v>
      </c>
      <c r="BH265" s="24">
        <f>H265*AO265</f>
        <v>0</v>
      </c>
      <c r="BI265" s="24">
        <f>H265*AP265</f>
        <v>0</v>
      </c>
      <c r="BJ265" s="24">
        <f>H265*I265</f>
        <v>0</v>
      </c>
      <c r="BK265" s="24" t="s">
        <v>516</v>
      </c>
      <c r="BL265" s="42">
        <v>96</v>
      </c>
    </row>
    <row r="266" spans="1:64" x14ac:dyDescent="0.2">
      <c r="A266" s="5"/>
      <c r="C266" s="19" t="s">
        <v>7</v>
      </c>
      <c r="F266" s="20" t="s">
        <v>442</v>
      </c>
      <c r="H266" s="68">
        <v>1</v>
      </c>
      <c r="M266" s="36"/>
      <c r="N266" s="5"/>
    </row>
    <row r="267" spans="1:64" x14ac:dyDescent="0.2">
      <c r="A267" s="4" t="s">
        <v>67</v>
      </c>
      <c r="B267" s="14" t="s">
        <v>155</v>
      </c>
      <c r="C267" s="92" t="s">
        <v>342</v>
      </c>
      <c r="D267" s="93"/>
      <c r="E267" s="93"/>
      <c r="F267" s="93"/>
      <c r="G267" s="14" t="s">
        <v>453</v>
      </c>
      <c r="H267" s="67">
        <v>30.6</v>
      </c>
      <c r="I267" s="24">
        <v>0</v>
      </c>
      <c r="J267" s="24">
        <f>H267*AO267</f>
        <v>0</v>
      </c>
      <c r="K267" s="24">
        <f>H267*AP267</f>
        <v>0</v>
      </c>
      <c r="L267" s="24">
        <f>H267*I267</f>
        <v>0</v>
      </c>
      <c r="M267" s="35" t="s">
        <v>562</v>
      </c>
      <c r="N267" s="5"/>
      <c r="Z267" s="42">
        <f>IF(AQ267="5",BJ267,0)</f>
        <v>0</v>
      </c>
      <c r="AB267" s="42">
        <f>IF(AQ267="1",BH267,0)</f>
        <v>0</v>
      </c>
      <c r="AC267" s="42">
        <f>IF(AQ267="1",BI267,0)</f>
        <v>0</v>
      </c>
      <c r="AD267" s="42">
        <f>IF(AQ267="7",BH267,0)</f>
        <v>0</v>
      </c>
      <c r="AE267" s="42">
        <f>IF(AQ267="7",BI267,0)</f>
        <v>0</v>
      </c>
      <c r="AF267" s="42">
        <f>IF(AQ267="2",BH267,0)</f>
        <v>0</v>
      </c>
      <c r="AG267" s="42">
        <f>IF(AQ267="2",BI267,0)</f>
        <v>0</v>
      </c>
      <c r="AH267" s="42">
        <f>IF(AQ267="0",BJ267,0)</f>
        <v>0</v>
      </c>
      <c r="AI267" s="41"/>
      <c r="AJ267" s="24">
        <f>IF(AN267=0,L267,0)</f>
        <v>0</v>
      </c>
      <c r="AK267" s="24">
        <f>IF(AN267=15,L267,0)</f>
        <v>0</v>
      </c>
      <c r="AL267" s="24">
        <f>IF(AN267=21,L267,0)</f>
        <v>0</v>
      </c>
      <c r="AN267" s="42">
        <v>21</v>
      </c>
      <c r="AO267" s="42">
        <f>I267*0.0757369062119367</f>
        <v>0</v>
      </c>
      <c r="AP267" s="42">
        <f>I267*(1-0.0757369062119367)</f>
        <v>0</v>
      </c>
      <c r="AQ267" s="43" t="s">
        <v>7</v>
      </c>
      <c r="AV267" s="42">
        <f>AW267+AX267</f>
        <v>0</v>
      </c>
      <c r="AW267" s="42">
        <f>H267*AO267</f>
        <v>0</v>
      </c>
      <c r="AX267" s="42">
        <f>H267*AP267</f>
        <v>0</v>
      </c>
      <c r="AY267" s="45" t="s">
        <v>497</v>
      </c>
      <c r="AZ267" s="45" t="s">
        <v>510</v>
      </c>
      <c r="BA267" s="41" t="s">
        <v>511</v>
      </c>
      <c r="BC267" s="42">
        <f>AW267+AX267</f>
        <v>0</v>
      </c>
      <c r="BD267" s="42">
        <f>I267/(100-BE267)*100</f>
        <v>0</v>
      </c>
      <c r="BE267" s="42">
        <v>0</v>
      </c>
      <c r="BF267" s="42">
        <f>265</f>
        <v>265</v>
      </c>
      <c r="BH267" s="24">
        <f>H267*AO267</f>
        <v>0</v>
      </c>
      <c r="BI267" s="24">
        <f>H267*AP267</f>
        <v>0</v>
      </c>
      <c r="BJ267" s="24">
        <f>H267*I267</f>
        <v>0</v>
      </c>
      <c r="BK267" s="24" t="s">
        <v>516</v>
      </c>
      <c r="BL267" s="42">
        <v>96</v>
      </c>
    </row>
    <row r="268" spans="1:64" x14ac:dyDescent="0.2">
      <c r="A268" s="5"/>
      <c r="C268" s="19" t="s">
        <v>343</v>
      </c>
      <c r="F268" s="20" t="s">
        <v>440</v>
      </c>
      <c r="H268" s="68">
        <v>12.6</v>
      </c>
      <c r="M268" s="36"/>
      <c r="N268" s="5"/>
    </row>
    <row r="269" spans="1:64" x14ac:dyDescent="0.2">
      <c r="A269" s="5"/>
      <c r="C269" s="19" t="s">
        <v>344</v>
      </c>
      <c r="F269" s="20" t="s">
        <v>441</v>
      </c>
      <c r="H269" s="68">
        <v>18</v>
      </c>
      <c r="M269" s="36"/>
      <c r="N269" s="5"/>
    </row>
    <row r="270" spans="1:64" x14ac:dyDescent="0.2">
      <c r="A270" s="4" t="s">
        <v>68</v>
      </c>
      <c r="B270" s="14" t="s">
        <v>156</v>
      </c>
      <c r="C270" s="92" t="s">
        <v>345</v>
      </c>
      <c r="D270" s="93"/>
      <c r="E270" s="93"/>
      <c r="F270" s="93"/>
      <c r="G270" s="14" t="s">
        <v>453</v>
      </c>
      <c r="H270" s="67">
        <v>3</v>
      </c>
      <c r="I270" s="24">
        <v>0</v>
      </c>
      <c r="J270" s="24">
        <f>H270*AO270</f>
        <v>0</v>
      </c>
      <c r="K270" s="24">
        <f>H270*AP270</f>
        <v>0</v>
      </c>
      <c r="L270" s="24">
        <f>H270*I270</f>
        <v>0</v>
      </c>
      <c r="M270" s="35" t="s">
        <v>562</v>
      </c>
      <c r="N270" s="5"/>
      <c r="Z270" s="42">
        <f>IF(AQ270="5",BJ270,0)</f>
        <v>0</v>
      </c>
      <c r="AB270" s="42">
        <f>IF(AQ270="1",BH270,0)</f>
        <v>0</v>
      </c>
      <c r="AC270" s="42">
        <f>IF(AQ270="1",BI270,0)</f>
        <v>0</v>
      </c>
      <c r="AD270" s="42">
        <f>IF(AQ270="7",BH270,0)</f>
        <v>0</v>
      </c>
      <c r="AE270" s="42">
        <f>IF(AQ270="7",BI270,0)</f>
        <v>0</v>
      </c>
      <c r="AF270" s="42">
        <f>IF(AQ270="2",BH270,0)</f>
        <v>0</v>
      </c>
      <c r="AG270" s="42">
        <f>IF(AQ270="2",BI270,0)</f>
        <v>0</v>
      </c>
      <c r="AH270" s="42">
        <f>IF(AQ270="0",BJ270,0)</f>
        <v>0</v>
      </c>
      <c r="AI270" s="41"/>
      <c r="AJ270" s="24">
        <f>IF(AN270=0,L270,0)</f>
        <v>0</v>
      </c>
      <c r="AK270" s="24">
        <f>IF(AN270=15,L270,0)</f>
        <v>0</v>
      </c>
      <c r="AL270" s="24">
        <f>IF(AN270=21,L270,0)</f>
        <v>0</v>
      </c>
      <c r="AN270" s="42">
        <v>21</v>
      </c>
      <c r="AO270" s="42">
        <f>I270*0.0838485804416404</f>
        <v>0</v>
      </c>
      <c r="AP270" s="42">
        <f>I270*(1-0.0838485804416404)</f>
        <v>0</v>
      </c>
      <c r="AQ270" s="43" t="s">
        <v>7</v>
      </c>
      <c r="AV270" s="42">
        <f>AW270+AX270</f>
        <v>0</v>
      </c>
      <c r="AW270" s="42">
        <f>H270*AO270</f>
        <v>0</v>
      </c>
      <c r="AX270" s="42">
        <f>H270*AP270</f>
        <v>0</v>
      </c>
      <c r="AY270" s="45" t="s">
        <v>497</v>
      </c>
      <c r="AZ270" s="45" t="s">
        <v>510</v>
      </c>
      <c r="BA270" s="41" t="s">
        <v>511</v>
      </c>
      <c r="BC270" s="42">
        <f>AW270+AX270</f>
        <v>0</v>
      </c>
      <c r="BD270" s="42">
        <f>I270/(100-BE270)*100</f>
        <v>0</v>
      </c>
      <c r="BE270" s="42">
        <v>0</v>
      </c>
      <c r="BF270" s="42">
        <f>268</f>
        <v>268</v>
      </c>
      <c r="BH270" s="24">
        <f>H270*AO270</f>
        <v>0</v>
      </c>
      <c r="BI270" s="24">
        <f>H270*AP270</f>
        <v>0</v>
      </c>
      <c r="BJ270" s="24">
        <f>H270*I270</f>
        <v>0</v>
      </c>
      <c r="BK270" s="24" t="s">
        <v>516</v>
      </c>
      <c r="BL270" s="42">
        <v>96</v>
      </c>
    </row>
    <row r="271" spans="1:64" x14ac:dyDescent="0.2">
      <c r="A271" s="5"/>
      <c r="C271" s="19" t="s">
        <v>346</v>
      </c>
      <c r="F271" s="20"/>
      <c r="H271" s="68">
        <v>3</v>
      </c>
      <c r="M271" s="36"/>
      <c r="N271" s="5"/>
    </row>
    <row r="272" spans="1:64" x14ac:dyDescent="0.2">
      <c r="A272" s="6"/>
      <c r="B272" s="16" t="s">
        <v>157</v>
      </c>
      <c r="C272" s="97" t="s">
        <v>347</v>
      </c>
      <c r="D272" s="98"/>
      <c r="E272" s="98"/>
      <c r="F272" s="98"/>
      <c r="G272" s="22" t="s">
        <v>6</v>
      </c>
      <c r="H272" s="22" t="s">
        <v>6</v>
      </c>
      <c r="I272" s="22" t="s">
        <v>6</v>
      </c>
      <c r="J272" s="48">
        <f>SUM(J273:J273)</f>
        <v>0</v>
      </c>
      <c r="K272" s="48">
        <f>SUM(K273:K273)</f>
        <v>0</v>
      </c>
      <c r="L272" s="48">
        <f>SUM(L273:L273)</f>
        <v>0</v>
      </c>
      <c r="M272" s="37"/>
      <c r="N272" s="5"/>
      <c r="AI272" s="41"/>
      <c r="AS272" s="48">
        <f>SUM(AJ273:AJ273)</f>
        <v>0</v>
      </c>
      <c r="AT272" s="48">
        <f>SUM(AK273:AK273)</f>
        <v>0</v>
      </c>
      <c r="AU272" s="48">
        <f>SUM(AL273:AL273)</f>
        <v>0</v>
      </c>
    </row>
    <row r="273" spans="1:64" x14ac:dyDescent="0.2">
      <c r="A273" s="4" t="s">
        <v>69</v>
      </c>
      <c r="B273" s="14" t="s">
        <v>158</v>
      </c>
      <c r="C273" s="92" t="s">
        <v>348</v>
      </c>
      <c r="D273" s="93"/>
      <c r="E273" s="93"/>
      <c r="F273" s="93"/>
      <c r="G273" s="14" t="s">
        <v>453</v>
      </c>
      <c r="H273" s="67">
        <v>106.67</v>
      </c>
      <c r="I273" s="24">
        <v>0</v>
      </c>
      <c r="J273" s="24">
        <f>H273*AO273</f>
        <v>0</v>
      </c>
      <c r="K273" s="24">
        <f>H273*AP273</f>
        <v>0</v>
      </c>
      <c r="L273" s="24">
        <f>H273*I273</f>
        <v>0</v>
      </c>
      <c r="M273" s="35" t="s">
        <v>562</v>
      </c>
      <c r="N273" s="5"/>
      <c r="Z273" s="42">
        <f>IF(AQ273="5",BJ273,0)</f>
        <v>0</v>
      </c>
      <c r="AB273" s="42">
        <f>IF(AQ273="1",BH273,0)</f>
        <v>0</v>
      </c>
      <c r="AC273" s="42">
        <f>IF(AQ273="1",BI273,0)</f>
        <v>0</v>
      </c>
      <c r="AD273" s="42">
        <f>IF(AQ273="7",BH273,0)</f>
        <v>0</v>
      </c>
      <c r="AE273" s="42">
        <f>IF(AQ273="7",BI273,0)</f>
        <v>0</v>
      </c>
      <c r="AF273" s="42">
        <f>IF(AQ273="2",BH273,0)</f>
        <v>0</v>
      </c>
      <c r="AG273" s="42">
        <f>IF(AQ273="2",BI273,0)</f>
        <v>0</v>
      </c>
      <c r="AH273" s="42">
        <f>IF(AQ273="0",BJ273,0)</f>
        <v>0</v>
      </c>
      <c r="AI273" s="41"/>
      <c r="AJ273" s="24">
        <f>IF(AN273=0,L273,0)</f>
        <v>0</v>
      </c>
      <c r="AK273" s="24">
        <f>IF(AN273=15,L273,0)</f>
        <v>0</v>
      </c>
      <c r="AL273" s="24">
        <f>IF(AN273=21,L273,0)</f>
        <v>0</v>
      </c>
      <c r="AN273" s="42">
        <v>21</v>
      </c>
      <c r="AO273" s="42">
        <f>I273*0</f>
        <v>0</v>
      </c>
      <c r="AP273" s="42">
        <f>I273*(1-0)</f>
        <v>0</v>
      </c>
      <c r="AQ273" s="43" t="s">
        <v>7</v>
      </c>
      <c r="AV273" s="42">
        <f>AW273+AX273</f>
        <v>0</v>
      </c>
      <c r="AW273" s="42">
        <f>H273*AO273</f>
        <v>0</v>
      </c>
      <c r="AX273" s="42">
        <f>H273*AP273</f>
        <v>0</v>
      </c>
      <c r="AY273" s="45" t="s">
        <v>498</v>
      </c>
      <c r="AZ273" s="45" t="s">
        <v>510</v>
      </c>
      <c r="BA273" s="41" t="s">
        <v>511</v>
      </c>
      <c r="BC273" s="42">
        <f>AW273+AX273</f>
        <v>0</v>
      </c>
      <c r="BD273" s="42">
        <f>I273/(100-BE273)*100</f>
        <v>0</v>
      </c>
      <c r="BE273" s="42">
        <v>0</v>
      </c>
      <c r="BF273" s="42">
        <f>271</f>
        <v>271</v>
      </c>
      <c r="BH273" s="24">
        <f>H273*AO273</f>
        <v>0</v>
      </c>
      <c r="BI273" s="24">
        <f>H273*AP273</f>
        <v>0</v>
      </c>
      <c r="BJ273" s="24">
        <f>H273*I273</f>
        <v>0</v>
      </c>
      <c r="BK273" s="24" t="s">
        <v>516</v>
      </c>
      <c r="BL273" s="42">
        <v>97</v>
      </c>
    </row>
    <row r="274" spans="1:64" x14ac:dyDescent="0.2">
      <c r="A274" s="5"/>
      <c r="C274" s="19" t="s">
        <v>349</v>
      </c>
      <c r="F274" s="20" t="s">
        <v>433</v>
      </c>
      <c r="H274" s="68">
        <v>10.29</v>
      </c>
      <c r="M274" s="36"/>
      <c r="N274" s="5"/>
    </row>
    <row r="275" spans="1:64" x14ac:dyDescent="0.2">
      <c r="A275" s="5"/>
      <c r="C275" s="19" t="s">
        <v>350</v>
      </c>
      <c r="F275" s="20" t="s">
        <v>443</v>
      </c>
      <c r="H275" s="68">
        <v>14.01</v>
      </c>
      <c r="M275" s="36"/>
      <c r="N275" s="5"/>
    </row>
    <row r="276" spans="1:64" x14ac:dyDescent="0.2">
      <c r="A276" s="5"/>
      <c r="C276" s="19" t="s">
        <v>351</v>
      </c>
      <c r="F276" s="20" t="s">
        <v>444</v>
      </c>
      <c r="H276" s="68">
        <v>6.6</v>
      </c>
      <c r="M276" s="36"/>
      <c r="N276" s="5"/>
    </row>
    <row r="277" spans="1:64" x14ac:dyDescent="0.2">
      <c r="A277" s="5"/>
      <c r="C277" s="19" t="s">
        <v>352</v>
      </c>
      <c r="F277" s="20" t="s">
        <v>445</v>
      </c>
      <c r="H277" s="68">
        <v>9</v>
      </c>
      <c r="M277" s="36"/>
      <c r="N277" s="5"/>
    </row>
    <row r="278" spans="1:64" x14ac:dyDescent="0.2">
      <c r="A278" s="5"/>
      <c r="C278" s="19" t="s">
        <v>353</v>
      </c>
      <c r="F278" s="20" t="s">
        <v>446</v>
      </c>
      <c r="H278" s="68">
        <v>8.1</v>
      </c>
      <c r="M278" s="36"/>
      <c r="N278" s="5"/>
    </row>
    <row r="279" spans="1:64" x14ac:dyDescent="0.2">
      <c r="A279" s="5"/>
      <c r="C279" s="19" t="s">
        <v>354</v>
      </c>
      <c r="F279" s="20" t="s">
        <v>436</v>
      </c>
      <c r="H279" s="68">
        <v>16.649999999999999</v>
      </c>
      <c r="M279" s="36"/>
      <c r="N279" s="5"/>
    </row>
    <row r="280" spans="1:64" x14ac:dyDescent="0.2">
      <c r="A280" s="5"/>
      <c r="C280" s="19" t="s">
        <v>355</v>
      </c>
      <c r="F280" s="20" t="s">
        <v>447</v>
      </c>
      <c r="H280" s="68">
        <v>5.85</v>
      </c>
      <c r="M280" s="36"/>
      <c r="N280" s="5"/>
    </row>
    <row r="281" spans="1:64" x14ac:dyDescent="0.2">
      <c r="A281" s="5"/>
      <c r="C281" s="19" t="s">
        <v>356</v>
      </c>
      <c r="F281" s="20" t="s">
        <v>448</v>
      </c>
      <c r="H281" s="68">
        <v>36.17</v>
      </c>
      <c r="M281" s="36"/>
      <c r="N281" s="5"/>
    </row>
    <row r="282" spans="1:64" x14ac:dyDescent="0.2">
      <c r="A282" s="6"/>
      <c r="B282" s="16" t="s">
        <v>159</v>
      </c>
      <c r="C282" s="97" t="s">
        <v>357</v>
      </c>
      <c r="D282" s="98"/>
      <c r="E282" s="98"/>
      <c r="F282" s="98"/>
      <c r="G282" s="22" t="s">
        <v>6</v>
      </c>
      <c r="H282" s="22" t="s">
        <v>6</v>
      </c>
      <c r="I282" s="22" t="s">
        <v>6</v>
      </c>
      <c r="J282" s="48">
        <f>SUM(J283:J283)</f>
        <v>0</v>
      </c>
      <c r="K282" s="48">
        <f>SUM(K283:K283)</f>
        <v>0</v>
      </c>
      <c r="L282" s="48">
        <f>SUM(L283:L283)</f>
        <v>0</v>
      </c>
      <c r="M282" s="37"/>
      <c r="N282" s="5"/>
      <c r="AI282" s="41"/>
      <c r="AS282" s="48">
        <f>SUM(AJ283:AJ283)</f>
        <v>0</v>
      </c>
      <c r="AT282" s="48">
        <f>SUM(AK283:AK283)</f>
        <v>0</v>
      </c>
      <c r="AU282" s="48">
        <f>SUM(AL283:AL283)</f>
        <v>0</v>
      </c>
    </row>
    <row r="283" spans="1:64" x14ac:dyDescent="0.2">
      <c r="A283" s="4" t="s">
        <v>70</v>
      </c>
      <c r="B283" s="14" t="s">
        <v>160</v>
      </c>
      <c r="C283" s="92" t="s">
        <v>358</v>
      </c>
      <c r="D283" s="93"/>
      <c r="E283" s="93"/>
      <c r="F283" s="93"/>
      <c r="G283" s="14" t="s">
        <v>455</v>
      </c>
      <c r="H283" s="67">
        <v>42.94</v>
      </c>
      <c r="I283" s="24">
        <v>0</v>
      </c>
      <c r="J283" s="24">
        <f>H283*AO283</f>
        <v>0</v>
      </c>
      <c r="K283" s="24">
        <f>H283*AP283</f>
        <v>0</v>
      </c>
      <c r="L283" s="24">
        <f>H283*I283</f>
        <v>0</v>
      </c>
      <c r="M283" s="35" t="s">
        <v>562</v>
      </c>
      <c r="N283" s="5"/>
      <c r="Z283" s="42">
        <f>IF(AQ283="5",BJ283,0)</f>
        <v>0</v>
      </c>
      <c r="AB283" s="42">
        <f>IF(AQ283="1",BH283,0)</f>
        <v>0</v>
      </c>
      <c r="AC283" s="42">
        <f>IF(AQ283="1",BI283,0)</f>
        <v>0</v>
      </c>
      <c r="AD283" s="42">
        <f>IF(AQ283="7",BH283,0)</f>
        <v>0</v>
      </c>
      <c r="AE283" s="42">
        <f>IF(AQ283="7",BI283,0)</f>
        <v>0</v>
      </c>
      <c r="AF283" s="42">
        <f>IF(AQ283="2",BH283,0)</f>
        <v>0</v>
      </c>
      <c r="AG283" s="42">
        <f>IF(AQ283="2",BI283,0)</f>
        <v>0</v>
      </c>
      <c r="AH283" s="42">
        <f>IF(AQ283="0",BJ283,0)</f>
        <v>0</v>
      </c>
      <c r="AI283" s="41"/>
      <c r="AJ283" s="24">
        <f>IF(AN283=0,L283,0)</f>
        <v>0</v>
      </c>
      <c r="AK283" s="24">
        <f>IF(AN283=15,L283,0)</f>
        <v>0</v>
      </c>
      <c r="AL283" s="24">
        <f>IF(AN283=21,L283,0)</f>
        <v>0</v>
      </c>
      <c r="AN283" s="42">
        <v>21</v>
      </c>
      <c r="AO283" s="42">
        <f>I283*0</f>
        <v>0</v>
      </c>
      <c r="AP283" s="42">
        <f>I283*(1-0)</f>
        <v>0</v>
      </c>
      <c r="AQ283" s="43" t="s">
        <v>11</v>
      </c>
      <c r="AV283" s="42">
        <f>AW283+AX283</f>
        <v>0</v>
      </c>
      <c r="AW283" s="42">
        <f>H283*AO283</f>
        <v>0</v>
      </c>
      <c r="AX283" s="42">
        <f>H283*AP283</f>
        <v>0</v>
      </c>
      <c r="AY283" s="45" t="s">
        <v>499</v>
      </c>
      <c r="AZ283" s="45" t="s">
        <v>510</v>
      </c>
      <c r="BA283" s="41" t="s">
        <v>511</v>
      </c>
      <c r="BC283" s="42">
        <f>AW283+AX283</f>
        <v>0</v>
      </c>
      <c r="BD283" s="42">
        <f>I283/(100-BE283)*100</f>
        <v>0</v>
      </c>
      <c r="BE283" s="42">
        <v>0</v>
      </c>
      <c r="BF283" s="42">
        <f>281</f>
        <v>281</v>
      </c>
      <c r="BH283" s="24">
        <f>H283*AO283</f>
        <v>0</v>
      </c>
      <c r="BI283" s="24">
        <f>H283*AP283</f>
        <v>0</v>
      </c>
      <c r="BJ283" s="24">
        <f>H283*I283</f>
        <v>0</v>
      </c>
      <c r="BK283" s="24" t="s">
        <v>516</v>
      </c>
      <c r="BL283" s="42" t="s">
        <v>159</v>
      </c>
    </row>
    <row r="284" spans="1:64" x14ac:dyDescent="0.2">
      <c r="A284" s="6"/>
      <c r="B284" s="16" t="s">
        <v>161</v>
      </c>
      <c r="C284" s="97" t="s">
        <v>359</v>
      </c>
      <c r="D284" s="98"/>
      <c r="E284" s="98"/>
      <c r="F284" s="98"/>
      <c r="G284" s="22" t="s">
        <v>6</v>
      </c>
      <c r="H284" s="22" t="s">
        <v>6</v>
      </c>
      <c r="I284" s="22" t="s">
        <v>6</v>
      </c>
      <c r="J284" s="48">
        <f>SUM(J285:J285)</f>
        <v>0</v>
      </c>
      <c r="K284" s="48">
        <f>SUM(K285:K285)</f>
        <v>0</v>
      </c>
      <c r="L284" s="48">
        <f>SUM(L285:L285)</f>
        <v>0</v>
      </c>
      <c r="M284" s="37"/>
      <c r="N284" s="5"/>
      <c r="AI284" s="41"/>
      <c r="AS284" s="48">
        <f>SUM(AJ285:AJ285)</f>
        <v>0</v>
      </c>
      <c r="AT284" s="48">
        <f>SUM(AK285:AK285)</f>
        <v>0</v>
      </c>
      <c r="AU284" s="48">
        <f>SUM(AL285:AL285)</f>
        <v>0</v>
      </c>
    </row>
    <row r="285" spans="1:64" x14ac:dyDescent="0.2">
      <c r="A285" s="4" t="s">
        <v>71</v>
      </c>
      <c r="B285" s="14" t="s">
        <v>162</v>
      </c>
      <c r="C285" s="92" t="s">
        <v>360</v>
      </c>
      <c r="D285" s="93"/>
      <c r="E285" s="93"/>
      <c r="F285" s="93"/>
      <c r="G285" s="14" t="s">
        <v>458</v>
      </c>
      <c r="H285" s="67">
        <v>500</v>
      </c>
      <c r="I285" s="24">
        <v>0</v>
      </c>
      <c r="J285" s="24">
        <f>H285*AO285</f>
        <v>0</v>
      </c>
      <c r="K285" s="24">
        <f>H285*AP285</f>
        <v>0</v>
      </c>
      <c r="L285" s="24">
        <f>H285*I285</f>
        <v>0</v>
      </c>
      <c r="M285" s="35"/>
      <c r="N285" s="5"/>
      <c r="Z285" s="42">
        <f>IF(AQ285="5",BJ285,0)</f>
        <v>0</v>
      </c>
      <c r="AB285" s="42">
        <f>IF(AQ285="1",BH285,0)</f>
        <v>0</v>
      </c>
      <c r="AC285" s="42">
        <f>IF(AQ285="1",BI285,0)</f>
        <v>0</v>
      </c>
      <c r="AD285" s="42">
        <f>IF(AQ285="7",BH285,0)</f>
        <v>0</v>
      </c>
      <c r="AE285" s="42">
        <f>IF(AQ285="7",BI285,0)</f>
        <v>0</v>
      </c>
      <c r="AF285" s="42">
        <f>IF(AQ285="2",BH285,0)</f>
        <v>0</v>
      </c>
      <c r="AG285" s="42">
        <f>IF(AQ285="2",BI285,0)</f>
        <v>0</v>
      </c>
      <c r="AH285" s="42">
        <f>IF(AQ285="0",BJ285,0)</f>
        <v>0</v>
      </c>
      <c r="AI285" s="41"/>
      <c r="AJ285" s="24">
        <f>IF(AN285=0,L285,0)</f>
        <v>0</v>
      </c>
      <c r="AK285" s="24">
        <f>IF(AN285=15,L285,0)</f>
        <v>0</v>
      </c>
      <c r="AL285" s="24">
        <f>IF(AN285=21,L285,0)</f>
        <v>0</v>
      </c>
      <c r="AN285" s="42">
        <v>21</v>
      </c>
      <c r="AO285" s="42">
        <f>I285*0</f>
        <v>0</v>
      </c>
      <c r="AP285" s="42">
        <f>I285*(1-0)</f>
        <v>0</v>
      </c>
      <c r="AQ285" s="43" t="s">
        <v>8</v>
      </c>
      <c r="AV285" s="42">
        <f>AW285+AX285</f>
        <v>0</v>
      </c>
      <c r="AW285" s="42">
        <f>H285*AO285</f>
        <v>0</v>
      </c>
      <c r="AX285" s="42">
        <f>H285*AP285</f>
        <v>0</v>
      </c>
      <c r="AY285" s="45" t="s">
        <v>500</v>
      </c>
      <c r="AZ285" s="45" t="s">
        <v>510</v>
      </c>
      <c r="BA285" s="41" t="s">
        <v>511</v>
      </c>
      <c r="BC285" s="42">
        <f>AW285+AX285</f>
        <v>0</v>
      </c>
      <c r="BD285" s="42">
        <f>I285/(100-BE285)*100</f>
        <v>0</v>
      </c>
      <c r="BE285" s="42">
        <v>0</v>
      </c>
      <c r="BF285" s="42">
        <f>283</f>
        <v>283</v>
      </c>
      <c r="BH285" s="24">
        <f>H285*AO285</f>
        <v>0</v>
      </c>
      <c r="BI285" s="24">
        <f>H285*AP285</f>
        <v>0</v>
      </c>
      <c r="BJ285" s="24">
        <f>H285*I285</f>
        <v>0</v>
      </c>
      <c r="BK285" s="24" t="s">
        <v>516</v>
      </c>
      <c r="BL285" s="42" t="s">
        <v>161</v>
      </c>
    </row>
    <row r="286" spans="1:64" x14ac:dyDescent="0.2">
      <c r="A286" s="5"/>
      <c r="C286" s="19" t="s">
        <v>361</v>
      </c>
      <c r="F286" s="20"/>
      <c r="H286" s="68">
        <v>500</v>
      </c>
      <c r="M286" s="36"/>
      <c r="N286" s="5"/>
    </row>
    <row r="287" spans="1:64" x14ac:dyDescent="0.2">
      <c r="A287" s="6"/>
      <c r="B287" s="16" t="s">
        <v>163</v>
      </c>
      <c r="C287" s="97" t="s">
        <v>362</v>
      </c>
      <c r="D287" s="98"/>
      <c r="E287" s="98"/>
      <c r="F287" s="98"/>
      <c r="G287" s="22" t="s">
        <v>6</v>
      </c>
      <c r="H287" s="22" t="s">
        <v>6</v>
      </c>
      <c r="I287" s="22" t="s">
        <v>6</v>
      </c>
      <c r="J287" s="48">
        <f>SUM(J288:J302)</f>
        <v>0</v>
      </c>
      <c r="K287" s="48">
        <f>SUM(K288:K302)</f>
        <v>0</v>
      </c>
      <c r="L287" s="48">
        <f>SUM(L288:L302)</f>
        <v>0</v>
      </c>
      <c r="M287" s="37"/>
      <c r="N287" s="5"/>
      <c r="AI287" s="41"/>
      <c r="AS287" s="48">
        <f>SUM(AJ288:AJ302)</f>
        <v>0</v>
      </c>
      <c r="AT287" s="48">
        <f>SUM(AK288:AK302)</f>
        <v>0</v>
      </c>
      <c r="AU287" s="48">
        <f>SUM(AL288:AL302)</f>
        <v>0</v>
      </c>
    </row>
    <row r="288" spans="1:64" x14ac:dyDescent="0.2">
      <c r="A288" s="4" t="s">
        <v>72</v>
      </c>
      <c r="B288" s="14" t="s">
        <v>164</v>
      </c>
      <c r="C288" s="92" t="s">
        <v>363</v>
      </c>
      <c r="D288" s="93"/>
      <c r="E288" s="93"/>
      <c r="F288" s="93"/>
      <c r="G288" s="14" t="s">
        <v>455</v>
      </c>
      <c r="H288" s="67">
        <v>44.91</v>
      </c>
      <c r="I288" s="24">
        <v>0</v>
      </c>
      <c r="J288" s="24">
        <f>H288*AO288</f>
        <v>0</v>
      </c>
      <c r="K288" s="24">
        <f>H288*AP288</f>
        <v>0</v>
      </c>
      <c r="L288" s="24">
        <f>H288*I288</f>
        <v>0</v>
      </c>
      <c r="M288" s="35" t="s">
        <v>562</v>
      </c>
      <c r="N288" s="5"/>
      <c r="Z288" s="42">
        <f>IF(AQ288="5",BJ288,0)</f>
        <v>0</v>
      </c>
      <c r="AB288" s="42">
        <f>IF(AQ288="1",BH288,0)</f>
        <v>0</v>
      </c>
      <c r="AC288" s="42">
        <f>IF(AQ288="1",BI288,0)</f>
        <v>0</v>
      </c>
      <c r="AD288" s="42">
        <f>IF(AQ288="7",BH288,0)</f>
        <v>0</v>
      </c>
      <c r="AE288" s="42">
        <f>IF(AQ288="7",BI288,0)</f>
        <v>0</v>
      </c>
      <c r="AF288" s="42">
        <f>IF(AQ288="2",BH288,0)</f>
        <v>0</v>
      </c>
      <c r="AG288" s="42">
        <f>IF(AQ288="2",BI288,0)</f>
        <v>0</v>
      </c>
      <c r="AH288" s="42">
        <f>IF(AQ288="0",BJ288,0)</f>
        <v>0</v>
      </c>
      <c r="AI288" s="41"/>
      <c r="AJ288" s="24">
        <f>IF(AN288=0,L288,0)</f>
        <v>0</v>
      </c>
      <c r="AK288" s="24">
        <f>IF(AN288=15,L288,0)</f>
        <v>0</v>
      </c>
      <c r="AL288" s="24">
        <f>IF(AN288=21,L288,0)</f>
        <v>0</v>
      </c>
      <c r="AN288" s="42">
        <v>21</v>
      </c>
      <c r="AO288" s="42">
        <f>I288*0</f>
        <v>0</v>
      </c>
      <c r="AP288" s="42">
        <f>I288*(1-0)</f>
        <v>0</v>
      </c>
      <c r="AQ288" s="43" t="s">
        <v>11</v>
      </c>
      <c r="AV288" s="42">
        <f>AW288+AX288</f>
        <v>0</v>
      </c>
      <c r="AW288" s="42">
        <f>H288*AO288</f>
        <v>0</v>
      </c>
      <c r="AX288" s="42">
        <f>H288*AP288</f>
        <v>0</v>
      </c>
      <c r="AY288" s="45" t="s">
        <v>501</v>
      </c>
      <c r="AZ288" s="45" t="s">
        <v>510</v>
      </c>
      <c r="BA288" s="41" t="s">
        <v>511</v>
      </c>
      <c r="BC288" s="42">
        <f>AW288+AX288</f>
        <v>0</v>
      </c>
      <c r="BD288" s="42">
        <f>I288/(100-BE288)*100</f>
        <v>0</v>
      </c>
      <c r="BE288" s="42">
        <v>0</v>
      </c>
      <c r="BF288" s="42">
        <f>286</f>
        <v>286</v>
      </c>
      <c r="BH288" s="24">
        <f>H288*AO288</f>
        <v>0</v>
      </c>
      <c r="BI288" s="24">
        <f>H288*AP288</f>
        <v>0</v>
      </c>
      <c r="BJ288" s="24">
        <f>H288*I288</f>
        <v>0</v>
      </c>
      <c r="BK288" s="24" t="s">
        <v>516</v>
      </c>
      <c r="BL288" s="42" t="s">
        <v>163</v>
      </c>
    </row>
    <row r="289" spans="1:64" x14ac:dyDescent="0.2">
      <c r="A289" s="4" t="s">
        <v>73</v>
      </c>
      <c r="B289" s="14" t="s">
        <v>165</v>
      </c>
      <c r="C289" s="92" t="s">
        <v>364</v>
      </c>
      <c r="D289" s="93"/>
      <c r="E289" s="93"/>
      <c r="F289" s="93"/>
      <c r="G289" s="14" t="s">
        <v>455</v>
      </c>
      <c r="H289" s="67">
        <v>44.91</v>
      </c>
      <c r="I289" s="24">
        <v>0</v>
      </c>
      <c r="J289" s="24">
        <f>H289*AO289</f>
        <v>0</v>
      </c>
      <c r="K289" s="24">
        <f>H289*AP289</f>
        <v>0</v>
      </c>
      <c r="L289" s="24">
        <f>H289*I289</f>
        <v>0</v>
      </c>
      <c r="M289" s="35" t="s">
        <v>562</v>
      </c>
      <c r="N289" s="5"/>
      <c r="Z289" s="42">
        <f>IF(AQ289="5",BJ289,0)</f>
        <v>0</v>
      </c>
      <c r="AB289" s="42">
        <f>IF(AQ289="1",BH289,0)</f>
        <v>0</v>
      </c>
      <c r="AC289" s="42">
        <f>IF(AQ289="1",BI289,0)</f>
        <v>0</v>
      </c>
      <c r="AD289" s="42">
        <f>IF(AQ289="7",BH289,0)</f>
        <v>0</v>
      </c>
      <c r="AE289" s="42">
        <f>IF(AQ289="7",BI289,0)</f>
        <v>0</v>
      </c>
      <c r="AF289" s="42">
        <f>IF(AQ289="2",BH289,0)</f>
        <v>0</v>
      </c>
      <c r="AG289" s="42">
        <f>IF(AQ289="2",BI289,0)</f>
        <v>0</v>
      </c>
      <c r="AH289" s="42">
        <f>IF(AQ289="0",BJ289,0)</f>
        <v>0</v>
      </c>
      <c r="AI289" s="41"/>
      <c r="AJ289" s="24">
        <f>IF(AN289=0,L289,0)</f>
        <v>0</v>
      </c>
      <c r="AK289" s="24">
        <f>IF(AN289=15,L289,0)</f>
        <v>0</v>
      </c>
      <c r="AL289" s="24">
        <f>IF(AN289=21,L289,0)</f>
        <v>0</v>
      </c>
      <c r="AN289" s="42">
        <v>21</v>
      </c>
      <c r="AO289" s="42">
        <f>I289*0.00978963049018138</f>
        <v>0</v>
      </c>
      <c r="AP289" s="42">
        <f>I289*(1-0.00978963049018138)</f>
        <v>0</v>
      </c>
      <c r="AQ289" s="43" t="s">
        <v>11</v>
      </c>
      <c r="AV289" s="42">
        <f>AW289+AX289</f>
        <v>0</v>
      </c>
      <c r="AW289" s="42">
        <f>H289*AO289</f>
        <v>0</v>
      </c>
      <c r="AX289" s="42">
        <f>H289*AP289</f>
        <v>0</v>
      </c>
      <c r="AY289" s="45" t="s">
        <v>501</v>
      </c>
      <c r="AZ289" s="45" t="s">
        <v>510</v>
      </c>
      <c r="BA289" s="41" t="s">
        <v>511</v>
      </c>
      <c r="BC289" s="42">
        <f>AW289+AX289</f>
        <v>0</v>
      </c>
      <c r="BD289" s="42">
        <f>I289/(100-BE289)*100</f>
        <v>0</v>
      </c>
      <c r="BE289" s="42">
        <v>0</v>
      </c>
      <c r="BF289" s="42">
        <f>287</f>
        <v>287</v>
      </c>
      <c r="BH289" s="24">
        <f>H289*AO289</f>
        <v>0</v>
      </c>
      <c r="BI289" s="24">
        <f>H289*AP289</f>
        <v>0</v>
      </c>
      <c r="BJ289" s="24">
        <f>H289*I289</f>
        <v>0</v>
      </c>
      <c r="BK289" s="24" t="s">
        <v>516</v>
      </c>
      <c r="BL289" s="42" t="s">
        <v>163</v>
      </c>
    </row>
    <row r="290" spans="1:64" x14ac:dyDescent="0.2">
      <c r="A290" s="5"/>
      <c r="C290" s="19" t="s">
        <v>365</v>
      </c>
      <c r="F290" s="20"/>
      <c r="H290" s="68">
        <v>44.91</v>
      </c>
      <c r="M290" s="36"/>
      <c r="N290" s="5"/>
    </row>
    <row r="291" spans="1:64" x14ac:dyDescent="0.2">
      <c r="A291" s="4" t="s">
        <v>74</v>
      </c>
      <c r="B291" s="14" t="s">
        <v>166</v>
      </c>
      <c r="C291" s="92" t="s">
        <v>366</v>
      </c>
      <c r="D291" s="93"/>
      <c r="E291" s="93"/>
      <c r="F291" s="93"/>
      <c r="G291" s="14" t="s">
        <v>455</v>
      </c>
      <c r="H291" s="67">
        <v>44.91</v>
      </c>
      <c r="I291" s="24">
        <v>0</v>
      </c>
      <c r="J291" s="24">
        <f>H291*AO291</f>
        <v>0</v>
      </c>
      <c r="K291" s="24">
        <f>H291*AP291</f>
        <v>0</v>
      </c>
      <c r="L291" s="24">
        <f>H291*I291</f>
        <v>0</v>
      </c>
      <c r="M291" s="35" t="s">
        <v>562</v>
      </c>
      <c r="N291" s="5"/>
      <c r="Z291" s="42">
        <f>IF(AQ291="5",BJ291,0)</f>
        <v>0</v>
      </c>
      <c r="AB291" s="42">
        <f>IF(AQ291="1",BH291,0)</f>
        <v>0</v>
      </c>
      <c r="AC291" s="42">
        <f>IF(AQ291="1",BI291,0)</f>
        <v>0</v>
      </c>
      <c r="AD291" s="42">
        <f>IF(AQ291="7",BH291,0)</f>
        <v>0</v>
      </c>
      <c r="AE291" s="42">
        <f>IF(AQ291="7",BI291,0)</f>
        <v>0</v>
      </c>
      <c r="AF291" s="42">
        <f>IF(AQ291="2",BH291,0)</f>
        <v>0</v>
      </c>
      <c r="AG291" s="42">
        <f>IF(AQ291="2",BI291,0)</f>
        <v>0</v>
      </c>
      <c r="AH291" s="42">
        <f>IF(AQ291="0",BJ291,0)</f>
        <v>0</v>
      </c>
      <c r="AI291" s="41"/>
      <c r="AJ291" s="24">
        <f>IF(AN291=0,L291,0)</f>
        <v>0</v>
      </c>
      <c r="AK291" s="24">
        <f>IF(AN291=15,L291,0)</f>
        <v>0</v>
      </c>
      <c r="AL291" s="24">
        <f>IF(AN291=21,L291,0)</f>
        <v>0</v>
      </c>
      <c r="AN291" s="42">
        <v>21</v>
      </c>
      <c r="AO291" s="42">
        <f>I291*0</f>
        <v>0</v>
      </c>
      <c r="AP291" s="42">
        <f>I291*(1-0)</f>
        <v>0</v>
      </c>
      <c r="AQ291" s="43" t="s">
        <v>11</v>
      </c>
      <c r="AV291" s="42">
        <f>AW291+AX291</f>
        <v>0</v>
      </c>
      <c r="AW291" s="42">
        <f>H291*AO291</f>
        <v>0</v>
      </c>
      <c r="AX291" s="42">
        <f>H291*AP291</f>
        <v>0</v>
      </c>
      <c r="AY291" s="45" t="s">
        <v>501</v>
      </c>
      <c r="AZ291" s="45" t="s">
        <v>510</v>
      </c>
      <c r="BA291" s="41" t="s">
        <v>511</v>
      </c>
      <c r="BC291" s="42">
        <f>AW291+AX291</f>
        <v>0</v>
      </c>
      <c r="BD291" s="42">
        <f>I291/(100-BE291)*100</f>
        <v>0</v>
      </c>
      <c r="BE291" s="42">
        <v>0</v>
      </c>
      <c r="BF291" s="42">
        <f>289</f>
        <v>289</v>
      </c>
      <c r="BH291" s="24">
        <f>H291*AO291</f>
        <v>0</v>
      </c>
      <c r="BI291" s="24">
        <f>H291*AP291</f>
        <v>0</v>
      </c>
      <c r="BJ291" s="24">
        <f>H291*I291</f>
        <v>0</v>
      </c>
      <c r="BK291" s="24" t="s">
        <v>516</v>
      </c>
      <c r="BL291" s="42" t="s">
        <v>163</v>
      </c>
    </row>
    <row r="292" spans="1:64" x14ac:dyDescent="0.2">
      <c r="A292" s="5"/>
      <c r="C292" s="19" t="s">
        <v>365</v>
      </c>
      <c r="F292" s="20"/>
      <c r="H292" s="68">
        <v>44.91</v>
      </c>
      <c r="M292" s="36"/>
      <c r="N292" s="5"/>
    </row>
    <row r="293" spans="1:64" x14ac:dyDescent="0.2">
      <c r="A293" s="4" t="s">
        <v>75</v>
      </c>
      <c r="B293" s="14" t="s">
        <v>167</v>
      </c>
      <c r="C293" s="92" t="s">
        <v>367</v>
      </c>
      <c r="D293" s="93"/>
      <c r="E293" s="93"/>
      <c r="F293" s="93"/>
      <c r="G293" s="14" t="s">
        <v>455</v>
      </c>
      <c r="H293" s="67">
        <v>179.64</v>
      </c>
      <c r="I293" s="24">
        <v>0</v>
      </c>
      <c r="J293" s="24">
        <f>H293*AO293</f>
        <v>0</v>
      </c>
      <c r="K293" s="24">
        <f>H293*AP293</f>
        <v>0</v>
      </c>
      <c r="L293" s="24">
        <f>H293*I293</f>
        <v>0</v>
      </c>
      <c r="M293" s="35" t="s">
        <v>562</v>
      </c>
      <c r="N293" s="5"/>
      <c r="Z293" s="42">
        <f>IF(AQ293="5",BJ293,0)</f>
        <v>0</v>
      </c>
      <c r="AB293" s="42">
        <f>IF(AQ293="1",BH293,0)</f>
        <v>0</v>
      </c>
      <c r="AC293" s="42">
        <f>IF(AQ293="1",BI293,0)</f>
        <v>0</v>
      </c>
      <c r="AD293" s="42">
        <f>IF(AQ293="7",BH293,0)</f>
        <v>0</v>
      </c>
      <c r="AE293" s="42">
        <f>IF(AQ293="7",BI293,0)</f>
        <v>0</v>
      </c>
      <c r="AF293" s="42">
        <f>IF(AQ293="2",BH293,0)</f>
        <v>0</v>
      </c>
      <c r="AG293" s="42">
        <f>IF(AQ293="2",BI293,0)</f>
        <v>0</v>
      </c>
      <c r="AH293" s="42">
        <f>IF(AQ293="0",BJ293,0)</f>
        <v>0</v>
      </c>
      <c r="AI293" s="41"/>
      <c r="AJ293" s="24">
        <f>IF(AN293=0,L293,0)</f>
        <v>0</v>
      </c>
      <c r="AK293" s="24">
        <f>IF(AN293=15,L293,0)</f>
        <v>0</v>
      </c>
      <c r="AL293" s="24">
        <f>IF(AN293=21,L293,0)</f>
        <v>0</v>
      </c>
      <c r="AN293" s="42">
        <v>21</v>
      </c>
      <c r="AO293" s="42">
        <f>I293*0</f>
        <v>0</v>
      </c>
      <c r="AP293" s="42">
        <f>I293*(1-0)</f>
        <v>0</v>
      </c>
      <c r="AQ293" s="43" t="s">
        <v>11</v>
      </c>
      <c r="AV293" s="42">
        <f>AW293+AX293</f>
        <v>0</v>
      </c>
      <c r="AW293" s="42">
        <f>H293*AO293</f>
        <v>0</v>
      </c>
      <c r="AX293" s="42">
        <f>H293*AP293</f>
        <v>0</v>
      </c>
      <c r="AY293" s="45" t="s">
        <v>501</v>
      </c>
      <c r="AZ293" s="45" t="s">
        <v>510</v>
      </c>
      <c r="BA293" s="41" t="s">
        <v>511</v>
      </c>
      <c r="BC293" s="42">
        <f>AW293+AX293</f>
        <v>0</v>
      </c>
      <c r="BD293" s="42">
        <f>I293/(100-BE293)*100</f>
        <v>0</v>
      </c>
      <c r="BE293" s="42">
        <v>0</v>
      </c>
      <c r="BF293" s="42">
        <f>291</f>
        <v>291</v>
      </c>
      <c r="BH293" s="24">
        <f>H293*AO293</f>
        <v>0</v>
      </c>
      <c r="BI293" s="24">
        <f>H293*AP293</f>
        <v>0</v>
      </c>
      <c r="BJ293" s="24">
        <f>H293*I293</f>
        <v>0</v>
      </c>
      <c r="BK293" s="24" t="s">
        <v>516</v>
      </c>
      <c r="BL293" s="42" t="s">
        <v>163</v>
      </c>
    </row>
    <row r="294" spans="1:64" x14ac:dyDescent="0.2">
      <c r="A294" s="5"/>
      <c r="C294" s="19" t="s">
        <v>368</v>
      </c>
      <c r="F294" s="20" t="s">
        <v>449</v>
      </c>
      <c r="H294" s="68">
        <v>179.64</v>
      </c>
      <c r="M294" s="36"/>
      <c r="N294" s="5"/>
    </row>
    <row r="295" spans="1:64" x14ac:dyDescent="0.2">
      <c r="A295" s="4" t="s">
        <v>76</v>
      </c>
      <c r="B295" s="14" t="s">
        <v>168</v>
      </c>
      <c r="C295" s="92" t="s">
        <v>369</v>
      </c>
      <c r="D295" s="93"/>
      <c r="E295" s="93"/>
      <c r="F295" s="93"/>
      <c r="G295" s="14" t="s">
        <v>455</v>
      </c>
      <c r="H295" s="67">
        <v>44.91</v>
      </c>
      <c r="I295" s="24">
        <v>0</v>
      </c>
      <c r="J295" s="24">
        <f>H295*AO295</f>
        <v>0</v>
      </c>
      <c r="K295" s="24">
        <f>H295*AP295</f>
        <v>0</v>
      </c>
      <c r="L295" s="24">
        <f>H295*I295</f>
        <v>0</v>
      </c>
      <c r="M295" s="35" t="s">
        <v>562</v>
      </c>
      <c r="N295" s="5"/>
      <c r="Z295" s="42">
        <f>IF(AQ295="5",BJ295,0)</f>
        <v>0</v>
      </c>
      <c r="AB295" s="42">
        <f>IF(AQ295="1",BH295,0)</f>
        <v>0</v>
      </c>
      <c r="AC295" s="42">
        <f>IF(AQ295="1",BI295,0)</f>
        <v>0</v>
      </c>
      <c r="AD295" s="42">
        <f>IF(AQ295="7",BH295,0)</f>
        <v>0</v>
      </c>
      <c r="AE295" s="42">
        <f>IF(AQ295="7",BI295,0)</f>
        <v>0</v>
      </c>
      <c r="AF295" s="42">
        <f>IF(AQ295="2",BH295,0)</f>
        <v>0</v>
      </c>
      <c r="AG295" s="42">
        <f>IF(AQ295="2",BI295,0)</f>
        <v>0</v>
      </c>
      <c r="AH295" s="42">
        <f>IF(AQ295="0",BJ295,0)</f>
        <v>0</v>
      </c>
      <c r="AI295" s="41"/>
      <c r="AJ295" s="24">
        <f>IF(AN295=0,L295,0)</f>
        <v>0</v>
      </c>
      <c r="AK295" s="24">
        <f>IF(AN295=15,L295,0)</f>
        <v>0</v>
      </c>
      <c r="AL295" s="24">
        <f>IF(AN295=21,L295,0)</f>
        <v>0</v>
      </c>
      <c r="AN295" s="42">
        <v>21</v>
      </c>
      <c r="AO295" s="42">
        <f>I295*0</f>
        <v>0</v>
      </c>
      <c r="AP295" s="42">
        <f>I295*(1-0)</f>
        <v>0</v>
      </c>
      <c r="AQ295" s="43" t="s">
        <v>11</v>
      </c>
      <c r="AV295" s="42">
        <f>AW295+AX295</f>
        <v>0</v>
      </c>
      <c r="AW295" s="42">
        <f>H295*AO295</f>
        <v>0</v>
      </c>
      <c r="AX295" s="42">
        <f>H295*AP295</f>
        <v>0</v>
      </c>
      <c r="AY295" s="45" t="s">
        <v>501</v>
      </c>
      <c r="AZ295" s="45" t="s">
        <v>510</v>
      </c>
      <c r="BA295" s="41" t="s">
        <v>511</v>
      </c>
      <c r="BC295" s="42">
        <f>AW295+AX295</f>
        <v>0</v>
      </c>
      <c r="BD295" s="42">
        <f>I295/(100-BE295)*100</f>
        <v>0</v>
      </c>
      <c r="BE295" s="42">
        <v>0</v>
      </c>
      <c r="BF295" s="42">
        <f>293</f>
        <v>293</v>
      </c>
      <c r="BH295" s="24">
        <f>H295*AO295</f>
        <v>0</v>
      </c>
      <c r="BI295" s="24">
        <f>H295*AP295</f>
        <v>0</v>
      </c>
      <c r="BJ295" s="24">
        <f>H295*I295</f>
        <v>0</v>
      </c>
      <c r="BK295" s="24" t="s">
        <v>516</v>
      </c>
      <c r="BL295" s="42" t="s">
        <v>163</v>
      </c>
    </row>
    <row r="296" spans="1:64" x14ac:dyDescent="0.2">
      <c r="A296" s="5"/>
      <c r="C296" s="19" t="s">
        <v>365</v>
      </c>
      <c r="F296" s="20"/>
      <c r="H296" s="68">
        <v>44.91</v>
      </c>
      <c r="M296" s="36"/>
      <c r="N296" s="5"/>
    </row>
    <row r="297" spans="1:64" x14ac:dyDescent="0.2">
      <c r="A297" s="4" t="s">
        <v>77</v>
      </c>
      <c r="B297" s="14" t="s">
        <v>169</v>
      </c>
      <c r="C297" s="92" t="s">
        <v>370</v>
      </c>
      <c r="D297" s="93"/>
      <c r="E297" s="93"/>
      <c r="F297" s="93"/>
      <c r="G297" s="14" t="s">
        <v>455</v>
      </c>
      <c r="H297" s="67">
        <v>44.91</v>
      </c>
      <c r="I297" s="24">
        <v>0</v>
      </c>
      <c r="J297" s="24">
        <f>H297*AO297</f>
        <v>0</v>
      </c>
      <c r="K297" s="24">
        <f>H297*AP297</f>
        <v>0</v>
      </c>
      <c r="L297" s="24">
        <f>H297*I297</f>
        <v>0</v>
      </c>
      <c r="M297" s="35" t="s">
        <v>562</v>
      </c>
      <c r="N297" s="5"/>
      <c r="Z297" s="42">
        <f>IF(AQ297="5",BJ297,0)</f>
        <v>0</v>
      </c>
      <c r="AB297" s="42">
        <f>IF(AQ297="1",BH297,0)</f>
        <v>0</v>
      </c>
      <c r="AC297" s="42">
        <f>IF(AQ297="1",BI297,0)</f>
        <v>0</v>
      </c>
      <c r="AD297" s="42">
        <f>IF(AQ297="7",BH297,0)</f>
        <v>0</v>
      </c>
      <c r="AE297" s="42">
        <f>IF(AQ297="7",BI297,0)</f>
        <v>0</v>
      </c>
      <c r="AF297" s="42">
        <f>IF(AQ297="2",BH297,0)</f>
        <v>0</v>
      </c>
      <c r="AG297" s="42">
        <f>IF(AQ297="2",BI297,0)</f>
        <v>0</v>
      </c>
      <c r="AH297" s="42">
        <f>IF(AQ297="0",BJ297,0)</f>
        <v>0</v>
      </c>
      <c r="AI297" s="41"/>
      <c r="AJ297" s="24">
        <f>IF(AN297=0,L297,0)</f>
        <v>0</v>
      </c>
      <c r="AK297" s="24">
        <f>IF(AN297=15,L297,0)</f>
        <v>0</v>
      </c>
      <c r="AL297" s="24">
        <f>IF(AN297=21,L297,0)</f>
        <v>0</v>
      </c>
      <c r="AN297" s="42">
        <v>21</v>
      </c>
      <c r="AO297" s="42">
        <f>I297*0</f>
        <v>0</v>
      </c>
      <c r="AP297" s="42">
        <f>I297*(1-0)</f>
        <v>0</v>
      </c>
      <c r="AQ297" s="43" t="s">
        <v>11</v>
      </c>
      <c r="AV297" s="42">
        <f>AW297+AX297</f>
        <v>0</v>
      </c>
      <c r="AW297" s="42">
        <f>H297*AO297</f>
        <v>0</v>
      </c>
      <c r="AX297" s="42">
        <f>H297*AP297</f>
        <v>0</v>
      </c>
      <c r="AY297" s="45" t="s">
        <v>501</v>
      </c>
      <c r="AZ297" s="45" t="s">
        <v>510</v>
      </c>
      <c r="BA297" s="41" t="s">
        <v>511</v>
      </c>
      <c r="BC297" s="42">
        <f>AW297+AX297</f>
        <v>0</v>
      </c>
      <c r="BD297" s="42">
        <f>I297/(100-BE297)*100</f>
        <v>0</v>
      </c>
      <c r="BE297" s="42">
        <v>0</v>
      </c>
      <c r="BF297" s="42">
        <f>295</f>
        <v>295</v>
      </c>
      <c r="BH297" s="24">
        <f>H297*AO297</f>
        <v>0</v>
      </c>
      <c r="BI297" s="24">
        <f>H297*AP297</f>
        <v>0</v>
      </c>
      <c r="BJ297" s="24">
        <f>H297*I297</f>
        <v>0</v>
      </c>
      <c r="BK297" s="24" t="s">
        <v>516</v>
      </c>
      <c r="BL297" s="42" t="s">
        <v>163</v>
      </c>
    </row>
    <row r="298" spans="1:64" x14ac:dyDescent="0.2">
      <c r="A298" s="5"/>
      <c r="C298" s="19" t="s">
        <v>365</v>
      </c>
      <c r="F298" s="20"/>
      <c r="H298" s="68">
        <v>44.91</v>
      </c>
      <c r="M298" s="36"/>
      <c r="N298" s="5"/>
    </row>
    <row r="299" spans="1:64" x14ac:dyDescent="0.2">
      <c r="A299" s="4" t="s">
        <v>78</v>
      </c>
      <c r="B299" s="14" t="s">
        <v>170</v>
      </c>
      <c r="C299" s="92" t="s">
        <v>371</v>
      </c>
      <c r="D299" s="93"/>
      <c r="E299" s="93"/>
      <c r="F299" s="93"/>
      <c r="G299" s="14" t="s">
        <v>455</v>
      </c>
      <c r="H299" s="67">
        <v>36.468000000000004</v>
      </c>
      <c r="I299" s="24">
        <v>0</v>
      </c>
      <c r="J299" s="24">
        <f>H299*AO299</f>
        <v>0</v>
      </c>
      <c r="K299" s="24">
        <f>H299*AP299</f>
        <v>0</v>
      </c>
      <c r="L299" s="24">
        <f>H299*I299</f>
        <v>0</v>
      </c>
      <c r="M299" s="35" t="s">
        <v>562</v>
      </c>
      <c r="N299" s="5"/>
      <c r="Z299" s="42">
        <f>IF(AQ299="5",BJ299,0)</f>
        <v>0</v>
      </c>
      <c r="AB299" s="42">
        <f>IF(AQ299="1",BH299,0)</f>
        <v>0</v>
      </c>
      <c r="AC299" s="42">
        <f>IF(AQ299="1",BI299,0)</f>
        <v>0</v>
      </c>
      <c r="AD299" s="42">
        <f>IF(AQ299="7",BH299,0)</f>
        <v>0</v>
      </c>
      <c r="AE299" s="42">
        <f>IF(AQ299="7",BI299,0)</f>
        <v>0</v>
      </c>
      <c r="AF299" s="42">
        <f>IF(AQ299="2",BH299,0)</f>
        <v>0</v>
      </c>
      <c r="AG299" s="42">
        <f>IF(AQ299="2",BI299,0)</f>
        <v>0</v>
      </c>
      <c r="AH299" s="42">
        <f>IF(AQ299="0",BJ299,0)</f>
        <v>0</v>
      </c>
      <c r="AI299" s="41"/>
      <c r="AJ299" s="24">
        <f>IF(AN299=0,L299,0)</f>
        <v>0</v>
      </c>
      <c r="AK299" s="24">
        <f>IF(AN299=15,L299,0)</f>
        <v>0</v>
      </c>
      <c r="AL299" s="24">
        <f>IF(AN299=21,L299,0)</f>
        <v>0</v>
      </c>
      <c r="AN299" s="42">
        <v>21</v>
      </c>
      <c r="AO299" s="42">
        <f>I299*0</f>
        <v>0</v>
      </c>
      <c r="AP299" s="42">
        <f>I299*(1-0)</f>
        <v>0</v>
      </c>
      <c r="AQ299" s="43" t="s">
        <v>11</v>
      </c>
      <c r="AV299" s="42">
        <f>AW299+AX299</f>
        <v>0</v>
      </c>
      <c r="AW299" s="42">
        <f>H299*AO299</f>
        <v>0</v>
      </c>
      <c r="AX299" s="42">
        <f>H299*AP299</f>
        <v>0</v>
      </c>
      <c r="AY299" s="45" t="s">
        <v>501</v>
      </c>
      <c r="AZ299" s="45" t="s">
        <v>510</v>
      </c>
      <c r="BA299" s="41" t="s">
        <v>511</v>
      </c>
      <c r="BC299" s="42">
        <f>AW299+AX299</f>
        <v>0</v>
      </c>
      <c r="BD299" s="42">
        <f>I299/(100-BE299)*100</f>
        <v>0</v>
      </c>
      <c r="BE299" s="42">
        <v>0</v>
      </c>
      <c r="BF299" s="42">
        <f>297</f>
        <v>297</v>
      </c>
      <c r="BH299" s="24">
        <f>H299*AO299</f>
        <v>0</v>
      </c>
      <c r="BI299" s="24">
        <f>H299*AP299</f>
        <v>0</v>
      </c>
      <c r="BJ299" s="24">
        <f>H299*I299</f>
        <v>0</v>
      </c>
      <c r="BK299" s="24" t="s">
        <v>516</v>
      </c>
      <c r="BL299" s="42" t="s">
        <v>163</v>
      </c>
    </row>
    <row r="300" spans="1:64" x14ac:dyDescent="0.2">
      <c r="A300" s="5"/>
      <c r="C300" s="19" t="s">
        <v>372</v>
      </c>
      <c r="F300" s="20"/>
      <c r="H300" s="68">
        <v>36.468000000000004</v>
      </c>
      <c r="M300" s="36"/>
      <c r="N300" s="5"/>
    </row>
    <row r="301" spans="1:64" x14ac:dyDescent="0.2">
      <c r="A301" s="4" t="s">
        <v>79</v>
      </c>
      <c r="B301" s="14" t="s">
        <v>171</v>
      </c>
      <c r="C301" s="92" t="s">
        <v>373</v>
      </c>
      <c r="D301" s="93"/>
      <c r="E301" s="93"/>
      <c r="F301" s="93"/>
      <c r="G301" s="14" t="s">
        <v>455</v>
      </c>
      <c r="H301" s="67">
        <v>0.248</v>
      </c>
      <c r="I301" s="24">
        <v>0</v>
      </c>
      <c r="J301" s="24">
        <f>H301*AO301</f>
        <v>0</v>
      </c>
      <c r="K301" s="24">
        <f>H301*AP301</f>
        <v>0</v>
      </c>
      <c r="L301" s="24">
        <f>H301*I301</f>
        <v>0</v>
      </c>
      <c r="M301" s="35" t="s">
        <v>562</v>
      </c>
      <c r="N301" s="5"/>
      <c r="Z301" s="42">
        <f>IF(AQ301="5",BJ301,0)</f>
        <v>0</v>
      </c>
      <c r="AB301" s="42">
        <f>IF(AQ301="1",BH301,0)</f>
        <v>0</v>
      </c>
      <c r="AC301" s="42">
        <f>IF(AQ301="1",BI301,0)</f>
        <v>0</v>
      </c>
      <c r="AD301" s="42">
        <f>IF(AQ301="7",BH301,0)</f>
        <v>0</v>
      </c>
      <c r="AE301" s="42">
        <f>IF(AQ301="7",BI301,0)</f>
        <v>0</v>
      </c>
      <c r="AF301" s="42">
        <f>IF(AQ301="2",BH301,0)</f>
        <v>0</v>
      </c>
      <c r="AG301" s="42">
        <f>IF(AQ301="2",BI301,0)</f>
        <v>0</v>
      </c>
      <c r="AH301" s="42">
        <f>IF(AQ301="0",BJ301,0)</f>
        <v>0</v>
      </c>
      <c r="AI301" s="41"/>
      <c r="AJ301" s="24">
        <f>IF(AN301=0,L301,0)</f>
        <v>0</v>
      </c>
      <c r="AK301" s="24">
        <f>IF(AN301=15,L301,0)</f>
        <v>0</v>
      </c>
      <c r="AL301" s="24">
        <f>IF(AN301=21,L301,0)</f>
        <v>0</v>
      </c>
      <c r="AN301" s="42">
        <v>21</v>
      </c>
      <c r="AO301" s="42">
        <f>I301*0</f>
        <v>0</v>
      </c>
      <c r="AP301" s="42">
        <f>I301*(1-0)</f>
        <v>0</v>
      </c>
      <c r="AQ301" s="43" t="s">
        <v>11</v>
      </c>
      <c r="AV301" s="42">
        <f>AW301+AX301</f>
        <v>0</v>
      </c>
      <c r="AW301" s="42">
        <f>H301*AO301</f>
        <v>0</v>
      </c>
      <c r="AX301" s="42">
        <f>H301*AP301</f>
        <v>0</v>
      </c>
      <c r="AY301" s="45" t="s">
        <v>501</v>
      </c>
      <c r="AZ301" s="45" t="s">
        <v>510</v>
      </c>
      <c r="BA301" s="41" t="s">
        <v>511</v>
      </c>
      <c r="BC301" s="42">
        <f>AW301+AX301</f>
        <v>0</v>
      </c>
      <c r="BD301" s="42">
        <f>I301/(100-BE301)*100</f>
        <v>0</v>
      </c>
      <c r="BE301" s="42">
        <v>0</v>
      </c>
      <c r="BF301" s="42">
        <f>299</f>
        <v>299</v>
      </c>
      <c r="BH301" s="24">
        <f>H301*AO301</f>
        <v>0</v>
      </c>
      <c r="BI301" s="24">
        <f>H301*AP301</f>
        <v>0</v>
      </c>
      <c r="BJ301" s="24">
        <f>H301*I301</f>
        <v>0</v>
      </c>
      <c r="BK301" s="24" t="s">
        <v>516</v>
      </c>
      <c r="BL301" s="42" t="s">
        <v>163</v>
      </c>
    </row>
    <row r="302" spans="1:64" x14ac:dyDescent="0.2">
      <c r="A302" s="8" t="s">
        <v>80</v>
      </c>
      <c r="B302" s="18" t="s">
        <v>172</v>
      </c>
      <c r="C302" s="115" t="s">
        <v>374</v>
      </c>
      <c r="D302" s="116"/>
      <c r="E302" s="116"/>
      <c r="F302" s="116"/>
      <c r="G302" s="18" t="s">
        <v>455</v>
      </c>
      <c r="H302" s="70">
        <v>8.1940000000000008</v>
      </c>
      <c r="I302" s="26">
        <v>0</v>
      </c>
      <c r="J302" s="26">
        <f>H302*AO302</f>
        <v>0</v>
      </c>
      <c r="K302" s="26">
        <f>H302*AP302</f>
        <v>0</v>
      </c>
      <c r="L302" s="26">
        <f>H302*I302</f>
        <v>0</v>
      </c>
      <c r="M302" s="39" t="s">
        <v>562</v>
      </c>
      <c r="N302" s="5"/>
      <c r="Z302" s="42">
        <f>IF(AQ302="5",BJ302,0)</f>
        <v>0</v>
      </c>
      <c r="AB302" s="42">
        <f>IF(AQ302="1",BH302,0)</f>
        <v>0</v>
      </c>
      <c r="AC302" s="42">
        <f>IF(AQ302="1",BI302,0)</f>
        <v>0</v>
      </c>
      <c r="AD302" s="42">
        <f>IF(AQ302="7",BH302,0)</f>
        <v>0</v>
      </c>
      <c r="AE302" s="42">
        <f>IF(AQ302="7",BI302,0)</f>
        <v>0</v>
      </c>
      <c r="AF302" s="42">
        <f>IF(AQ302="2",BH302,0)</f>
        <v>0</v>
      </c>
      <c r="AG302" s="42">
        <f>IF(AQ302="2",BI302,0)</f>
        <v>0</v>
      </c>
      <c r="AH302" s="42">
        <f>IF(AQ302="0",BJ302,0)</f>
        <v>0</v>
      </c>
      <c r="AI302" s="41"/>
      <c r="AJ302" s="24">
        <f>IF(AN302=0,L302,0)</f>
        <v>0</v>
      </c>
      <c r="AK302" s="24">
        <f>IF(AN302=15,L302,0)</f>
        <v>0</v>
      </c>
      <c r="AL302" s="24">
        <f>IF(AN302=21,L302,0)</f>
        <v>0</v>
      </c>
      <c r="AN302" s="42">
        <v>21</v>
      </c>
      <c r="AO302" s="42">
        <f>I302*0</f>
        <v>0</v>
      </c>
      <c r="AP302" s="42">
        <f>I302*(1-0)</f>
        <v>0</v>
      </c>
      <c r="AQ302" s="43" t="s">
        <v>11</v>
      </c>
      <c r="AV302" s="42">
        <f>AW302+AX302</f>
        <v>0</v>
      </c>
      <c r="AW302" s="42">
        <f>H302*AO302</f>
        <v>0</v>
      </c>
      <c r="AX302" s="42">
        <f>H302*AP302</f>
        <v>0</v>
      </c>
      <c r="AY302" s="45" t="s">
        <v>501</v>
      </c>
      <c r="AZ302" s="45" t="s">
        <v>510</v>
      </c>
      <c r="BA302" s="41" t="s">
        <v>511</v>
      </c>
      <c r="BC302" s="42">
        <f>AW302+AX302</f>
        <v>0</v>
      </c>
      <c r="BD302" s="42">
        <f>I302/(100-BE302)*100</f>
        <v>0</v>
      </c>
      <c r="BE302" s="42">
        <v>0</v>
      </c>
      <c r="BF302" s="42">
        <f>300</f>
        <v>300</v>
      </c>
      <c r="BH302" s="24">
        <f>H302*AO302</f>
        <v>0</v>
      </c>
      <c r="BI302" s="24">
        <f>H302*AP302</f>
        <v>0</v>
      </c>
      <c r="BJ302" s="24">
        <f>H302*I302</f>
        <v>0</v>
      </c>
      <c r="BK302" s="24" t="s">
        <v>516</v>
      </c>
      <c r="BL302" s="42" t="s">
        <v>163</v>
      </c>
    </row>
    <row r="303" spans="1:64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113" t="s">
        <v>464</v>
      </c>
      <c r="K303" s="114"/>
      <c r="L303" s="49">
        <f>ROUND(L12+L22+L50+L56+L61+L77+L83+L97+L102+L105+L108+L122+L125+L162+L189+L193+L206+L209+L217+L272+L282+L284+L287,1)</f>
        <v>0</v>
      </c>
      <c r="M303" s="9"/>
    </row>
    <row r="304" spans="1:64" ht="11.25" customHeight="1" x14ac:dyDescent="0.2">
      <c r="A304" s="10" t="s">
        <v>81</v>
      </c>
    </row>
    <row r="305" spans="1:13" x14ac:dyDescent="0.2">
      <c r="A305" s="77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</row>
  </sheetData>
  <mergeCells count="149">
    <mergeCell ref="J303:K303"/>
    <mergeCell ref="A305:M305"/>
    <mergeCell ref="C293:F293"/>
    <mergeCell ref="C295:F295"/>
    <mergeCell ref="C297:F297"/>
    <mergeCell ref="C299:F299"/>
    <mergeCell ref="C301:F301"/>
    <mergeCell ref="C302:F302"/>
    <mergeCell ref="C284:F284"/>
    <mergeCell ref="C285:F285"/>
    <mergeCell ref="C287:F287"/>
    <mergeCell ref="C288:F288"/>
    <mergeCell ref="C289:F289"/>
    <mergeCell ref="C291:F291"/>
    <mergeCell ref="C267:F267"/>
    <mergeCell ref="C270:F270"/>
    <mergeCell ref="C272:F272"/>
    <mergeCell ref="C273:F273"/>
    <mergeCell ref="C282:F282"/>
    <mergeCell ref="C283:F283"/>
    <mergeCell ref="C256:F256"/>
    <mergeCell ref="C257:M257"/>
    <mergeCell ref="C259:F259"/>
    <mergeCell ref="C260:M260"/>
    <mergeCell ref="C262:F262"/>
    <mergeCell ref="C265:F265"/>
    <mergeCell ref="C244:M244"/>
    <mergeCell ref="C246:F246"/>
    <mergeCell ref="C248:F248"/>
    <mergeCell ref="C250:F250"/>
    <mergeCell ref="C251:M251"/>
    <mergeCell ref="C254:F254"/>
    <mergeCell ref="C210:F210"/>
    <mergeCell ref="C212:F212"/>
    <mergeCell ref="C214:F214"/>
    <mergeCell ref="C217:F217"/>
    <mergeCell ref="C218:F218"/>
    <mergeCell ref="C243:F243"/>
    <mergeCell ref="C215:M215"/>
    <mergeCell ref="C193:F193"/>
    <mergeCell ref="C194:F194"/>
    <mergeCell ref="C200:F200"/>
    <mergeCell ref="C206:F206"/>
    <mergeCell ref="C207:F207"/>
    <mergeCell ref="C209:F209"/>
    <mergeCell ref="C165:F165"/>
    <mergeCell ref="C166:M166"/>
    <mergeCell ref="C185:F185"/>
    <mergeCell ref="C188:F188"/>
    <mergeCell ref="C189:F189"/>
    <mergeCell ref="C190:F190"/>
    <mergeCell ref="C154:F154"/>
    <mergeCell ref="C155:M155"/>
    <mergeCell ref="C157:F157"/>
    <mergeCell ref="C161:F161"/>
    <mergeCell ref="C162:F162"/>
    <mergeCell ref="C163:F163"/>
    <mergeCell ref="C126:F126"/>
    <mergeCell ref="C127:M127"/>
    <mergeCell ref="C145:F145"/>
    <mergeCell ref="C147:F147"/>
    <mergeCell ref="C150:F150"/>
    <mergeCell ref="C151:M151"/>
    <mergeCell ref="C158:M158"/>
    <mergeCell ref="C116:F116"/>
    <mergeCell ref="C118:F118"/>
    <mergeCell ref="C121:F121"/>
    <mergeCell ref="C122:F122"/>
    <mergeCell ref="C123:F123"/>
    <mergeCell ref="C125:F125"/>
    <mergeCell ref="C105:F105"/>
    <mergeCell ref="C106:F106"/>
    <mergeCell ref="C108:F108"/>
    <mergeCell ref="C109:F109"/>
    <mergeCell ref="C111:F111"/>
    <mergeCell ref="C113:F113"/>
    <mergeCell ref="C95:F95"/>
    <mergeCell ref="C97:F97"/>
    <mergeCell ref="C98:F98"/>
    <mergeCell ref="C101:F101"/>
    <mergeCell ref="C102:F102"/>
    <mergeCell ref="C103:F103"/>
    <mergeCell ref="C85:M85"/>
    <mergeCell ref="C87:F87"/>
    <mergeCell ref="C88:M88"/>
    <mergeCell ref="C90:F90"/>
    <mergeCell ref="C91:M91"/>
    <mergeCell ref="C93:F93"/>
    <mergeCell ref="C73:M73"/>
    <mergeCell ref="C77:F77"/>
    <mergeCell ref="C78:F78"/>
    <mergeCell ref="C81:F81"/>
    <mergeCell ref="C83:F83"/>
    <mergeCell ref="C84:F84"/>
    <mergeCell ref="C62:F62"/>
    <mergeCell ref="C66:F66"/>
    <mergeCell ref="C67:M67"/>
    <mergeCell ref="C69:F69"/>
    <mergeCell ref="C70:M70"/>
    <mergeCell ref="C72:F72"/>
    <mergeCell ref="C50:F50"/>
    <mergeCell ref="C51:F51"/>
    <mergeCell ref="C54:F54"/>
    <mergeCell ref="C56:F56"/>
    <mergeCell ref="C57:F57"/>
    <mergeCell ref="C61:F61"/>
    <mergeCell ref="C24:M24"/>
    <mergeCell ref="C40:F40"/>
    <mergeCell ref="C41:M41"/>
    <mergeCell ref="C44:F44"/>
    <mergeCell ref="C45:M45"/>
    <mergeCell ref="C48:F48"/>
    <mergeCell ref="C16:F16"/>
    <mergeCell ref="C17:M17"/>
    <mergeCell ref="C19:F19"/>
    <mergeCell ref="C20:M20"/>
    <mergeCell ref="C22:F22"/>
    <mergeCell ref="C23:F23"/>
    <mergeCell ref="C10:F10"/>
    <mergeCell ref="J10:L10"/>
    <mergeCell ref="C11:F11"/>
    <mergeCell ref="C12:F12"/>
    <mergeCell ref="C13:F13"/>
    <mergeCell ref="C14:M14"/>
    <mergeCell ref="A8:B9"/>
    <mergeCell ref="C8:C9"/>
    <mergeCell ref="D8:D9"/>
    <mergeCell ref="E8:E9"/>
    <mergeCell ref="F8:F9"/>
    <mergeCell ref="G8:M9"/>
    <mergeCell ref="A6:B7"/>
    <mergeCell ref="C6:C7"/>
    <mergeCell ref="D6:D7"/>
    <mergeCell ref="E6:E7"/>
    <mergeCell ref="F6:F7"/>
    <mergeCell ref="G6:M7"/>
    <mergeCell ref="A4:B5"/>
    <mergeCell ref="C4:C5"/>
    <mergeCell ref="D4:D5"/>
    <mergeCell ref="E4:E5"/>
    <mergeCell ref="F4:F5"/>
    <mergeCell ref="G4:M5"/>
    <mergeCell ref="A1:M1"/>
    <mergeCell ref="A2:B3"/>
    <mergeCell ref="C2:C3"/>
    <mergeCell ref="D2:D3"/>
    <mergeCell ref="E2:E3"/>
    <mergeCell ref="F2:F3"/>
    <mergeCell ref="G2:M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M18" sqref="M18"/>
    </sheetView>
  </sheetViews>
  <sheetFormatPr defaultColWidth="11.5703125" defaultRowHeight="12.75" x14ac:dyDescent="0.2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2.85546875" customWidth="1"/>
    <col min="9" max="9" width="22.85546875" customWidth="1"/>
  </cols>
  <sheetData>
    <row r="1" spans="1:10" ht="72.95" customHeight="1" x14ac:dyDescent="0.2">
      <c r="A1" s="66"/>
      <c r="B1" s="50"/>
      <c r="C1" s="117" t="s">
        <v>533</v>
      </c>
      <c r="D1" s="81"/>
      <c r="E1" s="81"/>
      <c r="F1" s="81"/>
      <c r="G1" s="81"/>
      <c r="H1" s="81"/>
      <c r="I1" s="81"/>
    </row>
    <row r="2" spans="1:10" x14ac:dyDescent="0.2">
      <c r="A2" s="82" t="s">
        <v>1</v>
      </c>
      <c r="B2" s="83"/>
      <c r="C2" s="84" t="str">
        <f>'Stavební rozpočet'!C2</f>
        <v>PBa03 Stavební úpravy kanceláří v kulturním domě</v>
      </c>
      <c r="D2" s="114"/>
      <c r="E2" s="87" t="s">
        <v>380</v>
      </c>
      <c r="F2" s="87" t="str">
        <f>'Stavební rozpočet'!G2</f>
        <v> </v>
      </c>
      <c r="G2" s="83"/>
      <c r="H2" s="87" t="s">
        <v>558</v>
      </c>
      <c r="I2" s="118"/>
      <c r="J2" s="5"/>
    </row>
    <row r="3" spans="1:10" x14ac:dyDescent="0.2">
      <c r="A3" s="76"/>
      <c r="B3" s="75"/>
      <c r="C3" s="85"/>
      <c r="D3" s="85"/>
      <c r="E3" s="75"/>
      <c r="F3" s="75"/>
      <c r="G3" s="75"/>
      <c r="H3" s="75"/>
      <c r="I3" s="79"/>
      <c r="J3" s="5"/>
    </row>
    <row r="4" spans="1:10" x14ac:dyDescent="0.2">
      <c r="A4" s="74" t="s">
        <v>2</v>
      </c>
      <c r="B4" s="75"/>
      <c r="C4" s="77" t="str">
        <f>'Stavební rozpočet'!C4</f>
        <v xml:space="preserve"> </v>
      </c>
      <c r="D4" s="75"/>
      <c r="E4" s="77" t="s">
        <v>381</v>
      </c>
      <c r="F4" s="77" t="str">
        <f>'Stavební rozpočet'!G4</f>
        <v> </v>
      </c>
      <c r="G4" s="75"/>
      <c r="H4" s="77" t="s">
        <v>558</v>
      </c>
      <c r="I4" s="119"/>
      <c r="J4" s="5"/>
    </row>
    <row r="5" spans="1:10" x14ac:dyDescent="0.2">
      <c r="A5" s="76"/>
      <c r="B5" s="75"/>
      <c r="C5" s="75"/>
      <c r="D5" s="75"/>
      <c r="E5" s="75"/>
      <c r="F5" s="75"/>
      <c r="G5" s="75"/>
      <c r="H5" s="75"/>
      <c r="I5" s="79"/>
      <c r="J5" s="5"/>
    </row>
    <row r="6" spans="1:10" x14ac:dyDescent="0.2">
      <c r="A6" s="74" t="s">
        <v>3</v>
      </c>
      <c r="B6" s="75"/>
      <c r="C6" s="77" t="str">
        <f>'Stavební rozpočet'!C6</f>
        <v>Zábřeh</v>
      </c>
      <c r="D6" s="75"/>
      <c r="E6" s="77" t="s">
        <v>382</v>
      </c>
      <c r="F6" s="77" t="str">
        <f>'Stavební rozpočet'!G6</f>
        <v> </v>
      </c>
      <c r="G6" s="75"/>
      <c r="H6" s="77" t="s">
        <v>558</v>
      </c>
      <c r="I6" s="119"/>
      <c r="J6" s="5"/>
    </row>
    <row r="7" spans="1:10" x14ac:dyDescent="0.2">
      <c r="A7" s="76"/>
      <c r="B7" s="75"/>
      <c r="C7" s="75"/>
      <c r="D7" s="75"/>
      <c r="E7" s="75"/>
      <c r="F7" s="75"/>
      <c r="G7" s="75"/>
      <c r="H7" s="75"/>
      <c r="I7" s="79"/>
      <c r="J7" s="5"/>
    </row>
    <row r="8" spans="1:10" x14ac:dyDescent="0.2">
      <c r="A8" s="74" t="s">
        <v>376</v>
      </c>
      <c r="B8" s="75"/>
      <c r="C8" s="77" t="str">
        <f>'Stavební rozpočet'!E4</f>
        <v>31.08.2022</v>
      </c>
      <c r="D8" s="75"/>
      <c r="E8" s="77" t="s">
        <v>377</v>
      </c>
      <c r="F8" s="77" t="str">
        <f>'Stavební rozpočet'!E6</f>
        <v xml:space="preserve"> </v>
      </c>
      <c r="G8" s="75"/>
      <c r="H8" s="78" t="s">
        <v>559</v>
      </c>
      <c r="I8" s="119" t="s">
        <v>80</v>
      </c>
      <c r="J8" s="5"/>
    </row>
    <row r="9" spans="1:10" x14ac:dyDescent="0.2">
      <c r="A9" s="76"/>
      <c r="B9" s="75"/>
      <c r="C9" s="75"/>
      <c r="D9" s="75"/>
      <c r="E9" s="75"/>
      <c r="F9" s="75"/>
      <c r="G9" s="75"/>
      <c r="H9" s="75"/>
      <c r="I9" s="79"/>
      <c r="J9" s="5"/>
    </row>
    <row r="10" spans="1:10" x14ac:dyDescent="0.2">
      <c r="A10" s="74" t="s">
        <v>4</v>
      </c>
      <c r="B10" s="75"/>
      <c r="C10" s="77" t="str">
        <f>'Stavební rozpočet'!C8</f>
        <v xml:space="preserve"> </v>
      </c>
      <c r="D10" s="75"/>
      <c r="E10" s="77" t="s">
        <v>383</v>
      </c>
      <c r="F10" s="77" t="str">
        <f>'Stavební rozpočet'!G8</f>
        <v> </v>
      </c>
      <c r="G10" s="75"/>
      <c r="H10" s="78" t="s">
        <v>560</v>
      </c>
      <c r="I10" s="120" t="str">
        <f>'Stavební rozpočet'!E8</f>
        <v>31.08.2022</v>
      </c>
      <c r="J10" s="5"/>
    </row>
    <row r="11" spans="1:10" x14ac:dyDescent="0.2">
      <c r="A11" s="122"/>
      <c r="B11" s="123"/>
      <c r="C11" s="123"/>
      <c r="D11" s="123"/>
      <c r="E11" s="123"/>
      <c r="F11" s="123"/>
      <c r="G11" s="123"/>
      <c r="H11" s="123"/>
      <c r="I11" s="121"/>
      <c r="J11" s="5"/>
    </row>
    <row r="12" spans="1:10" ht="23.45" customHeight="1" x14ac:dyDescent="0.2">
      <c r="A12" s="124" t="s">
        <v>518</v>
      </c>
      <c r="B12" s="125"/>
      <c r="C12" s="125"/>
      <c r="D12" s="125"/>
      <c r="E12" s="125"/>
      <c r="F12" s="125"/>
      <c r="G12" s="125"/>
      <c r="H12" s="125"/>
      <c r="I12" s="125"/>
    </row>
    <row r="13" spans="1:10" ht="26.45" customHeight="1" x14ac:dyDescent="0.2">
      <c r="A13" s="51" t="s">
        <v>519</v>
      </c>
      <c r="B13" s="126" t="s">
        <v>531</v>
      </c>
      <c r="C13" s="127"/>
      <c r="D13" s="51" t="s">
        <v>534</v>
      </c>
      <c r="E13" s="126" t="s">
        <v>543</v>
      </c>
      <c r="F13" s="127"/>
      <c r="G13" s="51" t="s">
        <v>544</v>
      </c>
      <c r="H13" s="126" t="s">
        <v>561</v>
      </c>
      <c r="I13" s="127"/>
      <c r="J13" s="5"/>
    </row>
    <row r="14" spans="1:10" ht="15.2" customHeight="1" x14ac:dyDescent="0.2">
      <c r="A14" s="52" t="s">
        <v>520</v>
      </c>
      <c r="B14" s="56" t="s">
        <v>532</v>
      </c>
      <c r="C14" s="60">
        <f>SUM('Stavební rozpočet'!AB12:AB302)</f>
        <v>0</v>
      </c>
      <c r="D14" s="128" t="s">
        <v>535</v>
      </c>
      <c r="E14" s="129"/>
      <c r="F14" s="60">
        <v>0</v>
      </c>
      <c r="G14" s="128" t="s">
        <v>545</v>
      </c>
      <c r="H14" s="129"/>
      <c r="I14" s="61" t="s">
        <v>469</v>
      </c>
      <c r="J14" s="5"/>
    </row>
    <row r="15" spans="1:10" ht="15.2" customHeight="1" x14ac:dyDescent="0.2">
      <c r="A15" s="53"/>
      <c r="B15" s="56" t="s">
        <v>465</v>
      </c>
      <c r="C15" s="60">
        <f>SUM('Stavební rozpočet'!AC12:AC302)</f>
        <v>0</v>
      </c>
      <c r="D15" s="128" t="s">
        <v>536</v>
      </c>
      <c r="E15" s="129"/>
      <c r="F15" s="60">
        <v>0</v>
      </c>
      <c r="G15" s="128" t="s">
        <v>546</v>
      </c>
      <c r="H15" s="129"/>
      <c r="I15" s="61" t="s">
        <v>469</v>
      </c>
      <c r="J15" s="5"/>
    </row>
    <row r="16" spans="1:10" ht="15.2" customHeight="1" x14ac:dyDescent="0.2">
      <c r="A16" s="52" t="s">
        <v>521</v>
      </c>
      <c r="B16" s="56" t="s">
        <v>532</v>
      </c>
      <c r="C16" s="60">
        <f>SUM('Stavební rozpočet'!AD12:AD302)</f>
        <v>0</v>
      </c>
      <c r="D16" s="128" t="s">
        <v>537</v>
      </c>
      <c r="E16" s="129"/>
      <c r="F16" s="60">
        <v>0</v>
      </c>
      <c r="G16" s="128" t="s">
        <v>547</v>
      </c>
      <c r="H16" s="129"/>
      <c r="I16" s="61" t="s">
        <v>469</v>
      </c>
      <c r="J16" s="5"/>
    </row>
    <row r="17" spans="1:10" ht="15.2" customHeight="1" x14ac:dyDescent="0.2">
      <c r="A17" s="53"/>
      <c r="B17" s="56" t="s">
        <v>465</v>
      </c>
      <c r="C17" s="60">
        <f>SUM('Stavební rozpočet'!AE12:AE302)</f>
        <v>0</v>
      </c>
      <c r="D17" s="128"/>
      <c r="E17" s="129"/>
      <c r="F17" s="61"/>
      <c r="G17" s="128" t="s">
        <v>548</v>
      </c>
      <c r="H17" s="129"/>
      <c r="I17" s="61" t="s">
        <v>469</v>
      </c>
      <c r="J17" s="5"/>
    </row>
    <row r="18" spans="1:10" ht="15.2" customHeight="1" x14ac:dyDescent="0.2">
      <c r="A18" s="52" t="s">
        <v>522</v>
      </c>
      <c r="B18" s="56" t="s">
        <v>532</v>
      </c>
      <c r="C18" s="60">
        <f>SUM('Stavební rozpočet'!AF12:AF302)</f>
        <v>0</v>
      </c>
      <c r="D18" s="128"/>
      <c r="E18" s="129"/>
      <c r="F18" s="61"/>
      <c r="G18" s="128" t="s">
        <v>549</v>
      </c>
      <c r="H18" s="129"/>
      <c r="I18" s="61" t="s">
        <v>469</v>
      </c>
      <c r="J18" s="5"/>
    </row>
    <row r="19" spans="1:10" ht="15.2" customHeight="1" x14ac:dyDescent="0.2">
      <c r="A19" s="53"/>
      <c r="B19" s="56" t="s">
        <v>465</v>
      </c>
      <c r="C19" s="60">
        <f>SUM('Stavební rozpočet'!AG12:AG302)</f>
        <v>0</v>
      </c>
      <c r="D19" s="128"/>
      <c r="E19" s="129"/>
      <c r="F19" s="61"/>
      <c r="G19" s="128" t="s">
        <v>550</v>
      </c>
      <c r="H19" s="129"/>
      <c r="I19" s="61" t="s">
        <v>469</v>
      </c>
      <c r="J19" s="5"/>
    </row>
    <row r="20" spans="1:10" ht="15.2" customHeight="1" x14ac:dyDescent="0.2">
      <c r="A20" s="130" t="s">
        <v>523</v>
      </c>
      <c r="B20" s="131"/>
      <c r="C20" s="60">
        <f>SUM('Stavební rozpočet'!AH12:AH302)</f>
        <v>0</v>
      </c>
      <c r="D20" s="128"/>
      <c r="E20" s="129"/>
      <c r="F20" s="61"/>
      <c r="G20" s="128"/>
      <c r="H20" s="129"/>
      <c r="I20" s="61"/>
      <c r="J20" s="5"/>
    </row>
    <row r="21" spans="1:10" ht="15.2" customHeight="1" x14ac:dyDescent="0.2">
      <c r="A21" s="130" t="s">
        <v>524</v>
      </c>
      <c r="B21" s="131"/>
      <c r="C21" s="60">
        <f>SUM('Stavební rozpočet'!Z12:Z302)</f>
        <v>0</v>
      </c>
      <c r="D21" s="128"/>
      <c r="E21" s="129"/>
      <c r="F21" s="61"/>
      <c r="G21" s="128"/>
      <c r="H21" s="129"/>
      <c r="I21" s="61"/>
      <c r="J21" s="5"/>
    </row>
    <row r="22" spans="1:10" ht="16.7" customHeight="1" x14ac:dyDescent="0.2">
      <c r="A22" s="130" t="s">
        <v>525</v>
      </c>
      <c r="B22" s="131"/>
      <c r="C22" s="60">
        <f>ROUND(SUM(C14:C21),1)</f>
        <v>0</v>
      </c>
      <c r="D22" s="130" t="s">
        <v>538</v>
      </c>
      <c r="E22" s="131"/>
      <c r="F22" s="60">
        <f>SUM(F14:F21)</f>
        <v>0</v>
      </c>
      <c r="G22" s="130" t="s">
        <v>551</v>
      </c>
      <c r="H22" s="131"/>
      <c r="I22" s="60">
        <f>SUM(I14:I21)</f>
        <v>0</v>
      </c>
      <c r="J22" s="5"/>
    </row>
    <row r="23" spans="1:10" ht="15.2" customHeight="1" x14ac:dyDescent="0.2">
      <c r="A23" s="9"/>
      <c r="B23" s="9"/>
      <c r="C23" s="58"/>
      <c r="D23" s="130" t="s">
        <v>539</v>
      </c>
      <c r="E23" s="131"/>
      <c r="F23" s="62">
        <v>0</v>
      </c>
      <c r="G23" s="130" t="s">
        <v>552</v>
      </c>
      <c r="H23" s="131"/>
      <c r="I23" s="60">
        <v>0</v>
      </c>
      <c r="J23" s="5"/>
    </row>
    <row r="24" spans="1:10" ht="15.2" customHeight="1" x14ac:dyDescent="0.2">
      <c r="D24" s="9"/>
      <c r="E24" s="9"/>
      <c r="F24" s="63"/>
      <c r="G24" s="130" t="s">
        <v>553</v>
      </c>
      <c r="H24" s="131"/>
      <c r="I24" s="64"/>
    </row>
    <row r="25" spans="1:10" ht="15.2" customHeight="1" x14ac:dyDescent="0.2">
      <c r="F25" s="36"/>
      <c r="G25" s="130" t="s">
        <v>554</v>
      </c>
      <c r="H25" s="131"/>
      <c r="I25" s="60">
        <v>0</v>
      </c>
      <c r="J25" s="5"/>
    </row>
    <row r="26" spans="1:10" x14ac:dyDescent="0.2">
      <c r="A26" s="50"/>
      <c r="B26" s="50"/>
      <c r="C26" s="50"/>
      <c r="G26" s="9"/>
      <c r="H26" s="9"/>
      <c r="I26" s="9"/>
    </row>
    <row r="27" spans="1:10" ht="15.2" customHeight="1" x14ac:dyDescent="0.2">
      <c r="A27" s="132" t="s">
        <v>526</v>
      </c>
      <c r="B27" s="133"/>
      <c r="C27" s="65">
        <f>ROUND(SUM('Stavební rozpočet'!AJ12:AJ302),1)</f>
        <v>0</v>
      </c>
      <c r="D27" s="59"/>
      <c r="E27" s="50"/>
      <c r="F27" s="50"/>
      <c r="G27" s="50"/>
      <c r="H27" s="50"/>
      <c r="I27" s="50"/>
    </row>
    <row r="28" spans="1:10" ht="15.2" customHeight="1" x14ac:dyDescent="0.2">
      <c r="A28" s="132" t="s">
        <v>527</v>
      </c>
      <c r="B28" s="133"/>
      <c r="C28" s="65">
        <f>ROUND(SUM('Stavební rozpočet'!AK12:AK302),1)</f>
        <v>0</v>
      </c>
      <c r="D28" s="132" t="s">
        <v>540</v>
      </c>
      <c r="E28" s="133"/>
      <c r="F28" s="65">
        <f>ROUND(C28*(15/100),2)</f>
        <v>0</v>
      </c>
      <c r="G28" s="132" t="s">
        <v>555</v>
      </c>
      <c r="H28" s="133"/>
      <c r="I28" s="65">
        <f>ROUND(SUM(C27:C29),1)</f>
        <v>0</v>
      </c>
      <c r="J28" s="5"/>
    </row>
    <row r="29" spans="1:10" ht="15.2" customHeight="1" x14ac:dyDescent="0.2">
      <c r="A29" s="132" t="s">
        <v>528</v>
      </c>
      <c r="B29" s="133"/>
      <c r="C29" s="65">
        <f>ROUND(SUM('Stavební rozpočet'!AL12:AL302)+(F22+I22+F23+I23+I24+I25),1)</f>
        <v>0</v>
      </c>
      <c r="D29" s="132" t="s">
        <v>541</v>
      </c>
      <c r="E29" s="133"/>
      <c r="F29" s="65">
        <f>ROUND(C29*(21/100),2)</f>
        <v>0</v>
      </c>
      <c r="G29" s="132" t="s">
        <v>556</v>
      </c>
      <c r="H29" s="133"/>
      <c r="I29" s="65">
        <f>ROUND(SUM(F28:F29)+I28,1)</f>
        <v>0</v>
      </c>
      <c r="J29" s="5"/>
    </row>
    <row r="30" spans="1:10" x14ac:dyDescent="0.2">
      <c r="A30" s="54"/>
      <c r="B30" s="54"/>
      <c r="C30" s="54"/>
      <c r="D30" s="54"/>
      <c r="E30" s="54"/>
      <c r="F30" s="54"/>
      <c r="G30" s="54"/>
      <c r="H30" s="54"/>
      <c r="I30" s="54"/>
    </row>
    <row r="31" spans="1:10" ht="14.45" customHeight="1" x14ac:dyDescent="0.2">
      <c r="A31" s="134" t="s">
        <v>529</v>
      </c>
      <c r="B31" s="135"/>
      <c r="C31" s="136"/>
      <c r="D31" s="134" t="s">
        <v>542</v>
      </c>
      <c r="E31" s="135"/>
      <c r="F31" s="136"/>
      <c r="G31" s="134" t="s">
        <v>557</v>
      </c>
      <c r="H31" s="135"/>
      <c r="I31" s="136"/>
      <c r="J31" s="40"/>
    </row>
    <row r="32" spans="1:10" ht="14.45" customHeight="1" x14ac:dyDescent="0.2">
      <c r="A32" s="137"/>
      <c r="B32" s="138"/>
      <c r="C32" s="139"/>
      <c r="D32" s="137"/>
      <c r="E32" s="138"/>
      <c r="F32" s="139"/>
      <c r="G32" s="137"/>
      <c r="H32" s="138"/>
      <c r="I32" s="139"/>
      <c r="J32" s="40"/>
    </row>
    <row r="33" spans="1:10" ht="14.45" customHeight="1" x14ac:dyDescent="0.2">
      <c r="A33" s="137"/>
      <c r="B33" s="138"/>
      <c r="C33" s="139"/>
      <c r="D33" s="137"/>
      <c r="E33" s="138"/>
      <c r="F33" s="139"/>
      <c r="G33" s="137"/>
      <c r="H33" s="138"/>
      <c r="I33" s="139"/>
      <c r="J33" s="40"/>
    </row>
    <row r="34" spans="1:10" ht="14.45" customHeight="1" x14ac:dyDescent="0.2">
      <c r="A34" s="137"/>
      <c r="B34" s="138"/>
      <c r="C34" s="139"/>
      <c r="D34" s="137"/>
      <c r="E34" s="138"/>
      <c r="F34" s="139"/>
      <c r="G34" s="137"/>
      <c r="H34" s="138"/>
      <c r="I34" s="139"/>
      <c r="J34" s="40"/>
    </row>
    <row r="35" spans="1:10" ht="14.45" customHeight="1" x14ac:dyDescent="0.2">
      <c r="A35" s="140" t="s">
        <v>530</v>
      </c>
      <c r="B35" s="141"/>
      <c r="C35" s="142"/>
      <c r="D35" s="140" t="s">
        <v>530</v>
      </c>
      <c r="E35" s="141"/>
      <c r="F35" s="142"/>
      <c r="G35" s="140" t="s">
        <v>530</v>
      </c>
      <c r="H35" s="141"/>
      <c r="I35" s="142"/>
      <c r="J35" s="40"/>
    </row>
    <row r="36" spans="1:10" ht="11.25" customHeight="1" x14ac:dyDescent="0.2">
      <c r="A36" s="55" t="s">
        <v>81</v>
      </c>
      <c r="B36" s="57"/>
      <c r="C36" s="57"/>
      <c r="D36" s="57"/>
      <c r="E36" s="57"/>
      <c r="F36" s="57"/>
      <c r="G36" s="57"/>
      <c r="H36" s="57"/>
      <c r="I36" s="57"/>
    </row>
    <row r="37" spans="1:10" x14ac:dyDescent="0.2">
      <c r="A37" s="77"/>
      <c r="B37" s="75"/>
      <c r="C37" s="75"/>
      <c r="D37" s="75"/>
      <c r="E37" s="75"/>
      <c r="F37" s="75"/>
      <c r="G37" s="75"/>
      <c r="H37" s="75"/>
      <c r="I37" s="75"/>
    </row>
  </sheetData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Stavební rozpočet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2022-09-06T14:14:01Z</dcterms:created>
  <dcterms:modified xsi:type="dcterms:W3CDTF">2023-06-11T19:50:21Z</dcterms:modified>
</cp:coreProperties>
</file>