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<sst xmlns="http://schemas.openxmlformats.org/spreadsheetml/2006/main" count="452" uniqueCount="184">
  <si>
    <t>Doba výstavby:</t>
  </si>
  <si>
    <t>162701105R00</t>
  </si>
  <si>
    <t>Projektant</t>
  </si>
  <si>
    <t>HERNÍ PLOCHA V MŠ NÁM. ARMÁDY - ZNOJMO</t>
  </si>
  <si>
    <t>H02</t>
  </si>
  <si>
    <t>Základ 15%</t>
  </si>
  <si>
    <t>915721162R00</t>
  </si>
  <si>
    <t>H02_</t>
  </si>
  <si>
    <t>91</t>
  </si>
  <si>
    <t>Základ 21%</t>
  </si>
  <si>
    <t>Dodávka</t>
  </si>
  <si>
    <t>NUS celkem z obj.</t>
  </si>
  <si>
    <t>Náklady (Kč) - celkem</t>
  </si>
  <si>
    <t>KUS</t>
  </si>
  <si>
    <t>Uložení sypaniny do násypů nezhutněných</t>
  </si>
  <si>
    <t>Název stavby:</t>
  </si>
  <si>
    <t>Ostatní materiál</t>
  </si>
  <si>
    <t>Č</t>
  </si>
  <si>
    <t>Poznámka:</t>
  </si>
  <si>
    <t>Lokalita:</t>
  </si>
  <si>
    <t>16</t>
  </si>
  <si>
    <t>PSV</t>
  </si>
  <si>
    <t>Bez pevné podl.</t>
  </si>
  <si>
    <t>Celkem</t>
  </si>
  <si>
    <t>Zařízení staveniště</t>
  </si>
  <si>
    <t>1_</t>
  </si>
  <si>
    <t>4</t>
  </si>
  <si>
    <t>Podklad ze štěrkodrti po zhutnění tloušťky 3 cm</t>
  </si>
  <si>
    <t>Základní rozpočtové náklady</t>
  </si>
  <si>
    <t>Konstrukce ze zemin</t>
  </si>
  <si>
    <t>Celkem bez DPH</t>
  </si>
  <si>
    <t>Rozprostření ornice v rovině tloušťka 15 cm</t>
  </si>
  <si>
    <t>181300010RAE</t>
  </si>
  <si>
    <t>6</t>
  </si>
  <si>
    <t>Rozpočtové náklady v Kč</t>
  </si>
  <si>
    <t>Znojmo</t>
  </si>
  <si>
    <t>B</t>
  </si>
  <si>
    <t>Náklady na umístění stavby (NUS)</t>
  </si>
  <si>
    <t>Montáž</t>
  </si>
  <si>
    <t>Datum, razítko a podpis</t>
  </si>
  <si>
    <t>589651101R00</t>
  </si>
  <si>
    <t>ZRN celkem</t>
  </si>
  <si>
    <t>17_</t>
  </si>
  <si>
    <t>564861111RT2</t>
  </si>
  <si>
    <t>DPH 15%</t>
  </si>
  <si>
    <t>Krycí list slepého rozpočtu</t>
  </si>
  <si>
    <t>122301109R00</t>
  </si>
  <si>
    <t>kus</t>
  </si>
  <si>
    <t>Odkopávky a prokopávky</t>
  </si>
  <si>
    <t>Dodávky</t>
  </si>
  <si>
    <t>soustava</t>
  </si>
  <si>
    <t>Ostatní mat.</t>
  </si>
  <si>
    <t>Podklad ze štěrkodrti po zhutnění tloušťky 20 cm</t>
  </si>
  <si>
    <t>Cenová</t>
  </si>
  <si>
    <t>998227121R00</t>
  </si>
  <si>
    <t>Odkopávky nezapažené v hor. 4 do 100 m3</t>
  </si>
  <si>
    <t>HSV prac</t>
  </si>
  <si>
    <t>13</t>
  </si>
  <si>
    <t>Osazení záhon.obrubníků do lože z C 12/15 s opěrou</t>
  </si>
  <si>
    <t>"M"</t>
  </si>
  <si>
    <t>Cena/MJ</t>
  </si>
  <si>
    <t>Konec výstavby:</t>
  </si>
  <si>
    <t>916561111R00</t>
  </si>
  <si>
    <t>Haly občanské výstavby</t>
  </si>
  <si>
    <t>Kód</t>
  </si>
  <si>
    <t>Hloubení pro podzemní stěny, ražení a hloubení důlní</t>
  </si>
  <si>
    <t>MJ</t>
  </si>
  <si>
    <t>PŘEMÍSTĚNÍ MOBILIÁŘE</t>
  </si>
  <si>
    <t>9_</t>
  </si>
  <si>
    <t>Doplňující konstrukce a práce na pozemních komunikacích a zpevněných plochách</t>
  </si>
  <si>
    <t>Doplňkové náklady</t>
  </si>
  <si>
    <t>PSV prac</t>
  </si>
  <si>
    <t>HSV</t>
  </si>
  <si>
    <t>9</t>
  </si>
  <si>
    <t>15</t>
  </si>
  <si>
    <t>ISWORK</t>
  </si>
  <si>
    <t>Celkem včetně DPH</t>
  </si>
  <si>
    <t>Základ 0%</t>
  </si>
  <si>
    <t>998022061R00</t>
  </si>
  <si>
    <t>Základní vrstva SBR – recyklovaná technická pryž TL. 25 mm</t>
  </si>
  <si>
    <t>Mont prac</t>
  </si>
  <si>
    <t>t</t>
  </si>
  <si>
    <t> </t>
  </si>
  <si>
    <t>JKSO:</t>
  </si>
  <si>
    <t>18_</t>
  </si>
  <si>
    <t>58_</t>
  </si>
  <si>
    <t>Náklady (Kč) - dodávka</t>
  </si>
  <si>
    <t>12_</t>
  </si>
  <si>
    <t>DN celkem</t>
  </si>
  <si>
    <t>GROUPCODE</t>
  </si>
  <si>
    <t>0</t>
  </si>
  <si>
    <t>Provozní vlivy</t>
  </si>
  <si>
    <t>Kryt sportovních ploch EPDM TL. 10 mm</t>
  </si>
  <si>
    <t>5</t>
  </si>
  <si>
    <t>Druh stavby:</t>
  </si>
  <si>
    <t>Příplatek za lepivost - odkopávky v hor. 4</t>
  </si>
  <si>
    <t>Zpracováno dne:</t>
  </si>
  <si>
    <t>564811111R00</t>
  </si>
  <si>
    <t>10</t>
  </si>
  <si>
    <t>58</t>
  </si>
  <si>
    <t>14</t>
  </si>
  <si>
    <t>Množství</t>
  </si>
  <si>
    <t>5_</t>
  </si>
  <si>
    <t>Úprava pláně v zářezech v hor. 1-4, se zhutněním</t>
  </si>
  <si>
    <t>Typ skupiny</t>
  </si>
  <si>
    <t>56</t>
  </si>
  <si>
    <t>19</t>
  </si>
  <si>
    <t>C</t>
  </si>
  <si>
    <t>Náklady (Kč)</t>
  </si>
  <si>
    <t>IČO/DIČ:</t>
  </si>
  <si>
    <t>Ostatní</t>
  </si>
  <si>
    <t>Zpracoval:</t>
  </si>
  <si>
    <t>Podkladní vrstvy komunikací, letišť a ploch</t>
  </si>
  <si>
    <t>Zhotovitel</t>
  </si>
  <si>
    <t>199000002R00</t>
  </si>
  <si>
    <t>2</t>
  </si>
  <si>
    <t>Projektant:</t>
  </si>
  <si>
    <t>ORN celkem</t>
  </si>
  <si>
    <t/>
  </si>
  <si>
    <t>17</t>
  </si>
  <si>
    <t>Práce přesčas</t>
  </si>
  <si>
    <t>12</t>
  </si>
  <si>
    <t>Kulturní památka</t>
  </si>
  <si>
    <t>Objekt</t>
  </si>
  <si>
    <t>DPH 21%</t>
  </si>
  <si>
    <t>181101102R00</t>
  </si>
  <si>
    <t>Vodorovné značení BAREVNÉ PROVEDENÍ OBRAZCŮ</t>
  </si>
  <si>
    <t>122301101R00</t>
  </si>
  <si>
    <t>589651111R00</t>
  </si>
  <si>
    <t>_</t>
  </si>
  <si>
    <t>ORN celkem z obj.</t>
  </si>
  <si>
    <t>19_</t>
  </si>
  <si>
    <t>Přesuny</t>
  </si>
  <si>
    <t>MAT</t>
  </si>
  <si>
    <t>8</t>
  </si>
  <si>
    <t>Celkem:</t>
  </si>
  <si>
    <t>Mimostav. doprava</t>
  </si>
  <si>
    <t>18</t>
  </si>
  <si>
    <t>DN celkem z obj.</t>
  </si>
  <si>
    <t>m</t>
  </si>
  <si>
    <t>Slepý stavební rozpočet - rekapitulace</t>
  </si>
  <si>
    <t>Přemístění výkopku</t>
  </si>
  <si>
    <t>11</t>
  </si>
  <si>
    <t>RTS II / 2022</t>
  </si>
  <si>
    <t>Vodorovné přemístění výkopku z hor.1-4 do 10000 m</t>
  </si>
  <si>
    <t>Objednatel:</t>
  </si>
  <si>
    <t>PSV mat</t>
  </si>
  <si>
    <t>3</t>
  </si>
  <si>
    <t>Zhotovitel:</t>
  </si>
  <si>
    <t>Začátek výstavby:</t>
  </si>
  <si>
    <t>A</t>
  </si>
  <si>
    <t>Mont mat</t>
  </si>
  <si>
    <t>Slepý stavební rozpočet</t>
  </si>
  <si>
    <t xml:space="preserve"> </t>
  </si>
  <si>
    <t>16_</t>
  </si>
  <si>
    <t>Přesun hmot,umělé sport.povrchy,kryt z granulátu</t>
  </si>
  <si>
    <t>Objednatel</t>
  </si>
  <si>
    <t>(Kč)</t>
  </si>
  <si>
    <t>Územní vlivy</t>
  </si>
  <si>
    <t>m3</t>
  </si>
  <si>
    <t>T</t>
  </si>
  <si>
    <t>Datum:</t>
  </si>
  <si>
    <t>91_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</si>
  <si>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</si>
  <si>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</si>
  <si>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</si>
  <si>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</si>
  <si>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</si>
  <si>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</si>
  <si>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</si>
  <si>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</si>
  <si>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</si>
  <si>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Povrchové úpravy terénu</t>
  </si>
  <si>
    <t>171201101R00</t>
  </si>
  <si>
    <t>HSV mat</t>
  </si>
  <si>
    <t>56_</t>
  </si>
  <si>
    <t>Obrubník zahradní ABO 5-20 500/50/250 mm</t>
  </si>
  <si>
    <t>16.05.2022</t>
  </si>
  <si>
    <t>59217337</t>
  </si>
  <si>
    <t>Poplatek za skládku horniny 1- 4, č. dle katal. odpadů 17 05 04</t>
  </si>
  <si>
    <t>Zkrácený popis</t>
  </si>
  <si>
    <t>CELK</t>
  </si>
  <si>
    <t>Kryty pozemních komunikací, letišť a ploch z betonu a ostatních hmot</t>
  </si>
  <si>
    <t>Náklady (Kč) - Montáž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</si>
</sst>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4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20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sz val="12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>
        <color rgb="FF000000"/>
      </left>
      <right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center" vertical="center"/>
      <protection/>
    </xf>
    <xf numFmtId="0" fontId="47" fillId="33" borderId="12" xfId="0" applyNumberFormat="1" applyFont="1" applyFill="1" applyBorder="1" applyAlignment="1" applyProtection="1">
      <alignment horizontal="center" vertical="center"/>
      <protection/>
    </xf>
    <xf numFmtId="0" fontId="45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5" fillId="33" borderId="16" xfId="0" applyNumberFormat="1" applyFont="1" applyFill="1" applyBorder="1" applyAlignment="1" applyProtection="1">
      <alignment horizontal="right" vertical="center"/>
      <protection/>
    </xf>
    <xf numFmtId="0" fontId="45" fillId="0" borderId="17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18" xfId="0" applyNumberFormat="1" applyFont="1" applyFill="1" applyBorder="1" applyAlignment="1" applyProtection="1">
      <alignment horizontal="center" vertical="center"/>
      <protection/>
    </xf>
    <xf numFmtId="0" fontId="45" fillId="0" borderId="19" xfId="0" applyNumberFormat="1" applyFont="1" applyFill="1" applyBorder="1" applyAlignment="1" applyProtection="1">
      <alignment horizontal="center" vertical="center"/>
      <protection/>
    </xf>
    <xf numFmtId="4" fontId="48" fillId="33" borderId="18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2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0" fontId="45" fillId="0" borderId="21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center" vertical="center"/>
      <protection/>
    </xf>
    <xf numFmtId="0" fontId="50" fillId="0" borderId="20" xfId="0" applyNumberFormat="1" applyFont="1" applyFill="1" applyBorder="1" applyAlignment="1" applyProtection="1">
      <alignment horizontal="righ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24" xfId="0" applyNumberFormat="1" applyFont="1" applyFill="1" applyBorder="1" applyAlignment="1" applyProtection="1">
      <alignment horizontal="center" vertical="center"/>
      <protection/>
    </xf>
    <xf numFmtId="0" fontId="45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right" vertical="center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center" vertical="center"/>
      <protection/>
    </xf>
    <xf numFmtId="4" fontId="50" fillId="0" borderId="20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29" xfId="0" applyNumberFormat="1" applyFont="1" applyFill="1" applyBorder="1" applyAlignment="1" applyProtection="1">
      <alignment horizontal="lef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4" fontId="48" fillId="33" borderId="20" xfId="0" applyNumberFormat="1" applyFont="1" applyFill="1" applyBorder="1" applyAlignment="1" applyProtection="1">
      <alignment horizontal="right" vertical="center"/>
      <protection/>
    </xf>
    <xf numFmtId="0" fontId="45" fillId="33" borderId="16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50" fillId="0" borderId="18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4" fontId="46" fillId="0" borderId="3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right" vertical="center"/>
      <protection/>
    </xf>
    <xf numFmtId="4" fontId="50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30" xfId="0" applyNumberFormat="1" applyFont="1" applyFill="1" applyBorder="1" applyAlignment="1" applyProtection="1">
      <alignment horizontal="left" vertical="center"/>
      <protection/>
    </xf>
    <xf numFmtId="4" fontId="50" fillId="0" borderId="17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21" xfId="0" applyNumberFormat="1" applyFont="1" applyFill="1" applyBorder="1" applyAlignment="1" applyProtection="1">
      <alignment horizontal="left" vertical="center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17" xfId="0" applyNumberFormat="1" applyFont="1" applyFill="1" applyBorder="1" applyAlignment="1" applyProtection="1">
      <alignment horizontal="left" vertical="center"/>
      <protection/>
    </xf>
    <xf numFmtId="0" fontId="45" fillId="0" borderId="34" xfId="0" applyNumberFormat="1" applyFont="1" applyFill="1" applyBorder="1" applyAlignment="1" applyProtection="1">
      <alignment horizontal="center" vertical="center"/>
      <protection/>
    </xf>
    <xf numFmtId="0" fontId="45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36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16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1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7" xfId="0" applyNumberFormat="1" applyFont="1" applyFill="1" applyBorder="1" applyAlignment="1" applyProtection="1">
      <alignment horizontal="left" vertical="center"/>
      <protection/>
    </xf>
    <xf numFmtId="0" fontId="53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38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50" fillId="0" borderId="30" xfId="0" applyNumberFormat="1" applyFont="1" applyFill="1" applyBorder="1" applyAlignment="1" applyProtection="1">
      <alignment horizontal="left" vertical="center"/>
      <protection/>
    </xf>
    <xf numFmtId="0" fontId="50" fillId="0" borderId="20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33" borderId="38" xfId="0" applyNumberFormat="1" applyFont="1" applyFill="1" applyBorder="1" applyAlignment="1" applyProtection="1">
      <alignment horizontal="left" vertical="center"/>
      <protection/>
    </xf>
    <xf numFmtId="0" fontId="48" fillId="33" borderId="37" xfId="0" applyNumberFormat="1" applyFont="1" applyFill="1" applyBorder="1" applyAlignment="1" applyProtection="1">
      <alignment horizontal="left" vertical="center"/>
      <protection/>
    </xf>
    <xf numFmtId="0" fontId="48" fillId="33" borderId="28" xfId="0" applyNumberFormat="1" applyFont="1" applyFill="1" applyBorder="1" applyAlignment="1" applyProtection="1">
      <alignment horizontal="left" vertical="center"/>
      <protection/>
    </xf>
    <xf numFmtId="0" fontId="48" fillId="33" borderId="30" xfId="0" applyNumberFormat="1" applyFont="1" applyFill="1" applyBorder="1" applyAlignment="1" applyProtection="1">
      <alignment horizontal="left" vertical="center"/>
      <protection/>
    </xf>
    <xf numFmtId="0" fontId="50" fillId="0" borderId="39" xfId="0" applyNumberFormat="1" applyFont="1" applyFill="1" applyBorder="1" applyAlignment="1" applyProtection="1">
      <alignment horizontal="left" vertical="center"/>
      <protection/>
    </xf>
    <xf numFmtId="0" fontId="50" fillId="0" borderId="11" xfId="0" applyNumberFormat="1" applyFont="1" applyFill="1" applyBorder="1" applyAlignment="1" applyProtection="1">
      <alignment horizontal="left" vertical="center"/>
      <protection/>
    </xf>
    <xf numFmtId="0" fontId="50" fillId="0" borderId="40" xfId="0" applyNumberFormat="1" applyFont="1" applyFill="1" applyBorder="1" applyAlignment="1" applyProtection="1">
      <alignment horizontal="left" vertical="center"/>
      <protection/>
    </xf>
    <xf numFmtId="0" fontId="50" fillId="0" borderId="41" xfId="0" applyNumberFormat="1" applyFont="1" applyFill="1" applyBorder="1" applyAlignment="1" applyProtection="1">
      <alignment horizontal="left" vertical="center"/>
      <protection/>
    </xf>
    <xf numFmtId="0" fontId="50" fillId="0" borderId="42" xfId="0" applyNumberFormat="1" applyFont="1" applyFill="1" applyBorder="1" applyAlignment="1" applyProtection="1">
      <alignment horizontal="left" vertical="center"/>
      <protection/>
    </xf>
    <xf numFmtId="0" fontId="50" fillId="0" borderId="43" xfId="0" applyNumberFormat="1" applyFont="1" applyFill="1" applyBorder="1" applyAlignment="1" applyProtection="1">
      <alignment horizontal="left" vertical="center"/>
      <protection/>
    </xf>
    <xf numFmtId="0" fontId="50" fillId="0" borderId="24" xfId="0" applyNumberFormat="1" applyFont="1" applyFill="1" applyBorder="1" applyAlignment="1" applyProtection="1">
      <alignment horizontal="left" vertical="center"/>
      <protection/>
    </xf>
    <xf numFmtId="0" fontId="50" fillId="0" borderId="22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showOutlineSymbols="0" zoomScalePageLayoutView="0" workbookViewId="0" topLeftCell="A1">
      <pane ySplit="11" topLeftCell="A12" activePane="bottomLeft" state="frozen"/>
      <selection pane="topLeft" activeCell="A39" sqref="A39:M39"/>
      <selection pane="bottomLeft" activeCell="I14" sqref="I14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60.33203125" style="0" customWidth="1"/>
    <col min="5" max="6" width="14.16015625" style="0" customWidth="1"/>
    <col min="7" max="7" width="5.5" style="0" customWidth="1"/>
    <col min="8" max="8" width="15" style="0" customWidth="1"/>
    <col min="9" max="9" width="14" style="0" customWidth="1"/>
    <col min="10" max="12" width="18.33203125" style="0" customWidth="1"/>
    <col min="13" max="13" width="13.66015625" style="0" customWidth="1"/>
    <col min="14" max="24" width="14.16015625" style="0" customWidth="1"/>
    <col min="25" max="74" width="14.16015625" style="0" hidden="1" customWidth="1"/>
  </cols>
  <sheetData>
    <row r="1" spans="1:47" ht="54.75" customHeight="1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AS1" s="24">
        <f>SUM(AJ1:AJ2)</f>
        <v>0</v>
      </c>
      <c r="AT1" s="24">
        <f>SUM(AK1:AK2)</f>
        <v>0</v>
      </c>
      <c r="AU1" s="24">
        <f>SUM(AL1:AL2)</f>
        <v>0</v>
      </c>
    </row>
    <row r="2" spans="1:13" ht="15" customHeight="1">
      <c r="A2" s="53" t="s">
        <v>15</v>
      </c>
      <c r="B2" s="54"/>
      <c r="C2" s="60" t="s">
        <v>3</v>
      </c>
      <c r="D2" s="61"/>
      <c r="E2" s="54" t="s">
        <v>0</v>
      </c>
      <c r="F2" s="54"/>
      <c r="G2" s="54" t="s">
        <v>153</v>
      </c>
      <c r="H2" s="54"/>
      <c r="I2" s="58" t="s">
        <v>145</v>
      </c>
      <c r="J2" s="54" t="s">
        <v>82</v>
      </c>
      <c r="K2" s="54"/>
      <c r="L2" s="54"/>
      <c r="M2" s="63"/>
    </row>
    <row r="3" spans="1:13" ht="15" customHeight="1">
      <c r="A3" s="55"/>
      <c r="B3" s="56"/>
      <c r="C3" s="62"/>
      <c r="D3" s="62"/>
      <c r="E3" s="56"/>
      <c r="F3" s="56"/>
      <c r="G3" s="56"/>
      <c r="H3" s="56"/>
      <c r="I3" s="56"/>
      <c r="J3" s="56"/>
      <c r="K3" s="56"/>
      <c r="L3" s="56"/>
      <c r="M3" s="64"/>
    </row>
    <row r="4" spans="1:13" ht="15" customHeight="1">
      <c r="A4" s="57" t="s">
        <v>94</v>
      </c>
      <c r="B4" s="56"/>
      <c r="C4" s="59" t="s">
        <v>153</v>
      </c>
      <c r="D4" s="56"/>
      <c r="E4" s="56" t="s">
        <v>149</v>
      </c>
      <c r="F4" s="56"/>
      <c r="G4" s="56" t="s">
        <v>177</v>
      </c>
      <c r="H4" s="56"/>
      <c r="I4" s="59" t="s">
        <v>116</v>
      </c>
      <c r="J4" s="56" t="s">
        <v>82</v>
      </c>
      <c r="K4" s="56"/>
      <c r="L4" s="56"/>
      <c r="M4" s="64"/>
    </row>
    <row r="5" spans="1:13" ht="1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64"/>
    </row>
    <row r="6" spans="1:13" ht="15" customHeight="1">
      <c r="A6" s="57" t="s">
        <v>19</v>
      </c>
      <c r="B6" s="56"/>
      <c r="C6" s="59" t="s">
        <v>35</v>
      </c>
      <c r="D6" s="56"/>
      <c r="E6" s="56" t="s">
        <v>61</v>
      </c>
      <c r="F6" s="56"/>
      <c r="G6" s="56" t="s">
        <v>153</v>
      </c>
      <c r="H6" s="56"/>
      <c r="I6" s="59" t="s">
        <v>148</v>
      </c>
      <c r="J6" s="56" t="s">
        <v>82</v>
      </c>
      <c r="K6" s="56"/>
      <c r="L6" s="56"/>
      <c r="M6" s="64"/>
    </row>
    <row r="7" spans="1:13" ht="1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64"/>
    </row>
    <row r="8" spans="1:13" ht="15" customHeight="1">
      <c r="A8" s="57" t="s">
        <v>83</v>
      </c>
      <c r="B8" s="56"/>
      <c r="C8" s="59" t="s">
        <v>153</v>
      </c>
      <c r="D8" s="56"/>
      <c r="E8" s="56" t="s">
        <v>96</v>
      </c>
      <c r="F8" s="56"/>
      <c r="G8" s="56" t="s">
        <v>177</v>
      </c>
      <c r="H8" s="56"/>
      <c r="I8" s="59" t="s">
        <v>111</v>
      </c>
      <c r="J8" s="56" t="s">
        <v>82</v>
      </c>
      <c r="K8" s="56"/>
      <c r="L8" s="56"/>
      <c r="M8" s="64"/>
    </row>
    <row r="9" spans="1:13" ht="15" customHeigh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64"/>
    </row>
    <row r="10" spans="1:64" ht="15" customHeight="1">
      <c r="A10" s="28" t="s">
        <v>17</v>
      </c>
      <c r="B10" s="19" t="s">
        <v>64</v>
      </c>
      <c r="C10" s="65" t="s">
        <v>180</v>
      </c>
      <c r="D10" s="65"/>
      <c r="E10" s="65"/>
      <c r="F10" s="66"/>
      <c r="G10" s="19" t="s">
        <v>66</v>
      </c>
      <c r="H10" s="26" t="s">
        <v>101</v>
      </c>
      <c r="I10" s="3" t="s">
        <v>60</v>
      </c>
      <c r="J10" s="69" t="s">
        <v>108</v>
      </c>
      <c r="K10" s="70"/>
      <c r="L10" s="71"/>
      <c r="M10" s="26" t="s">
        <v>53</v>
      </c>
      <c r="BK10" s="44" t="s">
        <v>75</v>
      </c>
      <c r="BL10" s="15" t="s">
        <v>89</v>
      </c>
    </row>
    <row r="11" spans="1:62" ht="15" customHeight="1">
      <c r="A11" s="23" t="s">
        <v>153</v>
      </c>
      <c r="B11" s="49" t="s">
        <v>153</v>
      </c>
      <c r="C11" s="67" t="s">
        <v>168</v>
      </c>
      <c r="D11" s="67"/>
      <c r="E11" s="67"/>
      <c r="F11" s="68"/>
      <c r="G11" s="49" t="s">
        <v>153</v>
      </c>
      <c r="H11" s="49" t="s">
        <v>153</v>
      </c>
      <c r="I11" s="25" t="s">
        <v>157</v>
      </c>
      <c r="J11" s="29" t="s">
        <v>10</v>
      </c>
      <c r="K11" s="10" t="s">
        <v>38</v>
      </c>
      <c r="L11" s="21" t="s">
        <v>23</v>
      </c>
      <c r="M11" s="10" t="s">
        <v>50</v>
      </c>
      <c r="Z11" s="44" t="s">
        <v>132</v>
      </c>
      <c r="AA11" s="44" t="s">
        <v>104</v>
      </c>
      <c r="AB11" s="44" t="s">
        <v>174</v>
      </c>
      <c r="AC11" s="44" t="s">
        <v>56</v>
      </c>
      <c r="AD11" s="44" t="s">
        <v>146</v>
      </c>
      <c r="AE11" s="44" t="s">
        <v>71</v>
      </c>
      <c r="AF11" s="44" t="s">
        <v>151</v>
      </c>
      <c r="AG11" s="44" t="s">
        <v>80</v>
      </c>
      <c r="AH11" s="44" t="s">
        <v>51</v>
      </c>
      <c r="BH11" s="44" t="s">
        <v>133</v>
      </c>
      <c r="BI11" s="44" t="s">
        <v>171</v>
      </c>
      <c r="BJ11" s="44" t="s">
        <v>181</v>
      </c>
    </row>
    <row r="12" spans="1:47" ht="15" customHeight="1">
      <c r="A12" s="40" t="s">
        <v>118</v>
      </c>
      <c r="B12" s="11" t="s">
        <v>121</v>
      </c>
      <c r="C12" s="72" t="s">
        <v>48</v>
      </c>
      <c r="D12" s="72"/>
      <c r="E12" s="72"/>
      <c r="F12" s="72"/>
      <c r="G12" s="33" t="s">
        <v>153</v>
      </c>
      <c r="H12" s="33" t="s">
        <v>153</v>
      </c>
      <c r="I12" s="33" t="s">
        <v>153</v>
      </c>
      <c r="J12" s="36">
        <f>SUM(J13:J14)</f>
        <v>0</v>
      </c>
      <c r="K12" s="36">
        <f>SUM(K13:K14)</f>
        <v>0</v>
      </c>
      <c r="L12" s="36">
        <f>SUM(L13:L14)</f>
        <v>0</v>
      </c>
      <c r="M12" s="38" t="s">
        <v>118</v>
      </c>
      <c r="AI12" s="44" t="s">
        <v>118</v>
      </c>
      <c r="AS12" s="24">
        <f>SUM(AJ13:AJ14)</f>
        <v>0</v>
      </c>
      <c r="AT12" s="24">
        <f>SUM(AK13:AK14)</f>
        <v>0</v>
      </c>
      <c r="AU12" s="24">
        <f>SUM(AL13:AL14)</f>
        <v>0</v>
      </c>
    </row>
    <row r="13" spans="1:64" ht="15" customHeight="1">
      <c r="A13" s="2" t="s">
        <v>166</v>
      </c>
      <c r="B13" s="39" t="s">
        <v>127</v>
      </c>
      <c r="C13" s="56" t="s">
        <v>55</v>
      </c>
      <c r="D13" s="56"/>
      <c r="E13" s="56"/>
      <c r="F13" s="56"/>
      <c r="G13" s="39" t="s">
        <v>159</v>
      </c>
      <c r="H13" s="20">
        <v>23.1</v>
      </c>
      <c r="I13" s="20">
        <v>0</v>
      </c>
      <c r="J13" s="20">
        <f>H13*AO13</f>
        <v>0</v>
      </c>
      <c r="K13" s="20">
        <f>H13*AP13</f>
        <v>0</v>
      </c>
      <c r="L13" s="20">
        <f>H13*I13</f>
        <v>0</v>
      </c>
      <c r="M13" s="27" t="s">
        <v>143</v>
      </c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44" t="s">
        <v>118</v>
      </c>
      <c r="AJ13" s="20">
        <f>IF(AN13=0,L13,0)</f>
        <v>0</v>
      </c>
      <c r="AK13" s="20">
        <f>IF(AN13=15,L13,0)</f>
        <v>0</v>
      </c>
      <c r="AL13" s="20">
        <f>IF(AN13=21,L13,0)</f>
        <v>0</v>
      </c>
      <c r="AN13" s="20">
        <v>21</v>
      </c>
      <c r="AO13" s="20">
        <f>I13*0</f>
        <v>0</v>
      </c>
      <c r="AP13" s="20">
        <f>I13*(1-0)</f>
        <v>0</v>
      </c>
      <c r="AQ13" s="17" t="s">
        <v>166</v>
      </c>
      <c r="AV13" s="20">
        <f>AW13+AX13</f>
        <v>0</v>
      </c>
      <c r="AW13" s="20">
        <f>H13*AO13</f>
        <v>0</v>
      </c>
      <c r="AX13" s="20">
        <f>H13*AP13</f>
        <v>0</v>
      </c>
      <c r="AY13" s="17" t="s">
        <v>87</v>
      </c>
      <c r="AZ13" s="17" t="s">
        <v>25</v>
      </c>
      <c r="BA13" s="44" t="s">
        <v>129</v>
      </c>
      <c r="BC13" s="20">
        <f>AW13+AX13</f>
        <v>0</v>
      </c>
      <c r="BD13" s="20">
        <f>I13/(100-BE13)*100</f>
        <v>0</v>
      </c>
      <c r="BE13" s="20">
        <v>0</v>
      </c>
      <c r="BF13" s="20">
        <f>13</f>
        <v>13</v>
      </c>
      <c r="BH13" s="20">
        <f>H13*AO13</f>
        <v>0</v>
      </c>
      <c r="BI13" s="20">
        <f>H13*AP13</f>
        <v>0</v>
      </c>
      <c r="BJ13" s="20">
        <f>H13*I13</f>
        <v>0</v>
      </c>
      <c r="BK13" s="20"/>
      <c r="BL13" s="20">
        <v>12</v>
      </c>
    </row>
    <row r="14" spans="1:64" ht="15" customHeight="1">
      <c r="A14" s="2" t="s">
        <v>115</v>
      </c>
      <c r="B14" s="39" t="s">
        <v>46</v>
      </c>
      <c r="C14" s="56" t="s">
        <v>95</v>
      </c>
      <c r="D14" s="56"/>
      <c r="E14" s="56"/>
      <c r="F14" s="56"/>
      <c r="G14" s="39" t="s">
        <v>159</v>
      </c>
      <c r="H14" s="20">
        <v>23.1</v>
      </c>
      <c r="I14" s="20">
        <v>0</v>
      </c>
      <c r="J14" s="20">
        <f>H14*AO14</f>
        <v>0</v>
      </c>
      <c r="K14" s="20">
        <f>H14*AP14</f>
        <v>0</v>
      </c>
      <c r="L14" s="20">
        <f>H14*I14</f>
        <v>0</v>
      </c>
      <c r="M14" s="27" t="s">
        <v>143</v>
      </c>
      <c r="Z14" s="20">
        <f>IF(AQ14="5",BJ14,0)</f>
        <v>0</v>
      </c>
      <c r="AB14" s="20">
        <f>IF(AQ14="1",BH14,0)</f>
        <v>0</v>
      </c>
      <c r="AC14" s="20">
        <f>IF(AQ14="1",BI14,0)</f>
        <v>0</v>
      </c>
      <c r="AD14" s="20">
        <f>IF(AQ14="7",BH14,0)</f>
        <v>0</v>
      </c>
      <c r="AE14" s="20">
        <f>IF(AQ14="7",BI14,0)</f>
        <v>0</v>
      </c>
      <c r="AF14" s="20">
        <f>IF(AQ14="2",BH14,0)</f>
        <v>0</v>
      </c>
      <c r="AG14" s="20">
        <f>IF(AQ14="2",BI14,0)</f>
        <v>0</v>
      </c>
      <c r="AH14" s="20">
        <f>IF(AQ14="0",BJ14,0)</f>
        <v>0</v>
      </c>
      <c r="AI14" s="44" t="s">
        <v>118</v>
      </c>
      <c r="AJ14" s="20">
        <f>IF(AN14=0,L14,0)</f>
        <v>0</v>
      </c>
      <c r="AK14" s="20">
        <f>IF(AN14=15,L14,0)</f>
        <v>0</v>
      </c>
      <c r="AL14" s="20">
        <f>IF(AN14=21,L14,0)</f>
        <v>0</v>
      </c>
      <c r="AN14" s="20">
        <v>21</v>
      </c>
      <c r="AO14" s="20">
        <f>I14*0</f>
        <v>0</v>
      </c>
      <c r="AP14" s="20">
        <f>I14*(1-0)</f>
        <v>0</v>
      </c>
      <c r="AQ14" s="17" t="s">
        <v>166</v>
      </c>
      <c r="AV14" s="20">
        <f>AW14+AX14</f>
        <v>0</v>
      </c>
      <c r="AW14" s="20">
        <f>H14*AO14</f>
        <v>0</v>
      </c>
      <c r="AX14" s="20">
        <f>H14*AP14</f>
        <v>0</v>
      </c>
      <c r="AY14" s="17" t="s">
        <v>87</v>
      </c>
      <c r="AZ14" s="17" t="s">
        <v>25</v>
      </c>
      <c r="BA14" s="44" t="s">
        <v>129</v>
      </c>
      <c r="BC14" s="20">
        <f>AW14+AX14</f>
        <v>0</v>
      </c>
      <c r="BD14" s="20">
        <f>I14/(100-BE14)*100</f>
        <v>0</v>
      </c>
      <c r="BE14" s="20">
        <v>0</v>
      </c>
      <c r="BF14" s="20">
        <f>14</f>
        <v>14</v>
      </c>
      <c r="BH14" s="20">
        <f>H14*AO14</f>
        <v>0</v>
      </c>
      <c r="BI14" s="20">
        <f>H14*AP14</f>
        <v>0</v>
      </c>
      <c r="BJ14" s="20">
        <f>H14*I14</f>
        <v>0</v>
      </c>
      <c r="BK14" s="20"/>
      <c r="BL14" s="20">
        <v>12</v>
      </c>
    </row>
    <row r="15" spans="1:47" ht="15" customHeight="1">
      <c r="A15" s="18" t="s">
        <v>118</v>
      </c>
      <c r="B15" s="42" t="s">
        <v>20</v>
      </c>
      <c r="C15" s="72" t="s">
        <v>141</v>
      </c>
      <c r="D15" s="72"/>
      <c r="E15" s="72"/>
      <c r="F15" s="72"/>
      <c r="G15" s="46" t="s">
        <v>153</v>
      </c>
      <c r="H15" s="46" t="s">
        <v>153</v>
      </c>
      <c r="I15" s="46" t="s">
        <v>153</v>
      </c>
      <c r="J15" s="24">
        <f>SUM(J16:J16)</f>
        <v>0</v>
      </c>
      <c r="K15" s="24">
        <f>SUM(K16:K16)</f>
        <v>0</v>
      </c>
      <c r="L15" s="24">
        <f>SUM(L16:L16)</f>
        <v>0</v>
      </c>
      <c r="M15" s="9" t="s">
        <v>118</v>
      </c>
      <c r="AI15" s="44" t="s">
        <v>118</v>
      </c>
      <c r="AS15" s="24">
        <f>SUM(AJ16:AJ16)</f>
        <v>0</v>
      </c>
      <c r="AT15" s="24">
        <f>SUM(AK16:AK16)</f>
        <v>0</v>
      </c>
      <c r="AU15" s="24">
        <f>SUM(AL16:AL16)</f>
        <v>0</v>
      </c>
    </row>
    <row r="16" spans="1:64" ht="15" customHeight="1">
      <c r="A16" s="2" t="s">
        <v>147</v>
      </c>
      <c r="B16" s="39" t="s">
        <v>1</v>
      </c>
      <c r="C16" s="56" t="s">
        <v>144</v>
      </c>
      <c r="D16" s="56"/>
      <c r="E16" s="56"/>
      <c r="F16" s="56"/>
      <c r="G16" s="39" t="s">
        <v>159</v>
      </c>
      <c r="H16" s="20">
        <v>23.1</v>
      </c>
      <c r="I16" s="20">
        <v>0</v>
      </c>
      <c r="J16" s="20">
        <f>H16*AO16</f>
        <v>0</v>
      </c>
      <c r="K16" s="20">
        <f>H16*AP16</f>
        <v>0</v>
      </c>
      <c r="L16" s="20">
        <f>H16*I16</f>
        <v>0</v>
      </c>
      <c r="M16" s="27" t="s">
        <v>143</v>
      </c>
      <c r="Z16" s="20">
        <f>IF(AQ16="5",BJ16,0)</f>
        <v>0</v>
      </c>
      <c r="AB16" s="20">
        <f>IF(AQ16="1",BH16,0)</f>
        <v>0</v>
      </c>
      <c r="AC16" s="20">
        <f>IF(AQ16="1",BI16,0)</f>
        <v>0</v>
      </c>
      <c r="AD16" s="20">
        <f>IF(AQ16="7",BH16,0)</f>
        <v>0</v>
      </c>
      <c r="AE16" s="20">
        <f>IF(AQ16="7",BI16,0)</f>
        <v>0</v>
      </c>
      <c r="AF16" s="20">
        <f>IF(AQ16="2",BH16,0)</f>
        <v>0</v>
      </c>
      <c r="AG16" s="20">
        <f>IF(AQ16="2",BI16,0)</f>
        <v>0</v>
      </c>
      <c r="AH16" s="20">
        <f>IF(AQ16="0",BJ16,0)</f>
        <v>0</v>
      </c>
      <c r="AI16" s="44" t="s">
        <v>118</v>
      </c>
      <c r="AJ16" s="20">
        <f>IF(AN16=0,L16,0)</f>
        <v>0</v>
      </c>
      <c r="AK16" s="20">
        <f>IF(AN16=15,L16,0)</f>
        <v>0</v>
      </c>
      <c r="AL16" s="20">
        <f>IF(AN16=21,L16,0)</f>
        <v>0</v>
      </c>
      <c r="AN16" s="20">
        <v>21</v>
      </c>
      <c r="AO16" s="20">
        <f>I16*0</f>
        <v>0</v>
      </c>
      <c r="AP16" s="20">
        <f>I16*(1-0)</f>
        <v>0</v>
      </c>
      <c r="AQ16" s="17" t="s">
        <v>166</v>
      </c>
      <c r="AV16" s="20">
        <f>AW16+AX16</f>
        <v>0</v>
      </c>
      <c r="AW16" s="20">
        <f>H16*AO16</f>
        <v>0</v>
      </c>
      <c r="AX16" s="20">
        <f>H16*AP16</f>
        <v>0</v>
      </c>
      <c r="AY16" s="17" t="s">
        <v>154</v>
      </c>
      <c r="AZ16" s="17" t="s">
        <v>25</v>
      </c>
      <c r="BA16" s="44" t="s">
        <v>129</v>
      </c>
      <c r="BC16" s="20">
        <f>AW16+AX16</f>
        <v>0</v>
      </c>
      <c r="BD16" s="20">
        <f>I16/(100-BE16)*100</f>
        <v>0</v>
      </c>
      <c r="BE16" s="20">
        <v>0</v>
      </c>
      <c r="BF16" s="20">
        <f>16</f>
        <v>16</v>
      </c>
      <c r="BH16" s="20">
        <f>H16*AO16</f>
        <v>0</v>
      </c>
      <c r="BI16" s="20">
        <f>H16*AP16</f>
        <v>0</v>
      </c>
      <c r="BJ16" s="20">
        <f>H16*I16</f>
        <v>0</v>
      </c>
      <c r="BK16" s="20"/>
      <c r="BL16" s="20">
        <v>16</v>
      </c>
    </row>
    <row r="17" spans="1:47" ht="15" customHeight="1">
      <c r="A17" s="18" t="s">
        <v>118</v>
      </c>
      <c r="B17" s="42" t="s">
        <v>119</v>
      </c>
      <c r="C17" s="72" t="s">
        <v>29</v>
      </c>
      <c r="D17" s="72"/>
      <c r="E17" s="72"/>
      <c r="F17" s="72"/>
      <c r="G17" s="46" t="s">
        <v>153</v>
      </c>
      <c r="H17" s="46" t="s">
        <v>153</v>
      </c>
      <c r="I17" s="46" t="s">
        <v>153</v>
      </c>
      <c r="J17" s="24">
        <f>SUM(J18:J18)</f>
        <v>0</v>
      </c>
      <c r="K17" s="24">
        <f>SUM(K18:K18)</f>
        <v>0</v>
      </c>
      <c r="L17" s="24">
        <f>SUM(L18:L18)</f>
        <v>0</v>
      </c>
      <c r="M17" s="9" t="s">
        <v>118</v>
      </c>
      <c r="AI17" s="44" t="s">
        <v>118</v>
      </c>
      <c r="AS17" s="24">
        <f>SUM(AJ18:AJ18)</f>
        <v>0</v>
      </c>
      <c r="AT17" s="24">
        <f>SUM(AK18:AK18)</f>
        <v>0</v>
      </c>
      <c r="AU17" s="24">
        <f>SUM(AL18:AL18)</f>
        <v>0</v>
      </c>
    </row>
    <row r="18" spans="1:64" ht="15" customHeight="1">
      <c r="A18" s="2" t="s">
        <v>26</v>
      </c>
      <c r="B18" s="39" t="s">
        <v>173</v>
      </c>
      <c r="C18" s="56" t="s">
        <v>14</v>
      </c>
      <c r="D18" s="56"/>
      <c r="E18" s="56"/>
      <c r="F18" s="56"/>
      <c r="G18" s="39" t="s">
        <v>159</v>
      </c>
      <c r="H18" s="20">
        <v>23.1</v>
      </c>
      <c r="I18" s="20">
        <v>0</v>
      </c>
      <c r="J18" s="20">
        <f>H18*AO18</f>
        <v>0</v>
      </c>
      <c r="K18" s="20">
        <f>H18*AP18</f>
        <v>0</v>
      </c>
      <c r="L18" s="20">
        <f>H18*I18</f>
        <v>0</v>
      </c>
      <c r="M18" s="27" t="s">
        <v>143</v>
      </c>
      <c r="Z18" s="20">
        <f>IF(AQ18="5",BJ18,0)</f>
        <v>0</v>
      </c>
      <c r="AB18" s="20">
        <f>IF(AQ18="1",BH18,0)</f>
        <v>0</v>
      </c>
      <c r="AC18" s="20">
        <f>IF(AQ18="1",BI18,0)</f>
        <v>0</v>
      </c>
      <c r="AD18" s="20">
        <f>IF(AQ18="7",BH18,0)</f>
        <v>0</v>
      </c>
      <c r="AE18" s="20">
        <f>IF(AQ18="7",BI18,0)</f>
        <v>0</v>
      </c>
      <c r="AF18" s="20">
        <f>IF(AQ18="2",BH18,0)</f>
        <v>0</v>
      </c>
      <c r="AG18" s="20">
        <f>IF(AQ18="2",BI18,0)</f>
        <v>0</v>
      </c>
      <c r="AH18" s="20">
        <f>IF(AQ18="0",BJ18,0)</f>
        <v>0</v>
      </c>
      <c r="AI18" s="44" t="s">
        <v>118</v>
      </c>
      <c r="AJ18" s="20">
        <f>IF(AN18=0,L18,0)</f>
        <v>0</v>
      </c>
      <c r="AK18" s="20">
        <f>IF(AN18=15,L18,0)</f>
        <v>0</v>
      </c>
      <c r="AL18" s="20">
        <f>IF(AN18=21,L18,0)</f>
        <v>0</v>
      </c>
      <c r="AN18" s="20">
        <v>21</v>
      </c>
      <c r="AO18" s="20">
        <f>I18*0</f>
        <v>0</v>
      </c>
      <c r="AP18" s="20">
        <f>I18*(1-0)</f>
        <v>0</v>
      </c>
      <c r="AQ18" s="17" t="s">
        <v>166</v>
      </c>
      <c r="AV18" s="20">
        <f>AW18+AX18</f>
        <v>0</v>
      </c>
      <c r="AW18" s="20">
        <f>H18*AO18</f>
        <v>0</v>
      </c>
      <c r="AX18" s="20">
        <f>H18*AP18</f>
        <v>0</v>
      </c>
      <c r="AY18" s="17" t="s">
        <v>42</v>
      </c>
      <c r="AZ18" s="17" t="s">
        <v>25</v>
      </c>
      <c r="BA18" s="44" t="s">
        <v>129</v>
      </c>
      <c r="BC18" s="20">
        <f>AW18+AX18</f>
        <v>0</v>
      </c>
      <c r="BD18" s="20">
        <f>I18/(100-BE18)*100</f>
        <v>0</v>
      </c>
      <c r="BE18" s="20">
        <v>0</v>
      </c>
      <c r="BF18" s="20">
        <f>18</f>
        <v>18</v>
      </c>
      <c r="BH18" s="20">
        <f>H18*AO18</f>
        <v>0</v>
      </c>
      <c r="BI18" s="20">
        <f>H18*AP18</f>
        <v>0</v>
      </c>
      <c r="BJ18" s="20">
        <f>H18*I18</f>
        <v>0</v>
      </c>
      <c r="BK18" s="20"/>
      <c r="BL18" s="20">
        <v>17</v>
      </c>
    </row>
    <row r="19" spans="1:47" ht="15" customHeight="1">
      <c r="A19" s="18" t="s">
        <v>118</v>
      </c>
      <c r="B19" s="42" t="s">
        <v>137</v>
      </c>
      <c r="C19" s="72" t="s">
        <v>172</v>
      </c>
      <c r="D19" s="72"/>
      <c r="E19" s="72"/>
      <c r="F19" s="72"/>
      <c r="G19" s="46" t="s">
        <v>153</v>
      </c>
      <c r="H19" s="46" t="s">
        <v>153</v>
      </c>
      <c r="I19" s="46" t="s">
        <v>153</v>
      </c>
      <c r="J19" s="24">
        <f>SUM(J20:J21)</f>
        <v>0</v>
      </c>
      <c r="K19" s="24">
        <f>SUM(K20:K21)</f>
        <v>0</v>
      </c>
      <c r="L19" s="24">
        <f>SUM(L20:L21)</f>
        <v>0</v>
      </c>
      <c r="M19" s="9" t="s">
        <v>118</v>
      </c>
      <c r="AI19" s="44" t="s">
        <v>118</v>
      </c>
      <c r="AS19" s="24">
        <f>SUM(AJ20:AJ21)</f>
        <v>0</v>
      </c>
      <c r="AT19" s="24">
        <f>SUM(AK20:AK21)</f>
        <v>0</v>
      </c>
      <c r="AU19" s="24">
        <f>SUM(AL20:AL21)</f>
        <v>0</v>
      </c>
    </row>
    <row r="20" spans="1:64" ht="15" customHeight="1">
      <c r="A20" s="2" t="s">
        <v>93</v>
      </c>
      <c r="B20" s="39" t="s">
        <v>125</v>
      </c>
      <c r="C20" s="56" t="s">
        <v>103</v>
      </c>
      <c r="D20" s="56"/>
      <c r="E20" s="56"/>
      <c r="F20" s="56"/>
      <c r="G20" s="39" t="s">
        <v>163</v>
      </c>
      <c r="H20" s="20">
        <v>77</v>
      </c>
      <c r="I20" s="20">
        <v>0</v>
      </c>
      <c r="J20" s="20">
        <f>H20*AO20</f>
        <v>0</v>
      </c>
      <c r="K20" s="20">
        <f>H20*AP20</f>
        <v>0</v>
      </c>
      <c r="L20" s="20">
        <f>H20*I20</f>
        <v>0</v>
      </c>
      <c r="M20" s="27" t="s">
        <v>143</v>
      </c>
      <c r="Z20" s="20">
        <f>IF(AQ20="5",BJ20,0)</f>
        <v>0</v>
      </c>
      <c r="AB20" s="20">
        <f>IF(AQ20="1",BH20,0)</f>
        <v>0</v>
      </c>
      <c r="AC20" s="20">
        <f>IF(AQ20="1",BI20,0)</f>
        <v>0</v>
      </c>
      <c r="AD20" s="20">
        <f>IF(AQ20="7",BH20,0)</f>
        <v>0</v>
      </c>
      <c r="AE20" s="20">
        <f>IF(AQ20="7",BI20,0)</f>
        <v>0</v>
      </c>
      <c r="AF20" s="20">
        <f>IF(AQ20="2",BH20,0)</f>
        <v>0</v>
      </c>
      <c r="AG20" s="20">
        <f>IF(AQ20="2",BI20,0)</f>
        <v>0</v>
      </c>
      <c r="AH20" s="20">
        <f>IF(AQ20="0",BJ20,0)</f>
        <v>0</v>
      </c>
      <c r="AI20" s="44" t="s">
        <v>118</v>
      </c>
      <c r="AJ20" s="20">
        <f>IF(AN20=0,L20,0)</f>
        <v>0</v>
      </c>
      <c r="AK20" s="20">
        <f>IF(AN20=15,L20,0)</f>
        <v>0</v>
      </c>
      <c r="AL20" s="20">
        <f>IF(AN20=21,L20,0)</f>
        <v>0</v>
      </c>
      <c r="AN20" s="20">
        <v>21</v>
      </c>
      <c r="AO20" s="20">
        <f>I20*0</f>
        <v>0</v>
      </c>
      <c r="AP20" s="20">
        <f>I20*(1-0)</f>
        <v>0</v>
      </c>
      <c r="AQ20" s="17" t="s">
        <v>166</v>
      </c>
      <c r="AV20" s="20">
        <f>AW20+AX20</f>
        <v>0</v>
      </c>
      <c r="AW20" s="20">
        <f>H20*AO20</f>
        <v>0</v>
      </c>
      <c r="AX20" s="20">
        <f>H20*AP20</f>
        <v>0</v>
      </c>
      <c r="AY20" s="17" t="s">
        <v>84</v>
      </c>
      <c r="AZ20" s="17" t="s">
        <v>25</v>
      </c>
      <c r="BA20" s="44" t="s">
        <v>129</v>
      </c>
      <c r="BC20" s="20">
        <f>AW20+AX20</f>
        <v>0</v>
      </c>
      <c r="BD20" s="20">
        <f>I20/(100-BE20)*100</f>
        <v>0</v>
      </c>
      <c r="BE20" s="20">
        <v>0</v>
      </c>
      <c r="BF20" s="20">
        <f>20</f>
        <v>20</v>
      </c>
      <c r="BH20" s="20">
        <f>H20*AO20</f>
        <v>0</v>
      </c>
      <c r="BI20" s="20">
        <f>H20*AP20</f>
        <v>0</v>
      </c>
      <c r="BJ20" s="20">
        <f>H20*I20</f>
        <v>0</v>
      </c>
      <c r="BK20" s="20"/>
      <c r="BL20" s="20">
        <v>18</v>
      </c>
    </row>
    <row r="21" spans="1:64" ht="15" customHeight="1">
      <c r="A21" s="2" t="s">
        <v>33</v>
      </c>
      <c r="B21" s="39" t="s">
        <v>32</v>
      </c>
      <c r="C21" s="56" t="s">
        <v>31</v>
      </c>
      <c r="D21" s="56"/>
      <c r="E21" s="56"/>
      <c r="F21" s="56"/>
      <c r="G21" s="39" t="s">
        <v>163</v>
      </c>
      <c r="H21" s="20">
        <v>13.2</v>
      </c>
      <c r="I21" s="20">
        <v>0</v>
      </c>
      <c r="J21" s="20">
        <f>H21*AO21</f>
        <v>0</v>
      </c>
      <c r="K21" s="20">
        <f>H21*AP21</f>
        <v>0</v>
      </c>
      <c r="L21" s="20">
        <f>H21*I21</f>
        <v>0</v>
      </c>
      <c r="M21" s="27" t="s">
        <v>143</v>
      </c>
      <c r="Z21" s="20">
        <f>IF(AQ21="5",BJ21,0)</f>
        <v>0</v>
      </c>
      <c r="AB21" s="20">
        <f>IF(AQ21="1",BH21,0)</f>
        <v>0</v>
      </c>
      <c r="AC21" s="20">
        <f>IF(AQ21="1",BI21,0)</f>
        <v>0</v>
      </c>
      <c r="AD21" s="20">
        <f>IF(AQ21="7",BH21,0)</f>
        <v>0</v>
      </c>
      <c r="AE21" s="20">
        <f>IF(AQ21="7",BI21,0)</f>
        <v>0</v>
      </c>
      <c r="AF21" s="20">
        <f>IF(AQ21="2",BH21,0)</f>
        <v>0</v>
      </c>
      <c r="AG21" s="20">
        <f>IF(AQ21="2",BI21,0)</f>
        <v>0</v>
      </c>
      <c r="AH21" s="20">
        <f>IF(AQ21="0",BJ21,0)</f>
        <v>0</v>
      </c>
      <c r="AI21" s="44" t="s">
        <v>118</v>
      </c>
      <c r="AJ21" s="20">
        <f>IF(AN21=0,L21,0)</f>
        <v>0</v>
      </c>
      <c r="AK21" s="20">
        <f>IF(AN21=15,L21,0)</f>
        <v>0</v>
      </c>
      <c r="AL21" s="20">
        <f>IF(AN21=21,L21,0)</f>
        <v>0</v>
      </c>
      <c r="AN21" s="20">
        <v>21</v>
      </c>
      <c r="AO21" s="20">
        <f>I21*0.0383675116203431</f>
        <v>0</v>
      </c>
      <c r="AP21" s="20">
        <f>I21*(1-0.0383675116203431)</f>
        <v>0</v>
      </c>
      <c r="AQ21" s="17" t="s">
        <v>166</v>
      </c>
      <c r="AV21" s="20">
        <f>AW21+AX21</f>
        <v>0</v>
      </c>
      <c r="AW21" s="20">
        <f>H21*AO21</f>
        <v>0</v>
      </c>
      <c r="AX21" s="20">
        <f>H21*AP21</f>
        <v>0</v>
      </c>
      <c r="AY21" s="17" t="s">
        <v>84</v>
      </c>
      <c r="AZ21" s="17" t="s">
        <v>25</v>
      </c>
      <c r="BA21" s="44" t="s">
        <v>129</v>
      </c>
      <c r="BC21" s="20">
        <f>AW21+AX21</f>
        <v>0</v>
      </c>
      <c r="BD21" s="20">
        <f>I21/(100-BE21)*100</f>
        <v>0</v>
      </c>
      <c r="BE21" s="20">
        <v>0</v>
      </c>
      <c r="BF21" s="20">
        <f>21</f>
        <v>21</v>
      </c>
      <c r="BH21" s="20">
        <f>H21*AO21</f>
        <v>0</v>
      </c>
      <c r="BI21" s="20">
        <f>H21*AP21</f>
        <v>0</v>
      </c>
      <c r="BJ21" s="20">
        <f>H21*I21</f>
        <v>0</v>
      </c>
      <c r="BK21" s="20"/>
      <c r="BL21" s="20">
        <v>18</v>
      </c>
    </row>
    <row r="22" spans="1:47" ht="15" customHeight="1">
      <c r="A22" s="18" t="s">
        <v>118</v>
      </c>
      <c r="B22" s="42" t="s">
        <v>106</v>
      </c>
      <c r="C22" s="72" t="s">
        <v>65</v>
      </c>
      <c r="D22" s="72"/>
      <c r="E22" s="72"/>
      <c r="F22" s="72"/>
      <c r="G22" s="46" t="s">
        <v>153</v>
      </c>
      <c r="H22" s="46" t="s">
        <v>153</v>
      </c>
      <c r="I22" s="46" t="s">
        <v>153</v>
      </c>
      <c r="J22" s="24">
        <f>SUM(J23:J23)</f>
        <v>0</v>
      </c>
      <c r="K22" s="24">
        <f>SUM(K23:K23)</f>
        <v>0</v>
      </c>
      <c r="L22" s="24">
        <f>SUM(L23:L23)</f>
        <v>0</v>
      </c>
      <c r="M22" s="9" t="s">
        <v>118</v>
      </c>
      <c r="AI22" s="44" t="s">
        <v>118</v>
      </c>
      <c r="AS22" s="24">
        <f>SUM(AJ23:AJ23)</f>
        <v>0</v>
      </c>
      <c r="AT22" s="24">
        <f>SUM(AK23:AK23)</f>
        <v>0</v>
      </c>
      <c r="AU22" s="24">
        <f>SUM(AL23:AL23)</f>
        <v>0</v>
      </c>
    </row>
    <row r="23" spans="1:64" ht="15" customHeight="1">
      <c r="A23" s="2" t="s">
        <v>167</v>
      </c>
      <c r="B23" s="39" t="s">
        <v>114</v>
      </c>
      <c r="C23" s="56" t="s">
        <v>179</v>
      </c>
      <c r="D23" s="56"/>
      <c r="E23" s="56"/>
      <c r="F23" s="56"/>
      <c r="G23" s="39" t="s">
        <v>159</v>
      </c>
      <c r="H23" s="20">
        <v>23.1</v>
      </c>
      <c r="I23" s="20">
        <v>0</v>
      </c>
      <c r="J23" s="20">
        <f>H23*AO23</f>
        <v>0</v>
      </c>
      <c r="K23" s="20">
        <f>H23*AP23</f>
        <v>0</v>
      </c>
      <c r="L23" s="20">
        <f>H23*I23</f>
        <v>0</v>
      </c>
      <c r="M23" s="27" t="s">
        <v>143</v>
      </c>
      <c r="Z23" s="20">
        <f>IF(AQ23="5",BJ23,0)</f>
        <v>0</v>
      </c>
      <c r="AB23" s="20">
        <f>IF(AQ23="1",BH23,0)</f>
        <v>0</v>
      </c>
      <c r="AC23" s="20">
        <f>IF(AQ23="1",BI23,0)</f>
        <v>0</v>
      </c>
      <c r="AD23" s="20">
        <f>IF(AQ23="7",BH23,0)</f>
        <v>0</v>
      </c>
      <c r="AE23" s="20">
        <f>IF(AQ23="7",BI23,0)</f>
        <v>0</v>
      </c>
      <c r="AF23" s="20">
        <f>IF(AQ23="2",BH23,0)</f>
        <v>0</v>
      </c>
      <c r="AG23" s="20">
        <f>IF(AQ23="2",BI23,0)</f>
        <v>0</v>
      </c>
      <c r="AH23" s="20">
        <f>IF(AQ23="0",BJ23,0)</f>
        <v>0</v>
      </c>
      <c r="AI23" s="44" t="s">
        <v>118</v>
      </c>
      <c r="AJ23" s="20">
        <f>IF(AN23=0,L23,0)</f>
        <v>0</v>
      </c>
      <c r="AK23" s="20">
        <f>IF(AN23=15,L23,0)</f>
        <v>0</v>
      </c>
      <c r="AL23" s="20">
        <f>IF(AN23=21,L23,0)</f>
        <v>0</v>
      </c>
      <c r="AN23" s="20">
        <v>21</v>
      </c>
      <c r="AO23" s="20">
        <f>I23*0</f>
        <v>0</v>
      </c>
      <c r="AP23" s="20">
        <f>I23*(1-0)</f>
        <v>0</v>
      </c>
      <c r="AQ23" s="17" t="s">
        <v>166</v>
      </c>
      <c r="AV23" s="20">
        <f>AW23+AX23</f>
        <v>0</v>
      </c>
      <c r="AW23" s="20">
        <f>H23*AO23</f>
        <v>0</v>
      </c>
      <c r="AX23" s="20">
        <f>H23*AP23</f>
        <v>0</v>
      </c>
      <c r="AY23" s="17" t="s">
        <v>131</v>
      </c>
      <c r="AZ23" s="17" t="s">
        <v>25</v>
      </c>
      <c r="BA23" s="44" t="s">
        <v>129</v>
      </c>
      <c r="BC23" s="20">
        <f>AW23+AX23</f>
        <v>0</v>
      </c>
      <c r="BD23" s="20">
        <f>I23/(100-BE23)*100</f>
        <v>0</v>
      </c>
      <c r="BE23" s="20">
        <v>0</v>
      </c>
      <c r="BF23" s="20">
        <f>23</f>
        <v>23</v>
      </c>
      <c r="BH23" s="20">
        <f>H23*AO23</f>
        <v>0</v>
      </c>
      <c r="BI23" s="20">
        <f>H23*AP23</f>
        <v>0</v>
      </c>
      <c r="BJ23" s="20">
        <f>H23*I23</f>
        <v>0</v>
      </c>
      <c r="BK23" s="20"/>
      <c r="BL23" s="20">
        <v>19</v>
      </c>
    </row>
    <row r="24" spans="1:47" ht="15" customHeight="1">
      <c r="A24" s="18" t="s">
        <v>118</v>
      </c>
      <c r="B24" s="42" t="s">
        <v>105</v>
      </c>
      <c r="C24" s="72" t="s">
        <v>112</v>
      </c>
      <c r="D24" s="72"/>
      <c r="E24" s="72"/>
      <c r="F24" s="72"/>
      <c r="G24" s="46" t="s">
        <v>153</v>
      </c>
      <c r="H24" s="46" t="s">
        <v>153</v>
      </c>
      <c r="I24" s="46" t="s">
        <v>153</v>
      </c>
      <c r="J24" s="24">
        <f>SUM(J25:J26)</f>
        <v>0</v>
      </c>
      <c r="K24" s="24">
        <f>SUM(K25:K26)</f>
        <v>0</v>
      </c>
      <c r="L24" s="24">
        <f>SUM(L25:L26)</f>
        <v>0</v>
      </c>
      <c r="M24" s="9" t="s">
        <v>118</v>
      </c>
      <c r="AI24" s="44" t="s">
        <v>118</v>
      </c>
      <c r="AS24" s="24">
        <f>SUM(AJ25:AJ26)</f>
        <v>0</v>
      </c>
      <c r="AT24" s="24">
        <f>SUM(AK25:AK26)</f>
        <v>0</v>
      </c>
      <c r="AU24" s="24">
        <f>SUM(AL25:AL26)</f>
        <v>0</v>
      </c>
    </row>
    <row r="25" spans="1:64" ht="15" customHeight="1">
      <c r="A25" s="2" t="s">
        <v>134</v>
      </c>
      <c r="B25" s="39" t="s">
        <v>43</v>
      </c>
      <c r="C25" s="56" t="s">
        <v>52</v>
      </c>
      <c r="D25" s="56"/>
      <c r="E25" s="56"/>
      <c r="F25" s="56"/>
      <c r="G25" s="39" t="s">
        <v>163</v>
      </c>
      <c r="H25" s="20">
        <v>60</v>
      </c>
      <c r="I25" s="20">
        <v>0</v>
      </c>
      <c r="J25" s="20">
        <f>H25*AO25</f>
        <v>0</v>
      </c>
      <c r="K25" s="20">
        <f>H25*AP25</f>
        <v>0</v>
      </c>
      <c r="L25" s="20">
        <f>H25*I25</f>
        <v>0</v>
      </c>
      <c r="M25" s="27" t="s">
        <v>143</v>
      </c>
      <c r="Z25" s="20">
        <f>IF(AQ25="5",BJ25,0)</f>
        <v>0</v>
      </c>
      <c r="AB25" s="20">
        <f>IF(AQ25="1",BH25,0)</f>
        <v>0</v>
      </c>
      <c r="AC25" s="20">
        <f>IF(AQ25="1",BI25,0)</f>
        <v>0</v>
      </c>
      <c r="AD25" s="20">
        <f>IF(AQ25="7",BH25,0)</f>
        <v>0</v>
      </c>
      <c r="AE25" s="20">
        <f>IF(AQ25="7",BI25,0)</f>
        <v>0</v>
      </c>
      <c r="AF25" s="20">
        <f>IF(AQ25="2",BH25,0)</f>
        <v>0</v>
      </c>
      <c r="AG25" s="20">
        <f>IF(AQ25="2",BI25,0)</f>
        <v>0</v>
      </c>
      <c r="AH25" s="20">
        <f>IF(AQ25="0",BJ25,0)</f>
        <v>0</v>
      </c>
      <c r="AI25" s="44" t="s">
        <v>118</v>
      </c>
      <c r="AJ25" s="20">
        <f>IF(AN25=0,L25,0)</f>
        <v>0</v>
      </c>
      <c r="AK25" s="20">
        <f>IF(AN25=15,L25,0)</f>
        <v>0</v>
      </c>
      <c r="AL25" s="20">
        <f>IF(AN25=21,L25,0)</f>
        <v>0</v>
      </c>
      <c r="AN25" s="20">
        <v>21</v>
      </c>
      <c r="AO25" s="20">
        <f>I25*0.853459915611814</f>
        <v>0</v>
      </c>
      <c r="AP25" s="20">
        <f>I25*(1-0.853459915611814)</f>
        <v>0</v>
      </c>
      <c r="AQ25" s="17" t="s">
        <v>166</v>
      </c>
      <c r="AV25" s="20">
        <f>AW25+AX25</f>
        <v>0</v>
      </c>
      <c r="AW25" s="20">
        <f>H25*AO25</f>
        <v>0</v>
      </c>
      <c r="AX25" s="20">
        <f>H25*AP25</f>
        <v>0</v>
      </c>
      <c r="AY25" s="17" t="s">
        <v>175</v>
      </c>
      <c r="AZ25" s="17" t="s">
        <v>102</v>
      </c>
      <c r="BA25" s="44" t="s">
        <v>129</v>
      </c>
      <c r="BC25" s="20">
        <f>AW25+AX25</f>
        <v>0</v>
      </c>
      <c r="BD25" s="20">
        <f>I25/(100-BE25)*100</f>
        <v>0</v>
      </c>
      <c r="BE25" s="20">
        <v>0</v>
      </c>
      <c r="BF25" s="20">
        <f>25</f>
        <v>25</v>
      </c>
      <c r="BH25" s="20">
        <f>H25*AO25</f>
        <v>0</v>
      </c>
      <c r="BI25" s="20">
        <f>H25*AP25</f>
        <v>0</v>
      </c>
      <c r="BJ25" s="20">
        <f>H25*I25</f>
        <v>0</v>
      </c>
      <c r="BK25" s="20"/>
      <c r="BL25" s="20">
        <v>56</v>
      </c>
    </row>
    <row r="26" spans="1:64" ht="15" customHeight="1">
      <c r="A26" s="2" t="s">
        <v>73</v>
      </c>
      <c r="B26" s="39" t="s">
        <v>97</v>
      </c>
      <c r="C26" s="56" t="s">
        <v>27</v>
      </c>
      <c r="D26" s="56"/>
      <c r="E26" s="56"/>
      <c r="F26" s="56"/>
      <c r="G26" s="39" t="s">
        <v>163</v>
      </c>
      <c r="H26" s="20">
        <v>60</v>
      </c>
      <c r="I26" s="20">
        <v>0</v>
      </c>
      <c r="J26" s="20">
        <f>H26*AO26</f>
        <v>0</v>
      </c>
      <c r="K26" s="20">
        <f>H26*AP26</f>
        <v>0</v>
      </c>
      <c r="L26" s="20">
        <f>H26*I26</f>
        <v>0</v>
      </c>
      <c r="M26" s="27" t="s">
        <v>143</v>
      </c>
      <c r="Z26" s="20">
        <f>IF(AQ26="5",BJ26,0)</f>
        <v>0</v>
      </c>
      <c r="AB26" s="20">
        <f>IF(AQ26="1",BH26,0)</f>
        <v>0</v>
      </c>
      <c r="AC26" s="20">
        <f>IF(AQ26="1",BI26,0)</f>
        <v>0</v>
      </c>
      <c r="AD26" s="20">
        <f>IF(AQ26="7",BH26,0)</f>
        <v>0</v>
      </c>
      <c r="AE26" s="20">
        <f>IF(AQ26="7",BI26,0)</f>
        <v>0</v>
      </c>
      <c r="AF26" s="20">
        <f>IF(AQ26="2",BH26,0)</f>
        <v>0</v>
      </c>
      <c r="AG26" s="20">
        <f>IF(AQ26="2",BI26,0)</f>
        <v>0</v>
      </c>
      <c r="AH26" s="20">
        <f>IF(AQ26="0",BJ26,0)</f>
        <v>0</v>
      </c>
      <c r="AI26" s="44" t="s">
        <v>118</v>
      </c>
      <c r="AJ26" s="20">
        <f>IF(AN26=0,L26,0)</f>
        <v>0</v>
      </c>
      <c r="AK26" s="20">
        <f>IF(AN26=15,L26,0)</f>
        <v>0</v>
      </c>
      <c r="AL26" s="20">
        <f>IF(AN26=21,L26,0)</f>
        <v>0</v>
      </c>
      <c r="AN26" s="20">
        <v>21</v>
      </c>
      <c r="AO26" s="20">
        <f>I26*0.692065663474692</f>
        <v>0</v>
      </c>
      <c r="AP26" s="20">
        <f>I26*(1-0.692065663474692)</f>
        <v>0</v>
      </c>
      <c r="AQ26" s="17" t="s">
        <v>166</v>
      </c>
      <c r="AV26" s="20">
        <f>AW26+AX26</f>
        <v>0</v>
      </c>
      <c r="AW26" s="20">
        <f>H26*AO26</f>
        <v>0</v>
      </c>
      <c r="AX26" s="20">
        <f>H26*AP26</f>
        <v>0</v>
      </c>
      <c r="AY26" s="17" t="s">
        <v>175</v>
      </c>
      <c r="AZ26" s="17" t="s">
        <v>102</v>
      </c>
      <c r="BA26" s="44" t="s">
        <v>129</v>
      </c>
      <c r="BC26" s="20">
        <f>AW26+AX26</f>
        <v>0</v>
      </c>
      <c r="BD26" s="20">
        <f>I26/(100-BE26)*100</f>
        <v>0</v>
      </c>
      <c r="BE26" s="20">
        <v>0</v>
      </c>
      <c r="BF26" s="20">
        <f>26</f>
        <v>26</v>
      </c>
      <c r="BH26" s="20">
        <f>H26*AO26</f>
        <v>0</v>
      </c>
      <c r="BI26" s="20">
        <f>H26*AP26</f>
        <v>0</v>
      </c>
      <c r="BJ26" s="20">
        <f>H26*I26</f>
        <v>0</v>
      </c>
      <c r="BK26" s="20"/>
      <c r="BL26" s="20">
        <v>56</v>
      </c>
    </row>
    <row r="27" spans="1:47" ht="15" customHeight="1">
      <c r="A27" s="18" t="s">
        <v>118</v>
      </c>
      <c r="B27" s="42" t="s">
        <v>99</v>
      </c>
      <c r="C27" s="72" t="s">
        <v>182</v>
      </c>
      <c r="D27" s="72"/>
      <c r="E27" s="72"/>
      <c r="F27" s="72"/>
      <c r="G27" s="46" t="s">
        <v>153</v>
      </c>
      <c r="H27" s="46" t="s">
        <v>153</v>
      </c>
      <c r="I27" s="46" t="s">
        <v>153</v>
      </c>
      <c r="J27" s="24">
        <f>SUM(J28:J29)</f>
        <v>0</v>
      </c>
      <c r="K27" s="24">
        <f>SUM(K28:K29)</f>
        <v>0</v>
      </c>
      <c r="L27" s="24">
        <f>SUM(L28:L29)</f>
        <v>0</v>
      </c>
      <c r="M27" s="9" t="s">
        <v>118</v>
      </c>
      <c r="AI27" s="44" t="s">
        <v>118</v>
      </c>
      <c r="AS27" s="24">
        <f>SUM(AJ28:AJ29)</f>
        <v>0</v>
      </c>
      <c r="AT27" s="24">
        <f>SUM(AK28:AK29)</f>
        <v>0</v>
      </c>
      <c r="AU27" s="24">
        <f>SUM(AL28:AL29)</f>
        <v>0</v>
      </c>
    </row>
    <row r="28" spans="1:64" ht="15" customHeight="1">
      <c r="A28" s="2" t="s">
        <v>98</v>
      </c>
      <c r="B28" s="39" t="s">
        <v>128</v>
      </c>
      <c r="C28" s="56" t="s">
        <v>92</v>
      </c>
      <c r="D28" s="56"/>
      <c r="E28" s="56"/>
      <c r="F28" s="56"/>
      <c r="G28" s="39" t="s">
        <v>163</v>
      </c>
      <c r="H28" s="20">
        <v>80</v>
      </c>
      <c r="I28" s="20">
        <v>0</v>
      </c>
      <c r="J28" s="20">
        <f>H28*AO28</f>
        <v>0</v>
      </c>
      <c r="K28" s="20">
        <f>H28*AP28</f>
        <v>0</v>
      </c>
      <c r="L28" s="20">
        <f>H28*I28</f>
        <v>0</v>
      </c>
      <c r="M28" s="27" t="s">
        <v>143</v>
      </c>
      <c r="Z28" s="20">
        <f>IF(AQ28="5",BJ28,0)</f>
        <v>0</v>
      </c>
      <c r="AB28" s="20">
        <f>IF(AQ28="1",BH28,0)</f>
        <v>0</v>
      </c>
      <c r="AC28" s="20">
        <f>IF(AQ28="1",BI28,0)</f>
        <v>0</v>
      </c>
      <c r="AD28" s="20">
        <f>IF(AQ28="7",BH28,0)</f>
        <v>0</v>
      </c>
      <c r="AE28" s="20">
        <f>IF(AQ28="7",BI28,0)</f>
        <v>0</v>
      </c>
      <c r="AF28" s="20">
        <f>IF(AQ28="2",BH28,0)</f>
        <v>0</v>
      </c>
      <c r="AG28" s="20">
        <f>IF(AQ28="2",BI28,0)</f>
        <v>0</v>
      </c>
      <c r="AH28" s="20">
        <f>IF(AQ28="0",BJ28,0)</f>
        <v>0</v>
      </c>
      <c r="AI28" s="44" t="s">
        <v>118</v>
      </c>
      <c r="AJ28" s="20">
        <f>IF(AN28=0,L28,0)</f>
        <v>0</v>
      </c>
      <c r="AK28" s="20">
        <f>IF(AN28=15,L28,0)</f>
        <v>0</v>
      </c>
      <c r="AL28" s="20">
        <f>IF(AN28=21,L28,0)</f>
        <v>0</v>
      </c>
      <c r="AN28" s="20">
        <v>21</v>
      </c>
      <c r="AO28" s="20">
        <f>I28*0.953000269082429</f>
        <v>0</v>
      </c>
      <c r="AP28" s="20">
        <f>I28*(1-0.953000269082429)</f>
        <v>0</v>
      </c>
      <c r="AQ28" s="17" t="s">
        <v>166</v>
      </c>
      <c r="AV28" s="20">
        <f>AW28+AX28</f>
        <v>0</v>
      </c>
      <c r="AW28" s="20">
        <f>H28*AO28</f>
        <v>0</v>
      </c>
      <c r="AX28" s="20">
        <f>H28*AP28</f>
        <v>0</v>
      </c>
      <c r="AY28" s="17" t="s">
        <v>85</v>
      </c>
      <c r="AZ28" s="17" t="s">
        <v>102</v>
      </c>
      <c r="BA28" s="44" t="s">
        <v>129</v>
      </c>
      <c r="BC28" s="20">
        <f>AW28+AX28</f>
        <v>0</v>
      </c>
      <c r="BD28" s="20">
        <f>I28/(100-BE28)*100</f>
        <v>0</v>
      </c>
      <c r="BE28" s="20">
        <v>0</v>
      </c>
      <c r="BF28" s="20">
        <f>28</f>
        <v>28</v>
      </c>
      <c r="BH28" s="20">
        <f>H28*AO28</f>
        <v>0</v>
      </c>
      <c r="BI28" s="20">
        <f>H28*AP28</f>
        <v>0</v>
      </c>
      <c r="BJ28" s="20">
        <f>H28*I28</f>
        <v>0</v>
      </c>
      <c r="BK28" s="20"/>
      <c r="BL28" s="20">
        <v>58</v>
      </c>
    </row>
    <row r="29" spans="1:64" ht="15" customHeight="1">
      <c r="A29" s="2" t="s">
        <v>142</v>
      </c>
      <c r="B29" s="39" t="s">
        <v>40</v>
      </c>
      <c r="C29" s="56" t="s">
        <v>79</v>
      </c>
      <c r="D29" s="56"/>
      <c r="E29" s="56"/>
      <c r="F29" s="56"/>
      <c r="G29" s="39" t="s">
        <v>163</v>
      </c>
      <c r="H29" s="20">
        <v>80</v>
      </c>
      <c r="I29" s="20">
        <v>0</v>
      </c>
      <c r="J29" s="20">
        <f>H29*AO29</f>
        <v>0</v>
      </c>
      <c r="K29" s="20">
        <f>H29*AP29</f>
        <v>0</v>
      </c>
      <c r="L29" s="20">
        <f>H29*I29</f>
        <v>0</v>
      </c>
      <c r="M29" s="27" t="s">
        <v>143</v>
      </c>
      <c r="Z29" s="20">
        <f>IF(AQ29="5",BJ29,0)</f>
        <v>0</v>
      </c>
      <c r="AB29" s="20">
        <f>IF(AQ29="1",BH29,0)</f>
        <v>0</v>
      </c>
      <c r="AC29" s="20">
        <f>IF(AQ29="1",BI29,0)</f>
        <v>0</v>
      </c>
      <c r="AD29" s="20">
        <f>IF(AQ29="7",BH29,0)</f>
        <v>0</v>
      </c>
      <c r="AE29" s="20">
        <f>IF(AQ29="7",BI29,0)</f>
        <v>0</v>
      </c>
      <c r="AF29" s="20">
        <f>IF(AQ29="2",BH29,0)</f>
        <v>0</v>
      </c>
      <c r="AG29" s="20">
        <f>IF(AQ29="2",BI29,0)</f>
        <v>0</v>
      </c>
      <c r="AH29" s="20">
        <f>IF(AQ29="0",BJ29,0)</f>
        <v>0</v>
      </c>
      <c r="AI29" s="44" t="s">
        <v>118</v>
      </c>
      <c r="AJ29" s="20">
        <f>IF(AN29=0,L29,0)</f>
        <v>0</v>
      </c>
      <c r="AK29" s="20">
        <f>IF(AN29=15,L29,0)</f>
        <v>0</v>
      </c>
      <c r="AL29" s="20">
        <f>IF(AN29=21,L29,0)</f>
        <v>0</v>
      </c>
      <c r="AN29" s="20">
        <v>21</v>
      </c>
      <c r="AO29" s="20">
        <f>I29*0.992426220945417</f>
        <v>0</v>
      </c>
      <c r="AP29" s="20">
        <f>I29*(1-0.992426220945417)</f>
        <v>0</v>
      </c>
      <c r="AQ29" s="17" t="s">
        <v>166</v>
      </c>
      <c r="AV29" s="20">
        <f>AW29+AX29</f>
        <v>0</v>
      </c>
      <c r="AW29" s="20">
        <f>H29*AO29</f>
        <v>0</v>
      </c>
      <c r="AX29" s="20">
        <f>H29*AP29</f>
        <v>0</v>
      </c>
      <c r="AY29" s="17" t="s">
        <v>85</v>
      </c>
      <c r="AZ29" s="17" t="s">
        <v>102</v>
      </c>
      <c r="BA29" s="44" t="s">
        <v>129</v>
      </c>
      <c r="BC29" s="20">
        <f>AW29+AX29</f>
        <v>0</v>
      </c>
      <c r="BD29" s="20">
        <f>I29/(100-BE29)*100</f>
        <v>0</v>
      </c>
      <c r="BE29" s="20">
        <v>0</v>
      </c>
      <c r="BF29" s="20">
        <f>29</f>
        <v>29</v>
      </c>
      <c r="BH29" s="20">
        <f>H29*AO29</f>
        <v>0</v>
      </c>
      <c r="BI29" s="20">
        <f>H29*AP29</f>
        <v>0</v>
      </c>
      <c r="BJ29" s="20">
        <f>H29*I29</f>
        <v>0</v>
      </c>
      <c r="BK29" s="20"/>
      <c r="BL29" s="20">
        <v>58</v>
      </c>
    </row>
    <row r="30" spans="1:47" ht="15" customHeight="1">
      <c r="A30" s="18" t="s">
        <v>118</v>
      </c>
      <c r="B30" s="42" t="s">
        <v>8</v>
      </c>
      <c r="C30" s="72" t="s">
        <v>69</v>
      </c>
      <c r="D30" s="72"/>
      <c r="E30" s="72"/>
      <c r="F30" s="72"/>
      <c r="G30" s="46" t="s">
        <v>153</v>
      </c>
      <c r="H30" s="46" t="s">
        <v>153</v>
      </c>
      <c r="I30" s="46" t="s">
        <v>153</v>
      </c>
      <c r="J30" s="24">
        <f>SUM(J31:J34)</f>
        <v>0</v>
      </c>
      <c r="K30" s="24">
        <f>SUM(K31:K34)</f>
        <v>0</v>
      </c>
      <c r="L30" s="24">
        <f>SUM(L31:L34)</f>
        <v>0</v>
      </c>
      <c r="M30" s="9" t="s">
        <v>118</v>
      </c>
      <c r="AI30" s="44" t="s">
        <v>118</v>
      </c>
      <c r="AS30" s="24">
        <f>SUM(AJ31:AJ34)</f>
        <v>0</v>
      </c>
      <c r="AT30" s="24">
        <f>SUM(AK31:AK34)</f>
        <v>0</v>
      </c>
      <c r="AU30" s="24">
        <f>SUM(AL31:AL34)</f>
        <v>0</v>
      </c>
    </row>
    <row r="31" spans="1:64" ht="15" customHeight="1">
      <c r="A31" s="2" t="s">
        <v>121</v>
      </c>
      <c r="B31" s="39" t="s">
        <v>62</v>
      </c>
      <c r="C31" s="56" t="s">
        <v>58</v>
      </c>
      <c r="D31" s="56"/>
      <c r="E31" s="56"/>
      <c r="F31" s="56"/>
      <c r="G31" s="39" t="s">
        <v>139</v>
      </c>
      <c r="H31" s="20">
        <v>32</v>
      </c>
      <c r="I31" s="20">
        <v>0</v>
      </c>
      <c r="J31" s="20">
        <f>H31*AO31</f>
        <v>0</v>
      </c>
      <c r="K31" s="20">
        <f>H31*AP31</f>
        <v>0</v>
      </c>
      <c r="L31" s="20">
        <f>H31*I31</f>
        <v>0</v>
      </c>
      <c r="M31" s="27" t="s">
        <v>143</v>
      </c>
      <c r="Z31" s="20">
        <f>IF(AQ31="5",BJ31,0)</f>
        <v>0</v>
      </c>
      <c r="AB31" s="20">
        <f>IF(AQ31="1",BH31,0)</f>
        <v>0</v>
      </c>
      <c r="AC31" s="20">
        <f>IF(AQ31="1",BI31,0)</f>
        <v>0</v>
      </c>
      <c r="AD31" s="20">
        <f>IF(AQ31="7",BH31,0)</f>
        <v>0</v>
      </c>
      <c r="AE31" s="20">
        <f>IF(AQ31="7",BI31,0)</f>
        <v>0</v>
      </c>
      <c r="AF31" s="20">
        <f>IF(AQ31="2",BH31,0)</f>
        <v>0</v>
      </c>
      <c r="AG31" s="20">
        <f>IF(AQ31="2",BI31,0)</f>
        <v>0</v>
      </c>
      <c r="AH31" s="20">
        <f>IF(AQ31="0",BJ31,0)</f>
        <v>0</v>
      </c>
      <c r="AI31" s="44" t="s">
        <v>118</v>
      </c>
      <c r="AJ31" s="20">
        <f>IF(AN31=0,L31,0)</f>
        <v>0</v>
      </c>
      <c r="AK31" s="20">
        <f>IF(AN31=15,L31,0)</f>
        <v>0</v>
      </c>
      <c r="AL31" s="20">
        <f>IF(AN31=21,L31,0)</f>
        <v>0</v>
      </c>
      <c r="AN31" s="20">
        <v>21</v>
      </c>
      <c r="AO31" s="20">
        <f>I31*0.595511363636364</f>
        <v>0</v>
      </c>
      <c r="AP31" s="20">
        <f>I31*(1-0.595511363636364)</f>
        <v>0</v>
      </c>
      <c r="AQ31" s="17" t="s">
        <v>166</v>
      </c>
      <c r="AV31" s="20">
        <f>AW31+AX31</f>
        <v>0</v>
      </c>
      <c r="AW31" s="20">
        <f>H31*AO31</f>
        <v>0</v>
      </c>
      <c r="AX31" s="20">
        <f>H31*AP31</f>
        <v>0</v>
      </c>
      <c r="AY31" s="17" t="s">
        <v>162</v>
      </c>
      <c r="AZ31" s="17" t="s">
        <v>68</v>
      </c>
      <c r="BA31" s="44" t="s">
        <v>129</v>
      </c>
      <c r="BC31" s="20">
        <f>AW31+AX31</f>
        <v>0</v>
      </c>
      <c r="BD31" s="20">
        <f>I31/(100-BE31)*100</f>
        <v>0</v>
      </c>
      <c r="BE31" s="20">
        <v>0</v>
      </c>
      <c r="BF31" s="20">
        <f>31</f>
        <v>31</v>
      </c>
      <c r="BH31" s="20">
        <f>H31*AO31</f>
        <v>0</v>
      </c>
      <c r="BI31" s="20">
        <f>H31*AP31</f>
        <v>0</v>
      </c>
      <c r="BJ31" s="20">
        <f>H31*I31</f>
        <v>0</v>
      </c>
      <c r="BK31" s="20"/>
      <c r="BL31" s="20">
        <v>91</v>
      </c>
    </row>
    <row r="32" spans="1:64" ht="15" customHeight="1">
      <c r="A32" s="2" t="s">
        <v>57</v>
      </c>
      <c r="B32" s="39" t="s">
        <v>178</v>
      </c>
      <c r="C32" s="56" t="s">
        <v>176</v>
      </c>
      <c r="D32" s="56"/>
      <c r="E32" s="56"/>
      <c r="F32" s="56"/>
      <c r="G32" s="39" t="s">
        <v>47</v>
      </c>
      <c r="H32" s="20">
        <v>64</v>
      </c>
      <c r="I32" s="20">
        <v>0</v>
      </c>
      <c r="J32" s="20">
        <f>H32*AO32</f>
        <v>0</v>
      </c>
      <c r="K32" s="20">
        <f>H32*AP32</f>
        <v>0</v>
      </c>
      <c r="L32" s="20">
        <f>H32*I32</f>
        <v>0</v>
      </c>
      <c r="M32" s="27" t="s">
        <v>143</v>
      </c>
      <c r="Z32" s="20">
        <f>IF(AQ32="5",BJ32,0)</f>
        <v>0</v>
      </c>
      <c r="AB32" s="20">
        <f>IF(AQ32="1",BH32,0)</f>
        <v>0</v>
      </c>
      <c r="AC32" s="20">
        <f>IF(AQ32="1",BI32,0)</f>
        <v>0</v>
      </c>
      <c r="AD32" s="20">
        <f>IF(AQ32="7",BH32,0)</f>
        <v>0</v>
      </c>
      <c r="AE32" s="20">
        <f>IF(AQ32="7",BI32,0)</f>
        <v>0</v>
      </c>
      <c r="AF32" s="20">
        <f>IF(AQ32="2",BH32,0)</f>
        <v>0</v>
      </c>
      <c r="AG32" s="20">
        <f>IF(AQ32="2",BI32,0)</f>
        <v>0</v>
      </c>
      <c r="AH32" s="20">
        <f>IF(AQ32="0",BJ32,0)</f>
        <v>0</v>
      </c>
      <c r="AI32" s="44" t="s">
        <v>118</v>
      </c>
      <c r="AJ32" s="20">
        <f>IF(AN32=0,L32,0)</f>
        <v>0</v>
      </c>
      <c r="AK32" s="20">
        <f>IF(AN32=15,L32,0)</f>
        <v>0</v>
      </c>
      <c r="AL32" s="20">
        <f>IF(AN32=21,L32,0)</f>
        <v>0</v>
      </c>
      <c r="AN32" s="20">
        <v>21</v>
      </c>
      <c r="AO32" s="20">
        <f>I32*1</f>
        <v>0</v>
      </c>
      <c r="AP32" s="20">
        <f>I32*(1-1)</f>
        <v>0</v>
      </c>
      <c r="AQ32" s="17" t="s">
        <v>166</v>
      </c>
      <c r="AV32" s="20">
        <f>AW32+AX32</f>
        <v>0</v>
      </c>
      <c r="AW32" s="20">
        <f>H32*AO32</f>
        <v>0</v>
      </c>
      <c r="AX32" s="20">
        <f>H32*AP32</f>
        <v>0</v>
      </c>
      <c r="AY32" s="17" t="s">
        <v>162</v>
      </c>
      <c r="AZ32" s="17" t="s">
        <v>68</v>
      </c>
      <c r="BA32" s="44" t="s">
        <v>129</v>
      </c>
      <c r="BC32" s="20">
        <f>AW32+AX32</f>
        <v>0</v>
      </c>
      <c r="BD32" s="20">
        <f>I32/(100-BE32)*100</f>
        <v>0</v>
      </c>
      <c r="BE32" s="20">
        <v>0</v>
      </c>
      <c r="BF32" s="20">
        <f>32</f>
        <v>32</v>
      </c>
      <c r="BH32" s="20">
        <f>H32*AO32</f>
        <v>0</v>
      </c>
      <c r="BI32" s="20">
        <f>H32*AP32</f>
        <v>0</v>
      </c>
      <c r="BJ32" s="20">
        <f>H32*I32</f>
        <v>0</v>
      </c>
      <c r="BK32" s="20"/>
      <c r="BL32" s="20">
        <v>91</v>
      </c>
    </row>
    <row r="33" spans="1:64" ht="15" customHeight="1">
      <c r="A33" s="2" t="s">
        <v>100</v>
      </c>
      <c r="B33" s="39" t="s">
        <v>6</v>
      </c>
      <c r="C33" s="56" t="s">
        <v>126</v>
      </c>
      <c r="D33" s="56"/>
      <c r="E33" s="56"/>
      <c r="F33" s="56"/>
      <c r="G33" s="39" t="s">
        <v>13</v>
      </c>
      <c r="H33" s="20">
        <v>7</v>
      </c>
      <c r="I33" s="20">
        <v>0</v>
      </c>
      <c r="J33" s="20">
        <f>H33*AO33</f>
        <v>0</v>
      </c>
      <c r="K33" s="20">
        <f>H33*AP33</f>
        <v>0</v>
      </c>
      <c r="L33" s="20">
        <f>H33*I33</f>
        <v>0</v>
      </c>
      <c r="M33" s="27" t="s">
        <v>143</v>
      </c>
      <c r="Z33" s="20">
        <f>IF(AQ33="5",BJ33,0)</f>
        <v>0</v>
      </c>
      <c r="AB33" s="20">
        <f>IF(AQ33="1",BH33,0)</f>
        <v>0</v>
      </c>
      <c r="AC33" s="20">
        <f>IF(AQ33="1",BI33,0)</f>
        <v>0</v>
      </c>
      <c r="AD33" s="20">
        <f>IF(AQ33="7",BH33,0)</f>
        <v>0</v>
      </c>
      <c r="AE33" s="20">
        <f>IF(AQ33="7",BI33,0)</f>
        <v>0</v>
      </c>
      <c r="AF33" s="20">
        <f>IF(AQ33="2",BH33,0)</f>
        <v>0</v>
      </c>
      <c r="AG33" s="20">
        <f>IF(AQ33="2",BI33,0)</f>
        <v>0</v>
      </c>
      <c r="AH33" s="20">
        <f>IF(AQ33="0",BJ33,0)</f>
        <v>0</v>
      </c>
      <c r="AI33" s="44" t="s">
        <v>118</v>
      </c>
      <c r="AJ33" s="20">
        <f>IF(AN33=0,L33,0)</f>
        <v>0</v>
      </c>
      <c r="AK33" s="20">
        <f>IF(AN33=15,L33,0)</f>
        <v>0</v>
      </c>
      <c r="AL33" s="20">
        <f>IF(AN33=21,L33,0)</f>
        <v>0</v>
      </c>
      <c r="AN33" s="20">
        <v>21</v>
      </c>
      <c r="AO33" s="20">
        <f>I33*0.973393268401513</f>
        <v>0</v>
      </c>
      <c r="AP33" s="20">
        <f>I33*(1-0.973393268401513)</f>
        <v>0</v>
      </c>
      <c r="AQ33" s="17" t="s">
        <v>166</v>
      </c>
      <c r="AV33" s="20">
        <f>AW33+AX33</f>
        <v>0</v>
      </c>
      <c r="AW33" s="20">
        <f>H33*AO33</f>
        <v>0</v>
      </c>
      <c r="AX33" s="20">
        <f>H33*AP33</f>
        <v>0</v>
      </c>
      <c r="AY33" s="17" t="s">
        <v>162</v>
      </c>
      <c r="AZ33" s="17" t="s">
        <v>68</v>
      </c>
      <c r="BA33" s="44" t="s">
        <v>129</v>
      </c>
      <c r="BC33" s="20">
        <f>AW33+AX33</f>
        <v>0</v>
      </c>
      <c r="BD33" s="20">
        <f>I33/(100-BE33)*100</f>
        <v>0</v>
      </c>
      <c r="BE33" s="20">
        <v>0</v>
      </c>
      <c r="BF33" s="20">
        <f>33</f>
        <v>33</v>
      </c>
      <c r="BH33" s="20">
        <f>H33*AO33</f>
        <v>0</v>
      </c>
      <c r="BI33" s="20">
        <f>H33*AP33</f>
        <v>0</v>
      </c>
      <c r="BJ33" s="20">
        <f>H33*I33</f>
        <v>0</v>
      </c>
      <c r="BK33" s="20"/>
      <c r="BL33" s="20">
        <v>91</v>
      </c>
    </row>
    <row r="34" spans="1:64" ht="15" customHeight="1">
      <c r="A34" s="2" t="s">
        <v>74</v>
      </c>
      <c r="B34" s="39" t="s">
        <v>54</v>
      </c>
      <c r="C34" s="56" t="s">
        <v>155</v>
      </c>
      <c r="D34" s="56"/>
      <c r="E34" s="56"/>
      <c r="F34" s="56"/>
      <c r="G34" s="39" t="s">
        <v>81</v>
      </c>
      <c r="H34" s="20">
        <v>39.0254</v>
      </c>
      <c r="I34" s="20">
        <v>0</v>
      </c>
      <c r="J34" s="20">
        <f>H34*AO34</f>
        <v>0</v>
      </c>
      <c r="K34" s="20">
        <f>H34*AP34</f>
        <v>0</v>
      </c>
      <c r="L34" s="20">
        <f>H34*I34</f>
        <v>0</v>
      </c>
      <c r="M34" s="27" t="s">
        <v>143</v>
      </c>
      <c r="Z34" s="20">
        <f>IF(AQ34="5",BJ34,0)</f>
        <v>0</v>
      </c>
      <c r="AB34" s="20">
        <f>IF(AQ34="1",BH34,0)</f>
        <v>0</v>
      </c>
      <c r="AC34" s="20">
        <f>IF(AQ34="1",BI34,0)</f>
        <v>0</v>
      </c>
      <c r="AD34" s="20">
        <f>IF(AQ34="7",BH34,0)</f>
        <v>0</v>
      </c>
      <c r="AE34" s="20">
        <f>IF(AQ34="7",BI34,0)</f>
        <v>0</v>
      </c>
      <c r="AF34" s="20">
        <f>IF(AQ34="2",BH34,0)</f>
        <v>0</v>
      </c>
      <c r="AG34" s="20">
        <f>IF(AQ34="2",BI34,0)</f>
        <v>0</v>
      </c>
      <c r="AH34" s="20">
        <f>IF(AQ34="0",BJ34,0)</f>
        <v>0</v>
      </c>
      <c r="AI34" s="44" t="s">
        <v>118</v>
      </c>
      <c r="AJ34" s="20">
        <f>IF(AN34=0,L34,0)</f>
        <v>0</v>
      </c>
      <c r="AK34" s="20">
        <f>IF(AN34=15,L34,0)</f>
        <v>0</v>
      </c>
      <c r="AL34" s="20">
        <f>IF(AN34=21,L34,0)</f>
        <v>0</v>
      </c>
      <c r="AN34" s="20">
        <v>21</v>
      </c>
      <c r="AO34" s="20">
        <f>I34*0</f>
        <v>0</v>
      </c>
      <c r="AP34" s="20">
        <f>I34*(1-0)</f>
        <v>0</v>
      </c>
      <c r="AQ34" s="17" t="s">
        <v>93</v>
      </c>
      <c r="AV34" s="20">
        <f>AW34+AX34</f>
        <v>0</v>
      </c>
      <c r="AW34" s="20">
        <f>H34*AO34</f>
        <v>0</v>
      </c>
      <c r="AX34" s="20">
        <f>H34*AP34</f>
        <v>0</v>
      </c>
      <c r="AY34" s="17" t="s">
        <v>162</v>
      </c>
      <c r="AZ34" s="17" t="s">
        <v>68</v>
      </c>
      <c r="BA34" s="44" t="s">
        <v>129</v>
      </c>
      <c r="BC34" s="20">
        <f>AW34+AX34</f>
        <v>0</v>
      </c>
      <c r="BD34" s="20">
        <f>I34/(100-BE34)*100</f>
        <v>0</v>
      </c>
      <c r="BE34" s="20">
        <v>0</v>
      </c>
      <c r="BF34" s="20">
        <f>34</f>
        <v>34</v>
      </c>
      <c r="BH34" s="20">
        <f>H34*AO34</f>
        <v>0</v>
      </c>
      <c r="BI34" s="20">
        <f>H34*AP34</f>
        <v>0</v>
      </c>
      <c r="BJ34" s="20">
        <f>H34*I34</f>
        <v>0</v>
      </c>
      <c r="BK34" s="20"/>
      <c r="BL34" s="20">
        <v>91</v>
      </c>
    </row>
    <row r="35" spans="1:47" ht="15" customHeight="1">
      <c r="A35" s="18" t="s">
        <v>118</v>
      </c>
      <c r="B35" s="42" t="s">
        <v>4</v>
      </c>
      <c r="C35" s="72" t="s">
        <v>63</v>
      </c>
      <c r="D35" s="72"/>
      <c r="E35" s="72"/>
      <c r="F35" s="72"/>
      <c r="G35" s="46" t="s">
        <v>153</v>
      </c>
      <c r="H35" s="46" t="s">
        <v>153</v>
      </c>
      <c r="I35" s="46" t="s">
        <v>153</v>
      </c>
      <c r="J35" s="24">
        <f>SUM(J36:J36)</f>
        <v>0</v>
      </c>
      <c r="K35" s="24">
        <f>SUM(K36:K36)</f>
        <v>0</v>
      </c>
      <c r="L35" s="24">
        <f>SUM(L36:L36)</f>
        <v>0</v>
      </c>
      <c r="M35" s="9" t="s">
        <v>118</v>
      </c>
      <c r="AI35" s="44" t="s">
        <v>118</v>
      </c>
      <c r="AS35" s="24">
        <f>SUM(AJ36:AJ36)</f>
        <v>0</v>
      </c>
      <c r="AT35" s="24">
        <f>SUM(AK36:AK36)</f>
        <v>0</v>
      </c>
      <c r="AU35" s="24">
        <f>SUM(AL36:AL36)</f>
        <v>0</v>
      </c>
    </row>
    <row r="36" spans="1:64" ht="15" customHeight="1">
      <c r="A36" s="34" t="s">
        <v>20</v>
      </c>
      <c r="B36" s="50" t="s">
        <v>78</v>
      </c>
      <c r="C36" s="73" t="s">
        <v>67</v>
      </c>
      <c r="D36" s="73"/>
      <c r="E36" s="73"/>
      <c r="F36" s="73"/>
      <c r="G36" s="50" t="s">
        <v>13</v>
      </c>
      <c r="H36" s="45">
        <v>4</v>
      </c>
      <c r="I36" s="45">
        <v>0</v>
      </c>
      <c r="J36" s="45">
        <f>H36*AO36</f>
        <v>0</v>
      </c>
      <c r="K36" s="45">
        <f>H36*AP36</f>
        <v>0</v>
      </c>
      <c r="L36" s="45">
        <f>H36*I36</f>
        <v>0</v>
      </c>
      <c r="M36" s="41" t="s">
        <v>143</v>
      </c>
      <c r="Z36" s="20">
        <f>IF(AQ36="5",BJ36,0)</f>
        <v>0</v>
      </c>
      <c r="AB36" s="20">
        <f>IF(AQ36="1",BH36,0)</f>
        <v>0</v>
      </c>
      <c r="AC36" s="20">
        <f>IF(AQ36="1",BI36,0)</f>
        <v>0</v>
      </c>
      <c r="AD36" s="20">
        <f>IF(AQ36="7",BH36,0)</f>
        <v>0</v>
      </c>
      <c r="AE36" s="20">
        <f>IF(AQ36="7",BI36,0)</f>
        <v>0</v>
      </c>
      <c r="AF36" s="20">
        <f>IF(AQ36="2",BH36,0)</f>
        <v>0</v>
      </c>
      <c r="AG36" s="20">
        <f>IF(AQ36="2",BI36,0)</f>
        <v>0</v>
      </c>
      <c r="AH36" s="20">
        <f>IF(AQ36="0",BJ36,0)</f>
        <v>0</v>
      </c>
      <c r="AI36" s="44" t="s">
        <v>118</v>
      </c>
      <c r="AJ36" s="20">
        <f>IF(AN36=0,L36,0)</f>
        <v>0</v>
      </c>
      <c r="AK36" s="20">
        <f>IF(AN36=15,L36,0)</f>
        <v>0</v>
      </c>
      <c r="AL36" s="20">
        <f>IF(AN36=21,L36,0)</f>
        <v>0</v>
      </c>
      <c r="AN36" s="20">
        <v>21</v>
      </c>
      <c r="AO36" s="20">
        <f>I36*0.972762645914397</f>
        <v>0</v>
      </c>
      <c r="AP36" s="20">
        <f>I36*(1-0.972762645914397)</f>
        <v>0</v>
      </c>
      <c r="AQ36" s="17" t="s">
        <v>93</v>
      </c>
      <c r="AV36" s="20">
        <f>AW36+AX36</f>
        <v>0</v>
      </c>
      <c r="AW36" s="20">
        <f>H36*AO36</f>
        <v>0</v>
      </c>
      <c r="AX36" s="20">
        <f>H36*AP36</f>
        <v>0</v>
      </c>
      <c r="AY36" s="17" t="s">
        <v>7</v>
      </c>
      <c r="AZ36" s="17" t="s">
        <v>68</v>
      </c>
      <c r="BA36" s="44" t="s">
        <v>129</v>
      </c>
      <c r="BC36" s="20">
        <f>AW36+AX36</f>
        <v>0</v>
      </c>
      <c r="BD36" s="20">
        <f>I36/(100-BE36)*100</f>
        <v>0</v>
      </c>
      <c r="BE36" s="20">
        <v>0</v>
      </c>
      <c r="BF36" s="20">
        <f>36</f>
        <v>36</v>
      </c>
      <c r="BH36" s="20">
        <f>H36*AO36</f>
        <v>0</v>
      </c>
      <c r="BI36" s="20">
        <f>H36*AP36</f>
        <v>0</v>
      </c>
      <c r="BJ36" s="20">
        <f>H36*I36</f>
        <v>0</v>
      </c>
      <c r="BK36" s="20"/>
      <c r="BL36" s="20"/>
    </row>
    <row r="37" spans="10:12" ht="15" customHeight="1">
      <c r="J37" s="62" t="s">
        <v>135</v>
      </c>
      <c r="K37" s="62"/>
      <c r="L37" s="31">
        <f>L12+L15+L17+L19+L22+L24+L27+L30+L35</f>
        <v>0</v>
      </c>
    </row>
    <row r="38" ht="15" customHeight="1">
      <c r="A38" s="8" t="s">
        <v>18</v>
      </c>
    </row>
    <row r="39" spans="1:13" ht="12.75" customHeight="1">
      <c r="A39" s="59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</sheetData>
  <sheetProtection/>
  <mergeCells count="55">
    <mergeCell ref="C34:F34"/>
    <mergeCell ref="C35:F35"/>
    <mergeCell ref="C36:F36"/>
    <mergeCell ref="J37:K37"/>
    <mergeCell ref="A39:M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C11:F11"/>
    <mergeCell ref="J10:L10"/>
    <mergeCell ref="C12:F12"/>
    <mergeCell ref="C13:F13"/>
    <mergeCell ref="C14:F14"/>
    <mergeCell ref="C15:F15"/>
    <mergeCell ref="G8:H9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4:D5"/>
    <mergeCell ref="C6:D7"/>
    <mergeCell ref="C8:D9"/>
    <mergeCell ref="G2:H3"/>
    <mergeCell ref="G4:H5"/>
    <mergeCell ref="G6:H7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OutlineSymbols="0" zoomScalePageLayoutView="0" workbookViewId="0" topLeftCell="A1">
      <pane ySplit="11" topLeftCell="A12" activePane="bottomLeft" state="frozen"/>
      <selection pane="topLeft" activeCell="C19" sqref="C19:D19"/>
      <selection pane="bottomLeft" activeCell="A1" sqref="A1:G1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4" width="14.16015625" style="0" customWidth="1"/>
    <col min="5" max="7" width="32.5" style="0" customWidth="1"/>
    <col min="8" max="9" width="0" style="0" hidden="1" customWidth="1"/>
  </cols>
  <sheetData>
    <row r="1" spans="1:7" ht="54.75" customHeight="1">
      <c r="A1" s="52" t="s">
        <v>140</v>
      </c>
      <c r="B1" s="52"/>
      <c r="C1" s="52"/>
      <c r="D1" s="52"/>
      <c r="E1" s="52"/>
      <c r="F1" s="52"/>
      <c r="G1" s="52"/>
    </row>
    <row r="2" spans="1:7" ht="15" customHeight="1">
      <c r="A2" s="53" t="s">
        <v>15</v>
      </c>
      <c r="B2" s="54"/>
      <c r="C2" s="60" t="str">
        <f>'Stavební rozpočet'!C2</f>
        <v>HERNÍ PLOCHA V MŠ NÁM. ARMÁDY - ZNOJMO</v>
      </c>
      <c r="D2" s="54" t="s">
        <v>0</v>
      </c>
      <c r="E2" s="54" t="s">
        <v>153</v>
      </c>
      <c r="F2" s="58" t="s">
        <v>145</v>
      </c>
      <c r="G2" s="74" t="str">
        <f>'Stavební rozpočet'!J2</f>
        <v> </v>
      </c>
    </row>
    <row r="3" spans="1:7" ht="15" customHeight="1">
      <c r="A3" s="55"/>
      <c r="B3" s="56"/>
      <c r="C3" s="62"/>
      <c r="D3" s="56"/>
      <c r="E3" s="56"/>
      <c r="F3" s="56"/>
      <c r="G3" s="64"/>
    </row>
    <row r="4" spans="1:7" ht="15" customHeight="1">
      <c r="A4" s="57" t="s">
        <v>94</v>
      </c>
      <c r="B4" s="56"/>
      <c r="C4" s="59" t="str">
        <f>'Stavební rozpočet'!C4</f>
        <v> </v>
      </c>
      <c r="D4" s="56" t="s">
        <v>149</v>
      </c>
      <c r="E4" s="56" t="s">
        <v>177</v>
      </c>
      <c r="F4" s="59" t="s">
        <v>116</v>
      </c>
      <c r="G4" s="75" t="str">
        <f>'Stavební rozpočet'!J4</f>
        <v> </v>
      </c>
    </row>
    <row r="5" spans="1:7" ht="15" customHeight="1">
      <c r="A5" s="55"/>
      <c r="B5" s="56"/>
      <c r="C5" s="56"/>
      <c r="D5" s="56"/>
      <c r="E5" s="56"/>
      <c r="F5" s="56"/>
      <c r="G5" s="64"/>
    </row>
    <row r="6" spans="1:7" ht="15" customHeight="1">
      <c r="A6" s="57" t="s">
        <v>19</v>
      </c>
      <c r="B6" s="56"/>
      <c r="C6" s="59" t="str">
        <f>'Stavební rozpočet'!C6</f>
        <v>Znojmo</v>
      </c>
      <c r="D6" s="56" t="s">
        <v>61</v>
      </c>
      <c r="E6" s="56" t="s">
        <v>153</v>
      </c>
      <c r="F6" s="59" t="s">
        <v>148</v>
      </c>
      <c r="G6" s="75" t="str">
        <f>'Stavební rozpočet'!J6</f>
        <v> </v>
      </c>
    </row>
    <row r="7" spans="1:7" ht="15" customHeight="1">
      <c r="A7" s="55"/>
      <c r="B7" s="56"/>
      <c r="C7" s="56"/>
      <c r="D7" s="56"/>
      <c r="E7" s="56"/>
      <c r="F7" s="56"/>
      <c r="G7" s="64"/>
    </row>
    <row r="8" spans="1:7" ht="15" customHeight="1">
      <c r="A8" s="57" t="s">
        <v>111</v>
      </c>
      <c r="B8" s="56"/>
      <c r="C8" s="59" t="str">
        <f>'Stavební rozpočet'!J8</f>
        <v> </v>
      </c>
      <c r="D8" s="56" t="s">
        <v>96</v>
      </c>
      <c r="E8" s="56" t="s">
        <v>177</v>
      </c>
      <c r="F8" s="56" t="s">
        <v>96</v>
      </c>
      <c r="G8" s="75" t="str">
        <f>'Stavební rozpočet'!G8</f>
        <v>16.05.2022</v>
      </c>
    </row>
    <row r="9" spans="1:7" ht="15" customHeight="1">
      <c r="A9" s="55"/>
      <c r="B9" s="56"/>
      <c r="C9" s="56"/>
      <c r="D9" s="73"/>
      <c r="E9" s="56"/>
      <c r="F9" s="56"/>
      <c r="G9" s="64"/>
    </row>
    <row r="10" spans="1:7" ht="15" customHeight="1">
      <c r="A10" s="32" t="s">
        <v>123</v>
      </c>
      <c r="B10" s="7" t="s">
        <v>64</v>
      </c>
      <c r="C10" s="19" t="s">
        <v>180</v>
      </c>
      <c r="E10" s="13" t="s">
        <v>86</v>
      </c>
      <c r="F10" s="5" t="s">
        <v>183</v>
      </c>
      <c r="G10" s="5" t="s">
        <v>12</v>
      </c>
    </row>
    <row r="11" spans="1:9" ht="15" customHeight="1">
      <c r="A11" s="2" t="s">
        <v>118</v>
      </c>
      <c r="B11" s="39" t="s">
        <v>121</v>
      </c>
      <c r="C11" s="56" t="s">
        <v>48</v>
      </c>
      <c r="D11" s="56"/>
      <c r="E11" s="20">
        <f>'Stavební rozpočet'!J12</f>
        <v>0</v>
      </c>
      <c r="F11" s="20">
        <f>'Stavební rozpočet'!K12</f>
        <v>0</v>
      </c>
      <c r="G11" s="20">
        <f>'Stavební rozpočet'!L12</f>
        <v>0</v>
      </c>
      <c r="H11" s="17" t="s">
        <v>160</v>
      </c>
      <c r="I11" s="20">
        <f aca="true" t="shared" si="0" ref="I11:I19">IF(H11="F",0,G11)</f>
        <v>0</v>
      </c>
    </row>
    <row r="12" spans="1:9" ht="15" customHeight="1">
      <c r="A12" s="2" t="s">
        <v>118</v>
      </c>
      <c r="B12" s="39" t="s">
        <v>20</v>
      </c>
      <c r="C12" s="56" t="s">
        <v>141</v>
      </c>
      <c r="D12" s="56"/>
      <c r="E12" s="20">
        <f>'Stavební rozpočet'!J15</f>
        <v>0</v>
      </c>
      <c r="F12" s="20">
        <f>'Stavební rozpočet'!K15</f>
        <v>0</v>
      </c>
      <c r="G12" s="20">
        <f>'Stavební rozpočet'!L15</f>
        <v>0</v>
      </c>
      <c r="H12" s="17" t="s">
        <v>160</v>
      </c>
      <c r="I12" s="20">
        <f t="shared" si="0"/>
        <v>0</v>
      </c>
    </row>
    <row r="13" spans="1:9" ht="15" customHeight="1">
      <c r="A13" s="2" t="s">
        <v>118</v>
      </c>
      <c r="B13" s="39" t="s">
        <v>119</v>
      </c>
      <c r="C13" s="56" t="s">
        <v>29</v>
      </c>
      <c r="D13" s="56"/>
      <c r="E13" s="20">
        <f>'Stavební rozpočet'!J17</f>
        <v>0</v>
      </c>
      <c r="F13" s="20">
        <f>'Stavební rozpočet'!K17</f>
        <v>0</v>
      </c>
      <c r="G13" s="20">
        <f>'Stavební rozpočet'!L17</f>
        <v>0</v>
      </c>
      <c r="H13" s="17" t="s">
        <v>160</v>
      </c>
      <c r="I13" s="20">
        <f t="shared" si="0"/>
        <v>0</v>
      </c>
    </row>
    <row r="14" spans="1:9" ht="15" customHeight="1">
      <c r="A14" s="2" t="s">
        <v>118</v>
      </c>
      <c r="B14" s="39" t="s">
        <v>137</v>
      </c>
      <c r="C14" s="56" t="s">
        <v>172</v>
      </c>
      <c r="D14" s="56"/>
      <c r="E14" s="20">
        <f>'Stavební rozpočet'!J19</f>
        <v>0</v>
      </c>
      <c r="F14" s="20">
        <f>'Stavební rozpočet'!K19</f>
        <v>0</v>
      </c>
      <c r="G14" s="20">
        <f>'Stavební rozpočet'!L19</f>
        <v>0</v>
      </c>
      <c r="H14" s="17" t="s">
        <v>160</v>
      </c>
      <c r="I14" s="20">
        <f t="shared" si="0"/>
        <v>0</v>
      </c>
    </row>
    <row r="15" spans="1:9" ht="15" customHeight="1">
      <c r="A15" s="2" t="s">
        <v>118</v>
      </c>
      <c r="B15" s="39" t="s">
        <v>106</v>
      </c>
      <c r="C15" s="56" t="s">
        <v>65</v>
      </c>
      <c r="D15" s="56"/>
      <c r="E15" s="20">
        <f>'Stavební rozpočet'!J22</f>
        <v>0</v>
      </c>
      <c r="F15" s="20">
        <f>'Stavební rozpočet'!K22</f>
        <v>0</v>
      </c>
      <c r="G15" s="20">
        <f>'Stavební rozpočet'!L22</f>
        <v>0</v>
      </c>
      <c r="H15" s="17" t="s">
        <v>160</v>
      </c>
      <c r="I15" s="20">
        <f t="shared" si="0"/>
        <v>0</v>
      </c>
    </row>
    <row r="16" spans="1:9" ht="15" customHeight="1">
      <c r="A16" s="2" t="s">
        <v>118</v>
      </c>
      <c r="B16" s="39" t="s">
        <v>105</v>
      </c>
      <c r="C16" s="56" t="s">
        <v>112</v>
      </c>
      <c r="D16" s="56"/>
      <c r="E16" s="20">
        <f>'Stavební rozpočet'!J24</f>
        <v>0</v>
      </c>
      <c r="F16" s="20">
        <f>'Stavební rozpočet'!K24</f>
        <v>0</v>
      </c>
      <c r="G16" s="20">
        <f>'Stavební rozpočet'!L24</f>
        <v>0</v>
      </c>
      <c r="H16" s="17" t="s">
        <v>160</v>
      </c>
      <c r="I16" s="20">
        <f t="shared" si="0"/>
        <v>0</v>
      </c>
    </row>
    <row r="17" spans="1:9" ht="15" customHeight="1">
      <c r="A17" s="2" t="s">
        <v>118</v>
      </c>
      <c r="B17" s="39" t="s">
        <v>99</v>
      </c>
      <c r="C17" s="56" t="s">
        <v>182</v>
      </c>
      <c r="D17" s="56"/>
      <c r="E17" s="20">
        <f>'Stavební rozpočet'!J27</f>
        <v>0</v>
      </c>
      <c r="F17" s="20">
        <f>'Stavební rozpočet'!K27</f>
        <v>0</v>
      </c>
      <c r="G17" s="20">
        <f>'Stavební rozpočet'!L27</f>
        <v>0</v>
      </c>
      <c r="H17" s="17" t="s">
        <v>160</v>
      </c>
      <c r="I17" s="20">
        <f t="shared" si="0"/>
        <v>0</v>
      </c>
    </row>
    <row r="18" spans="1:9" ht="15" customHeight="1">
      <c r="A18" s="2" t="s">
        <v>118</v>
      </c>
      <c r="B18" s="39" t="s">
        <v>8</v>
      </c>
      <c r="C18" s="56" t="s">
        <v>69</v>
      </c>
      <c r="D18" s="56"/>
      <c r="E18" s="20">
        <f>'Stavební rozpočet'!J30</f>
        <v>0</v>
      </c>
      <c r="F18" s="20">
        <f>'Stavební rozpočet'!K30</f>
        <v>0</v>
      </c>
      <c r="G18" s="20">
        <f>'Stavební rozpočet'!L30</f>
        <v>0</v>
      </c>
      <c r="H18" s="17" t="s">
        <v>160</v>
      </c>
      <c r="I18" s="20">
        <f t="shared" si="0"/>
        <v>0</v>
      </c>
    </row>
    <row r="19" spans="1:9" ht="15" customHeight="1">
      <c r="A19" s="2" t="s">
        <v>118</v>
      </c>
      <c r="B19" s="39" t="s">
        <v>4</v>
      </c>
      <c r="C19" s="56" t="s">
        <v>63</v>
      </c>
      <c r="D19" s="56"/>
      <c r="E19" s="20">
        <f>'Stavební rozpočet'!J35</f>
        <v>0</v>
      </c>
      <c r="F19" s="20">
        <f>'Stavební rozpočet'!K35</f>
        <v>0</v>
      </c>
      <c r="G19" s="20">
        <f>'Stavební rozpočet'!L35</f>
        <v>0</v>
      </c>
      <c r="H19" s="17" t="s">
        <v>160</v>
      </c>
      <c r="I19" s="20">
        <f t="shared" si="0"/>
        <v>0</v>
      </c>
    </row>
    <row r="20" spans="6:7" ht="15" customHeight="1">
      <c r="F20" s="1" t="s">
        <v>135</v>
      </c>
      <c r="G20" s="31">
        <f>SUM(I11:I19)</f>
        <v>0</v>
      </c>
    </row>
  </sheetData>
  <sheetProtection/>
  <mergeCells count="34">
    <mergeCell ref="C18:D18"/>
    <mergeCell ref="C19:D19"/>
    <mergeCell ref="C12:D12"/>
    <mergeCell ref="C13:D13"/>
    <mergeCell ref="C14:D14"/>
    <mergeCell ref="C15:D15"/>
    <mergeCell ref="C16:D16"/>
    <mergeCell ref="C17:D17"/>
    <mergeCell ref="E8:E9"/>
    <mergeCell ref="G2:G3"/>
    <mergeCell ref="G4:G5"/>
    <mergeCell ref="G6:G7"/>
    <mergeCell ref="G8:G9"/>
    <mergeCell ref="C11:D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7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6" t="s">
        <v>45</v>
      </c>
      <c r="B1" s="52"/>
      <c r="C1" s="52"/>
      <c r="D1" s="52"/>
      <c r="E1" s="52"/>
      <c r="F1" s="52"/>
      <c r="G1" s="52"/>
      <c r="H1" s="52"/>
      <c r="I1" s="52"/>
    </row>
    <row r="2" spans="1:9" ht="15" customHeight="1">
      <c r="A2" s="53" t="s">
        <v>15</v>
      </c>
      <c r="B2" s="54"/>
      <c r="C2" s="60" t="str">
        <f>'Stavební rozpočet'!C2</f>
        <v>HERNÍ PLOCHA V MŠ NÁM. ARMÁDY - ZNOJMO</v>
      </c>
      <c r="D2" s="61"/>
      <c r="E2" s="58" t="s">
        <v>145</v>
      </c>
      <c r="F2" s="58" t="str">
        <f>'Stavební rozpočet'!J2</f>
        <v> </v>
      </c>
      <c r="G2" s="54"/>
      <c r="H2" s="58" t="s">
        <v>109</v>
      </c>
      <c r="I2" s="63" t="s">
        <v>118</v>
      </c>
    </row>
    <row r="3" spans="1:9" ht="15" customHeight="1">
      <c r="A3" s="55"/>
      <c r="B3" s="56"/>
      <c r="C3" s="62"/>
      <c r="D3" s="62"/>
      <c r="E3" s="56"/>
      <c r="F3" s="56"/>
      <c r="G3" s="56"/>
      <c r="H3" s="56"/>
      <c r="I3" s="64"/>
    </row>
    <row r="4" spans="1:9" ht="15" customHeight="1">
      <c r="A4" s="57" t="s">
        <v>94</v>
      </c>
      <c r="B4" s="56"/>
      <c r="C4" s="59" t="str">
        <f>'Stavební rozpočet'!C4</f>
        <v> </v>
      </c>
      <c r="D4" s="56"/>
      <c r="E4" s="59" t="s">
        <v>116</v>
      </c>
      <c r="F4" s="59" t="str">
        <f>'Stavební rozpočet'!J4</f>
        <v> </v>
      </c>
      <c r="G4" s="56"/>
      <c r="H4" s="59" t="s">
        <v>109</v>
      </c>
      <c r="I4" s="64" t="s">
        <v>118</v>
      </c>
    </row>
    <row r="5" spans="1:9" ht="15" customHeight="1">
      <c r="A5" s="55"/>
      <c r="B5" s="56"/>
      <c r="C5" s="56"/>
      <c r="D5" s="56"/>
      <c r="E5" s="56"/>
      <c r="F5" s="56"/>
      <c r="G5" s="56"/>
      <c r="H5" s="56"/>
      <c r="I5" s="64"/>
    </row>
    <row r="6" spans="1:9" ht="15" customHeight="1">
      <c r="A6" s="57" t="s">
        <v>19</v>
      </c>
      <c r="B6" s="56"/>
      <c r="C6" s="59" t="str">
        <f>'Stavební rozpočet'!C6</f>
        <v>Znojmo</v>
      </c>
      <c r="D6" s="56"/>
      <c r="E6" s="59" t="s">
        <v>148</v>
      </c>
      <c r="F6" s="59" t="str">
        <f>'Stavební rozpočet'!J6</f>
        <v> </v>
      </c>
      <c r="G6" s="56"/>
      <c r="H6" s="59" t="s">
        <v>109</v>
      </c>
      <c r="I6" s="64" t="s">
        <v>118</v>
      </c>
    </row>
    <row r="7" spans="1:9" ht="15" customHeight="1">
      <c r="A7" s="55"/>
      <c r="B7" s="56"/>
      <c r="C7" s="56"/>
      <c r="D7" s="56"/>
      <c r="E7" s="56"/>
      <c r="F7" s="56"/>
      <c r="G7" s="56"/>
      <c r="H7" s="56"/>
      <c r="I7" s="64"/>
    </row>
    <row r="8" spans="1:9" ht="15" customHeight="1">
      <c r="A8" s="57" t="s">
        <v>149</v>
      </c>
      <c r="B8" s="56"/>
      <c r="C8" s="59" t="str">
        <f>'Stavební rozpočet'!G4</f>
        <v>16.05.2022</v>
      </c>
      <c r="D8" s="56"/>
      <c r="E8" s="59" t="s">
        <v>61</v>
      </c>
      <c r="F8" s="59" t="str">
        <f>'Stavební rozpočet'!G6</f>
        <v> </v>
      </c>
      <c r="G8" s="56"/>
      <c r="H8" s="56" t="s">
        <v>169</v>
      </c>
      <c r="I8" s="78">
        <v>16</v>
      </c>
    </row>
    <row r="9" spans="1:9" ht="15" customHeight="1">
      <c r="A9" s="55"/>
      <c r="B9" s="56"/>
      <c r="C9" s="56"/>
      <c r="D9" s="56"/>
      <c r="E9" s="56"/>
      <c r="F9" s="56"/>
      <c r="G9" s="56"/>
      <c r="H9" s="56"/>
      <c r="I9" s="64"/>
    </row>
    <row r="10" spans="1:9" ht="15" customHeight="1">
      <c r="A10" s="57" t="s">
        <v>83</v>
      </c>
      <c r="B10" s="56"/>
      <c r="C10" s="59" t="str">
        <f>'Stavební rozpočet'!C8</f>
        <v> </v>
      </c>
      <c r="D10" s="56"/>
      <c r="E10" s="59" t="s">
        <v>111</v>
      </c>
      <c r="F10" s="59" t="str">
        <f>'Stavební rozpočet'!J8</f>
        <v> </v>
      </c>
      <c r="G10" s="56"/>
      <c r="H10" s="56" t="s">
        <v>161</v>
      </c>
      <c r="I10" s="75" t="str">
        <f>'Stavební rozpočet'!G8</f>
        <v>16.05.2022</v>
      </c>
    </row>
    <row r="11" spans="1:9" ht="15" customHeight="1">
      <c r="A11" s="77"/>
      <c r="B11" s="73"/>
      <c r="C11" s="73"/>
      <c r="D11" s="73"/>
      <c r="E11" s="73"/>
      <c r="F11" s="73"/>
      <c r="G11" s="73"/>
      <c r="H11" s="73"/>
      <c r="I11" s="79"/>
    </row>
    <row r="12" spans="1:9" ht="22.5" customHeight="1">
      <c r="A12" s="80" t="s">
        <v>34</v>
      </c>
      <c r="B12" s="80"/>
      <c r="C12" s="80"/>
      <c r="D12" s="80"/>
      <c r="E12" s="80"/>
      <c r="F12" s="80"/>
      <c r="G12" s="80"/>
      <c r="H12" s="80"/>
      <c r="I12" s="80"/>
    </row>
    <row r="13" spans="1:9" ht="26.25" customHeight="1">
      <c r="A13" s="4" t="s">
        <v>150</v>
      </c>
      <c r="B13" s="81" t="s">
        <v>28</v>
      </c>
      <c r="C13" s="82"/>
      <c r="D13" s="12" t="s">
        <v>36</v>
      </c>
      <c r="E13" s="81" t="s">
        <v>70</v>
      </c>
      <c r="F13" s="82"/>
      <c r="G13" s="12" t="s">
        <v>107</v>
      </c>
      <c r="H13" s="81" t="s">
        <v>37</v>
      </c>
      <c r="I13" s="82"/>
    </row>
    <row r="14" spans="1:9" ht="15" customHeight="1">
      <c r="A14" s="6" t="s">
        <v>72</v>
      </c>
      <c r="B14" s="16" t="s">
        <v>49</v>
      </c>
      <c r="C14" s="30">
        <f>SUM('Stavební rozpočet'!AB12:AB36)</f>
        <v>0</v>
      </c>
      <c r="D14" s="89" t="s">
        <v>120</v>
      </c>
      <c r="E14" s="90"/>
      <c r="F14" s="30">
        <v>0</v>
      </c>
      <c r="G14" s="89" t="s">
        <v>24</v>
      </c>
      <c r="H14" s="90"/>
      <c r="I14" s="22" t="s">
        <v>90</v>
      </c>
    </row>
    <row r="15" spans="1:9" ht="15" customHeight="1">
      <c r="A15" s="35" t="s">
        <v>118</v>
      </c>
      <c r="B15" s="16" t="s">
        <v>38</v>
      </c>
      <c r="C15" s="30">
        <f>SUM('Stavební rozpočet'!AC12:AC36)</f>
        <v>0</v>
      </c>
      <c r="D15" s="89" t="s">
        <v>22</v>
      </c>
      <c r="E15" s="90"/>
      <c r="F15" s="30">
        <v>0</v>
      </c>
      <c r="G15" s="89" t="s">
        <v>136</v>
      </c>
      <c r="H15" s="90"/>
      <c r="I15" s="22" t="s">
        <v>90</v>
      </c>
    </row>
    <row r="16" spans="1:9" ht="15" customHeight="1">
      <c r="A16" s="6" t="s">
        <v>21</v>
      </c>
      <c r="B16" s="16" t="s">
        <v>49</v>
      </c>
      <c r="C16" s="30">
        <f>SUM('Stavební rozpočet'!AD12:AD36)</f>
        <v>0</v>
      </c>
      <c r="D16" s="89" t="s">
        <v>122</v>
      </c>
      <c r="E16" s="90"/>
      <c r="F16" s="30">
        <v>0</v>
      </c>
      <c r="G16" s="89" t="s">
        <v>158</v>
      </c>
      <c r="H16" s="90"/>
      <c r="I16" s="22" t="s">
        <v>90</v>
      </c>
    </row>
    <row r="17" spans="1:9" ht="15" customHeight="1">
      <c r="A17" s="35" t="s">
        <v>118</v>
      </c>
      <c r="B17" s="16" t="s">
        <v>38</v>
      </c>
      <c r="C17" s="30">
        <f>SUM('Stavební rozpočet'!AE12:AE36)</f>
        <v>0</v>
      </c>
      <c r="D17" s="89" t="s">
        <v>118</v>
      </c>
      <c r="E17" s="90"/>
      <c r="F17" s="22" t="s">
        <v>118</v>
      </c>
      <c r="G17" s="89" t="s">
        <v>91</v>
      </c>
      <c r="H17" s="90"/>
      <c r="I17" s="22" t="s">
        <v>90</v>
      </c>
    </row>
    <row r="18" spans="1:9" ht="15" customHeight="1">
      <c r="A18" s="6" t="s">
        <v>59</v>
      </c>
      <c r="B18" s="16" t="s">
        <v>49</v>
      </c>
      <c r="C18" s="30">
        <f>SUM('Stavební rozpočet'!AF12:AF36)</f>
        <v>0</v>
      </c>
      <c r="D18" s="89" t="s">
        <v>118</v>
      </c>
      <c r="E18" s="90"/>
      <c r="F18" s="22" t="s">
        <v>118</v>
      </c>
      <c r="G18" s="89" t="s">
        <v>110</v>
      </c>
      <c r="H18" s="90"/>
      <c r="I18" s="22" t="s">
        <v>90</v>
      </c>
    </row>
    <row r="19" spans="1:9" ht="15" customHeight="1">
      <c r="A19" s="35" t="s">
        <v>118</v>
      </c>
      <c r="B19" s="16" t="s">
        <v>38</v>
      </c>
      <c r="C19" s="30">
        <f>SUM('Stavební rozpočet'!AG12:AG36)</f>
        <v>0</v>
      </c>
      <c r="D19" s="89" t="s">
        <v>118</v>
      </c>
      <c r="E19" s="90"/>
      <c r="F19" s="22" t="s">
        <v>118</v>
      </c>
      <c r="G19" s="89" t="s">
        <v>165</v>
      </c>
      <c r="H19" s="90"/>
      <c r="I19" s="22" t="s">
        <v>90</v>
      </c>
    </row>
    <row r="20" spans="1:9" ht="15" customHeight="1">
      <c r="A20" s="83" t="s">
        <v>16</v>
      </c>
      <c r="B20" s="84"/>
      <c r="C20" s="30">
        <f>SUM('Stavební rozpočet'!AH12:AH36)</f>
        <v>0</v>
      </c>
      <c r="D20" s="89" t="s">
        <v>118</v>
      </c>
      <c r="E20" s="90"/>
      <c r="F20" s="22" t="s">
        <v>118</v>
      </c>
      <c r="G20" s="89" t="s">
        <v>118</v>
      </c>
      <c r="H20" s="90"/>
      <c r="I20" s="22" t="s">
        <v>118</v>
      </c>
    </row>
    <row r="21" spans="1:9" ht="15" customHeight="1">
      <c r="A21" s="85" t="s">
        <v>164</v>
      </c>
      <c r="B21" s="86"/>
      <c r="C21" s="48">
        <f>SUM('Stavební rozpočet'!Z12:Z36)</f>
        <v>0</v>
      </c>
      <c r="D21" s="91" t="s">
        <v>118</v>
      </c>
      <c r="E21" s="92"/>
      <c r="F21" s="47" t="s">
        <v>118</v>
      </c>
      <c r="G21" s="91" t="s">
        <v>118</v>
      </c>
      <c r="H21" s="92"/>
      <c r="I21" s="47" t="s">
        <v>118</v>
      </c>
    </row>
    <row r="22" spans="1:9" ht="16.5" customHeight="1">
      <c r="A22" s="87" t="s">
        <v>41</v>
      </c>
      <c r="B22" s="88"/>
      <c r="C22" s="43">
        <f>SUM(C14:C21)</f>
        <v>0</v>
      </c>
      <c r="D22" s="93" t="s">
        <v>88</v>
      </c>
      <c r="E22" s="88"/>
      <c r="F22" s="43">
        <f>SUM(F14:F21)</f>
        <v>0</v>
      </c>
      <c r="G22" s="93" t="s">
        <v>170</v>
      </c>
      <c r="H22" s="88"/>
      <c r="I22" s="43">
        <f>SUM(I14:I21)</f>
        <v>0</v>
      </c>
    </row>
    <row r="23" spans="4:9" ht="15" customHeight="1">
      <c r="D23" s="83" t="s">
        <v>138</v>
      </c>
      <c r="E23" s="84"/>
      <c r="F23" s="51">
        <v>0</v>
      </c>
      <c r="G23" s="94" t="s">
        <v>11</v>
      </c>
      <c r="H23" s="84"/>
      <c r="I23" s="30">
        <v>0</v>
      </c>
    </row>
    <row r="24" spans="7:8" ht="15" customHeight="1">
      <c r="G24" s="83" t="s">
        <v>117</v>
      </c>
      <c r="H24" s="84"/>
    </row>
    <row r="25" spans="7:9" ht="15" customHeight="1">
      <c r="G25" s="83" t="s">
        <v>130</v>
      </c>
      <c r="H25" s="84"/>
      <c r="I25" s="43">
        <v>0</v>
      </c>
    </row>
    <row r="27" spans="1:3" ht="15" customHeight="1">
      <c r="A27" s="95" t="s">
        <v>77</v>
      </c>
      <c r="B27" s="96"/>
      <c r="C27" s="14">
        <f>SUM('Stavební rozpočet'!AJ12:AJ36)</f>
        <v>0</v>
      </c>
    </row>
    <row r="28" spans="1:9" ht="15" customHeight="1">
      <c r="A28" s="97" t="s">
        <v>5</v>
      </c>
      <c r="B28" s="98"/>
      <c r="C28" s="37">
        <f>SUM('Stavební rozpočet'!AK12:AK36)</f>
        <v>0</v>
      </c>
      <c r="D28" s="96" t="s">
        <v>44</v>
      </c>
      <c r="E28" s="96"/>
      <c r="F28" s="14">
        <f>ROUND(C28*(15/100),2)</f>
        <v>0</v>
      </c>
      <c r="G28" s="96" t="s">
        <v>30</v>
      </c>
      <c r="H28" s="96"/>
      <c r="I28" s="14">
        <f>SUM(C27:C29)</f>
        <v>0</v>
      </c>
    </row>
    <row r="29" spans="1:9" ht="15" customHeight="1">
      <c r="A29" s="97" t="s">
        <v>9</v>
      </c>
      <c r="B29" s="98"/>
      <c r="C29" s="37">
        <f>SUM('Stavební rozpočet'!AL12:AL36)+(F22+I22+F23+I23+I24+I25)</f>
        <v>0</v>
      </c>
      <c r="D29" s="98" t="s">
        <v>124</v>
      </c>
      <c r="E29" s="98"/>
      <c r="F29" s="37">
        <f>ROUND(C29*(21/100),2)</f>
        <v>0</v>
      </c>
      <c r="G29" s="98" t="s">
        <v>76</v>
      </c>
      <c r="H29" s="98"/>
      <c r="I29" s="37">
        <f>SUM(F28:F29)+I28</f>
        <v>0</v>
      </c>
    </row>
    <row r="31" spans="1:9" ht="15" customHeight="1">
      <c r="A31" s="99" t="s">
        <v>2</v>
      </c>
      <c r="B31" s="100"/>
      <c r="C31" s="101"/>
      <c r="D31" s="100" t="s">
        <v>156</v>
      </c>
      <c r="E31" s="100"/>
      <c r="F31" s="101"/>
      <c r="G31" s="100" t="s">
        <v>113</v>
      </c>
      <c r="H31" s="100"/>
      <c r="I31" s="101"/>
    </row>
    <row r="32" spans="1:9" ht="15" customHeight="1">
      <c r="A32" s="102" t="s">
        <v>118</v>
      </c>
      <c r="B32" s="91"/>
      <c r="C32" s="103"/>
      <c r="D32" s="91" t="s">
        <v>118</v>
      </c>
      <c r="E32" s="91"/>
      <c r="F32" s="103"/>
      <c r="G32" s="91" t="s">
        <v>118</v>
      </c>
      <c r="H32" s="91"/>
      <c r="I32" s="103"/>
    </row>
    <row r="33" spans="1:9" ht="15" customHeight="1">
      <c r="A33" s="102" t="s">
        <v>118</v>
      </c>
      <c r="B33" s="91"/>
      <c r="C33" s="103"/>
      <c r="D33" s="91" t="s">
        <v>118</v>
      </c>
      <c r="E33" s="91"/>
      <c r="F33" s="103"/>
      <c r="G33" s="91" t="s">
        <v>118</v>
      </c>
      <c r="H33" s="91"/>
      <c r="I33" s="103"/>
    </row>
    <row r="34" spans="1:9" ht="15" customHeight="1">
      <c r="A34" s="102" t="s">
        <v>118</v>
      </c>
      <c r="B34" s="91"/>
      <c r="C34" s="103"/>
      <c r="D34" s="91" t="s">
        <v>118</v>
      </c>
      <c r="E34" s="91"/>
      <c r="F34" s="103"/>
      <c r="G34" s="91" t="s">
        <v>118</v>
      </c>
      <c r="H34" s="91"/>
      <c r="I34" s="103"/>
    </row>
    <row r="35" spans="1:9" ht="15" customHeight="1">
      <c r="A35" s="104" t="s">
        <v>39</v>
      </c>
      <c r="B35" s="105"/>
      <c r="C35" s="106"/>
      <c r="D35" s="105" t="s">
        <v>39</v>
      </c>
      <c r="E35" s="105"/>
      <c r="F35" s="106"/>
      <c r="G35" s="105" t="s">
        <v>39</v>
      </c>
      <c r="H35" s="105"/>
      <c r="I35" s="106"/>
    </row>
    <row r="36" ht="15" customHeight="1">
      <c r="A36" s="8" t="s">
        <v>18</v>
      </c>
    </row>
    <row r="37" spans="1:9" ht="12.75" customHeight="1">
      <c r="A37" s="59" t="s">
        <v>118</v>
      </c>
      <c r="B37" s="56"/>
      <c r="C37" s="56"/>
      <c r="D37" s="56"/>
      <c r="E37" s="56"/>
      <c r="F37" s="56"/>
      <c r="G37" s="56"/>
      <c r="H37" s="56"/>
      <c r="I37" s="56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kucer</cp:lastModifiedBy>
  <dcterms:created xsi:type="dcterms:W3CDTF">2021-06-10T20:06:38Z</dcterms:created>
  <dcterms:modified xsi:type="dcterms:W3CDTF">2023-06-09T10:06:46Z</dcterms:modified>
  <cp:category/>
  <cp:version/>
  <cp:contentType/>
  <cp:contentStatus/>
</cp:coreProperties>
</file>