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12540" activeTab="1"/>
  </bookViews>
  <sheets>
    <sheet name="Stavební rozpočet" sheetId="1" r:id="rId1"/>
    <sheet name="Krycí list rozpočtu" sheetId="2" r:id="rId2"/>
  </sheets>
  <definedNames/>
  <calcPr fullCalcOnLoad="1"/>
</workbook>
</file>

<file path=xl/sharedStrings.xml><?xml version="1.0" encoding="utf-8"?>
<sst xmlns="http://schemas.openxmlformats.org/spreadsheetml/2006/main" count="897" uniqueCount="332">
  <si>
    <t>Doba výstavby:</t>
  </si>
  <si>
    <t>Hloubené vykopávky</t>
  </si>
  <si>
    <t>Osazení stojat. obrub. bet.bez opěry,lože z C12/15</t>
  </si>
  <si>
    <t>Projektant</t>
  </si>
  <si>
    <t>919735113R00</t>
  </si>
  <si>
    <t>Základ 15%</t>
  </si>
  <si>
    <t>Dlažba z lomového kamene,lože z MC do 5 cm</t>
  </si>
  <si>
    <t>91</t>
  </si>
  <si>
    <t>Základ 21%</t>
  </si>
  <si>
    <t>20</t>
  </si>
  <si>
    <t>03VRN</t>
  </si>
  <si>
    <t>Dodávka</t>
  </si>
  <si>
    <t>NUS celkem z obj.</t>
  </si>
  <si>
    <t>Uložení sypaniny do násypů nezhutněných</t>
  </si>
  <si>
    <t>Název stavby:</t>
  </si>
  <si>
    <t>Ostatní materiál</t>
  </si>
  <si>
    <t>29</t>
  </si>
  <si>
    <t>Č</t>
  </si>
  <si>
    <t>89_</t>
  </si>
  <si>
    <t>Poplatek za skládku horniny 5 - 7, č. dle katal. odpadů 17 05 04</t>
  </si>
  <si>
    <t>Osazení stojat. obrub.bet. s opěrou,lože z C 12/15</t>
  </si>
  <si>
    <t>Poznámka:</t>
  </si>
  <si>
    <t>Lokalita:</t>
  </si>
  <si>
    <t>včetně obrubníku nájezdového CSB H 15 1000/150/150</t>
  </si>
  <si>
    <t>16</t>
  </si>
  <si>
    <t>PSV</t>
  </si>
  <si>
    <t>24</t>
  </si>
  <si>
    <t>Bez pevné podl.</t>
  </si>
  <si>
    <t>Celkem</t>
  </si>
  <si>
    <t>Zařízení staveniště</t>
  </si>
  <si>
    <t>Dlažba BEST KLASIKO červená pro nevidomé 20x10x8</t>
  </si>
  <si>
    <t>4</t>
  </si>
  <si>
    <t>11.3.2005 provedena oprava normy - přidán přesun hmot</t>
  </si>
  <si>
    <t>Základní rozpočtové náklady</t>
  </si>
  <si>
    <t>916561111RT4</t>
  </si>
  <si>
    <t>26</t>
  </si>
  <si>
    <t>Konstrukce ze zemin</t>
  </si>
  <si>
    <t>Celkem bez DPH</t>
  </si>
  <si>
    <t>Položka je určena pro úpravy vodních toků a kanály délky do 7 km, hráze ochranné, rybniční a ostatní (833 2, 833 3, 832 15, 832 16, 832 19)</t>
  </si>
  <si>
    <t>998223011R00</t>
  </si>
  <si>
    <t>Položka obsahuje zřízení podkladního betonu tl. 100 mm, položení lože ze suchého betonu tl. 30 mm a montáž trub. V položce nejsou zakalkulovány náklady na dodání trub. Dodávka se oceňuje ve specifikaci. Ztratné se nedoporučuje. Položka neobsahuje náklady na zálivku dilatační spáry se sousední konstrukcí. Pro trouby do 450 mm šířky</t>
  </si>
  <si>
    <t>6</t>
  </si>
  <si>
    <t>Rozpočtové náklady v Kč</t>
  </si>
  <si>
    <t>B</t>
  </si>
  <si>
    <t>Náklady na umístění stavby (NUS)</t>
  </si>
  <si>
    <t>42</t>
  </si>
  <si>
    <t>Zkoušky</t>
  </si>
  <si>
    <t>034002VRN</t>
  </si>
  <si>
    <t>Montáž</t>
  </si>
  <si>
    <t>Datum, razítko a podpis</t>
  </si>
  <si>
    <t>so 126_</t>
  </si>
  <si>
    <t>ZRN celkem</t>
  </si>
  <si>
    <t>17_</t>
  </si>
  <si>
    <t>Filtrační vrstvy z nezhutněné štěrkodrti 0-125 mm</t>
  </si>
  <si>
    <t>59227453</t>
  </si>
  <si>
    <t>59245040</t>
  </si>
  <si>
    <t>Dlažba vibrolisovaná, barva červená</t>
  </si>
  <si>
    <t>Dodávka trub se oceňuje ve specifikaci. Ztratné se doporučuje ve výši 10 %. Položka obsahuje náklady na spojování protlačovaných trub, úpravu čela potrubí pro protlačení, odstranění horniny z protlačovaných trub stlačeným vzduchem, vodorovné přemístění výkopku z protlačovaného potrubí a svislé přemístění výkopku z montážní jámy na přilehlý terén. Položka neobsahuje zemní práce pro startovací a vytahovací jámy, případné roubení, čerpání vody, montáž vedení do chráničky a případné zřízení opěrné konstrukce pro zatlačovací zařízení, úpravu dna startovací jámy kamenivem ani silničními panely</t>
  </si>
  <si>
    <t>33</t>
  </si>
  <si>
    <t>DPH 15%</t>
  </si>
  <si>
    <t>Krycí list slepého rozpočtu</t>
  </si>
  <si>
    <t>Podklad z kameniva zpev.cementem SC C8/10 tl.12 cm</t>
  </si>
  <si>
    <t>03VRN_</t>
  </si>
  <si>
    <t>Impregnace Protect system I</t>
  </si>
  <si>
    <t>25</t>
  </si>
  <si>
    <t>kus</t>
  </si>
  <si>
    <t>so 305</t>
  </si>
  <si>
    <t>Odkopávky a prokopávky</t>
  </si>
  <si>
    <t>831350014RAA</t>
  </si>
  <si>
    <t>Dodávky</t>
  </si>
  <si>
    <t>075002VRN</t>
  </si>
  <si>
    <t>soustava</t>
  </si>
  <si>
    <t>Ostatní mat.</t>
  </si>
  <si>
    <t>Cenová</t>
  </si>
  <si>
    <t>Dlažba BEST KLASIKO rovné přírodní  20x10x6</t>
  </si>
  <si>
    <t>HSV prac</t>
  </si>
  <si>
    <t>162701155R00</t>
  </si>
  <si>
    <t>13</t>
  </si>
  <si>
    <t>Osazení záhon.obrubníků do lože z C 12/15 s opěrou</t>
  </si>
  <si>
    <t>592453092</t>
  </si>
  <si>
    <t>"M"</t>
  </si>
  <si>
    <t>894411010RAF</t>
  </si>
  <si>
    <t>včetně obrubníku ABO 4 - 5    50/5/25</t>
  </si>
  <si>
    <t>Odkopávky nezapažené v hor. 5 do 1000 m3</t>
  </si>
  <si>
    <t>Cena/MJ</t>
  </si>
  <si>
    <t>14231111</t>
  </si>
  <si>
    <t>Konec výstavby:</t>
  </si>
  <si>
    <t>Kód</t>
  </si>
  <si>
    <t>04VRN</t>
  </si>
  <si>
    <t>43</t>
  </si>
  <si>
    <t>RETENCE</t>
  </si>
  <si>
    <t>Úprava podloží a základové spáry</t>
  </si>
  <si>
    <t>Od CÚ 2015/ II. není v jednotkové ceně započteno řezání dlaždic!!! Rozpočtuje se samostatnou položkou 596 29-1113.R00 Řezání zámkové dlažby tl. 80 mm. V položce jsou zakalkulovány i náklady na dodání hmot pro lože a na dodání materiálu na výplň spár. V položce nejsou zakalkulovány náklady na dodání zámkové dlažby, která se oceňuje ve specifikaci, ztratné se doporučuje ve výši 5%.</t>
  </si>
  <si>
    <t>917832111RT7</t>
  </si>
  <si>
    <t>Hloubení pro podzemní stěny, ražení a hloubení důlní</t>
  </si>
  <si>
    <t>Kladení zámkové dlažby tl. 8 cm do drtě tl. 4 cm</t>
  </si>
  <si>
    <t>MJ</t>
  </si>
  <si>
    <t>Přesun hmot, pozemní komunikace, kryt dlážděný</t>
  </si>
  <si>
    <t>45</t>
  </si>
  <si>
    <t>40</t>
  </si>
  <si>
    <t>Doplňující konstrukce a práce na pozemních komunikacích a zpevněných plochách</t>
  </si>
  <si>
    <t>Doplňkové náklady</t>
  </si>
  <si>
    <t>RTS komentář:</t>
  </si>
  <si>
    <t>PSV prac</t>
  </si>
  <si>
    <t>HSV</t>
  </si>
  <si>
    <t>9</t>
  </si>
  <si>
    <t>Různé dokončovací konstrukce a práce inženýrských staveb</t>
  </si>
  <si>
    <t>15</t>
  </si>
  <si>
    <t>596215021R00</t>
  </si>
  <si>
    <t>ISWORK</t>
  </si>
  <si>
    <t>596215040R00</t>
  </si>
  <si>
    <t>Celkem včetně DPH</t>
  </si>
  <si>
    <t>Základ 0%</t>
  </si>
  <si>
    <t>Osazení přík.žlabu do C8/10 tl.10cm z tvárnic 80cm</t>
  </si>
  <si>
    <t>Mont prac</t>
  </si>
  <si>
    <t>998332011R00</t>
  </si>
  <si>
    <t>Opláštění žeber z geotextilie o sklonu do 1 : 2,5</t>
  </si>
  <si>
    <t>44</t>
  </si>
  <si>
    <t>894412311RAB</t>
  </si>
  <si>
    <t>23</t>
  </si>
  <si>
    <t>917862111RV3</t>
  </si>
  <si>
    <t>59</t>
  </si>
  <si>
    <t>t</t>
  </si>
  <si>
    <t> </t>
  </si>
  <si>
    <t>Položky jsou shodné i pro úpravu pláně v násypech.</t>
  </si>
  <si>
    <t>99</t>
  </si>
  <si>
    <t>Průzkumy, geodetické a projektové práce</t>
  </si>
  <si>
    <t>so 126_1_</t>
  </si>
  <si>
    <t>012002VRN</t>
  </si>
  <si>
    <t>01VRN_</t>
  </si>
  <si>
    <t>so 305_4_</t>
  </si>
  <si>
    <t>JKSO:</t>
  </si>
  <si>
    <t>45_</t>
  </si>
  <si>
    <t>564851111RT2</t>
  </si>
  <si>
    <t>18_</t>
  </si>
  <si>
    <t>917862111RV4</t>
  </si>
  <si>
    <t>Ochraná pásma objektů a inženýrských sítí</t>
  </si>
  <si>
    <t>Trativody z drenážních trubek</t>
  </si>
  <si>
    <t>12_</t>
  </si>
  <si>
    <t>Varianta:</t>
  </si>
  <si>
    <t>DN celkem</t>
  </si>
  <si>
    <t>GROUPCODE</t>
  </si>
  <si>
    <t>0</t>
  </si>
  <si>
    <t>Provozní vlivy</t>
  </si>
  <si>
    <t>5</t>
  </si>
  <si>
    <t>štěrkodrť frakce 0-32 mm</t>
  </si>
  <si>
    <t>Kanalizační přípojka z trub PVC, D 200 mm; vč napojení</t>
  </si>
  <si>
    <t>Druh stavby:</t>
  </si>
  <si>
    <t>V položce je zakalkulováno: hloubení rýh, pažení a rozepření rýh včetně přepažování, svislé přemístění, naložení přebytku po zásypu (0,675 m3/m rýhy) na dopravní prostředek, odvoz do 6 km a uložení na skládku, lože pod potrubí ze štěrkopísku, dodávka a montáž potrubí z trub PVC vnějšího průměru dle popisu,  zřízení kanalizační přípojky (1 kus/20 m potrubí), dodávka a montáž PVC tvarovek odbočných (1 kus/ 20 m potrubí), dodávka a montáž PVC tvarovek jednoosých (1 kus/ 20 m potrubí), obsyp potrubí pískem, zásyp rýhy sypaninou, se zhutněním. V položce není kalkulován poplatek za skládku zeminy. Tyto náklady se oceňují individuálně podle místních podmínek.</t>
  </si>
  <si>
    <t>Zpracováno dne:</t>
  </si>
  <si>
    <t>so 126</t>
  </si>
  <si>
    <t>lože štěrkopís.,obsyp kamenivem,světlost trub 20cm</t>
  </si>
  <si>
    <t>Silniční provoz - DIO, DIR a dopravní značení</t>
  </si>
  <si>
    <t>Ražení a hloubení tunelářské</t>
  </si>
  <si>
    <t>V položce je zakalkulováno: osazení betonového dna, betonové skruže, šachetního konusu, vyrovnávacího prstence vložení těsnění mezi dílce a osazení litinového poklopu.  V max. 40 vtok/výtok do max. DN 40</t>
  </si>
  <si>
    <t>10</t>
  </si>
  <si>
    <t>36</t>
  </si>
  <si>
    <t>14</t>
  </si>
  <si>
    <t>VORN - Vedlejší a ostatní rozpočtové náklady</t>
  </si>
  <si>
    <t>31</t>
  </si>
  <si>
    <t>831350114RAD</t>
  </si>
  <si>
    <t>Množství</t>
  </si>
  <si>
    <t>38</t>
  </si>
  <si>
    <t>so 126_9_</t>
  </si>
  <si>
    <t>Úprava pláně v zářezech v hor. 1-4, se zhutněním</t>
  </si>
  <si>
    <t>21_</t>
  </si>
  <si>
    <t>Typ skupiny</t>
  </si>
  <si>
    <t>Hloubení zapažených jam v hor.5 do 1000 m3</t>
  </si>
  <si>
    <t>69370512</t>
  </si>
  <si>
    <t>83_</t>
  </si>
  <si>
    <t>56</t>
  </si>
  <si>
    <t>19</t>
  </si>
  <si>
    <t>C</t>
  </si>
  <si>
    <t>Náklady (Kč)</t>
  </si>
  <si>
    <t>39</t>
  </si>
  <si>
    <t>30</t>
  </si>
  <si>
    <t>Ostatní konstrukce a práce na trubním vedení</t>
  </si>
  <si>
    <t>IČO/DIČ:</t>
  </si>
  <si>
    <t>Ostatní</t>
  </si>
  <si>
    <t>567122111R00</t>
  </si>
  <si>
    <t>Kladení zámkové dlažby tl. 6 cm do drtě tl. 4 cm</t>
  </si>
  <si>
    <t>Zpracoval:</t>
  </si>
  <si>
    <t>Dlažba vibrolisovaná, standardní povrc</t>
  </si>
  <si>
    <t>Podkladní vrstvy komunikací, letišť a ploch</t>
  </si>
  <si>
    <t>Uložení sypaniny do násypů nebo na skládku s rozprostřením sypaniny ve vrstvách a s hrubým urovnáním</t>
  </si>
  <si>
    <t>Soubor</t>
  </si>
  <si>
    <t>Protlak z ocel. trub beraněný, v hor.1-4, D 324 mm</t>
  </si>
  <si>
    <t>043002VRN</t>
  </si>
  <si>
    <t>594411111RT2</t>
  </si>
  <si>
    <t>131401202R00</t>
  </si>
  <si>
    <t>Zhotovitel</t>
  </si>
  <si>
    <t>RTS I / 2023</t>
  </si>
  <si>
    <t>2</t>
  </si>
  <si>
    <t>Projektant:</t>
  </si>
  <si>
    <t>ORN celkem</t>
  </si>
  <si>
    <t>Zkrácený popis / Varianta</t>
  </si>
  <si>
    <t/>
  </si>
  <si>
    <t>V položce jsou zakalkulovány i náklady na spotřebu vody</t>
  </si>
  <si>
    <t>Kanalizace z trub PVC hrdlových D 250 mm</t>
  </si>
  <si>
    <t>17</t>
  </si>
  <si>
    <t>013002VRN</t>
  </si>
  <si>
    <t>59245264</t>
  </si>
  <si>
    <t>21</t>
  </si>
  <si>
    <t>Potrubí z trub kameninových</t>
  </si>
  <si>
    <t>Práce přesčas</t>
  </si>
  <si>
    <t>Impregnace Protect System I</t>
  </si>
  <si>
    <t>so 005_ _</t>
  </si>
  <si>
    <t>so 305_1_</t>
  </si>
  <si>
    <t>tloušťky 200 mm, tř. 1, včetně dodávky kamene</t>
  </si>
  <si>
    <t>07VRN</t>
  </si>
  <si>
    <t>12</t>
  </si>
  <si>
    <t>01VRN</t>
  </si>
  <si>
    <t>Kulturní památka</t>
  </si>
  <si>
    <t>TRUBKY BEZEŠVÉ HLADKÉ KRUHOVÉ ČSN 42 5715.01, ČSN 42 0250, ČSN 41 1353.1</t>
  </si>
  <si>
    <t>DPH 21%</t>
  </si>
  <si>
    <t>rýha šířky 0,9 m, hloubky 1,5 m</t>
  </si>
  <si>
    <t>181101102R00</t>
  </si>
  <si>
    <t>hloubka dna 2,26 m poklop litina 40 t</t>
  </si>
  <si>
    <t>Poplatek za skládku horniny 5 - 7</t>
  </si>
  <si>
    <t>Zabezpečení staveniště</t>
  </si>
  <si>
    <t>ORN celkem z obj.</t>
  </si>
  <si>
    <t>dříve MOKRUTEX SPECIAL DS  Je vyroben ze 100% POP střiže. Plní funkci separační. Použití: při výstavbě silnic, dálnic, železnic, parkovišť, mostů, tunelů, místních komunikací, lesních cest, letištních ploch, benzinových čerpadel, zpevnění hrází, skládek NO, TKO a jejich sanac</t>
  </si>
  <si>
    <t>Podkladní a vedlejší konstrukce (kromě vozovek a železničního svršku)</t>
  </si>
  <si>
    <t>so 126_2_</t>
  </si>
  <si>
    <t>19_</t>
  </si>
  <si>
    <t>Přesuny</t>
  </si>
  <si>
    <t>MAT</t>
  </si>
  <si>
    <t>8</t>
  </si>
  <si>
    <t>Celkem:</t>
  </si>
  <si>
    <t>Mimostav. doprava</t>
  </si>
  <si>
    <t>18</t>
  </si>
  <si>
    <t>DN celkem z obj.</t>
  </si>
  <si>
    <t>včetně obrubníku ABO 2 - 15 100/15/25</t>
  </si>
  <si>
    <t>457541112R00</t>
  </si>
  <si>
    <t>46</t>
  </si>
  <si>
    <t>122401102R00</t>
  </si>
  <si>
    <t>Vpusť uliční z dílců DN 450,s odkalištěm,napojení</t>
  </si>
  <si>
    <t>m</t>
  </si>
  <si>
    <t>NESTAVEBNÍ NÁKLADY</t>
  </si>
  <si>
    <t>Inženýrské činnosti</t>
  </si>
  <si>
    <t>04VRN_</t>
  </si>
  <si>
    <t>Přemístění výkopku</t>
  </si>
  <si>
    <t>11</t>
  </si>
  <si>
    <t>RTS II / 2022</t>
  </si>
  <si>
    <t>935112211R00</t>
  </si>
  <si>
    <t>32</t>
  </si>
  <si>
    <t>Objednatel:</t>
  </si>
  <si>
    <t>Od CÚ 2015/ II. není v jednotkové ceně započteno řezání dlaždic!!! Rozpočtuje se samostatnou položkou 596 29-1111.R00 Řezání zámkové dlažby tl. 60 mm. V položce jsou zakalkulovány i náklady na dodání hmot pro lože a na dodání materiálu na výplň spár. V položce nejsou zakalkulovány náklady na dodání zámkové dlažby, která se oceňuje ve specifikaci, ztratné se doporučuje ve výši 5%.</t>
  </si>
  <si>
    <t>PSV mat</t>
  </si>
  <si>
    <t>Dlažba BEST KLASIKO přírodní 20x10x8</t>
  </si>
  <si>
    <t>3</t>
  </si>
  <si>
    <t>Zhotovitel:</t>
  </si>
  <si>
    <t>35</t>
  </si>
  <si>
    <t>Začátek výstavby:</t>
  </si>
  <si>
    <t>Přesun hmot, úpravy toků a kanálů, hráze ostatní</t>
  </si>
  <si>
    <t>A</t>
  </si>
  <si>
    <t>Mont mat</t>
  </si>
  <si>
    <t>13_</t>
  </si>
  <si>
    <t>199000003R00</t>
  </si>
  <si>
    <t>Slepý stavební rozpočet</t>
  </si>
  <si>
    <t>93</t>
  </si>
  <si>
    <t>212750010RAF</t>
  </si>
  <si>
    <t xml:space="preserve"> </t>
  </si>
  <si>
    <t>16_</t>
  </si>
  <si>
    <t>59227518</t>
  </si>
  <si>
    <t>Kryty pozemních komunikací, letišť a ploch dlážděných (předlažby)</t>
  </si>
  <si>
    <t>Kanalizace z trub PVC hrdlových D 315 mm</t>
  </si>
  <si>
    <t>Objednatel</t>
  </si>
  <si>
    <t>(Kč)</t>
  </si>
  <si>
    <t>so 005</t>
  </si>
  <si>
    <t>Podklad ze štěrkodrti po zhutnění tloušťky 15 cm</t>
  </si>
  <si>
    <t>072002VRN</t>
  </si>
  <si>
    <t>22</t>
  </si>
  <si>
    <t>Územní vlivy</t>
  </si>
  <si>
    <t>592452655</t>
  </si>
  <si>
    <t>m3</t>
  </si>
  <si>
    <t>Datum:</t>
  </si>
  <si>
    <t>91_</t>
  </si>
  <si>
    <t>831350019RAB</t>
  </si>
  <si>
    <t>07VRN_</t>
  </si>
  <si>
    <t>27</t>
  </si>
  <si>
    <t>hloubka 2,0 m</t>
  </si>
  <si>
    <t>37</t>
  </si>
  <si>
    <t>m2</t>
  </si>
  <si>
    <t>V položce je zakalkulováno: zřízení uliční vpusti betonových dílců ze spodního dílu s odkalištěm, středové skruže, hrdlového dílu s odtokem DN 150 mm, přechodového dílu, vyrovnávacího prstence a vtokové mříže bez kalového koše.  Měrnou jednotkou je kus</t>
  </si>
  <si>
    <t>41</t>
  </si>
  <si>
    <t>59_</t>
  </si>
  <si>
    <t>Přesun hmot a sutí</t>
  </si>
  <si>
    <t>NUS z rozpočtu</t>
  </si>
  <si>
    <t>Žlab štěrbinový TZD - Q 400/500/3000</t>
  </si>
  <si>
    <t>1</t>
  </si>
  <si>
    <t>7</t>
  </si>
  <si>
    <t>Rozměry</t>
  </si>
  <si>
    <t>Položka obsahuje: vyhloubení rýhy, svislé přemístění, naložení přebytku po zásypu na dopravní prostředek a odvoz do 10 km, lože pod potrubí z kameniva 4-8 mm, dodávku a montáž potrubí z trub PVC hrdlových vnějšího průměru podle popisu, dodávku a montáž PVC tvarovek jednoosých (1 kus/ 10 m potrubí), zkoušku těsnosti potrubí, obsyp potrubí z kameniva 4-8 mm, dosyp rýhy výkopkem se zhutněním</t>
  </si>
  <si>
    <t>Položek:</t>
  </si>
  <si>
    <t>NUS celkem</t>
  </si>
  <si>
    <t>Projektové práce - DOKUMENTACE SKUT. PROVEDENÍ</t>
  </si>
  <si>
    <t>WORK</t>
  </si>
  <si>
    <t>Povrchové úpravy terénu</t>
  </si>
  <si>
    <t>Geodetické práce - DOKUMENTACE SKUT. PROVEDENÍ, VYTÝČENÍ</t>
  </si>
  <si>
    <t>83</t>
  </si>
  <si>
    <t>Vodorovné přemístění výkopku z hor.5-7 do 10000 m</t>
  </si>
  <si>
    <t>Řezání stávajícího živičného krytu tl. 10 - 15 cm</t>
  </si>
  <si>
    <t>171201101R00</t>
  </si>
  <si>
    <t>93_</t>
  </si>
  <si>
    <t>V položce je zakalkulováno: hloubení rýh, pažení a rozepření rýh včetně přepažování, svislé přemístění, naložení přebytku po zásypu (0,747 m3/m rýhy) na dopravní prostředek, odvoz do 6 km a uložení na skládku, lože pod potrubí ze štěrkopísku, dodávka a montáž potrubí z trub PVC vnějšího průměru dle popisu,  zřízení kanalizační přípojky (1 kus/20 m potrubí), dodávka a montáž PVC tvarovek odbočných (1 kus/ 20 m potrubí), dodávka a montáž PVC tvarovek jednoosých (1 kus/ 20 m potrubí), obsyp potrubí pískem, zásyp rýhy sypaninou, se zhutněním. V položce není kalkulován poplatek za skládku zeminy. Tyto náklady se oceňují individuálně podle místních podmínek.</t>
  </si>
  <si>
    <t>so 126_5_</t>
  </si>
  <si>
    <t>HSV mat</t>
  </si>
  <si>
    <t>56_</t>
  </si>
  <si>
    <t>597121111R00</t>
  </si>
  <si>
    <t>so 305_</t>
  </si>
  <si>
    <t>Geotextilie MOKRUTEX HQ PP 250 g/m2 do 6 m</t>
  </si>
  <si>
    <t>211971110R00</t>
  </si>
  <si>
    <t>14_</t>
  </si>
  <si>
    <t>Dlažba zámková SLP s vodicí linií přírodní 20/20/8</t>
  </si>
  <si>
    <t>89</t>
  </si>
  <si>
    <t>141741117R00</t>
  </si>
  <si>
    <t>PĚŠÍ KOMUNIKACE</t>
  </si>
  <si>
    <t>Šachta, DN 1000 stěna 120 mm, dno přímé V max. 40</t>
  </si>
  <si>
    <t>13.08.2021</t>
  </si>
  <si>
    <t>vč.obrub.nájezd.náběh.CSB H 15/25 1000/150/150-250</t>
  </si>
  <si>
    <t>28</t>
  </si>
  <si>
    <t>Trubka bezešvá hladká 11 353.1, rozměr 324,0 x 8,0 mm</t>
  </si>
  <si>
    <t>CELK</t>
  </si>
  <si>
    <t>Snížený obrubník pro nájezd ze silnice</t>
  </si>
  <si>
    <t>34</t>
  </si>
  <si>
    <t>so 005_</t>
  </si>
  <si>
    <t>DN 150, mříž litina 500x500 40 t, hl. 1,67 m</t>
  </si>
  <si>
    <t>so 126_8_</t>
  </si>
  <si>
    <t>Příkopový žlab TBM 1-65/33</t>
  </si>
  <si>
    <t>Montáž odvodňov. štěrbinových trub (žlabů) dl.3 m</t>
  </si>
  <si>
    <t>Chodník na ul. Hradištská - ZNOJMO</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</si>
</sst>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_);\-#,##0.00\ &quot;Kč&quot;"/>
    <numFmt numFmtId="165" formatCode="#,##0\ &quot;Kč&quot;_);\-#,##0\ &quot;Kč&quot;"/>
    <numFmt numFmtId="166" formatCode="#,##0\ &quot;Kč&quot;_);[Red]\-#,##0\ &quot;Kč&quot;"/>
    <numFmt numFmtId="167" formatCode="#,##0.00\ &quot;Kč&quot;_);[Red]\-#,##0.00\ &quot;Kč&quot;"/>
    <numFmt numFmtId="168" formatCode="_(* #,##0\ _);_(\-* #,##0\ ;_(* &quot;-&quot;\ _);_(@_)"/>
    <numFmt numFmtId="169" formatCode="_(* #,##0\ &quot;Kč&quot;_);_(\-* #,##0\ &quot;Kč&quot;;_(* &quot;-&quot;\ &quot;Kč&quot;_);_(@_)"/>
    <numFmt numFmtId="170" formatCode="_(* #,##0.00\ &quot;Kč&quot;_);_(\-* #,##0.00\ &quot;Kč&quot;;_(* &quot;-&quot;??\ &quot;Kč&quot;_);_(@_)"/>
    <numFmt numFmtId="171" formatCode="_(* #,##0.00\ _);_(\-* #,##0.00\ ;_(* &quot;-&quot;??\ _);_(@_)"/>
  </numFmts>
  <fonts count="56">
    <font>
      <sz val="8"/>
      <name val="Arial"/>
      <family val="0"/>
    </font>
    <font>
      <sz val="11"/>
      <name val="Calibri"/>
      <family val="0"/>
    </font>
    <font>
      <b/>
      <sz val="10"/>
      <color indexed="8"/>
      <name val="Arial"/>
      <family val="0"/>
    </font>
    <font>
      <b/>
      <sz val="18"/>
      <color indexed="8"/>
      <name val="Arial"/>
      <family val="0"/>
    </font>
    <font>
      <sz val="10"/>
      <color indexed="8"/>
      <name val="Arial"/>
      <family val="0"/>
    </font>
    <font>
      <b/>
      <sz val="12"/>
      <color indexed="8"/>
      <name val="Arial"/>
      <family val="0"/>
    </font>
    <font>
      <sz val="12"/>
      <color indexed="8"/>
      <name val="Arial"/>
      <family val="0"/>
    </font>
    <font>
      <b/>
      <sz val="11"/>
      <color indexed="8"/>
      <name val="Arial"/>
      <family val="0"/>
    </font>
    <font>
      <i/>
      <sz val="10"/>
      <color indexed="8"/>
      <name val="Arial"/>
      <family val="0"/>
    </font>
    <font>
      <b/>
      <sz val="20"/>
      <color indexed="8"/>
      <name val="Arial"/>
      <family val="0"/>
    </font>
    <font>
      <sz val="18"/>
      <color indexed="8"/>
      <name val="Arial"/>
      <family val="0"/>
    </font>
    <font>
      <i/>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0"/>
    </font>
    <font>
      <sz val="10"/>
      <color rgb="FF000000"/>
      <name val="Arial"/>
      <family val="0"/>
    </font>
    <font>
      <b/>
      <sz val="12"/>
      <color rgb="FF000000"/>
      <name val="Arial"/>
      <family val="0"/>
    </font>
    <font>
      <sz val="12"/>
      <color rgb="FF000000"/>
      <name val="Arial"/>
      <family val="0"/>
    </font>
    <font>
      <i/>
      <sz val="10"/>
      <color rgb="FF000000"/>
      <name val="Arial"/>
      <family val="0"/>
    </font>
    <font>
      <b/>
      <sz val="20"/>
      <color rgb="FF000000"/>
      <name val="Arial"/>
      <family val="0"/>
    </font>
    <font>
      <i/>
      <sz val="8"/>
      <color rgb="FF000000"/>
      <name val="Arial"/>
      <family val="0"/>
    </font>
    <font>
      <sz val="18"/>
      <color rgb="FF000000"/>
      <name val="Arial"/>
      <family val="0"/>
    </font>
    <font>
      <b/>
      <sz val="18"/>
      <color rgb="FF000000"/>
      <name val="Arial"/>
      <family val="0"/>
    </font>
    <font>
      <b/>
      <sz val="11"/>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C0C0"/>
        <bgColor indexed="64"/>
      </patternFill>
    </fill>
    <fill>
      <patternFill patternType="solid">
        <fgColor rgb="FFFFFFFF"/>
        <bgColor indexed="64"/>
      </patternFill>
    </fill>
    <fill>
      <patternFill patternType="solid">
        <fgColor rgb="FFFFFFFF"/>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color rgb="FF000000"/>
      </right>
      <top/>
      <bottom/>
    </border>
    <border>
      <left style="thin">
        <color rgb="FF000000"/>
      </left>
      <right/>
      <top/>
      <bottom>
        <color rgb="FFC0C0C0"/>
      </bottom>
    </border>
    <border>
      <left/>
      <right style="thin">
        <color rgb="FF000000"/>
      </right>
      <top>
        <color rgb="FF000000"/>
      </top>
      <bottom style="thin">
        <color rgb="FF000000"/>
      </bottom>
    </border>
    <border>
      <left>
        <color rgb="FF000000"/>
      </left>
      <right style="thin">
        <color rgb="FF000000"/>
      </right>
      <top/>
      <bottom style="medium">
        <color rgb="FF000000"/>
      </bottom>
    </border>
    <border>
      <left>
        <color rgb="FF000000"/>
      </left>
      <right>
        <color rgb="FF000000"/>
      </right>
      <top style="medium">
        <color rgb="FF000000"/>
      </top>
      <bottom/>
    </border>
    <border>
      <left>
        <color rgb="FFC0C0C0"/>
      </left>
      <right style="thin">
        <color rgb="FFC0C0C0"/>
      </right>
      <top>
        <color rgb="FFC0C0C0"/>
      </top>
      <bottom>
        <color rgb="FFC0C0C0"/>
      </bottom>
    </border>
    <border>
      <left>
        <color rgb="FF000000"/>
      </left>
      <right/>
      <top/>
      <bottom style="medium">
        <color rgb="FF000000"/>
      </bottom>
    </border>
    <border>
      <left style="thin">
        <color rgb="FFC0C0C0"/>
      </left>
      <right>
        <color rgb="FFC0C0C0"/>
      </right>
      <top>
        <color rgb="FFC0C0C0"/>
      </top>
      <bottom>
        <color rgb="FFC0C0C0"/>
      </bottom>
    </border>
    <border>
      <left/>
      <right style="thin">
        <color rgb="FF000000"/>
      </right>
      <top style="thin">
        <color rgb="FF000000"/>
      </top>
      <bottom style="thin">
        <color rgb="FF000000"/>
      </bottom>
    </border>
    <border>
      <left>
        <color rgb="FF000000"/>
      </left>
      <right style="thin">
        <color rgb="FF000000"/>
      </right>
      <top style="medium">
        <color rgb="FF000000"/>
      </top>
      <bottom/>
    </border>
    <border>
      <left style="thin">
        <color rgb="FF000000"/>
      </left>
      <right style="thin">
        <color rgb="FF000000"/>
      </right>
      <top/>
      <bottom style="thin">
        <color rgb="FF000000"/>
      </bottom>
    </border>
    <border>
      <left style="medium">
        <color rgb="FF000000"/>
      </left>
      <right style="thin">
        <color rgb="FF000000"/>
      </right>
      <top>
        <color rgb="FF000000"/>
      </top>
      <bottom style="medium">
        <color rgb="FF000000"/>
      </bottom>
    </border>
    <border>
      <left style="thin">
        <color rgb="FF000000"/>
      </left>
      <right style="thin">
        <color rgb="FF000000"/>
      </right>
      <top>
        <color rgb="FF000000"/>
      </top>
      <bottom/>
    </border>
    <border>
      <left>
        <color rgb="FF000000"/>
      </left>
      <right/>
      <top>
        <color rgb="FF000000"/>
      </top>
      <bottom style="thin">
        <color rgb="FF000000"/>
      </bottom>
    </border>
    <border>
      <left style="thin">
        <color rgb="FF000000"/>
      </left>
      <right/>
      <top/>
      <bottom style="thin">
        <color rgb="FF000000"/>
      </bottom>
    </border>
    <border>
      <left style="thin">
        <color rgb="FF000000"/>
      </left>
      <right style="thin">
        <color rgb="FF000000"/>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s>
  <cellStyleXfs count="61">
    <xf numFmtId="0" fontId="0"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37">
    <xf numFmtId="0" fontId="1" fillId="0" borderId="0" xfId="0" applyNumberFormat="1" applyFont="1" applyFill="1" applyBorder="1" applyAlignment="1" applyProtection="1">
      <alignment/>
      <protection/>
    </xf>
    <xf numFmtId="4" fontId="46" fillId="0" borderId="0" xfId="0" applyNumberFormat="1" applyFont="1" applyFill="1" applyBorder="1" applyAlignment="1" applyProtection="1">
      <alignment horizontal="right" vertical="center"/>
      <protection/>
    </xf>
    <xf numFmtId="0" fontId="46" fillId="33" borderId="0" xfId="0" applyNumberFormat="1" applyFont="1" applyFill="1" applyBorder="1" applyAlignment="1" applyProtection="1">
      <alignment horizontal="left" vertical="center"/>
      <protection/>
    </xf>
    <xf numFmtId="0" fontId="46" fillId="33" borderId="10" xfId="0" applyNumberFormat="1" applyFont="1" applyFill="1" applyBorder="1" applyAlignment="1" applyProtection="1">
      <alignment horizontal="right" vertical="center"/>
      <protection/>
    </xf>
    <xf numFmtId="0" fontId="46" fillId="0" borderId="0" xfId="0" applyNumberFormat="1" applyFont="1" applyFill="1" applyBorder="1" applyAlignment="1" applyProtection="1">
      <alignment horizontal="right" vertical="center"/>
      <protection/>
    </xf>
    <xf numFmtId="0" fontId="47" fillId="33" borderId="11" xfId="0" applyNumberFormat="1" applyFont="1" applyFill="1" applyBorder="1" applyAlignment="1" applyProtection="1">
      <alignment horizontal="left" vertical="center"/>
      <protection/>
    </xf>
    <xf numFmtId="4" fontId="48" fillId="33" borderId="12" xfId="0" applyNumberFormat="1" applyFont="1" applyFill="1" applyBorder="1" applyAlignment="1" applyProtection="1">
      <alignment horizontal="right" vertical="center"/>
      <protection/>
    </xf>
    <xf numFmtId="0" fontId="46" fillId="0" borderId="13" xfId="0" applyNumberFormat="1" applyFont="1" applyFill="1" applyBorder="1" applyAlignment="1" applyProtection="1">
      <alignment horizontal="center" vertical="center"/>
      <protection/>
    </xf>
    <xf numFmtId="4" fontId="49" fillId="0" borderId="12" xfId="0" applyNumberFormat="1" applyFont="1" applyFill="1" applyBorder="1" applyAlignment="1" applyProtection="1">
      <alignment horizontal="right" vertical="center"/>
      <protection/>
    </xf>
    <xf numFmtId="0" fontId="46" fillId="34" borderId="0" xfId="0" applyNumberFormat="1" applyFont="1" applyFill="1" applyBorder="1" applyAlignment="1" applyProtection="1">
      <alignment horizontal="left" vertical="center"/>
      <protection/>
    </xf>
    <xf numFmtId="0" fontId="46" fillId="0" borderId="14" xfId="0" applyNumberFormat="1" applyFont="1" applyFill="1" applyBorder="1" applyAlignment="1" applyProtection="1">
      <alignment horizontal="center" vertical="center"/>
      <protection/>
    </xf>
    <xf numFmtId="0" fontId="47" fillId="0" borderId="11" xfId="0" applyNumberFormat="1" applyFont="1" applyFill="1" applyBorder="1" applyAlignment="1" applyProtection="1">
      <alignment horizontal="left" vertical="center"/>
      <protection/>
    </xf>
    <xf numFmtId="0" fontId="46" fillId="34" borderId="15" xfId="0" applyNumberFormat="1" applyFont="1" applyFill="1" applyBorder="1" applyAlignment="1" applyProtection="1">
      <alignment horizontal="right" vertical="center"/>
      <protection/>
    </xf>
    <xf numFmtId="0" fontId="47" fillId="34" borderId="0" xfId="0" applyNumberFormat="1" applyFont="1" applyFill="1" applyBorder="1" applyAlignment="1" applyProtection="1">
      <alignment horizontal="left" vertical="center"/>
      <protection/>
    </xf>
    <xf numFmtId="0" fontId="47" fillId="33" borderId="0" xfId="0" applyNumberFormat="1" applyFont="1" applyFill="1" applyBorder="1" applyAlignment="1" applyProtection="1">
      <alignment horizontal="left" vertical="center"/>
      <protection/>
    </xf>
    <xf numFmtId="0" fontId="46" fillId="0" borderId="16" xfId="0" applyNumberFormat="1" applyFont="1" applyFill="1" applyBorder="1" applyAlignment="1" applyProtection="1">
      <alignment horizontal="center" vertical="center"/>
      <protection/>
    </xf>
    <xf numFmtId="0" fontId="47" fillId="35" borderId="17"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protection/>
    </xf>
    <xf numFmtId="0" fontId="50" fillId="0" borderId="0" xfId="0" applyNumberFormat="1" applyFont="1" applyFill="1" applyBorder="1" applyAlignment="1" applyProtection="1">
      <alignment horizontal="right" vertical="center"/>
      <protection/>
    </xf>
    <xf numFmtId="0" fontId="49" fillId="0" borderId="12" xfId="0" applyNumberFormat="1" applyFont="1" applyFill="1" applyBorder="1" applyAlignment="1" applyProtection="1">
      <alignment horizontal="left" vertical="center"/>
      <protection/>
    </xf>
    <xf numFmtId="0" fontId="51" fillId="33" borderId="18" xfId="0" applyNumberFormat="1" applyFont="1" applyFill="1" applyBorder="1" applyAlignment="1" applyProtection="1">
      <alignment horizontal="center" vertical="center"/>
      <protection/>
    </xf>
    <xf numFmtId="0" fontId="46" fillId="0" borderId="19"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left" vertical="center"/>
      <protection/>
    </xf>
    <xf numFmtId="4" fontId="49" fillId="0" borderId="13" xfId="0" applyNumberFormat="1" applyFont="1" applyFill="1" applyBorder="1" applyAlignment="1" applyProtection="1">
      <alignment horizontal="right" vertical="center"/>
      <protection/>
    </xf>
    <xf numFmtId="0" fontId="46" fillId="33" borderId="10" xfId="0" applyNumberFormat="1" applyFont="1" applyFill="1" applyBorder="1" applyAlignment="1" applyProtection="1">
      <alignment horizontal="right" vertical="center"/>
      <protection/>
    </xf>
    <xf numFmtId="4" fontId="46" fillId="34" borderId="0" xfId="0" applyNumberFormat="1" applyFont="1" applyFill="1" applyBorder="1" applyAlignment="1" applyProtection="1">
      <alignment horizontal="right" vertical="center"/>
      <protection/>
    </xf>
    <xf numFmtId="0" fontId="48" fillId="0" borderId="20" xfId="0" applyNumberFormat="1" applyFont="1" applyFill="1" applyBorder="1" applyAlignment="1" applyProtection="1">
      <alignment horizontal="left" vertical="center"/>
      <protection/>
    </xf>
    <xf numFmtId="4" fontId="49" fillId="0" borderId="18" xfId="0" applyNumberFormat="1" applyFont="1" applyFill="1" applyBorder="1" applyAlignment="1" applyProtection="1">
      <alignment horizontal="right" vertical="center"/>
      <protection/>
    </xf>
    <xf numFmtId="0" fontId="47" fillId="35" borderId="17" xfId="0" applyNumberFormat="1" applyFont="1" applyFill="1" applyBorder="1" applyAlignment="1" applyProtection="1">
      <alignment horizontal="left" vertical="center"/>
      <protection/>
    </xf>
    <xf numFmtId="0" fontId="46" fillId="33" borderId="0" xfId="0" applyNumberFormat="1" applyFont="1" applyFill="1" applyBorder="1" applyAlignment="1" applyProtection="1">
      <alignment horizontal="left" vertical="center"/>
      <protection/>
    </xf>
    <xf numFmtId="0" fontId="46" fillId="0" borderId="19" xfId="0" applyNumberFormat="1" applyFont="1" applyFill="1" applyBorder="1" applyAlignment="1" applyProtection="1">
      <alignment horizontal="center" vertical="center"/>
      <protection/>
    </xf>
    <xf numFmtId="0" fontId="46" fillId="0" borderId="21" xfId="0" applyNumberFormat="1" applyFont="1" applyFill="1" applyBorder="1" applyAlignment="1" applyProtection="1">
      <alignment horizontal="center" vertical="center"/>
      <protection/>
    </xf>
    <xf numFmtId="0" fontId="49" fillId="0" borderId="12" xfId="0" applyNumberFormat="1" applyFont="1" applyFill="1" applyBorder="1" applyAlignment="1" applyProtection="1">
      <alignment horizontal="right" vertical="center"/>
      <protection/>
    </xf>
    <xf numFmtId="0" fontId="47" fillId="35" borderId="0" xfId="0" applyNumberFormat="1" applyFont="1" applyFill="1" applyBorder="1" applyAlignment="1" applyProtection="1">
      <alignment horizontal="left" vertical="center"/>
      <protection/>
    </xf>
    <xf numFmtId="0" fontId="46" fillId="33" borderId="0" xfId="0" applyNumberFormat="1" applyFont="1" applyFill="1" applyBorder="1" applyAlignment="1" applyProtection="1">
      <alignment horizontal="right" vertical="center"/>
      <protection/>
    </xf>
    <xf numFmtId="4" fontId="47" fillId="35" borderId="0" xfId="0" applyNumberFormat="1" applyFont="1" applyFill="1" applyBorder="1" applyAlignment="1" applyProtection="1">
      <alignment horizontal="right" vertical="center"/>
      <protection/>
    </xf>
    <xf numFmtId="0" fontId="47" fillId="0" borderId="10" xfId="0" applyNumberFormat="1" applyFont="1" applyFill="1" applyBorder="1" applyAlignment="1" applyProtection="1">
      <alignment horizontal="right" vertical="center"/>
      <protection/>
    </xf>
    <xf numFmtId="4" fontId="47" fillId="0" borderId="0" xfId="0" applyNumberFormat="1" applyFont="1" applyFill="1" applyBorder="1" applyAlignment="1" applyProtection="1">
      <alignment horizontal="right" vertical="center"/>
      <protection/>
    </xf>
    <xf numFmtId="0" fontId="47" fillId="35" borderId="15" xfId="0" applyNumberFormat="1" applyFont="1" applyFill="1" applyBorder="1" applyAlignment="1" applyProtection="1">
      <alignment horizontal="right" vertical="center"/>
      <protection/>
    </xf>
    <xf numFmtId="0" fontId="48" fillId="0" borderId="22" xfId="0" applyNumberFormat="1" applyFont="1" applyFill="1" applyBorder="1" applyAlignment="1" applyProtection="1">
      <alignment horizontal="left" vertical="center"/>
      <protection/>
    </xf>
    <xf numFmtId="0" fontId="50" fillId="0" borderId="23" xfId="0" applyNumberFormat="1" applyFont="1" applyFill="1" applyBorder="1" applyAlignment="1" applyProtection="1">
      <alignment horizontal="right" vertical="center"/>
      <protection/>
    </xf>
    <xf numFmtId="0" fontId="46" fillId="33" borderId="0"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protection/>
    </xf>
    <xf numFmtId="0" fontId="47" fillId="33" borderId="11" xfId="0" applyNumberFormat="1" applyFont="1" applyFill="1" applyBorder="1" applyAlignment="1" applyProtection="1">
      <alignment horizontal="left" vertical="center"/>
      <protection/>
    </xf>
    <xf numFmtId="0" fontId="47" fillId="34" borderId="17" xfId="0" applyNumberFormat="1" applyFont="1" applyFill="1" applyBorder="1" applyAlignment="1" applyProtection="1">
      <alignment horizontal="left" vertical="center"/>
      <protection/>
    </xf>
    <xf numFmtId="0" fontId="47" fillId="0" borderId="25" xfId="0" applyNumberFormat="1" applyFont="1" applyFill="1" applyBorder="1" applyAlignment="1" applyProtection="1">
      <alignment horizontal="left" vertical="center"/>
      <protection/>
    </xf>
    <xf numFmtId="4" fontId="46" fillId="33" borderId="0" xfId="0" applyNumberFormat="1" applyFont="1" applyFill="1" applyBorder="1" applyAlignment="1" applyProtection="1">
      <alignment horizontal="right" vertical="center"/>
      <protection/>
    </xf>
    <xf numFmtId="0" fontId="46" fillId="33" borderId="10" xfId="0" applyNumberFormat="1" applyFont="1" applyFill="1" applyBorder="1" applyAlignment="1" applyProtection="1">
      <alignment horizontal="right" vertical="center"/>
      <protection/>
    </xf>
    <xf numFmtId="0" fontId="47" fillId="35" borderId="15" xfId="0" applyNumberFormat="1" applyFont="1" applyFill="1" applyBorder="1" applyAlignment="1" applyProtection="1">
      <alignment horizontal="right" vertical="center"/>
      <protection/>
    </xf>
    <xf numFmtId="0" fontId="46" fillId="34" borderId="15" xfId="0" applyNumberFormat="1" applyFont="1" applyFill="1" applyBorder="1" applyAlignment="1" applyProtection="1">
      <alignment horizontal="right" vertical="center"/>
      <protection/>
    </xf>
    <xf numFmtId="0" fontId="47" fillId="34" borderId="0" xfId="0" applyNumberFormat="1" applyFont="1" applyFill="1" applyBorder="1" applyAlignment="1" applyProtection="1">
      <alignment horizontal="left" vertical="center"/>
      <protection/>
    </xf>
    <xf numFmtId="4" fontId="47" fillId="35" borderId="0" xfId="0" applyNumberFormat="1" applyFont="1" applyFill="1" applyBorder="1" applyAlignment="1" applyProtection="1">
      <alignment horizontal="right" vertical="center"/>
      <protection/>
    </xf>
    <xf numFmtId="0" fontId="47" fillId="33" borderId="0" xfId="0" applyNumberFormat="1" applyFont="1" applyFill="1" applyBorder="1" applyAlignment="1" applyProtection="1">
      <alignment horizontal="left" vertical="center"/>
      <protection/>
    </xf>
    <xf numFmtId="0" fontId="49" fillId="0" borderId="10" xfId="0" applyNumberFormat="1" applyFont="1" applyFill="1" applyBorder="1" applyAlignment="1" applyProtection="1">
      <alignment horizontal="right" vertical="center"/>
      <protection/>
    </xf>
    <xf numFmtId="0" fontId="46" fillId="0" borderId="26" xfId="0" applyNumberFormat="1" applyFont="1" applyFill="1" applyBorder="1" applyAlignment="1" applyProtection="1">
      <alignment horizontal="center" vertical="center"/>
      <protection/>
    </xf>
    <xf numFmtId="4" fontId="46" fillId="34" borderId="0" xfId="0" applyNumberFormat="1" applyFont="1" applyFill="1" applyBorder="1" applyAlignment="1" applyProtection="1">
      <alignment horizontal="right" vertical="center"/>
      <protection/>
    </xf>
    <xf numFmtId="0" fontId="47" fillId="33" borderId="11" xfId="0" applyNumberFormat="1" applyFont="1" applyFill="1" applyBorder="1" applyAlignment="1" applyProtection="1">
      <alignment horizontal="left" vertical="center"/>
      <protection/>
    </xf>
    <xf numFmtId="4" fontId="49" fillId="0" borderId="10" xfId="0" applyNumberFormat="1" applyFont="1" applyFill="1" applyBorder="1" applyAlignment="1" applyProtection="1">
      <alignment horizontal="right" vertical="center"/>
      <protection/>
    </xf>
    <xf numFmtId="4" fontId="46" fillId="33" borderId="0" xfId="0" applyNumberFormat="1" applyFont="1" applyFill="1" applyBorder="1" applyAlignment="1" applyProtection="1">
      <alignment horizontal="right" vertical="center"/>
      <protection/>
    </xf>
    <xf numFmtId="4" fontId="46" fillId="33" borderId="0" xfId="0" applyNumberFormat="1" applyFont="1" applyFill="1" applyBorder="1" applyAlignment="1" applyProtection="1">
      <alignment horizontal="right" vertical="center"/>
      <protection/>
    </xf>
    <xf numFmtId="0" fontId="51" fillId="33" borderId="27" xfId="0" applyNumberFormat="1" applyFont="1" applyFill="1" applyBorder="1" applyAlignment="1" applyProtection="1">
      <alignment horizontal="center" vertical="center"/>
      <protection/>
    </xf>
    <xf numFmtId="0" fontId="47" fillId="34" borderId="17" xfId="0" applyNumberFormat="1" applyFont="1" applyFill="1" applyBorder="1" applyAlignment="1" applyProtection="1">
      <alignment horizontal="left" vertical="center"/>
      <protection/>
    </xf>
    <xf numFmtId="0" fontId="47" fillId="33" borderId="0" xfId="0" applyNumberFormat="1" applyFont="1" applyFill="1" applyBorder="1" applyAlignment="1" applyProtection="1">
      <alignment horizontal="left" vertical="center"/>
      <protection/>
    </xf>
    <xf numFmtId="0" fontId="47" fillId="35" borderId="0" xfId="0" applyNumberFormat="1" applyFont="1" applyFill="1" applyBorder="1" applyAlignment="1" applyProtection="1">
      <alignment horizontal="left" vertical="center"/>
      <protection/>
    </xf>
    <xf numFmtId="0" fontId="52" fillId="0" borderId="0" xfId="0" applyNumberFormat="1" applyFont="1" applyFill="1" applyBorder="1" applyAlignment="1" applyProtection="1">
      <alignment horizontal="left" vertical="center"/>
      <protection/>
    </xf>
    <xf numFmtId="0" fontId="47" fillId="33" borderId="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right" vertical="center"/>
      <protection/>
    </xf>
    <xf numFmtId="4" fontId="46" fillId="33" borderId="0" xfId="0" applyNumberFormat="1" applyFont="1" applyFill="1" applyBorder="1" applyAlignment="1" applyProtection="1">
      <alignment horizontal="right" vertical="center"/>
      <protection/>
    </xf>
    <xf numFmtId="0" fontId="46" fillId="34" borderId="0" xfId="0" applyNumberFormat="1" applyFont="1" applyFill="1" applyBorder="1" applyAlignment="1" applyProtection="1">
      <alignment horizontal="left" vertical="center"/>
      <protection/>
    </xf>
    <xf numFmtId="0" fontId="47" fillId="0" borderId="13" xfId="0" applyNumberFormat="1" applyFont="1" applyFill="1" applyBorder="1" applyAlignment="1" applyProtection="1">
      <alignment horizontal="left" vertical="center"/>
      <protection/>
    </xf>
    <xf numFmtId="0" fontId="46" fillId="0" borderId="28" xfId="0" applyNumberFormat="1" applyFont="1" applyFill="1" applyBorder="1" applyAlignment="1" applyProtection="1">
      <alignment horizontal="left" vertical="center"/>
      <protection/>
    </xf>
    <xf numFmtId="0" fontId="47" fillId="33" borderId="11" xfId="0" applyNumberFormat="1" applyFont="1" applyFill="1" applyBorder="1" applyAlignment="1" applyProtection="1">
      <alignment horizontal="left" vertical="center"/>
      <protection/>
    </xf>
    <xf numFmtId="0" fontId="46" fillId="33" borderId="10" xfId="0" applyNumberFormat="1" applyFont="1" applyFill="1" applyBorder="1" applyAlignment="1" applyProtection="1">
      <alignment horizontal="right" vertical="center"/>
      <protection/>
    </xf>
    <xf numFmtId="0" fontId="46" fillId="33" borderId="0" xfId="0" applyNumberFormat="1" applyFont="1" applyFill="1" applyBorder="1" applyAlignment="1" applyProtection="1">
      <alignment horizontal="left" vertical="center"/>
      <protection/>
    </xf>
    <xf numFmtId="4" fontId="48" fillId="33" borderId="18" xfId="0" applyNumberFormat="1" applyFont="1" applyFill="1" applyBorder="1" applyAlignment="1" applyProtection="1">
      <alignment horizontal="right" vertical="center"/>
      <protection/>
    </xf>
    <xf numFmtId="0" fontId="53" fillId="0" borderId="0" xfId="0" applyNumberFormat="1" applyFont="1" applyFill="1" applyBorder="1" applyAlignment="1" applyProtection="1">
      <alignment horizontal="center" vertical="center"/>
      <protection/>
    </xf>
    <xf numFmtId="0" fontId="47" fillId="0" borderId="29" xfId="0" applyNumberFormat="1" applyFont="1" applyFill="1" applyBorder="1" applyAlignment="1" applyProtection="1">
      <alignment horizontal="left" vertical="center" wrapText="1"/>
      <protection/>
    </xf>
    <xf numFmtId="0" fontId="47" fillId="0" borderId="30" xfId="0" applyNumberFormat="1" applyFont="1" applyFill="1" applyBorder="1" applyAlignment="1" applyProtection="1">
      <alignment horizontal="left" vertical="center"/>
      <protection/>
    </xf>
    <xf numFmtId="0" fontId="47" fillId="0" borderId="11"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left" vertical="center"/>
      <protection/>
    </xf>
    <xf numFmtId="0" fontId="47" fillId="0" borderId="11" xfId="0" applyNumberFormat="1" applyFont="1" applyFill="1" applyBorder="1" applyAlignment="1" applyProtection="1">
      <alignment horizontal="left" vertical="center" wrapText="1"/>
      <protection/>
    </xf>
    <xf numFmtId="0" fontId="47" fillId="0" borderId="30" xfId="0" applyNumberFormat="1" applyFont="1" applyFill="1" applyBorder="1" applyAlignment="1" applyProtection="1">
      <alignment horizontal="left" vertical="center" wrapText="1"/>
      <protection/>
    </xf>
    <xf numFmtId="0" fontId="47" fillId="0" borderId="0" xfId="0" applyNumberFormat="1" applyFont="1" applyFill="1" applyBorder="1" applyAlignment="1" applyProtection="1">
      <alignment horizontal="left" vertical="center" wrapText="1"/>
      <protection/>
    </xf>
    <xf numFmtId="0" fontId="46" fillId="0" borderId="30" xfId="0" applyNumberFormat="1" applyFont="1" applyFill="1" applyBorder="1" applyAlignment="1" applyProtection="1">
      <alignment horizontal="left" vertical="center" wrapText="1"/>
      <protection/>
    </xf>
    <xf numFmtId="0" fontId="46" fillId="0" borderId="30" xfId="0" applyNumberFormat="1" applyFont="1" applyFill="1" applyBorder="1" applyAlignment="1" applyProtection="1">
      <alignment horizontal="left" vertical="center"/>
      <protection/>
    </xf>
    <xf numFmtId="0" fontId="46" fillId="0" borderId="0" xfId="0" applyNumberFormat="1" applyFont="1" applyFill="1" applyBorder="1" applyAlignment="1" applyProtection="1">
      <alignment horizontal="left" vertical="center"/>
      <protection/>
    </xf>
    <xf numFmtId="0" fontId="47" fillId="0" borderId="31"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protection/>
    </xf>
    <xf numFmtId="0" fontId="46" fillId="0" borderId="14" xfId="0" applyNumberFormat="1" applyFont="1" applyFill="1" applyBorder="1" applyAlignment="1" applyProtection="1">
      <alignment horizontal="left" vertical="center"/>
      <protection/>
    </xf>
    <xf numFmtId="0" fontId="46" fillId="0" borderId="19" xfId="0" applyNumberFormat="1" applyFont="1" applyFill="1" applyBorder="1" applyAlignment="1" applyProtection="1">
      <alignment horizontal="left" vertical="center"/>
      <protection/>
    </xf>
    <xf numFmtId="0" fontId="46" fillId="0" borderId="16" xfId="0" applyNumberFormat="1" applyFont="1" applyFill="1" applyBorder="1" applyAlignment="1" applyProtection="1">
      <alignment horizontal="left" vertical="center"/>
      <protection/>
    </xf>
    <xf numFmtId="0" fontId="46" fillId="0" borderId="13" xfId="0" applyNumberFormat="1" applyFont="1" applyFill="1" applyBorder="1" applyAlignment="1" applyProtection="1">
      <alignment horizontal="left" vertical="center"/>
      <protection/>
    </xf>
    <xf numFmtId="0" fontId="46" fillId="0" borderId="32" xfId="0" applyNumberFormat="1" applyFont="1" applyFill="1" applyBorder="1" applyAlignment="1" applyProtection="1">
      <alignment horizontal="center" vertical="center"/>
      <protection/>
    </xf>
    <xf numFmtId="0" fontId="46" fillId="0" borderId="33" xfId="0" applyNumberFormat="1" applyFont="1" applyFill="1" applyBorder="1" applyAlignment="1" applyProtection="1">
      <alignment horizontal="center" vertical="center"/>
      <protection/>
    </xf>
    <xf numFmtId="0" fontId="46" fillId="0" borderId="34" xfId="0" applyNumberFormat="1" applyFont="1" applyFill="1" applyBorder="1" applyAlignment="1" applyProtection="1">
      <alignment horizontal="center" vertical="center"/>
      <protection/>
    </xf>
    <xf numFmtId="0" fontId="46" fillId="33" borderId="0" xfId="0" applyNumberFormat="1" applyFont="1" applyFill="1" applyBorder="1" applyAlignment="1" applyProtection="1">
      <alignment horizontal="left" vertical="center"/>
      <protection/>
    </xf>
    <xf numFmtId="0" fontId="47" fillId="35" borderId="0" xfId="0" applyNumberFormat="1" applyFont="1" applyFill="1" applyBorder="1" applyAlignment="1" applyProtection="1">
      <alignment horizontal="left" vertical="center"/>
      <protection/>
    </xf>
    <xf numFmtId="0" fontId="50" fillId="0" borderId="0" xfId="0" applyNumberFormat="1" applyFont="1" applyFill="1" applyBorder="1" applyAlignment="1" applyProtection="1">
      <alignment horizontal="left" vertical="center" wrapText="1"/>
      <protection/>
    </xf>
    <xf numFmtId="0" fontId="50" fillId="0" borderId="0" xfId="0" applyNumberFormat="1" applyFont="1" applyFill="1" applyBorder="1" applyAlignment="1" applyProtection="1">
      <alignment horizontal="left" vertical="center"/>
      <protection/>
    </xf>
    <xf numFmtId="0" fontId="50" fillId="0" borderId="10" xfId="0" applyNumberFormat="1" applyFont="1" applyFill="1" applyBorder="1" applyAlignment="1" applyProtection="1">
      <alignment horizontal="left" vertical="center"/>
      <protection/>
    </xf>
    <xf numFmtId="0" fontId="46" fillId="34" borderId="0" xfId="0" applyNumberFormat="1" applyFont="1" applyFill="1" applyBorder="1" applyAlignment="1" applyProtection="1">
      <alignment horizontal="left" vertical="center"/>
      <protection/>
    </xf>
    <xf numFmtId="0" fontId="50" fillId="0" borderId="23" xfId="0" applyNumberFormat="1" applyFont="1" applyFill="1" applyBorder="1" applyAlignment="1" applyProtection="1">
      <alignment horizontal="left" vertical="center" wrapText="1"/>
      <protection/>
    </xf>
    <xf numFmtId="0" fontId="50" fillId="0" borderId="23" xfId="0" applyNumberFormat="1" applyFont="1" applyFill="1" applyBorder="1" applyAlignment="1" applyProtection="1">
      <alignment horizontal="left" vertical="center"/>
      <protection/>
    </xf>
    <xf numFmtId="0" fontId="50" fillId="0" borderId="12" xfId="0" applyNumberFormat="1" applyFont="1" applyFill="1" applyBorder="1" applyAlignment="1" applyProtection="1">
      <alignment horizontal="left" vertical="center"/>
      <protection/>
    </xf>
    <xf numFmtId="0" fontId="53" fillId="0" borderId="0" xfId="0" applyNumberFormat="1" applyFont="1" applyFill="1" applyBorder="1" applyAlignment="1" applyProtection="1">
      <alignment horizontal="center" vertical="center" wrapText="1"/>
      <protection/>
    </xf>
    <xf numFmtId="0" fontId="47" fillId="0" borderId="24" xfId="0" applyNumberFormat="1" applyFont="1" applyFill="1" applyBorder="1" applyAlignment="1" applyProtection="1">
      <alignment horizontal="left" vertical="center"/>
      <protection/>
    </xf>
    <xf numFmtId="0" fontId="47" fillId="0" borderId="23" xfId="0" applyNumberFormat="1" applyFont="1" applyFill="1" applyBorder="1" applyAlignment="1" applyProtection="1">
      <alignment horizontal="left" vertical="center"/>
      <protection/>
    </xf>
    <xf numFmtId="1" fontId="47" fillId="0" borderId="10"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wrapText="1"/>
      <protection/>
    </xf>
    <xf numFmtId="0" fontId="47" fillId="0" borderId="12" xfId="0" applyNumberFormat="1" applyFont="1" applyFill="1" applyBorder="1" applyAlignment="1" applyProtection="1">
      <alignment horizontal="left" vertical="center"/>
      <protection/>
    </xf>
    <xf numFmtId="0" fontId="54" fillId="0" borderId="0" xfId="0" applyNumberFormat="1" applyFont="1" applyFill="1" applyBorder="1" applyAlignment="1" applyProtection="1">
      <alignment horizontal="center" vertical="center"/>
      <protection/>
    </xf>
    <xf numFmtId="0" fontId="55" fillId="0" borderId="35" xfId="0" applyNumberFormat="1" applyFont="1" applyFill="1" applyBorder="1" applyAlignment="1" applyProtection="1">
      <alignment horizontal="left" vertical="center"/>
      <protection/>
    </xf>
    <xf numFmtId="0" fontId="55" fillId="0" borderId="18" xfId="0" applyNumberFormat="1" applyFont="1" applyFill="1" applyBorder="1" applyAlignment="1" applyProtection="1">
      <alignment horizontal="left" vertical="center"/>
      <protection/>
    </xf>
    <xf numFmtId="0" fontId="48" fillId="0" borderId="24" xfId="0" applyNumberFormat="1" applyFont="1" applyFill="1" applyBorder="1" applyAlignment="1" applyProtection="1">
      <alignment horizontal="left" vertical="center"/>
      <protection/>
    </xf>
    <xf numFmtId="0" fontId="48" fillId="0" borderId="12" xfId="0" applyNumberFormat="1" applyFont="1" applyFill="1" applyBorder="1" applyAlignment="1" applyProtection="1">
      <alignment horizontal="left" vertical="center"/>
      <protection/>
    </xf>
    <xf numFmtId="0" fontId="48" fillId="0" borderId="11" xfId="0" applyNumberFormat="1" applyFont="1" applyFill="1" applyBorder="1" applyAlignment="1" applyProtection="1">
      <alignment horizontal="left" vertical="center"/>
      <protection/>
    </xf>
    <xf numFmtId="0" fontId="48" fillId="0" borderId="10" xfId="0" applyNumberFormat="1" applyFont="1" applyFill="1" applyBorder="1" applyAlignment="1" applyProtection="1">
      <alignment horizontal="left" vertical="center"/>
      <protection/>
    </xf>
    <xf numFmtId="0" fontId="48" fillId="0" borderId="36" xfId="0" applyNumberFormat="1" applyFont="1" applyFill="1" applyBorder="1" applyAlignment="1" applyProtection="1">
      <alignment horizontal="left" vertical="center"/>
      <protection/>
    </xf>
    <xf numFmtId="0" fontId="48" fillId="0" borderId="18" xfId="0" applyNumberFormat="1" applyFont="1" applyFill="1" applyBorder="1" applyAlignment="1" applyProtection="1">
      <alignment horizontal="left" vertical="center"/>
      <protection/>
    </xf>
    <xf numFmtId="0" fontId="49" fillId="0" borderId="23" xfId="0" applyNumberFormat="1" applyFont="1" applyFill="1" applyBorder="1" applyAlignment="1" applyProtection="1">
      <alignment horizontal="left" vertical="center"/>
      <protection/>
    </xf>
    <xf numFmtId="0" fontId="49" fillId="0" borderId="12" xfId="0" applyNumberFormat="1" applyFont="1" applyFill="1" applyBorder="1" applyAlignment="1" applyProtection="1">
      <alignment horizontal="left" vertical="center"/>
      <protection/>
    </xf>
    <xf numFmtId="0" fontId="49" fillId="0" borderId="0" xfId="0" applyNumberFormat="1" applyFont="1" applyFill="1" applyBorder="1" applyAlignment="1" applyProtection="1">
      <alignment horizontal="left" vertical="center"/>
      <protection/>
    </xf>
    <xf numFmtId="0" fontId="49" fillId="0" borderId="10" xfId="0" applyNumberFormat="1" applyFont="1" applyFill="1" applyBorder="1" applyAlignment="1" applyProtection="1">
      <alignment horizontal="left" vertical="center"/>
      <protection/>
    </xf>
    <xf numFmtId="0" fontId="48" fillId="0" borderId="35" xfId="0" applyNumberFormat="1" applyFont="1" applyFill="1" applyBorder="1" applyAlignment="1" applyProtection="1">
      <alignment horizontal="left" vertical="center"/>
      <protection/>
    </xf>
    <xf numFmtId="0" fontId="48" fillId="0" borderId="23" xfId="0" applyNumberFormat="1" applyFont="1" applyFill="1" applyBorder="1" applyAlignment="1" applyProtection="1">
      <alignment horizontal="left" vertical="center"/>
      <protection/>
    </xf>
    <xf numFmtId="0" fontId="48" fillId="33" borderId="36" xfId="0" applyNumberFormat="1" applyFont="1" applyFill="1" applyBorder="1" applyAlignment="1" applyProtection="1">
      <alignment horizontal="left" vertical="center"/>
      <protection/>
    </xf>
    <xf numFmtId="0" fontId="48" fillId="33" borderId="35" xfId="0" applyNumberFormat="1" applyFont="1" applyFill="1" applyBorder="1" applyAlignment="1" applyProtection="1">
      <alignment horizontal="left" vertical="center"/>
      <protection/>
    </xf>
    <xf numFmtId="0" fontId="48" fillId="33" borderId="24" xfId="0" applyNumberFormat="1" applyFont="1" applyFill="1" applyBorder="1" applyAlignment="1" applyProtection="1">
      <alignment horizontal="left" vertical="center"/>
      <protection/>
    </xf>
    <xf numFmtId="0" fontId="48" fillId="33" borderId="23" xfId="0" applyNumberFormat="1" applyFont="1" applyFill="1" applyBorder="1" applyAlignment="1" applyProtection="1">
      <alignment horizontal="left" vertical="center"/>
      <protection/>
    </xf>
    <xf numFmtId="0" fontId="49" fillId="0" borderId="37" xfId="0" applyNumberFormat="1" applyFont="1" applyFill="1" applyBorder="1" applyAlignment="1" applyProtection="1">
      <alignment horizontal="left" vertical="center"/>
      <protection/>
    </xf>
    <xf numFmtId="0" fontId="49" fillId="0" borderId="14" xfId="0" applyNumberFormat="1" applyFont="1" applyFill="1" applyBorder="1" applyAlignment="1" applyProtection="1">
      <alignment horizontal="left" vertical="center"/>
      <protection/>
    </xf>
    <xf numFmtId="0" fontId="49" fillId="0" borderId="38" xfId="0" applyNumberFormat="1" applyFont="1" applyFill="1" applyBorder="1" applyAlignment="1" applyProtection="1">
      <alignment horizontal="left" vertical="center"/>
      <protection/>
    </xf>
    <xf numFmtId="0" fontId="49" fillId="0" borderId="39" xfId="0" applyNumberFormat="1" applyFont="1" applyFill="1" applyBorder="1" applyAlignment="1" applyProtection="1">
      <alignment horizontal="left" vertical="center"/>
      <protection/>
    </xf>
    <xf numFmtId="0" fontId="49" fillId="0" borderId="40" xfId="0" applyNumberFormat="1" applyFont="1" applyFill="1" applyBorder="1" applyAlignment="1" applyProtection="1">
      <alignment horizontal="left" vertical="center"/>
      <protection/>
    </xf>
    <xf numFmtId="0" fontId="49" fillId="0" borderId="41" xfId="0" applyNumberFormat="1" applyFont="1" applyFill="1" applyBorder="1" applyAlignment="1" applyProtection="1">
      <alignment horizontal="left" vertical="center"/>
      <protection/>
    </xf>
    <xf numFmtId="0" fontId="49" fillId="0" borderId="16" xfId="0" applyNumberFormat="1" applyFont="1" applyFill="1" applyBorder="1" applyAlignment="1" applyProtection="1">
      <alignment horizontal="left" vertical="center"/>
      <protection/>
    </xf>
    <xf numFmtId="0" fontId="49" fillId="0" borderId="26" xfId="0" applyNumberFormat="1" applyFont="1" applyFill="1" applyBorder="1" applyAlignment="1" applyProtection="1">
      <alignment horizontal="left" vertical="center"/>
      <protection/>
    </xf>
  </cellXfs>
  <cellStyles count="4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1" name="Picture 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S122"/>
  <sheetViews>
    <sheetView showOutlineSymbols="0" zoomScalePageLayoutView="0" workbookViewId="0" topLeftCell="A1">
      <pane ySplit="11" topLeftCell="A96" activePane="bottomLeft" state="frozen"/>
      <selection pane="topLeft" activeCell="A122" sqref="A122:M122"/>
      <selection pane="bottomLeft" activeCell="C4" sqref="C4:D7"/>
    </sheetView>
  </sheetViews>
  <sheetFormatPr defaultColWidth="14.16015625" defaultRowHeight="15" customHeight="1"/>
  <cols>
    <col min="1" max="1" width="4.66015625" style="0" customWidth="1"/>
    <col min="2" max="2" width="20.83203125" style="0" customWidth="1"/>
    <col min="3" max="3" width="1.66796875" style="0" customWidth="1"/>
    <col min="4" max="4" width="67.33203125" style="0" customWidth="1"/>
    <col min="5" max="6" width="14.16015625" style="0" customWidth="1"/>
    <col min="7" max="7" width="7.83203125" style="0" customWidth="1"/>
    <col min="8" max="8" width="15" style="0" customWidth="1"/>
    <col min="9" max="9" width="14" style="0" customWidth="1"/>
    <col min="10" max="12" width="18.33203125" style="0" customWidth="1"/>
    <col min="13" max="13" width="13.66015625" style="0" customWidth="1"/>
    <col min="14" max="24" width="14.16015625" style="0" customWidth="1"/>
    <col min="25" max="74" width="14.16015625" style="0" hidden="1" customWidth="1"/>
  </cols>
  <sheetData>
    <row r="1" spans="1:47" ht="54.75" customHeight="1">
      <c r="A1" s="75" t="s">
        <v>259</v>
      </c>
      <c r="B1" s="75"/>
      <c r="C1" s="75"/>
      <c r="D1" s="75"/>
      <c r="E1" s="75"/>
      <c r="F1" s="75"/>
      <c r="G1" s="75"/>
      <c r="H1" s="75"/>
      <c r="I1" s="75"/>
      <c r="J1" s="75"/>
      <c r="K1" s="75"/>
      <c r="L1" s="75"/>
      <c r="M1" s="75"/>
      <c r="AS1" s="67">
        <f>SUM(AJ1:AJ2)</f>
        <v>0</v>
      </c>
      <c r="AT1" s="67">
        <f>SUM(AK1:AK2)</f>
        <v>0</v>
      </c>
      <c r="AU1" s="67">
        <f>SUM(AL1:AL2)</f>
        <v>0</v>
      </c>
    </row>
    <row r="2" spans="1:13" ht="15" customHeight="1">
      <c r="A2" s="76" t="s">
        <v>14</v>
      </c>
      <c r="B2" s="77"/>
      <c r="C2" s="83" t="s">
        <v>331</v>
      </c>
      <c r="D2" s="84"/>
      <c r="E2" s="77" t="s">
        <v>0</v>
      </c>
      <c r="F2" s="77"/>
      <c r="G2" s="77" t="s">
        <v>262</v>
      </c>
      <c r="H2" s="77"/>
      <c r="I2" s="81" t="s">
        <v>246</v>
      </c>
      <c r="J2" s="77" t="s">
        <v>123</v>
      </c>
      <c r="K2" s="77"/>
      <c r="L2" s="77"/>
      <c r="M2" s="86"/>
    </row>
    <row r="3" spans="1:13" ht="15" customHeight="1">
      <c r="A3" s="78"/>
      <c r="B3" s="79"/>
      <c r="C3" s="85"/>
      <c r="D3" s="85"/>
      <c r="E3" s="79"/>
      <c r="F3" s="79"/>
      <c r="G3" s="79"/>
      <c r="H3" s="79"/>
      <c r="I3" s="79"/>
      <c r="J3" s="79"/>
      <c r="K3" s="79"/>
      <c r="L3" s="79"/>
      <c r="M3" s="87"/>
    </row>
    <row r="4" spans="1:13" ht="15" customHeight="1">
      <c r="A4" s="80" t="s">
        <v>147</v>
      </c>
      <c r="B4" s="79"/>
      <c r="C4" s="82" t="s">
        <v>262</v>
      </c>
      <c r="D4" s="79"/>
      <c r="E4" s="79" t="s">
        <v>253</v>
      </c>
      <c r="F4" s="79"/>
      <c r="G4" s="79" t="s">
        <v>319</v>
      </c>
      <c r="H4" s="79"/>
      <c r="I4" s="82" t="s">
        <v>193</v>
      </c>
      <c r="J4" s="79" t="s">
        <v>123</v>
      </c>
      <c r="K4" s="79"/>
      <c r="L4" s="79"/>
      <c r="M4" s="87"/>
    </row>
    <row r="5" spans="1:13" ht="15" customHeight="1">
      <c r="A5" s="78"/>
      <c r="B5" s="79"/>
      <c r="C5" s="79"/>
      <c r="D5" s="79"/>
      <c r="E5" s="79"/>
      <c r="F5" s="79"/>
      <c r="G5" s="79"/>
      <c r="H5" s="79"/>
      <c r="I5" s="79"/>
      <c r="J5" s="79"/>
      <c r="K5" s="79"/>
      <c r="L5" s="79"/>
      <c r="M5" s="87"/>
    </row>
    <row r="6" spans="1:13" ht="15" customHeight="1">
      <c r="A6" s="80" t="s">
        <v>22</v>
      </c>
      <c r="B6" s="79"/>
      <c r="C6" s="82" t="s">
        <v>262</v>
      </c>
      <c r="D6" s="79"/>
      <c r="E6" s="79" t="s">
        <v>86</v>
      </c>
      <c r="F6" s="79"/>
      <c r="G6" s="79" t="s">
        <v>262</v>
      </c>
      <c r="H6" s="79"/>
      <c r="I6" s="82" t="s">
        <v>251</v>
      </c>
      <c r="J6" s="79" t="s">
        <v>123</v>
      </c>
      <c r="K6" s="79"/>
      <c r="L6" s="79"/>
      <c r="M6" s="87"/>
    </row>
    <row r="7" spans="1:13" ht="15" customHeight="1">
      <c r="A7" s="78"/>
      <c r="B7" s="79"/>
      <c r="C7" s="79"/>
      <c r="D7" s="79"/>
      <c r="E7" s="79"/>
      <c r="F7" s="79"/>
      <c r="G7" s="79"/>
      <c r="H7" s="79"/>
      <c r="I7" s="79"/>
      <c r="J7" s="79"/>
      <c r="K7" s="79"/>
      <c r="L7" s="79"/>
      <c r="M7" s="87"/>
    </row>
    <row r="8" spans="1:13" ht="15" customHeight="1">
      <c r="A8" s="80" t="s">
        <v>131</v>
      </c>
      <c r="B8" s="79"/>
      <c r="C8" s="82" t="s">
        <v>262</v>
      </c>
      <c r="D8" s="79"/>
      <c r="E8" s="79" t="s">
        <v>149</v>
      </c>
      <c r="F8" s="79"/>
      <c r="G8" s="79" t="s">
        <v>319</v>
      </c>
      <c r="H8" s="79"/>
      <c r="I8" s="82" t="s">
        <v>181</v>
      </c>
      <c r="J8" s="79" t="s">
        <v>123</v>
      </c>
      <c r="K8" s="79"/>
      <c r="L8" s="79"/>
      <c r="M8" s="87"/>
    </row>
    <row r="9" spans="1:13" ht="15" customHeight="1">
      <c r="A9" s="78"/>
      <c r="B9" s="79"/>
      <c r="C9" s="79"/>
      <c r="D9" s="79"/>
      <c r="E9" s="79"/>
      <c r="F9" s="79"/>
      <c r="G9" s="79"/>
      <c r="H9" s="79"/>
      <c r="I9" s="79"/>
      <c r="J9" s="79"/>
      <c r="K9" s="79"/>
      <c r="L9" s="79"/>
      <c r="M9" s="87"/>
    </row>
    <row r="10" spans="1:64" ht="15" customHeight="1">
      <c r="A10" s="70" t="s">
        <v>17</v>
      </c>
      <c r="B10" s="21" t="s">
        <v>87</v>
      </c>
      <c r="C10" s="88" t="s">
        <v>195</v>
      </c>
      <c r="D10" s="88"/>
      <c r="E10" s="88"/>
      <c r="F10" s="89"/>
      <c r="G10" s="21" t="s">
        <v>96</v>
      </c>
      <c r="H10" s="30" t="s">
        <v>161</v>
      </c>
      <c r="I10" s="10" t="s">
        <v>84</v>
      </c>
      <c r="J10" s="92" t="s">
        <v>173</v>
      </c>
      <c r="K10" s="93"/>
      <c r="L10" s="94"/>
      <c r="M10" s="30" t="s">
        <v>73</v>
      </c>
      <c r="BK10" s="34" t="s">
        <v>109</v>
      </c>
      <c r="BL10" s="4" t="s">
        <v>141</v>
      </c>
    </row>
    <row r="11" spans="1:62" ht="15" customHeight="1">
      <c r="A11" s="45" t="s">
        <v>262</v>
      </c>
      <c r="B11" s="69" t="s">
        <v>262</v>
      </c>
      <c r="C11" s="90" t="s">
        <v>292</v>
      </c>
      <c r="D11" s="90"/>
      <c r="E11" s="90"/>
      <c r="F11" s="91"/>
      <c r="G11" s="69" t="s">
        <v>262</v>
      </c>
      <c r="H11" s="69" t="s">
        <v>262</v>
      </c>
      <c r="I11" s="15" t="s">
        <v>268</v>
      </c>
      <c r="J11" s="31" t="s">
        <v>11</v>
      </c>
      <c r="K11" s="7" t="s">
        <v>48</v>
      </c>
      <c r="L11" s="54" t="s">
        <v>28</v>
      </c>
      <c r="M11" s="7" t="s">
        <v>71</v>
      </c>
      <c r="Z11" s="34" t="s">
        <v>225</v>
      </c>
      <c r="AA11" s="34" t="s">
        <v>166</v>
      </c>
      <c r="AB11" s="34" t="s">
        <v>307</v>
      </c>
      <c r="AC11" s="34" t="s">
        <v>75</v>
      </c>
      <c r="AD11" s="34" t="s">
        <v>248</v>
      </c>
      <c r="AE11" s="34" t="s">
        <v>103</v>
      </c>
      <c r="AF11" s="34" t="s">
        <v>256</v>
      </c>
      <c r="AG11" s="34" t="s">
        <v>114</v>
      </c>
      <c r="AH11" s="34" t="s">
        <v>72</v>
      </c>
      <c r="BH11" s="34" t="s">
        <v>226</v>
      </c>
      <c r="BI11" s="34" t="s">
        <v>297</v>
      </c>
      <c r="BJ11" s="34" t="s">
        <v>323</v>
      </c>
    </row>
    <row r="12" spans="1:13" ht="15" customHeight="1">
      <c r="A12" s="43" t="s">
        <v>196</v>
      </c>
      <c r="B12" s="2" t="s">
        <v>196</v>
      </c>
      <c r="C12" s="95" t="s">
        <v>238</v>
      </c>
      <c r="D12" s="95"/>
      <c r="E12" s="95"/>
      <c r="F12" s="95"/>
      <c r="G12" s="65" t="s">
        <v>262</v>
      </c>
      <c r="H12" s="65" t="s">
        <v>262</v>
      </c>
      <c r="I12" s="65" t="s">
        <v>262</v>
      </c>
      <c r="J12" s="58">
        <f>J14+J17+J19+J21</f>
        <v>0</v>
      </c>
      <c r="K12" s="58">
        <f>K14+K17+K19+K21</f>
        <v>0</v>
      </c>
      <c r="L12" s="58">
        <f>L14+L17+L19+L21</f>
        <v>0</v>
      </c>
      <c r="M12" s="47" t="s">
        <v>196</v>
      </c>
    </row>
    <row r="13" spans="1:35" ht="15" customHeight="1">
      <c r="A13" s="71" t="s">
        <v>196</v>
      </c>
      <c r="B13" s="29" t="s">
        <v>196</v>
      </c>
      <c r="C13" s="95" t="s">
        <v>158</v>
      </c>
      <c r="D13" s="95"/>
      <c r="E13" s="95"/>
      <c r="F13" s="95"/>
      <c r="G13" s="52" t="s">
        <v>262</v>
      </c>
      <c r="H13" s="52" t="s">
        <v>262</v>
      </c>
      <c r="I13" s="52" t="s">
        <v>262</v>
      </c>
      <c r="J13" s="67">
        <f>J14+J17+J19+J21</f>
        <v>0</v>
      </c>
      <c r="K13" s="67">
        <f>K14+K17+K19+K21</f>
        <v>0</v>
      </c>
      <c r="L13" s="67">
        <f>L14+L17+L19+L21</f>
        <v>0</v>
      </c>
      <c r="M13" s="3" t="s">
        <v>196</v>
      </c>
      <c r="AI13" s="34" t="s">
        <v>269</v>
      </c>
    </row>
    <row r="14" spans="1:47" ht="15" customHeight="1">
      <c r="A14" s="71" t="s">
        <v>196</v>
      </c>
      <c r="B14" s="29" t="s">
        <v>211</v>
      </c>
      <c r="C14" s="95" t="s">
        <v>126</v>
      </c>
      <c r="D14" s="95"/>
      <c r="E14" s="95"/>
      <c r="F14" s="95"/>
      <c r="G14" s="52" t="s">
        <v>262</v>
      </c>
      <c r="H14" s="52" t="s">
        <v>262</v>
      </c>
      <c r="I14" s="52" t="s">
        <v>262</v>
      </c>
      <c r="J14" s="67">
        <f>SUM(J15:J16)</f>
        <v>0</v>
      </c>
      <c r="K14" s="67">
        <f>SUM(K15:K16)</f>
        <v>0</v>
      </c>
      <c r="L14" s="67">
        <f>SUM(L15:L16)</f>
        <v>0</v>
      </c>
      <c r="M14" s="3" t="s">
        <v>196</v>
      </c>
      <c r="AI14" s="34" t="s">
        <v>269</v>
      </c>
      <c r="AS14" s="67">
        <f>SUM(AJ15:AJ16)</f>
        <v>0</v>
      </c>
      <c r="AT14" s="67">
        <f>SUM(AK15:AK16)</f>
        <v>0</v>
      </c>
      <c r="AU14" s="67">
        <f>SUM(AL15:AL16)</f>
        <v>0</v>
      </c>
    </row>
    <row r="15" spans="1:65" ht="15" customHeight="1">
      <c r="A15" s="11" t="s">
        <v>290</v>
      </c>
      <c r="B15" s="22" t="s">
        <v>128</v>
      </c>
      <c r="C15" s="79" t="s">
        <v>299</v>
      </c>
      <c r="D15" s="79"/>
      <c r="E15" s="79"/>
      <c r="F15" s="79"/>
      <c r="G15" s="22" t="s">
        <v>185</v>
      </c>
      <c r="H15" s="37">
        <v>1</v>
      </c>
      <c r="I15" s="37">
        <v>0</v>
      </c>
      <c r="J15" s="37">
        <f>H15*AO15</f>
        <v>0</v>
      </c>
      <c r="K15" s="37">
        <f>H15*AP15</f>
        <v>0</v>
      </c>
      <c r="L15" s="37">
        <f>H15*I15</f>
        <v>0</v>
      </c>
      <c r="M15" s="36" t="s">
        <v>191</v>
      </c>
      <c r="Z15" s="37">
        <f>IF(AQ15="5",BJ15,0)</f>
        <v>0</v>
      </c>
      <c r="AB15" s="37">
        <f>IF(AQ15="1",BH15,0)</f>
        <v>0</v>
      </c>
      <c r="AC15" s="37">
        <f>IF(AQ15="1",BI15,0)</f>
        <v>0</v>
      </c>
      <c r="AD15" s="37">
        <f>IF(AQ15="7",BH15,0)</f>
        <v>0</v>
      </c>
      <c r="AE15" s="37">
        <f>IF(AQ15="7",BI15,0)</f>
        <v>0</v>
      </c>
      <c r="AF15" s="37">
        <f>IF(AQ15="2",BH15,0)</f>
        <v>0</v>
      </c>
      <c r="AG15" s="37">
        <f>IF(AQ15="2",BI15,0)</f>
        <v>0</v>
      </c>
      <c r="AH15" s="37">
        <f>IF(AQ15="0",BJ15,0)</f>
        <v>0</v>
      </c>
      <c r="AI15" s="34" t="s">
        <v>269</v>
      </c>
      <c r="AJ15" s="37">
        <f>IF(AN15=0,L15,0)</f>
        <v>0</v>
      </c>
      <c r="AK15" s="37">
        <f>IF(AN15=15,L15,0)</f>
        <v>0</v>
      </c>
      <c r="AL15" s="37">
        <f>IF(AN15=21,L15,0)</f>
        <v>0</v>
      </c>
      <c r="AN15" s="37">
        <v>15</v>
      </c>
      <c r="AO15" s="37">
        <f>I15*0</f>
        <v>0</v>
      </c>
      <c r="AP15" s="37">
        <f>I15*(1-0)</f>
        <v>0</v>
      </c>
      <c r="AQ15" s="66" t="s">
        <v>125</v>
      </c>
      <c r="AV15" s="37">
        <f>AW15+AX15</f>
        <v>0</v>
      </c>
      <c r="AW15" s="37">
        <f>H15*AO15</f>
        <v>0</v>
      </c>
      <c r="AX15" s="37">
        <f>H15*AP15</f>
        <v>0</v>
      </c>
      <c r="AY15" s="66" t="s">
        <v>129</v>
      </c>
      <c r="AZ15" s="66" t="s">
        <v>206</v>
      </c>
      <c r="BA15" s="34" t="s">
        <v>326</v>
      </c>
      <c r="BC15" s="37">
        <f>AW15+AX15</f>
        <v>0</v>
      </c>
      <c r="BD15" s="37">
        <f>I15/(100-BE15)*100</f>
        <v>0</v>
      </c>
      <c r="BE15" s="37">
        <v>0</v>
      </c>
      <c r="BF15" s="37">
        <f>15</f>
        <v>15</v>
      </c>
      <c r="BH15" s="37">
        <f>H15*AO15</f>
        <v>0</v>
      </c>
      <c r="BI15" s="37">
        <f>H15*AP15</f>
        <v>0</v>
      </c>
      <c r="BJ15" s="37">
        <f>H15*I15</f>
        <v>0</v>
      </c>
      <c r="BK15" s="37"/>
      <c r="BL15" s="37"/>
      <c r="BM15" s="37">
        <f>H15*I15</f>
        <v>0</v>
      </c>
    </row>
    <row r="16" spans="1:65" ht="15" customHeight="1">
      <c r="A16" s="11" t="s">
        <v>192</v>
      </c>
      <c r="B16" s="22" t="s">
        <v>200</v>
      </c>
      <c r="C16" s="79" t="s">
        <v>296</v>
      </c>
      <c r="D16" s="79"/>
      <c r="E16" s="79"/>
      <c r="F16" s="79"/>
      <c r="G16" s="22" t="s">
        <v>185</v>
      </c>
      <c r="H16" s="37">
        <v>1</v>
      </c>
      <c r="I16" s="37">
        <v>0</v>
      </c>
      <c r="J16" s="37">
        <f>H16*AO16</f>
        <v>0</v>
      </c>
      <c r="K16" s="37">
        <f>H16*AP16</f>
        <v>0</v>
      </c>
      <c r="L16" s="37">
        <f>H16*I16</f>
        <v>0</v>
      </c>
      <c r="M16" s="36" t="s">
        <v>191</v>
      </c>
      <c r="Z16" s="37">
        <f>IF(AQ16="5",BJ16,0)</f>
        <v>0</v>
      </c>
      <c r="AB16" s="37">
        <f>IF(AQ16="1",BH16,0)</f>
        <v>0</v>
      </c>
      <c r="AC16" s="37">
        <f>IF(AQ16="1",BI16,0)</f>
        <v>0</v>
      </c>
      <c r="AD16" s="37">
        <f>IF(AQ16="7",BH16,0)</f>
        <v>0</v>
      </c>
      <c r="AE16" s="37">
        <f>IF(AQ16="7",BI16,0)</f>
        <v>0</v>
      </c>
      <c r="AF16" s="37">
        <f>IF(AQ16="2",BH16,0)</f>
        <v>0</v>
      </c>
      <c r="AG16" s="37">
        <f>IF(AQ16="2",BI16,0)</f>
        <v>0</v>
      </c>
      <c r="AH16" s="37">
        <f>IF(AQ16="0",BJ16,0)</f>
        <v>0</v>
      </c>
      <c r="AI16" s="34" t="s">
        <v>269</v>
      </c>
      <c r="AJ16" s="37">
        <f>IF(AN16=0,L16,0)</f>
        <v>0</v>
      </c>
      <c r="AK16" s="37">
        <f>IF(AN16=15,L16,0)</f>
        <v>0</v>
      </c>
      <c r="AL16" s="37">
        <f>IF(AN16=21,L16,0)</f>
        <v>0</v>
      </c>
      <c r="AN16" s="37">
        <v>15</v>
      </c>
      <c r="AO16" s="37">
        <f>I16*0</f>
        <v>0</v>
      </c>
      <c r="AP16" s="37">
        <f>I16*(1-0)</f>
        <v>0</v>
      </c>
      <c r="AQ16" s="66" t="s">
        <v>125</v>
      </c>
      <c r="AV16" s="37">
        <f>AW16+AX16</f>
        <v>0</v>
      </c>
      <c r="AW16" s="37">
        <f>H16*AO16</f>
        <v>0</v>
      </c>
      <c r="AX16" s="37">
        <f>H16*AP16</f>
        <v>0</v>
      </c>
      <c r="AY16" s="66" t="s">
        <v>129</v>
      </c>
      <c r="AZ16" s="66" t="s">
        <v>206</v>
      </c>
      <c r="BA16" s="34" t="s">
        <v>326</v>
      </c>
      <c r="BC16" s="37">
        <f>AW16+AX16</f>
        <v>0</v>
      </c>
      <c r="BD16" s="37">
        <f>I16/(100-BE16)*100</f>
        <v>0</v>
      </c>
      <c r="BE16" s="37">
        <v>0</v>
      </c>
      <c r="BF16" s="37">
        <f>16</f>
        <v>16</v>
      </c>
      <c r="BH16" s="37">
        <f>H16*AO16</f>
        <v>0</v>
      </c>
      <c r="BI16" s="37">
        <f>H16*AP16</f>
        <v>0</v>
      </c>
      <c r="BJ16" s="37">
        <f>H16*I16</f>
        <v>0</v>
      </c>
      <c r="BK16" s="37"/>
      <c r="BL16" s="37"/>
      <c r="BM16" s="37">
        <f>H16*I16</f>
        <v>0</v>
      </c>
    </row>
    <row r="17" spans="1:47" ht="15" customHeight="1">
      <c r="A17" s="71" t="s">
        <v>196</v>
      </c>
      <c r="B17" s="29" t="s">
        <v>10</v>
      </c>
      <c r="C17" s="95" t="s">
        <v>29</v>
      </c>
      <c r="D17" s="95"/>
      <c r="E17" s="95"/>
      <c r="F17" s="95"/>
      <c r="G17" s="52" t="s">
        <v>262</v>
      </c>
      <c r="H17" s="52" t="s">
        <v>262</v>
      </c>
      <c r="I17" s="52" t="s">
        <v>262</v>
      </c>
      <c r="J17" s="67">
        <f>SUM(J18:J18)</f>
        <v>0</v>
      </c>
      <c r="K17" s="67">
        <f>SUM(K18:K18)</f>
        <v>0</v>
      </c>
      <c r="L17" s="67">
        <f>SUM(L18:L18)</f>
        <v>0</v>
      </c>
      <c r="M17" s="3" t="s">
        <v>196</v>
      </c>
      <c r="AI17" s="34" t="s">
        <v>269</v>
      </c>
      <c r="AS17" s="67">
        <f>SUM(AJ18:AJ18)</f>
        <v>0</v>
      </c>
      <c r="AT17" s="67">
        <f>SUM(AK18:AK18)</f>
        <v>0</v>
      </c>
      <c r="AU17" s="67">
        <f>SUM(AL18:AL18)</f>
        <v>0</v>
      </c>
    </row>
    <row r="18" spans="1:67" ht="15" customHeight="1">
      <c r="A18" s="11" t="s">
        <v>250</v>
      </c>
      <c r="B18" s="22" t="s">
        <v>47</v>
      </c>
      <c r="C18" s="79" t="s">
        <v>219</v>
      </c>
      <c r="D18" s="79"/>
      <c r="E18" s="79"/>
      <c r="F18" s="79"/>
      <c r="G18" s="22" t="s">
        <v>185</v>
      </c>
      <c r="H18" s="37">
        <v>1</v>
      </c>
      <c r="I18" s="37">
        <v>0</v>
      </c>
      <c r="J18" s="37">
        <f>H18*AO18</f>
        <v>0</v>
      </c>
      <c r="K18" s="37">
        <f>H18*AP18</f>
        <v>0</v>
      </c>
      <c r="L18" s="37">
        <f>H18*I18</f>
        <v>0</v>
      </c>
      <c r="M18" s="36" t="s">
        <v>191</v>
      </c>
      <c r="Z18" s="37">
        <f>IF(AQ18="5",BJ18,0)</f>
        <v>0</v>
      </c>
      <c r="AB18" s="37">
        <f>IF(AQ18="1",BH18,0)</f>
        <v>0</v>
      </c>
      <c r="AC18" s="37">
        <f>IF(AQ18="1",BI18,0)</f>
        <v>0</v>
      </c>
      <c r="AD18" s="37">
        <f>IF(AQ18="7",BH18,0)</f>
        <v>0</v>
      </c>
      <c r="AE18" s="37">
        <f>IF(AQ18="7",BI18,0)</f>
        <v>0</v>
      </c>
      <c r="AF18" s="37">
        <f>IF(AQ18="2",BH18,0)</f>
        <v>0</v>
      </c>
      <c r="AG18" s="37">
        <f>IF(AQ18="2",BI18,0)</f>
        <v>0</v>
      </c>
      <c r="AH18" s="37">
        <f>IF(AQ18="0",BJ18,0)</f>
        <v>0</v>
      </c>
      <c r="AI18" s="34" t="s">
        <v>269</v>
      </c>
      <c r="AJ18" s="37">
        <f>IF(AN18=0,L18,0)</f>
        <v>0</v>
      </c>
      <c r="AK18" s="37">
        <f>IF(AN18=15,L18,0)</f>
        <v>0</v>
      </c>
      <c r="AL18" s="37">
        <f>IF(AN18=21,L18,0)</f>
        <v>0</v>
      </c>
      <c r="AN18" s="37">
        <v>15</v>
      </c>
      <c r="AO18" s="37">
        <f>I18*0</f>
        <v>0</v>
      </c>
      <c r="AP18" s="37">
        <f>I18*(1-0)</f>
        <v>0</v>
      </c>
      <c r="AQ18" s="66" t="s">
        <v>125</v>
      </c>
      <c r="AV18" s="37">
        <f>AW18+AX18</f>
        <v>0</v>
      </c>
      <c r="AW18" s="37">
        <f>H18*AO18</f>
        <v>0</v>
      </c>
      <c r="AX18" s="37">
        <f>H18*AP18</f>
        <v>0</v>
      </c>
      <c r="AY18" s="66" t="s">
        <v>62</v>
      </c>
      <c r="AZ18" s="66" t="s">
        <v>206</v>
      </c>
      <c r="BA18" s="34" t="s">
        <v>326</v>
      </c>
      <c r="BC18" s="37">
        <f>AW18+AX18</f>
        <v>0</v>
      </c>
      <c r="BD18" s="37">
        <f>I18/(100-BE18)*100</f>
        <v>0</v>
      </c>
      <c r="BE18" s="37">
        <v>0</v>
      </c>
      <c r="BF18" s="37">
        <f>18</f>
        <v>18</v>
      </c>
      <c r="BH18" s="37">
        <f>H18*AO18</f>
        <v>0</v>
      </c>
      <c r="BI18" s="37">
        <f>H18*AP18</f>
        <v>0</v>
      </c>
      <c r="BJ18" s="37">
        <f>H18*I18</f>
        <v>0</v>
      </c>
      <c r="BK18" s="37"/>
      <c r="BL18" s="37"/>
      <c r="BO18" s="37">
        <f>H18*I18</f>
        <v>0</v>
      </c>
    </row>
    <row r="19" spans="1:47" ht="15" customHeight="1">
      <c r="A19" s="71" t="s">
        <v>196</v>
      </c>
      <c r="B19" s="29" t="s">
        <v>88</v>
      </c>
      <c r="C19" s="95" t="s">
        <v>239</v>
      </c>
      <c r="D19" s="95"/>
      <c r="E19" s="95"/>
      <c r="F19" s="95"/>
      <c r="G19" s="52" t="s">
        <v>262</v>
      </c>
      <c r="H19" s="52" t="s">
        <v>262</v>
      </c>
      <c r="I19" s="52" t="s">
        <v>262</v>
      </c>
      <c r="J19" s="67">
        <f>SUM(J20:J20)</f>
        <v>0</v>
      </c>
      <c r="K19" s="67">
        <f>SUM(K20:K20)</f>
        <v>0</v>
      </c>
      <c r="L19" s="67">
        <f>SUM(L20:L20)</f>
        <v>0</v>
      </c>
      <c r="M19" s="3" t="s">
        <v>196</v>
      </c>
      <c r="AI19" s="34" t="s">
        <v>269</v>
      </c>
      <c r="AS19" s="67">
        <f>SUM(AJ20:AJ20)</f>
        <v>0</v>
      </c>
      <c r="AT19" s="67">
        <f>SUM(AK20:AK20)</f>
        <v>0</v>
      </c>
      <c r="AU19" s="67">
        <f>SUM(AL20:AL20)</f>
        <v>0</v>
      </c>
    </row>
    <row r="20" spans="1:68" ht="15" customHeight="1">
      <c r="A20" s="11" t="s">
        <v>31</v>
      </c>
      <c r="B20" s="22" t="s">
        <v>187</v>
      </c>
      <c r="C20" s="79" t="s">
        <v>46</v>
      </c>
      <c r="D20" s="79"/>
      <c r="E20" s="79"/>
      <c r="F20" s="79"/>
      <c r="G20" s="22" t="s">
        <v>185</v>
      </c>
      <c r="H20" s="37">
        <v>1</v>
      </c>
      <c r="I20" s="37">
        <v>0</v>
      </c>
      <c r="J20" s="37">
        <f>H20*AO20</f>
        <v>0</v>
      </c>
      <c r="K20" s="37">
        <f>H20*AP20</f>
        <v>0</v>
      </c>
      <c r="L20" s="37">
        <f>H20*I20</f>
        <v>0</v>
      </c>
      <c r="M20" s="36" t="s">
        <v>191</v>
      </c>
      <c r="Z20" s="37">
        <f>IF(AQ20="5",BJ20,0)</f>
        <v>0</v>
      </c>
      <c r="AB20" s="37">
        <f>IF(AQ20="1",BH20,0)</f>
        <v>0</v>
      </c>
      <c r="AC20" s="37">
        <f>IF(AQ20="1",BI20,0)</f>
        <v>0</v>
      </c>
      <c r="AD20" s="37">
        <f>IF(AQ20="7",BH20,0)</f>
        <v>0</v>
      </c>
      <c r="AE20" s="37">
        <f>IF(AQ20="7",BI20,0)</f>
        <v>0</v>
      </c>
      <c r="AF20" s="37">
        <f>IF(AQ20="2",BH20,0)</f>
        <v>0</v>
      </c>
      <c r="AG20" s="37">
        <f>IF(AQ20="2",BI20,0)</f>
        <v>0</v>
      </c>
      <c r="AH20" s="37">
        <f>IF(AQ20="0",BJ20,0)</f>
        <v>0</v>
      </c>
      <c r="AI20" s="34" t="s">
        <v>269</v>
      </c>
      <c r="AJ20" s="37">
        <f>IF(AN20=0,L20,0)</f>
        <v>0</v>
      </c>
      <c r="AK20" s="37">
        <f>IF(AN20=15,L20,0)</f>
        <v>0</v>
      </c>
      <c r="AL20" s="37">
        <f>IF(AN20=21,L20,0)</f>
        <v>0</v>
      </c>
      <c r="AN20" s="37">
        <v>15</v>
      </c>
      <c r="AO20" s="37">
        <f>I20*0</f>
        <v>0</v>
      </c>
      <c r="AP20" s="37">
        <f>I20*(1-0)</f>
        <v>0</v>
      </c>
      <c r="AQ20" s="66" t="s">
        <v>125</v>
      </c>
      <c r="AV20" s="37">
        <f>AW20+AX20</f>
        <v>0</v>
      </c>
      <c r="AW20" s="37">
        <f>H20*AO20</f>
        <v>0</v>
      </c>
      <c r="AX20" s="37">
        <f>H20*AP20</f>
        <v>0</v>
      </c>
      <c r="AY20" s="66" t="s">
        <v>240</v>
      </c>
      <c r="AZ20" s="66" t="s">
        <v>206</v>
      </c>
      <c r="BA20" s="34" t="s">
        <v>326</v>
      </c>
      <c r="BC20" s="37">
        <f>AW20+AX20</f>
        <v>0</v>
      </c>
      <c r="BD20" s="37">
        <f>I20/(100-BE20)*100</f>
        <v>0</v>
      </c>
      <c r="BE20" s="37">
        <v>0</v>
      </c>
      <c r="BF20" s="37">
        <f>20</f>
        <v>20</v>
      </c>
      <c r="BH20" s="37">
        <f>H20*AO20</f>
        <v>0</v>
      </c>
      <c r="BI20" s="37">
        <f>H20*AP20</f>
        <v>0</v>
      </c>
      <c r="BJ20" s="37">
        <f>H20*I20</f>
        <v>0</v>
      </c>
      <c r="BK20" s="37"/>
      <c r="BL20" s="37"/>
      <c r="BP20" s="37">
        <f>H20*I20</f>
        <v>0</v>
      </c>
    </row>
    <row r="21" spans="1:47" ht="15" customHeight="1">
      <c r="A21" s="71" t="s">
        <v>196</v>
      </c>
      <c r="B21" s="29" t="s">
        <v>209</v>
      </c>
      <c r="C21" s="95" t="s">
        <v>143</v>
      </c>
      <c r="D21" s="95"/>
      <c r="E21" s="95"/>
      <c r="F21" s="95"/>
      <c r="G21" s="52" t="s">
        <v>262</v>
      </c>
      <c r="H21" s="52" t="s">
        <v>262</v>
      </c>
      <c r="I21" s="52" t="s">
        <v>262</v>
      </c>
      <c r="J21" s="67">
        <f>SUM(J22:J23)</f>
        <v>0</v>
      </c>
      <c r="K21" s="67">
        <f>SUM(K22:K23)</f>
        <v>0</v>
      </c>
      <c r="L21" s="67">
        <f>SUM(L22:L23)</f>
        <v>0</v>
      </c>
      <c r="M21" s="3" t="s">
        <v>196</v>
      </c>
      <c r="AI21" s="34" t="s">
        <v>269</v>
      </c>
      <c r="AS21" s="67">
        <f>SUM(AJ22:AJ23)</f>
        <v>0</v>
      </c>
      <c r="AT21" s="67">
        <f>SUM(AK22:AK23)</f>
        <v>0</v>
      </c>
      <c r="AU21" s="67">
        <f>SUM(AL22:AL23)</f>
        <v>0</v>
      </c>
    </row>
    <row r="22" spans="1:71" ht="15" customHeight="1">
      <c r="A22" s="11" t="s">
        <v>144</v>
      </c>
      <c r="B22" s="22" t="s">
        <v>271</v>
      </c>
      <c r="C22" s="79" t="s">
        <v>152</v>
      </c>
      <c r="D22" s="79"/>
      <c r="E22" s="79"/>
      <c r="F22" s="79"/>
      <c r="G22" s="22" t="s">
        <v>185</v>
      </c>
      <c r="H22" s="37">
        <v>1</v>
      </c>
      <c r="I22" s="37">
        <v>0</v>
      </c>
      <c r="J22" s="37">
        <f>H22*AO22</f>
        <v>0</v>
      </c>
      <c r="K22" s="37">
        <f>H22*AP22</f>
        <v>0</v>
      </c>
      <c r="L22" s="37">
        <f>H22*I22</f>
        <v>0</v>
      </c>
      <c r="M22" s="36" t="s">
        <v>191</v>
      </c>
      <c r="Z22" s="37">
        <f>IF(AQ22="5",BJ22,0)</f>
        <v>0</v>
      </c>
      <c r="AB22" s="37">
        <f>IF(AQ22="1",BH22,0)</f>
        <v>0</v>
      </c>
      <c r="AC22" s="37">
        <f>IF(AQ22="1",BI22,0)</f>
        <v>0</v>
      </c>
      <c r="AD22" s="37">
        <f>IF(AQ22="7",BH22,0)</f>
        <v>0</v>
      </c>
      <c r="AE22" s="37">
        <f>IF(AQ22="7",BI22,0)</f>
        <v>0</v>
      </c>
      <c r="AF22" s="37">
        <f>IF(AQ22="2",BH22,0)</f>
        <v>0</v>
      </c>
      <c r="AG22" s="37">
        <f>IF(AQ22="2",BI22,0)</f>
        <v>0</v>
      </c>
      <c r="AH22" s="37">
        <f>IF(AQ22="0",BJ22,0)</f>
        <v>0</v>
      </c>
      <c r="AI22" s="34" t="s">
        <v>269</v>
      </c>
      <c r="AJ22" s="37">
        <f>IF(AN22=0,L22,0)</f>
        <v>0</v>
      </c>
      <c r="AK22" s="37">
        <f>IF(AN22=15,L22,0)</f>
        <v>0</v>
      </c>
      <c r="AL22" s="37">
        <f>IF(AN22=21,L22,0)</f>
        <v>0</v>
      </c>
      <c r="AN22" s="37">
        <v>15</v>
      </c>
      <c r="AO22" s="37">
        <f>I22*0</f>
        <v>0</v>
      </c>
      <c r="AP22" s="37">
        <f>I22*(1-0)</f>
        <v>0</v>
      </c>
      <c r="AQ22" s="66" t="s">
        <v>125</v>
      </c>
      <c r="AV22" s="37">
        <f>AW22+AX22</f>
        <v>0</v>
      </c>
      <c r="AW22" s="37">
        <f>H22*AO22</f>
        <v>0</v>
      </c>
      <c r="AX22" s="37">
        <f>H22*AP22</f>
        <v>0</v>
      </c>
      <c r="AY22" s="66" t="s">
        <v>279</v>
      </c>
      <c r="AZ22" s="66" t="s">
        <v>206</v>
      </c>
      <c r="BA22" s="34" t="s">
        <v>326</v>
      </c>
      <c r="BC22" s="37">
        <f>AW22+AX22</f>
        <v>0</v>
      </c>
      <c r="BD22" s="37">
        <f>I22/(100-BE22)*100</f>
        <v>0</v>
      </c>
      <c r="BE22" s="37">
        <v>0</v>
      </c>
      <c r="BF22" s="37">
        <f>22</f>
        <v>22</v>
      </c>
      <c r="BH22" s="37">
        <f>H22*AO22</f>
        <v>0</v>
      </c>
      <c r="BI22" s="37">
        <f>H22*AP22</f>
        <v>0</v>
      </c>
      <c r="BJ22" s="37">
        <f>H22*I22</f>
        <v>0</v>
      </c>
      <c r="BK22" s="37"/>
      <c r="BL22" s="37"/>
      <c r="BS22" s="37">
        <f>H22*I22</f>
        <v>0</v>
      </c>
    </row>
    <row r="23" spans="1:71" ht="15" customHeight="1">
      <c r="A23" s="11" t="s">
        <v>41</v>
      </c>
      <c r="B23" s="22" t="s">
        <v>70</v>
      </c>
      <c r="C23" s="79" t="s">
        <v>136</v>
      </c>
      <c r="D23" s="79"/>
      <c r="E23" s="79"/>
      <c r="F23" s="79"/>
      <c r="G23" s="22" t="s">
        <v>185</v>
      </c>
      <c r="H23" s="37">
        <v>1</v>
      </c>
      <c r="I23" s="37">
        <v>0</v>
      </c>
      <c r="J23" s="37">
        <f>H23*AO23</f>
        <v>0</v>
      </c>
      <c r="K23" s="37">
        <f>H23*AP23</f>
        <v>0</v>
      </c>
      <c r="L23" s="37">
        <f>H23*I23</f>
        <v>0</v>
      </c>
      <c r="M23" s="36" t="s">
        <v>191</v>
      </c>
      <c r="Z23" s="37">
        <f>IF(AQ23="5",BJ23,0)</f>
        <v>0</v>
      </c>
      <c r="AB23" s="37">
        <f>IF(AQ23="1",BH23,0)</f>
        <v>0</v>
      </c>
      <c r="AC23" s="37">
        <f>IF(AQ23="1",BI23,0)</f>
        <v>0</v>
      </c>
      <c r="AD23" s="37">
        <f>IF(AQ23="7",BH23,0)</f>
        <v>0</v>
      </c>
      <c r="AE23" s="37">
        <f>IF(AQ23="7",BI23,0)</f>
        <v>0</v>
      </c>
      <c r="AF23" s="37">
        <f>IF(AQ23="2",BH23,0)</f>
        <v>0</v>
      </c>
      <c r="AG23" s="37">
        <f>IF(AQ23="2",BI23,0)</f>
        <v>0</v>
      </c>
      <c r="AH23" s="37">
        <f>IF(AQ23="0",BJ23,0)</f>
        <v>0</v>
      </c>
      <c r="AI23" s="34" t="s">
        <v>269</v>
      </c>
      <c r="AJ23" s="37">
        <f>IF(AN23=0,L23,0)</f>
        <v>0</v>
      </c>
      <c r="AK23" s="37">
        <f>IF(AN23=15,L23,0)</f>
        <v>0</v>
      </c>
      <c r="AL23" s="37">
        <f>IF(AN23=21,L23,0)</f>
        <v>0</v>
      </c>
      <c r="AN23" s="37">
        <v>15</v>
      </c>
      <c r="AO23" s="37">
        <f>I23*0</f>
        <v>0</v>
      </c>
      <c r="AP23" s="37">
        <f>I23*(1-0)</f>
        <v>0</v>
      </c>
      <c r="AQ23" s="66" t="s">
        <v>125</v>
      </c>
      <c r="AV23" s="37">
        <f>AW23+AX23</f>
        <v>0</v>
      </c>
      <c r="AW23" s="37">
        <f>H23*AO23</f>
        <v>0</v>
      </c>
      <c r="AX23" s="37">
        <f>H23*AP23</f>
        <v>0</v>
      </c>
      <c r="AY23" s="66" t="s">
        <v>279</v>
      </c>
      <c r="AZ23" s="66" t="s">
        <v>206</v>
      </c>
      <c r="BA23" s="34" t="s">
        <v>326</v>
      </c>
      <c r="BC23" s="37">
        <f>AW23+AX23</f>
        <v>0</v>
      </c>
      <c r="BD23" s="37">
        <f>I23/(100-BE23)*100</f>
        <v>0</v>
      </c>
      <c r="BE23" s="37">
        <v>0</v>
      </c>
      <c r="BF23" s="37">
        <f>23</f>
        <v>23</v>
      </c>
      <c r="BH23" s="37">
        <f>H23*AO23</f>
        <v>0</v>
      </c>
      <c r="BI23" s="37">
        <f>H23*AP23</f>
        <v>0</v>
      </c>
      <c r="BJ23" s="37">
        <f>H23*I23</f>
        <v>0</v>
      </c>
      <c r="BK23" s="37"/>
      <c r="BL23" s="37"/>
      <c r="BS23" s="37">
        <f>H23*I23</f>
        <v>0</v>
      </c>
    </row>
    <row r="24" spans="1:13" ht="15" customHeight="1">
      <c r="A24" s="71" t="s">
        <v>196</v>
      </c>
      <c r="B24" s="29" t="s">
        <v>196</v>
      </c>
      <c r="C24" s="95" t="s">
        <v>317</v>
      </c>
      <c r="D24" s="95"/>
      <c r="E24" s="95"/>
      <c r="F24" s="95"/>
      <c r="G24" s="52" t="s">
        <v>262</v>
      </c>
      <c r="H24" s="52" t="s">
        <v>262</v>
      </c>
      <c r="I24" s="52" t="s">
        <v>262</v>
      </c>
      <c r="J24" s="67">
        <f>J25+J27+J32+J34+J37+J40+J42+J49+J53+J71+J81+J88+J101</f>
        <v>0</v>
      </c>
      <c r="K24" s="67">
        <f>K25+K27+K32+K34+K37+K40+K42+K49+K53+K71+K81+K88+K101</f>
        <v>0</v>
      </c>
      <c r="L24" s="67">
        <f>L25+L27+L32+L34+L37+L40+L42+L49+L53+L71+L81+L88+L101</f>
        <v>0</v>
      </c>
      <c r="M24" s="3" t="s">
        <v>196</v>
      </c>
    </row>
    <row r="25" spans="1:47" ht="15" customHeight="1">
      <c r="A25" s="5" t="s">
        <v>196</v>
      </c>
      <c r="B25" s="41" t="s">
        <v>210</v>
      </c>
      <c r="C25" s="95" t="s">
        <v>67</v>
      </c>
      <c r="D25" s="95"/>
      <c r="E25" s="95"/>
      <c r="F25" s="95"/>
      <c r="G25" s="14" t="s">
        <v>262</v>
      </c>
      <c r="H25" s="14" t="s">
        <v>262</v>
      </c>
      <c r="I25" s="14" t="s">
        <v>262</v>
      </c>
      <c r="J25" s="46">
        <f>SUM(J26:J26)</f>
        <v>0</v>
      </c>
      <c r="K25" s="46">
        <f>SUM(K26:K26)</f>
        <v>0</v>
      </c>
      <c r="L25" s="46">
        <f>SUM(L26:L26)</f>
        <v>0</v>
      </c>
      <c r="M25" s="24" t="s">
        <v>196</v>
      </c>
      <c r="AI25" s="34" t="s">
        <v>150</v>
      </c>
      <c r="AS25" s="67">
        <f>SUM(AJ26:AJ26)</f>
        <v>0</v>
      </c>
      <c r="AT25" s="67">
        <f>SUM(AK26:AK26)</f>
        <v>0</v>
      </c>
      <c r="AU25" s="67">
        <f>SUM(AL26:AL26)</f>
        <v>0</v>
      </c>
    </row>
    <row r="26" spans="1:64" ht="15" customHeight="1">
      <c r="A26" s="16" t="s">
        <v>291</v>
      </c>
      <c r="B26" s="33" t="s">
        <v>235</v>
      </c>
      <c r="C26" s="96" t="s">
        <v>83</v>
      </c>
      <c r="D26" s="79"/>
      <c r="E26" s="79"/>
      <c r="F26" s="96"/>
      <c r="G26" s="33" t="s">
        <v>275</v>
      </c>
      <c r="H26" s="35">
        <v>287.55</v>
      </c>
      <c r="I26" s="35">
        <v>0</v>
      </c>
      <c r="J26" s="35">
        <f>H26*AO26</f>
        <v>0</v>
      </c>
      <c r="K26" s="35">
        <f>H26*AP26</f>
        <v>0</v>
      </c>
      <c r="L26" s="35">
        <f>H26*I26</f>
        <v>0</v>
      </c>
      <c r="M26" s="48" t="s">
        <v>243</v>
      </c>
      <c r="Z26" s="37">
        <f>IF(AQ26="5",BJ26,0)</f>
        <v>0</v>
      </c>
      <c r="AB26" s="37">
        <f>IF(AQ26="1",BH26,0)</f>
        <v>0</v>
      </c>
      <c r="AC26" s="37">
        <f>IF(AQ26="1",BI26,0)</f>
        <v>0</v>
      </c>
      <c r="AD26" s="37">
        <f>IF(AQ26="7",BH26,0)</f>
        <v>0</v>
      </c>
      <c r="AE26" s="37">
        <f>IF(AQ26="7",BI26,0)</f>
        <v>0</v>
      </c>
      <c r="AF26" s="37">
        <f>IF(AQ26="2",BH26,0)</f>
        <v>0</v>
      </c>
      <c r="AG26" s="37">
        <f>IF(AQ26="2",BI26,0)</f>
        <v>0</v>
      </c>
      <c r="AH26" s="37">
        <f>IF(AQ26="0",BJ26,0)</f>
        <v>0</v>
      </c>
      <c r="AI26" s="34" t="s">
        <v>150</v>
      </c>
      <c r="AJ26" s="37">
        <f>IF(AN26=0,L26,0)</f>
        <v>0</v>
      </c>
      <c r="AK26" s="37">
        <f>IF(AN26=15,L26,0)</f>
        <v>0</v>
      </c>
      <c r="AL26" s="37">
        <f>IF(AN26=21,L26,0)</f>
        <v>0</v>
      </c>
      <c r="AN26" s="37">
        <v>15</v>
      </c>
      <c r="AO26" s="37">
        <f>I26*0.0718643191450132</f>
        <v>0</v>
      </c>
      <c r="AP26" s="37">
        <f>I26*(1-0.0718643191450132)</f>
        <v>0</v>
      </c>
      <c r="AQ26" s="66" t="s">
        <v>290</v>
      </c>
      <c r="AV26" s="37">
        <f>AW26+AX26</f>
        <v>0</v>
      </c>
      <c r="AW26" s="37">
        <f>H26*AO26</f>
        <v>0</v>
      </c>
      <c r="AX26" s="37">
        <f>H26*AP26</f>
        <v>0</v>
      </c>
      <c r="AY26" s="66" t="s">
        <v>138</v>
      </c>
      <c r="AZ26" s="66" t="s">
        <v>127</v>
      </c>
      <c r="BA26" s="34" t="s">
        <v>50</v>
      </c>
      <c r="BC26" s="37">
        <f>AW26+AX26</f>
        <v>0</v>
      </c>
      <c r="BD26" s="37">
        <f>I26/(100-BE26)*100</f>
        <v>0</v>
      </c>
      <c r="BE26" s="37">
        <v>0</v>
      </c>
      <c r="BF26" s="37">
        <f>26</f>
        <v>26</v>
      </c>
      <c r="BH26" s="37">
        <f>H26*AO26</f>
        <v>0</v>
      </c>
      <c r="BI26" s="37">
        <f>H26*AP26</f>
        <v>0</v>
      </c>
      <c r="BJ26" s="37">
        <f>H26*I26</f>
        <v>0</v>
      </c>
      <c r="BK26" s="37"/>
      <c r="BL26" s="37">
        <v>12</v>
      </c>
    </row>
    <row r="27" spans="1:47" ht="15" customHeight="1">
      <c r="A27" s="56" t="s">
        <v>196</v>
      </c>
      <c r="B27" s="73" t="s">
        <v>157</v>
      </c>
      <c r="C27" s="95" t="s">
        <v>153</v>
      </c>
      <c r="D27" s="95"/>
      <c r="E27" s="95"/>
      <c r="F27" s="95"/>
      <c r="G27" s="62" t="s">
        <v>262</v>
      </c>
      <c r="H27" s="62" t="s">
        <v>262</v>
      </c>
      <c r="I27" s="62" t="s">
        <v>262</v>
      </c>
      <c r="J27" s="59">
        <f>SUM(J28:J30)</f>
        <v>0</v>
      </c>
      <c r="K27" s="59">
        <f>SUM(K28:K30)</f>
        <v>0</v>
      </c>
      <c r="L27" s="59">
        <f>SUM(L28:L30)</f>
        <v>0</v>
      </c>
      <c r="M27" s="72" t="s">
        <v>196</v>
      </c>
      <c r="AI27" s="34" t="s">
        <v>150</v>
      </c>
      <c r="AS27" s="67">
        <f>SUM(AJ28:AJ30)</f>
        <v>0</v>
      </c>
      <c r="AT27" s="67">
        <f>SUM(AK28:AK30)</f>
        <v>0</v>
      </c>
      <c r="AU27" s="67">
        <f>SUM(AL28:AL30)</f>
        <v>0</v>
      </c>
    </row>
    <row r="28" spans="1:64" ht="15" customHeight="1">
      <c r="A28" s="11" t="s">
        <v>227</v>
      </c>
      <c r="B28" s="22" t="s">
        <v>316</v>
      </c>
      <c r="C28" s="79" t="s">
        <v>186</v>
      </c>
      <c r="D28" s="79"/>
      <c r="E28" s="79"/>
      <c r="F28" s="79"/>
      <c r="G28" s="22" t="s">
        <v>237</v>
      </c>
      <c r="H28" s="37">
        <v>16</v>
      </c>
      <c r="I28" s="37">
        <v>0</v>
      </c>
      <c r="J28" s="37">
        <f>H28*AO28</f>
        <v>0</v>
      </c>
      <c r="K28" s="37">
        <f>H28*AP28</f>
        <v>0</v>
      </c>
      <c r="L28" s="37">
        <f>H28*I28</f>
        <v>0</v>
      </c>
      <c r="M28" s="36" t="s">
        <v>191</v>
      </c>
      <c r="Z28" s="37">
        <f>IF(AQ28="5",BJ28,0)</f>
        <v>0</v>
      </c>
      <c r="AB28" s="37">
        <f>IF(AQ28="1",BH28,0)</f>
        <v>0</v>
      </c>
      <c r="AC28" s="37">
        <f>IF(AQ28="1",BI28,0)</f>
        <v>0</v>
      </c>
      <c r="AD28" s="37">
        <f>IF(AQ28="7",BH28,0)</f>
        <v>0</v>
      </c>
      <c r="AE28" s="37">
        <f>IF(AQ28="7",BI28,0)</f>
        <v>0</v>
      </c>
      <c r="AF28" s="37">
        <f>IF(AQ28="2",BH28,0)</f>
        <v>0</v>
      </c>
      <c r="AG28" s="37">
        <f>IF(AQ28="2",BI28,0)</f>
        <v>0</v>
      </c>
      <c r="AH28" s="37">
        <f>IF(AQ28="0",BJ28,0)</f>
        <v>0</v>
      </c>
      <c r="AI28" s="34" t="s">
        <v>150</v>
      </c>
      <c r="AJ28" s="37">
        <f>IF(AN28=0,L28,0)</f>
        <v>0</v>
      </c>
      <c r="AK28" s="37">
        <f>IF(AN28=15,L28,0)</f>
        <v>0</v>
      </c>
      <c r="AL28" s="37">
        <f>IF(AN28=21,L28,0)</f>
        <v>0</v>
      </c>
      <c r="AN28" s="37">
        <v>15</v>
      </c>
      <c r="AO28" s="37">
        <f>I28*0.0200864345738295</f>
        <v>0</v>
      </c>
      <c r="AP28" s="37">
        <f>I28*(1-0.0200864345738295)</f>
        <v>0</v>
      </c>
      <c r="AQ28" s="66" t="s">
        <v>290</v>
      </c>
      <c r="AV28" s="37">
        <f>AW28+AX28</f>
        <v>0</v>
      </c>
      <c r="AW28" s="37">
        <f>H28*AO28</f>
        <v>0</v>
      </c>
      <c r="AX28" s="37">
        <f>H28*AP28</f>
        <v>0</v>
      </c>
      <c r="AY28" s="66" t="s">
        <v>313</v>
      </c>
      <c r="AZ28" s="66" t="s">
        <v>127</v>
      </c>
      <c r="BA28" s="34" t="s">
        <v>50</v>
      </c>
      <c r="BC28" s="37">
        <f>AW28+AX28</f>
        <v>0</v>
      </c>
      <c r="BD28" s="37">
        <f>I28/(100-BE28)*100</f>
        <v>0</v>
      </c>
      <c r="BE28" s="37">
        <v>0</v>
      </c>
      <c r="BF28" s="37">
        <f>28</f>
        <v>28</v>
      </c>
      <c r="BH28" s="37">
        <f>H28*AO28</f>
        <v>0</v>
      </c>
      <c r="BI28" s="37">
        <f>H28*AP28</f>
        <v>0</v>
      </c>
      <c r="BJ28" s="37">
        <f>H28*I28</f>
        <v>0</v>
      </c>
      <c r="BK28" s="37"/>
      <c r="BL28" s="37">
        <v>14</v>
      </c>
    </row>
    <row r="29" spans="1:13" ht="81" customHeight="1">
      <c r="A29" s="17"/>
      <c r="B29" s="18" t="s">
        <v>102</v>
      </c>
      <c r="C29" s="97" t="s">
        <v>57</v>
      </c>
      <c r="D29" s="98"/>
      <c r="E29" s="98"/>
      <c r="F29" s="98"/>
      <c r="G29" s="98"/>
      <c r="H29" s="98"/>
      <c r="I29" s="98"/>
      <c r="J29" s="98"/>
      <c r="K29" s="98"/>
      <c r="L29" s="98"/>
      <c r="M29" s="99"/>
    </row>
    <row r="30" spans="1:64" ht="15" customHeight="1">
      <c r="A30" s="11" t="s">
        <v>105</v>
      </c>
      <c r="B30" s="22" t="s">
        <v>85</v>
      </c>
      <c r="C30" s="79" t="s">
        <v>322</v>
      </c>
      <c r="D30" s="79"/>
      <c r="E30" s="79"/>
      <c r="F30" s="79"/>
      <c r="G30" s="22" t="s">
        <v>237</v>
      </c>
      <c r="H30" s="37">
        <v>17</v>
      </c>
      <c r="I30" s="37">
        <v>0</v>
      </c>
      <c r="J30" s="37">
        <f>H30*AO30</f>
        <v>0</v>
      </c>
      <c r="K30" s="37">
        <f>H30*AP30</f>
        <v>0</v>
      </c>
      <c r="L30" s="37">
        <f>H30*I30</f>
        <v>0</v>
      </c>
      <c r="M30" s="36" t="s">
        <v>191</v>
      </c>
      <c r="Z30" s="37">
        <f>IF(AQ30="5",BJ30,0)</f>
        <v>0</v>
      </c>
      <c r="AB30" s="37">
        <f>IF(AQ30="1",BH30,0)</f>
        <v>0</v>
      </c>
      <c r="AC30" s="37">
        <f>IF(AQ30="1",BI30,0)</f>
        <v>0</v>
      </c>
      <c r="AD30" s="37">
        <f>IF(AQ30="7",BH30,0)</f>
        <v>0</v>
      </c>
      <c r="AE30" s="37">
        <f>IF(AQ30="7",BI30,0)</f>
        <v>0</v>
      </c>
      <c r="AF30" s="37">
        <f>IF(AQ30="2",BH30,0)</f>
        <v>0</v>
      </c>
      <c r="AG30" s="37">
        <f>IF(AQ30="2",BI30,0)</f>
        <v>0</v>
      </c>
      <c r="AH30" s="37">
        <f>IF(AQ30="0",BJ30,0)</f>
        <v>0</v>
      </c>
      <c r="AI30" s="34" t="s">
        <v>150</v>
      </c>
      <c r="AJ30" s="37">
        <f>IF(AN30=0,L30,0)</f>
        <v>0</v>
      </c>
      <c r="AK30" s="37">
        <f>IF(AN30=15,L30,0)</f>
        <v>0</v>
      </c>
      <c r="AL30" s="37">
        <f>IF(AN30=21,L30,0)</f>
        <v>0</v>
      </c>
      <c r="AN30" s="37">
        <v>15</v>
      </c>
      <c r="AO30" s="37">
        <f>I30*1</f>
        <v>0</v>
      </c>
      <c r="AP30" s="37">
        <f>I30*(1-1)</f>
        <v>0</v>
      </c>
      <c r="AQ30" s="66" t="s">
        <v>290</v>
      </c>
      <c r="AV30" s="37">
        <f>AW30+AX30</f>
        <v>0</v>
      </c>
      <c r="AW30" s="37">
        <f>H30*AO30</f>
        <v>0</v>
      </c>
      <c r="AX30" s="37">
        <f>H30*AP30</f>
        <v>0</v>
      </c>
      <c r="AY30" s="66" t="s">
        <v>313</v>
      </c>
      <c r="AZ30" s="66" t="s">
        <v>127</v>
      </c>
      <c r="BA30" s="34" t="s">
        <v>50</v>
      </c>
      <c r="BC30" s="37">
        <f>AW30+AX30</f>
        <v>0</v>
      </c>
      <c r="BD30" s="37">
        <f>I30/(100-BE30)*100</f>
        <v>0</v>
      </c>
      <c r="BE30" s="37">
        <v>0</v>
      </c>
      <c r="BF30" s="37">
        <f>30</f>
        <v>30</v>
      </c>
      <c r="BH30" s="37">
        <f>H30*AO30</f>
        <v>0</v>
      </c>
      <c r="BI30" s="37">
        <f>H30*AP30</f>
        <v>0</v>
      </c>
      <c r="BJ30" s="37">
        <f>H30*I30</f>
        <v>0</v>
      </c>
      <c r="BK30" s="37"/>
      <c r="BL30" s="37">
        <v>14</v>
      </c>
    </row>
    <row r="31" spans="1:13" ht="13.5" customHeight="1">
      <c r="A31" s="17"/>
      <c r="B31" s="18" t="s">
        <v>102</v>
      </c>
      <c r="C31" s="97" t="s">
        <v>213</v>
      </c>
      <c r="D31" s="98"/>
      <c r="E31" s="98"/>
      <c r="F31" s="98"/>
      <c r="G31" s="98"/>
      <c r="H31" s="98"/>
      <c r="I31" s="98"/>
      <c r="J31" s="98"/>
      <c r="K31" s="98"/>
      <c r="L31" s="98"/>
      <c r="M31" s="99"/>
    </row>
    <row r="32" spans="1:47" ht="15" customHeight="1">
      <c r="A32" s="61" t="s">
        <v>196</v>
      </c>
      <c r="B32" s="68" t="s">
        <v>24</v>
      </c>
      <c r="C32" s="100" t="s">
        <v>241</v>
      </c>
      <c r="D32" s="95"/>
      <c r="E32" s="95"/>
      <c r="F32" s="100"/>
      <c r="G32" s="50" t="s">
        <v>262</v>
      </c>
      <c r="H32" s="50" t="s">
        <v>262</v>
      </c>
      <c r="I32" s="50" t="s">
        <v>262</v>
      </c>
      <c r="J32" s="55">
        <f>SUM(J33:J33)</f>
        <v>0</v>
      </c>
      <c r="K32" s="55">
        <f>SUM(K33:K33)</f>
        <v>0</v>
      </c>
      <c r="L32" s="55">
        <f>SUM(L33:L33)</f>
        <v>0</v>
      </c>
      <c r="M32" s="12" t="s">
        <v>196</v>
      </c>
      <c r="AI32" s="34" t="s">
        <v>150</v>
      </c>
      <c r="AS32" s="67">
        <f>SUM(AJ33:AJ33)</f>
        <v>0</v>
      </c>
      <c r="AT32" s="67">
        <f>SUM(AK33:AK33)</f>
        <v>0</v>
      </c>
      <c r="AU32" s="67">
        <f>SUM(AL33:AL33)</f>
        <v>0</v>
      </c>
    </row>
    <row r="33" spans="1:64" ht="15" customHeight="1">
      <c r="A33" s="28" t="s">
        <v>155</v>
      </c>
      <c r="B33" s="63" t="s">
        <v>76</v>
      </c>
      <c r="C33" s="96" t="s">
        <v>301</v>
      </c>
      <c r="D33" s="79"/>
      <c r="E33" s="79"/>
      <c r="F33" s="96"/>
      <c r="G33" s="63" t="s">
        <v>275</v>
      </c>
      <c r="H33" s="51">
        <v>287.55</v>
      </c>
      <c r="I33" s="51">
        <v>0</v>
      </c>
      <c r="J33" s="51">
        <f>H33*AO33</f>
        <v>0</v>
      </c>
      <c r="K33" s="51">
        <f>H33*AP33</f>
        <v>0</v>
      </c>
      <c r="L33" s="51">
        <f>H33*I33</f>
        <v>0</v>
      </c>
      <c r="M33" s="38" t="s">
        <v>243</v>
      </c>
      <c r="Z33" s="37">
        <f>IF(AQ33="5",BJ33,0)</f>
        <v>0</v>
      </c>
      <c r="AB33" s="37">
        <f>IF(AQ33="1",BH33,0)</f>
        <v>0</v>
      </c>
      <c r="AC33" s="37">
        <f>IF(AQ33="1",BI33,0)</f>
        <v>0</v>
      </c>
      <c r="AD33" s="37">
        <f>IF(AQ33="7",BH33,0)</f>
        <v>0</v>
      </c>
      <c r="AE33" s="37">
        <f>IF(AQ33="7",BI33,0)</f>
        <v>0</v>
      </c>
      <c r="AF33" s="37">
        <f>IF(AQ33="2",BH33,0)</f>
        <v>0</v>
      </c>
      <c r="AG33" s="37">
        <f>IF(AQ33="2",BI33,0)</f>
        <v>0</v>
      </c>
      <c r="AH33" s="37">
        <f>IF(AQ33="0",BJ33,0)</f>
        <v>0</v>
      </c>
      <c r="AI33" s="34" t="s">
        <v>150</v>
      </c>
      <c r="AJ33" s="37">
        <f>IF(AN33=0,L33,0)</f>
        <v>0</v>
      </c>
      <c r="AK33" s="37">
        <f>IF(AN33=15,L33,0)</f>
        <v>0</v>
      </c>
      <c r="AL33" s="37">
        <f>IF(AN33=21,L33,0)</f>
        <v>0</v>
      </c>
      <c r="AN33" s="37">
        <v>15</v>
      </c>
      <c r="AO33" s="37">
        <f>I33*0</f>
        <v>0</v>
      </c>
      <c r="AP33" s="37">
        <f>I33*(1-0)</f>
        <v>0</v>
      </c>
      <c r="AQ33" s="66" t="s">
        <v>290</v>
      </c>
      <c r="AV33" s="37">
        <f>AW33+AX33</f>
        <v>0</v>
      </c>
      <c r="AW33" s="37">
        <f>H33*AO33</f>
        <v>0</v>
      </c>
      <c r="AX33" s="37">
        <f>H33*AP33</f>
        <v>0</v>
      </c>
      <c r="AY33" s="66" t="s">
        <v>263</v>
      </c>
      <c r="AZ33" s="66" t="s">
        <v>127</v>
      </c>
      <c r="BA33" s="34" t="s">
        <v>50</v>
      </c>
      <c r="BC33" s="37">
        <f>AW33+AX33</f>
        <v>0</v>
      </c>
      <c r="BD33" s="37">
        <f>I33/(100-BE33)*100</f>
        <v>0</v>
      </c>
      <c r="BE33" s="37">
        <v>0</v>
      </c>
      <c r="BF33" s="37">
        <f>33</f>
        <v>33</v>
      </c>
      <c r="BH33" s="37">
        <f>H33*AO33</f>
        <v>0</v>
      </c>
      <c r="BI33" s="37">
        <f>H33*AP33</f>
        <v>0</v>
      </c>
      <c r="BJ33" s="37">
        <f>H33*I33</f>
        <v>0</v>
      </c>
      <c r="BK33" s="37"/>
      <c r="BL33" s="37">
        <v>16</v>
      </c>
    </row>
    <row r="34" spans="1:47" ht="15" customHeight="1">
      <c r="A34" s="44" t="s">
        <v>196</v>
      </c>
      <c r="B34" s="9" t="s">
        <v>199</v>
      </c>
      <c r="C34" s="100" t="s">
        <v>36</v>
      </c>
      <c r="D34" s="95"/>
      <c r="E34" s="95"/>
      <c r="F34" s="100"/>
      <c r="G34" s="13" t="s">
        <v>262</v>
      </c>
      <c r="H34" s="13" t="s">
        <v>262</v>
      </c>
      <c r="I34" s="13" t="s">
        <v>262</v>
      </c>
      <c r="J34" s="25">
        <f>SUM(J35:J35)</f>
        <v>0</v>
      </c>
      <c r="K34" s="25">
        <f>SUM(K35:K35)</f>
        <v>0</v>
      </c>
      <c r="L34" s="25">
        <f>SUM(L35:L35)</f>
        <v>0</v>
      </c>
      <c r="M34" s="49" t="s">
        <v>196</v>
      </c>
      <c r="AI34" s="34" t="s">
        <v>150</v>
      </c>
      <c r="AS34" s="67">
        <f>SUM(AJ35:AJ35)</f>
        <v>0</v>
      </c>
      <c r="AT34" s="67">
        <f>SUM(AK35:AK35)</f>
        <v>0</v>
      </c>
      <c r="AU34" s="67">
        <f>SUM(AL35:AL35)</f>
        <v>0</v>
      </c>
    </row>
    <row r="35" spans="1:64" ht="15" customHeight="1">
      <c r="A35" s="28" t="s">
        <v>242</v>
      </c>
      <c r="B35" s="63" t="s">
        <v>303</v>
      </c>
      <c r="C35" s="96" t="s">
        <v>13</v>
      </c>
      <c r="D35" s="79"/>
      <c r="E35" s="79"/>
      <c r="F35" s="96"/>
      <c r="G35" s="63" t="s">
        <v>275</v>
      </c>
      <c r="H35" s="51">
        <v>287.55</v>
      </c>
      <c r="I35" s="51">
        <v>0</v>
      </c>
      <c r="J35" s="51">
        <f>H35*AO35</f>
        <v>0</v>
      </c>
      <c r="K35" s="51">
        <f>H35*AP35</f>
        <v>0</v>
      </c>
      <c r="L35" s="51">
        <f>H35*I35</f>
        <v>0</v>
      </c>
      <c r="M35" s="38" t="s">
        <v>243</v>
      </c>
      <c r="Z35" s="37">
        <f>IF(AQ35="5",BJ35,0)</f>
        <v>0</v>
      </c>
      <c r="AB35" s="37">
        <f>IF(AQ35="1",BH35,0)</f>
        <v>0</v>
      </c>
      <c r="AC35" s="37">
        <f>IF(AQ35="1",BI35,0)</f>
        <v>0</v>
      </c>
      <c r="AD35" s="37">
        <f>IF(AQ35="7",BH35,0)</f>
        <v>0</v>
      </c>
      <c r="AE35" s="37">
        <f>IF(AQ35="7",BI35,0)</f>
        <v>0</v>
      </c>
      <c r="AF35" s="37">
        <f>IF(AQ35="2",BH35,0)</f>
        <v>0</v>
      </c>
      <c r="AG35" s="37">
        <f>IF(AQ35="2",BI35,0)</f>
        <v>0</v>
      </c>
      <c r="AH35" s="37">
        <f>IF(AQ35="0",BJ35,0)</f>
        <v>0</v>
      </c>
      <c r="AI35" s="34" t="s">
        <v>150</v>
      </c>
      <c r="AJ35" s="37">
        <f>IF(AN35=0,L35,0)</f>
        <v>0</v>
      </c>
      <c r="AK35" s="37">
        <f>IF(AN35=15,L35,0)</f>
        <v>0</v>
      </c>
      <c r="AL35" s="37">
        <f>IF(AN35=21,L35,0)</f>
        <v>0</v>
      </c>
      <c r="AN35" s="37">
        <v>15</v>
      </c>
      <c r="AO35" s="37">
        <f>I35*0</f>
        <v>0</v>
      </c>
      <c r="AP35" s="37">
        <f>I35*(1-0)</f>
        <v>0</v>
      </c>
      <c r="AQ35" s="66" t="s">
        <v>290</v>
      </c>
      <c r="AV35" s="37">
        <f>AW35+AX35</f>
        <v>0</v>
      </c>
      <c r="AW35" s="37">
        <f>H35*AO35</f>
        <v>0</v>
      </c>
      <c r="AX35" s="37">
        <f>H35*AP35</f>
        <v>0</v>
      </c>
      <c r="AY35" s="66" t="s">
        <v>52</v>
      </c>
      <c r="AZ35" s="66" t="s">
        <v>127</v>
      </c>
      <c r="BA35" s="34" t="s">
        <v>50</v>
      </c>
      <c r="BC35" s="37">
        <f>AW35+AX35</f>
        <v>0</v>
      </c>
      <c r="BD35" s="37">
        <f>I35/(100-BE35)*100</f>
        <v>0</v>
      </c>
      <c r="BE35" s="37">
        <v>0</v>
      </c>
      <c r="BF35" s="37">
        <f>35</f>
        <v>35</v>
      </c>
      <c r="BH35" s="37">
        <f>H35*AO35</f>
        <v>0</v>
      </c>
      <c r="BI35" s="37">
        <f>H35*AP35</f>
        <v>0</v>
      </c>
      <c r="BJ35" s="37">
        <f>H35*I35</f>
        <v>0</v>
      </c>
      <c r="BK35" s="37"/>
      <c r="BL35" s="37">
        <v>17</v>
      </c>
    </row>
    <row r="36" spans="1:13" ht="13.5" customHeight="1">
      <c r="A36" s="17"/>
      <c r="B36" s="18" t="s">
        <v>102</v>
      </c>
      <c r="C36" s="97" t="s">
        <v>184</v>
      </c>
      <c r="D36" s="98"/>
      <c r="E36" s="98"/>
      <c r="F36" s="98"/>
      <c r="G36" s="98"/>
      <c r="H36" s="98"/>
      <c r="I36" s="98"/>
      <c r="J36" s="98"/>
      <c r="K36" s="98"/>
      <c r="L36" s="98"/>
      <c r="M36" s="99"/>
    </row>
    <row r="37" spans="1:47" ht="15" customHeight="1">
      <c r="A37" s="61" t="s">
        <v>196</v>
      </c>
      <c r="B37" s="68" t="s">
        <v>230</v>
      </c>
      <c r="C37" s="100" t="s">
        <v>298</v>
      </c>
      <c r="D37" s="95"/>
      <c r="E37" s="95"/>
      <c r="F37" s="100"/>
      <c r="G37" s="50" t="s">
        <v>262</v>
      </c>
      <c r="H37" s="50" t="s">
        <v>262</v>
      </c>
      <c r="I37" s="50" t="s">
        <v>262</v>
      </c>
      <c r="J37" s="55">
        <f>SUM(J38:J38)</f>
        <v>0</v>
      </c>
      <c r="K37" s="55">
        <f>SUM(K38:K38)</f>
        <v>0</v>
      </c>
      <c r="L37" s="55">
        <f>SUM(L38:L38)</f>
        <v>0</v>
      </c>
      <c r="M37" s="12" t="s">
        <v>196</v>
      </c>
      <c r="AI37" s="34" t="s">
        <v>150</v>
      </c>
      <c r="AS37" s="67">
        <f>SUM(AJ38:AJ38)</f>
        <v>0</v>
      </c>
      <c r="AT37" s="67">
        <f>SUM(AK38:AK38)</f>
        <v>0</v>
      </c>
      <c r="AU37" s="67">
        <f>SUM(AL38:AL38)</f>
        <v>0</v>
      </c>
    </row>
    <row r="38" spans="1:64" ht="15" customHeight="1">
      <c r="A38" s="28" t="s">
        <v>210</v>
      </c>
      <c r="B38" s="63" t="s">
        <v>216</v>
      </c>
      <c r="C38" s="96" t="s">
        <v>164</v>
      </c>
      <c r="D38" s="79"/>
      <c r="E38" s="79"/>
      <c r="F38" s="96"/>
      <c r="G38" s="63" t="s">
        <v>283</v>
      </c>
      <c r="H38" s="51">
        <v>594.5</v>
      </c>
      <c r="I38" s="51">
        <v>0</v>
      </c>
      <c r="J38" s="51">
        <f>H38*AO38</f>
        <v>0</v>
      </c>
      <c r="K38" s="51">
        <f>H38*AP38</f>
        <v>0</v>
      </c>
      <c r="L38" s="51">
        <f>H38*I38</f>
        <v>0</v>
      </c>
      <c r="M38" s="38" t="s">
        <v>243</v>
      </c>
      <c r="Z38" s="37">
        <f>IF(AQ38="5",BJ38,0)</f>
        <v>0</v>
      </c>
      <c r="AB38" s="37">
        <f>IF(AQ38="1",BH38,0)</f>
        <v>0</v>
      </c>
      <c r="AC38" s="37">
        <f>IF(AQ38="1",BI38,0)</f>
        <v>0</v>
      </c>
      <c r="AD38" s="37">
        <f>IF(AQ38="7",BH38,0)</f>
        <v>0</v>
      </c>
      <c r="AE38" s="37">
        <f>IF(AQ38="7",BI38,0)</f>
        <v>0</v>
      </c>
      <c r="AF38" s="37">
        <f>IF(AQ38="2",BH38,0)</f>
        <v>0</v>
      </c>
      <c r="AG38" s="37">
        <f>IF(AQ38="2",BI38,0)</f>
        <v>0</v>
      </c>
      <c r="AH38" s="37">
        <f>IF(AQ38="0",BJ38,0)</f>
        <v>0</v>
      </c>
      <c r="AI38" s="34" t="s">
        <v>150</v>
      </c>
      <c r="AJ38" s="37">
        <f>IF(AN38=0,L38,0)</f>
        <v>0</v>
      </c>
      <c r="AK38" s="37">
        <f>IF(AN38=15,L38,0)</f>
        <v>0</v>
      </c>
      <c r="AL38" s="37">
        <f>IF(AN38=21,L38,0)</f>
        <v>0</v>
      </c>
      <c r="AN38" s="37">
        <v>15</v>
      </c>
      <c r="AO38" s="37">
        <f>I38*0</f>
        <v>0</v>
      </c>
      <c r="AP38" s="37">
        <f>I38*(1-0)</f>
        <v>0</v>
      </c>
      <c r="AQ38" s="66" t="s">
        <v>290</v>
      </c>
      <c r="AV38" s="37">
        <f>AW38+AX38</f>
        <v>0</v>
      </c>
      <c r="AW38" s="37">
        <f>H38*AO38</f>
        <v>0</v>
      </c>
      <c r="AX38" s="37">
        <f>H38*AP38</f>
        <v>0</v>
      </c>
      <c r="AY38" s="66" t="s">
        <v>134</v>
      </c>
      <c r="AZ38" s="66" t="s">
        <v>127</v>
      </c>
      <c r="BA38" s="34" t="s">
        <v>50</v>
      </c>
      <c r="BC38" s="37">
        <f>AW38+AX38</f>
        <v>0</v>
      </c>
      <c r="BD38" s="37">
        <f>I38/(100-BE38)*100</f>
        <v>0</v>
      </c>
      <c r="BE38" s="37">
        <v>0</v>
      </c>
      <c r="BF38" s="37">
        <f>38</f>
        <v>38</v>
      </c>
      <c r="BH38" s="37">
        <f>H38*AO38</f>
        <v>0</v>
      </c>
      <c r="BI38" s="37">
        <f>H38*AP38</f>
        <v>0</v>
      </c>
      <c r="BJ38" s="37">
        <f>H38*I38</f>
        <v>0</v>
      </c>
      <c r="BK38" s="37"/>
      <c r="BL38" s="37">
        <v>18</v>
      </c>
    </row>
    <row r="39" spans="1:13" ht="13.5" customHeight="1">
      <c r="A39" s="17"/>
      <c r="B39" s="18" t="s">
        <v>102</v>
      </c>
      <c r="C39" s="97" t="s">
        <v>124</v>
      </c>
      <c r="D39" s="98"/>
      <c r="E39" s="98"/>
      <c r="F39" s="98"/>
      <c r="G39" s="98"/>
      <c r="H39" s="98"/>
      <c r="I39" s="98"/>
      <c r="J39" s="98"/>
      <c r="K39" s="98"/>
      <c r="L39" s="98"/>
      <c r="M39" s="99"/>
    </row>
    <row r="40" spans="1:47" ht="15" customHeight="1">
      <c r="A40" s="61" t="s">
        <v>196</v>
      </c>
      <c r="B40" s="68" t="s">
        <v>171</v>
      </c>
      <c r="C40" s="100" t="s">
        <v>94</v>
      </c>
      <c r="D40" s="95"/>
      <c r="E40" s="95"/>
      <c r="F40" s="100"/>
      <c r="G40" s="50" t="s">
        <v>262</v>
      </c>
      <c r="H40" s="50" t="s">
        <v>262</v>
      </c>
      <c r="I40" s="50" t="s">
        <v>262</v>
      </c>
      <c r="J40" s="55">
        <f>SUM(J41:J41)</f>
        <v>0</v>
      </c>
      <c r="K40" s="55">
        <f>SUM(K41:K41)</f>
        <v>0</v>
      </c>
      <c r="L40" s="55">
        <f>SUM(L41:L41)</f>
        <v>0</v>
      </c>
      <c r="M40" s="12" t="s">
        <v>196</v>
      </c>
      <c r="AI40" s="34" t="s">
        <v>150</v>
      </c>
      <c r="AS40" s="67">
        <f>SUM(AJ41:AJ41)</f>
        <v>0</v>
      </c>
      <c r="AT40" s="67">
        <f>SUM(AK41:AK41)</f>
        <v>0</v>
      </c>
      <c r="AU40" s="67">
        <f>SUM(AL41:AL41)</f>
        <v>0</v>
      </c>
    </row>
    <row r="41" spans="1:64" ht="15" customHeight="1">
      <c r="A41" s="28" t="s">
        <v>77</v>
      </c>
      <c r="B41" s="63" t="s">
        <v>258</v>
      </c>
      <c r="C41" s="96" t="s">
        <v>19</v>
      </c>
      <c r="D41" s="79"/>
      <c r="E41" s="79"/>
      <c r="F41" s="96"/>
      <c r="G41" s="63" t="s">
        <v>275</v>
      </c>
      <c r="H41" s="51">
        <v>287.55</v>
      </c>
      <c r="I41" s="51">
        <v>0</v>
      </c>
      <c r="J41" s="51">
        <f>H41*AO41</f>
        <v>0</v>
      </c>
      <c r="K41" s="51">
        <f>H41*AP41</f>
        <v>0</v>
      </c>
      <c r="L41" s="51">
        <f>H41*I41</f>
        <v>0</v>
      </c>
      <c r="M41" s="38" t="s">
        <v>243</v>
      </c>
      <c r="Z41" s="37">
        <f>IF(AQ41="5",BJ41,0)</f>
        <v>0</v>
      </c>
      <c r="AB41" s="37">
        <f>IF(AQ41="1",BH41,0)</f>
        <v>0</v>
      </c>
      <c r="AC41" s="37">
        <f>IF(AQ41="1",BI41,0)</f>
        <v>0</v>
      </c>
      <c r="AD41" s="37">
        <f>IF(AQ41="7",BH41,0)</f>
        <v>0</v>
      </c>
      <c r="AE41" s="37">
        <f>IF(AQ41="7",BI41,0)</f>
        <v>0</v>
      </c>
      <c r="AF41" s="37">
        <f>IF(AQ41="2",BH41,0)</f>
        <v>0</v>
      </c>
      <c r="AG41" s="37">
        <f>IF(AQ41="2",BI41,0)</f>
        <v>0</v>
      </c>
      <c r="AH41" s="37">
        <f>IF(AQ41="0",BJ41,0)</f>
        <v>0</v>
      </c>
      <c r="AI41" s="34" t="s">
        <v>150</v>
      </c>
      <c r="AJ41" s="37">
        <f>IF(AN41=0,L41,0)</f>
        <v>0</v>
      </c>
      <c r="AK41" s="37">
        <f>IF(AN41=15,L41,0)</f>
        <v>0</v>
      </c>
      <c r="AL41" s="37">
        <f>IF(AN41=21,L41,0)</f>
        <v>0</v>
      </c>
      <c r="AN41" s="37">
        <v>15</v>
      </c>
      <c r="AO41" s="37">
        <f>I41*0</f>
        <v>0</v>
      </c>
      <c r="AP41" s="37">
        <f>I41*(1-0)</f>
        <v>0</v>
      </c>
      <c r="AQ41" s="66" t="s">
        <v>290</v>
      </c>
      <c r="AV41" s="37">
        <f>AW41+AX41</f>
        <v>0</v>
      </c>
      <c r="AW41" s="37">
        <f>H41*AO41</f>
        <v>0</v>
      </c>
      <c r="AX41" s="37">
        <f>H41*AP41</f>
        <v>0</v>
      </c>
      <c r="AY41" s="66" t="s">
        <v>224</v>
      </c>
      <c r="AZ41" s="66" t="s">
        <v>127</v>
      </c>
      <c r="BA41" s="34" t="s">
        <v>50</v>
      </c>
      <c r="BC41" s="37">
        <f>AW41+AX41</f>
        <v>0</v>
      </c>
      <c r="BD41" s="37">
        <f>I41/(100-BE41)*100</f>
        <v>0</v>
      </c>
      <c r="BE41" s="37">
        <v>0</v>
      </c>
      <c r="BF41" s="37">
        <f>41</f>
        <v>41</v>
      </c>
      <c r="BH41" s="37">
        <f>H41*AO41</f>
        <v>0</v>
      </c>
      <c r="BI41" s="37">
        <f>H41*AP41</f>
        <v>0</v>
      </c>
      <c r="BJ41" s="37">
        <f>H41*I41</f>
        <v>0</v>
      </c>
      <c r="BK41" s="37"/>
      <c r="BL41" s="37">
        <v>19</v>
      </c>
    </row>
    <row r="42" spans="1:47" ht="15" customHeight="1">
      <c r="A42" s="44" t="s">
        <v>196</v>
      </c>
      <c r="B42" s="9" t="s">
        <v>202</v>
      </c>
      <c r="C42" s="100" t="s">
        <v>91</v>
      </c>
      <c r="D42" s="95"/>
      <c r="E42" s="95"/>
      <c r="F42" s="100"/>
      <c r="G42" s="13" t="s">
        <v>262</v>
      </c>
      <c r="H42" s="13" t="s">
        <v>262</v>
      </c>
      <c r="I42" s="13" t="s">
        <v>262</v>
      </c>
      <c r="J42" s="25">
        <f>SUM(J43:J47)</f>
        <v>0</v>
      </c>
      <c r="K42" s="25">
        <f>SUM(K43:K47)</f>
        <v>0</v>
      </c>
      <c r="L42" s="25">
        <f>SUM(L43:L47)</f>
        <v>0</v>
      </c>
      <c r="M42" s="49" t="s">
        <v>196</v>
      </c>
      <c r="AI42" s="34" t="s">
        <v>150</v>
      </c>
      <c r="AS42" s="67">
        <f>SUM(AJ43:AJ47)</f>
        <v>0</v>
      </c>
      <c r="AT42" s="67">
        <f>SUM(AK43:AK47)</f>
        <v>0</v>
      </c>
      <c r="AU42" s="67">
        <f>SUM(AL43:AL47)</f>
        <v>0</v>
      </c>
    </row>
    <row r="43" spans="1:64" ht="15" customHeight="1">
      <c r="A43" s="28" t="s">
        <v>157</v>
      </c>
      <c r="B43" s="63" t="s">
        <v>261</v>
      </c>
      <c r="C43" s="96" t="s">
        <v>137</v>
      </c>
      <c r="D43" s="79"/>
      <c r="E43" s="79"/>
      <c r="F43" s="96"/>
      <c r="G43" s="63" t="s">
        <v>237</v>
      </c>
      <c r="H43" s="51">
        <v>50</v>
      </c>
      <c r="I43" s="51">
        <v>0</v>
      </c>
      <c r="J43" s="51">
        <f>H43*AO43</f>
        <v>0</v>
      </c>
      <c r="K43" s="51">
        <f>H43*AP43</f>
        <v>0</v>
      </c>
      <c r="L43" s="51">
        <f>H43*I43</f>
        <v>0</v>
      </c>
      <c r="M43" s="38" t="s">
        <v>243</v>
      </c>
      <c r="Z43" s="37">
        <f>IF(AQ43="5",BJ43,0)</f>
        <v>0</v>
      </c>
      <c r="AB43" s="37">
        <f>IF(AQ43="1",BH43,0)</f>
        <v>0</v>
      </c>
      <c r="AC43" s="37">
        <f>IF(AQ43="1",BI43,0)</f>
        <v>0</v>
      </c>
      <c r="AD43" s="37">
        <f>IF(AQ43="7",BH43,0)</f>
        <v>0</v>
      </c>
      <c r="AE43" s="37">
        <f>IF(AQ43="7",BI43,0)</f>
        <v>0</v>
      </c>
      <c r="AF43" s="37">
        <f>IF(AQ43="2",BH43,0)</f>
        <v>0</v>
      </c>
      <c r="AG43" s="37">
        <f>IF(AQ43="2",BI43,0)</f>
        <v>0</v>
      </c>
      <c r="AH43" s="37">
        <f>IF(AQ43="0",BJ43,0)</f>
        <v>0</v>
      </c>
      <c r="AI43" s="34" t="s">
        <v>150</v>
      </c>
      <c r="AJ43" s="37">
        <f>IF(AN43=0,L43,0)</f>
        <v>0</v>
      </c>
      <c r="AK43" s="37">
        <f>IF(AN43=15,L43,0)</f>
        <v>0</v>
      </c>
      <c r="AL43" s="37">
        <f>IF(AN43=21,L43,0)</f>
        <v>0</v>
      </c>
      <c r="AN43" s="37">
        <v>15</v>
      </c>
      <c r="AO43" s="37">
        <f>I43*0.588651898212962</f>
        <v>0</v>
      </c>
      <c r="AP43" s="37">
        <f>I43*(1-0.588651898212962)</f>
        <v>0</v>
      </c>
      <c r="AQ43" s="66" t="s">
        <v>290</v>
      </c>
      <c r="AV43" s="37">
        <f>AW43+AX43</f>
        <v>0</v>
      </c>
      <c r="AW43" s="37">
        <f>H43*AO43</f>
        <v>0</v>
      </c>
      <c r="AX43" s="37">
        <f>H43*AP43</f>
        <v>0</v>
      </c>
      <c r="AY43" s="66" t="s">
        <v>165</v>
      </c>
      <c r="AZ43" s="66" t="s">
        <v>223</v>
      </c>
      <c r="BA43" s="34" t="s">
        <v>50</v>
      </c>
      <c r="BC43" s="37">
        <f>AW43+AX43</f>
        <v>0</v>
      </c>
      <c r="BD43" s="37">
        <f>I43/(100-BE43)*100</f>
        <v>0</v>
      </c>
      <c r="BE43" s="37">
        <v>0</v>
      </c>
      <c r="BF43" s="37">
        <f>43</f>
        <v>43</v>
      </c>
      <c r="BH43" s="37">
        <f>H43*AO43</f>
        <v>0</v>
      </c>
      <c r="BI43" s="37">
        <f>H43*AP43</f>
        <v>0</v>
      </c>
      <c r="BJ43" s="37">
        <f>H43*I43</f>
        <v>0</v>
      </c>
      <c r="BK43" s="37"/>
      <c r="BL43" s="37">
        <v>21</v>
      </c>
    </row>
    <row r="44" spans="1:13" ht="13.5" customHeight="1">
      <c r="A44" s="17"/>
      <c r="B44" s="18" t="s">
        <v>139</v>
      </c>
      <c r="C44" s="97" t="s">
        <v>151</v>
      </c>
      <c r="D44" s="98"/>
      <c r="E44" s="98"/>
      <c r="F44" s="98"/>
      <c r="G44" s="98"/>
      <c r="H44" s="98"/>
      <c r="I44" s="98"/>
      <c r="J44" s="98"/>
      <c r="K44" s="98"/>
      <c r="L44" s="98"/>
      <c r="M44" s="99"/>
    </row>
    <row r="45" spans="1:13" ht="13.5" customHeight="1">
      <c r="A45" s="17"/>
      <c r="B45" s="18" t="s">
        <v>102</v>
      </c>
      <c r="C45" s="97" t="s">
        <v>32</v>
      </c>
      <c r="D45" s="98"/>
      <c r="E45" s="98"/>
      <c r="F45" s="98"/>
      <c r="G45" s="98"/>
      <c r="H45" s="98"/>
      <c r="I45" s="98"/>
      <c r="J45" s="98"/>
      <c r="K45" s="98"/>
      <c r="L45" s="98"/>
      <c r="M45" s="99"/>
    </row>
    <row r="46" spans="1:64" ht="15" customHeight="1">
      <c r="A46" s="16" t="s">
        <v>107</v>
      </c>
      <c r="B46" s="33" t="s">
        <v>312</v>
      </c>
      <c r="C46" s="96" t="s">
        <v>116</v>
      </c>
      <c r="D46" s="79"/>
      <c r="E46" s="79"/>
      <c r="F46" s="96"/>
      <c r="G46" s="33" t="s">
        <v>283</v>
      </c>
      <c r="H46" s="35">
        <v>212.5</v>
      </c>
      <c r="I46" s="35">
        <v>0</v>
      </c>
      <c r="J46" s="35">
        <f>H46*AO46</f>
        <v>0</v>
      </c>
      <c r="K46" s="35">
        <f>H46*AP46</f>
        <v>0</v>
      </c>
      <c r="L46" s="35">
        <f>H46*I46</f>
        <v>0</v>
      </c>
      <c r="M46" s="48" t="s">
        <v>191</v>
      </c>
      <c r="Z46" s="37">
        <f>IF(AQ46="5",BJ46,0)</f>
        <v>0</v>
      </c>
      <c r="AB46" s="37">
        <f>IF(AQ46="1",BH46,0)</f>
        <v>0</v>
      </c>
      <c r="AC46" s="37">
        <f>IF(AQ46="1",BI46,0)</f>
        <v>0</v>
      </c>
      <c r="AD46" s="37">
        <f>IF(AQ46="7",BH46,0)</f>
        <v>0</v>
      </c>
      <c r="AE46" s="37">
        <f>IF(AQ46="7",BI46,0)</f>
        <v>0</v>
      </c>
      <c r="AF46" s="37">
        <f>IF(AQ46="2",BH46,0)</f>
        <v>0</v>
      </c>
      <c r="AG46" s="37">
        <f>IF(AQ46="2",BI46,0)</f>
        <v>0</v>
      </c>
      <c r="AH46" s="37">
        <f>IF(AQ46="0",BJ46,0)</f>
        <v>0</v>
      </c>
      <c r="AI46" s="34" t="s">
        <v>150</v>
      </c>
      <c r="AJ46" s="37">
        <f>IF(AN46=0,L46,0)</f>
        <v>0</v>
      </c>
      <c r="AK46" s="37">
        <f>IF(AN46=15,L46,0)</f>
        <v>0</v>
      </c>
      <c r="AL46" s="37">
        <f>IF(AN46=21,L46,0)</f>
        <v>0</v>
      </c>
      <c r="AN46" s="37">
        <v>15</v>
      </c>
      <c r="AO46" s="37">
        <f>I46*0.0994711070134315</f>
        <v>0</v>
      </c>
      <c r="AP46" s="37">
        <f>I46*(1-0.0994711070134315)</f>
        <v>0</v>
      </c>
      <c r="AQ46" s="66" t="s">
        <v>290</v>
      </c>
      <c r="AV46" s="37">
        <f>AW46+AX46</f>
        <v>0</v>
      </c>
      <c r="AW46" s="37">
        <f>H46*AO46</f>
        <v>0</v>
      </c>
      <c r="AX46" s="37">
        <f>H46*AP46</f>
        <v>0</v>
      </c>
      <c r="AY46" s="66" t="s">
        <v>165</v>
      </c>
      <c r="AZ46" s="66" t="s">
        <v>223</v>
      </c>
      <c r="BA46" s="34" t="s">
        <v>50</v>
      </c>
      <c r="BC46" s="37">
        <f>AW46+AX46</f>
        <v>0</v>
      </c>
      <c r="BD46" s="37">
        <f>I46/(100-BE46)*100</f>
        <v>0</v>
      </c>
      <c r="BE46" s="37">
        <v>0</v>
      </c>
      <c r="BF46" s="37">
        <f>46</f>
        <v>46</v>
      </c>
      <c r="BH46" s="37">
        <f>H46*AO46</f>
        <v>0</v>
      </c>
      <c r="BI46" s="37">
        <f>H46*AP46</f>
        <v>0</v>
      </c>
      <c r="BJ46" s="37">
        <f>H46*I46</f>
        <v>0</v>
      </c>
      <c r="BK46" s="37"/>
      <c r="BL46" s="37">
        <v>21</v>
      </c>
    </row>
    <row r="47" spans="1:64" ht="15" customHeight="1">
      <c r="A47" s="28" t="s">
        <v>24</v>
      </c>
      <c r="B47" s="63" t="s">
        <v>168</v>
      </c>
      <c r="C47" s="96" t="s">
        <v>311</v>
      </c>
      <c r="D47" s="79"/>
      <c r="E47" s="79"/>
      <c r="F47" s="96"/>
      <c r="G47" s="63" t="s">
        <v>283</v>
      </c>
      <c r="H47" s="51">
        <v>213</v>
      </c>
      <c r="I47" s="51">
        <v>0</v>
      </c>
      <c r="J47" s="51">
        <f>H47*AO47</f>
        <v>0</v>
      </c>
      <c r="K47" s="51">
        <f>H47*AP47</f>
        <v>0</v>
      </c>
      <c r="L47" s="51">
        <f>H47*I47</f>
        <v>0</v>
      </c>
      <c r="M47" s="38" t="s">
        <v>191</v>
      </c>
      <c r="Z47" s="37">
        <f>IF(AQ47="5",BJ47,0)</f>
        <v>0</v>
      </c>
      <c r="AB47" s="37">
        <f>IF(AQ47="1",BH47,0)</f>
        <v>0</v>
      </c>
      <c r="AC47" s="37">
        <f>IF(AQ47="1",BI47,0)</f>
        <v>0</v>
      </c>
      <c r="AD47" s="37">
        <f>IF(AQ47="7",BH47,0)</f>
        <v>0</v>
      </c>
      <c r="AE47" s="37">
        <f>IF(AQ47="7",BI47,0)</f>
        <v>0</v>
      </c>
      <c r="AF47" s="37">
        <f>IF(AQ47="2",BH47,0)</f>
        <v>0</v>
      </c>
      <c r="AG47" s="37">
        <f>IF(AQ47="2",BI47,0)</f>
        <v>0</v>
      </c>
      <c r="AH47" s="37">
        <f>IF(AQ47="0",BJ47,0)</f>
        <v>0</v>
      </c>
      <c r="AI47" s="34" t="s">
        <v>150</v>
      </c>
      <c r="AJ47" s="37">
        <f>IF(AN47=0,L47,0)</f>
        <v>0</v>
      </c>
      <c r="AK47" s="37">
        <f>IF(AN47=15,L47,0)</f>
        <v>0</v>
      </c>
      <c r="AL47" s="37">
        <f>IF(AN47=21,L47,0)</f>
        <v>0</v>
      </c>
      <c r="AN47" s="37">
        <v>15</v>
      </c>
      <c r="AO47" s="37">
        <f>I47*1</f>
        <v>0</v>
      </c>
      <c r="AP47" s="37">
        <f>I47*(1-1)</f>
        <v>0</v>
      </c>
      <c r="AQ47" s="66" t="s">
        <v>290</v>
      </c>
      <c r="AV47" s="37">
        <f>AW47+AX47</f>
        <v>0</v>
      </c>
      <c r="AW47" s="37">
        <f>H47*AO47</f>
        <v>0</v>
      </c>
      <c r="AX47" s="37">
        <f>H47*AP47</f>
        <v>0</v>
      </c>
      <c r="AY47" s="66" t="s">
        <v>165</v>
      </c>
      <c r="AZ47" s="66" t="s">
        <v>223</v>
      </c>
      <c r="BA47" s="34" t="s">
        <v>50</v>
      </c>
      <c r="BC47" s="37">
        <f>AW47+AX47</f>
        <v>0</v>
      </c>
      <c r="BD47" s="37">
        <f>I47/(100-BE47)*100</f>
        <v>0</v>
      </c>
      <c r="BE47" s="37">
        <v>0</v>
      </c>
      <c r="BF47" s="37">
        <f>47</f>
        <v>47</v>
      </c>
      <c r="BH47" s="37">
        <f>H47*AO47</f>
        <v>0</v>
      </c>
      <c r="BI47" s="37">
        <f>H47*AP47</f>
        <v>0</v>
      </c>
      <c r="BJ47" s="37">
        <f>H47*I47</f>
        <v>0</v>
      </c>
      <c r="BK47" s="37"/>
      <c r="BL47" s="37">
        <v>21</v>
      </c>
    </row>
    <row r="48" spans="1:13" ht="40.5" customHeight="1">
      <c r="A48" s="17"/>
      <c r="B48" s="18" t="s">
        <v>102</v>
      </c>
      <c r="C48" s="97" t="s">
        <v>221</v>
      </c>
      <c r="D48" s="98"/>
      <c r="E48" s="98"/>
      <c r="F48" s="98"/>
      <c r="G48" s="98"/>
      <c r="H48" s="98"/>
      <c r="I48" s="98"/>
      <c r="J48" s="98"/>
      <c r="K48" s="98"/>
      <c r="L48" s="98"/>
      <c r="M48" s="99"/>
    </row>
    <row r="49" spans="1:47" ht="15" customHeight="1">
      <c r="A49" s="61" t="s">
        <v>196</v>
      </c>
      <c r="B49" s="68" t="s">
        <v>170</v>
      </c>
      <c r="C49" s="100" t="s">
        <v>183</v>
      </c>
      <c r="D49" s="95"/>
      <c r="E49" s="95"/>
      <c r="F49" s="100"/>
      <c r="G49" s="50" t="s">
        <v>262</v>
      </c>
      <c r="H49" s="50" t="s">
        <v>262</v>
      </c>
      <c r="I49" s="50" t="s">
        <v>262</v>
      </c>
      <c r="J49" s="55">
        <f>SUM(J50:J52)</f>
        <v>0</v>
      </c>
      <c r="K49" s="55">
        <f>SUM(K50:K52)</f>
        <v>0</v>
      </c>
      <c r="L49" s="55">
        <f>SUM(L50:L52)</f>
        <v>0</v>
      </c>
      <c r="M49" s="12" t="s">
        <v>196</v>
      </c>
      <c r="AI49" s="34" t="s">
        <v>150</v>
      </c>
      <c r="AS49" s="67">
        <f>SUM(AJ50:AJ52)</f>
        <v>0</v>
      </c>
      <c r="AT49" s="67">
        <f>SUM(AK50:AK52)</f>
        <v>0</v>
      </c>
      <c r="AU49" s="67">
        <f>SUM(AL50:AL52)</f>
        <v>0</v>
      </c>
    </row>
    <row r="50" spans="1:64" ht="15" customHeight="1">
      <c r="A50" s="28" t="s">
        <v>199</v>
      </c>
      <c r="B50" s="63" t="s">
        <v>133</v>
      </c>
      <c r="C50" s="96" t="s">
        <v>270</v>
      </c>
      <c r="D50" s="79"/>
      <c r="E50" s="79"/>
      <c r="F50" s="96"/>
      <c r="G50" s="63" t="s">
        <v>283</v>
      </c>
      <c r="H50" s="51">
        <v>482.5</v>
      </c>
      <c r="I50" s="51">
        <v>0</v>
      </c>
      <c r="J50" s="51">
        <f>H50*AO50</f>
        <v>0</v>
      </c>
      <c r="K50" s="51">
        <f>H50*AP50</f>
        <v>0</v>
      </c>
      <c r="L50" s="51">
        <f>H50*I50</f>
        <v>0</v>
      </c>
      <c r="M50" s="38" t="s">
        <v>243</v>
      </c>
      <c r="Z50" s="37">
        <f>IF(AQ50="5",BJ50,0)</f>
        <v>0</v>
      </c>
      <c r="AB50" s="37">
        <f>IF(AQ50="1",BH50,0)</f>
        <v>0</v>
      </c>
      <c r="AC50" s="37">
        <f>IF(AQ50="1",BI50,0)</f>
        <v>0</v>
      </c>
      <c r="AD50" s="37">
        <f>IF(AQ50="7",BH50,0)</f>
        <v>0</v>
      </c>
      <c r="AE50" s="37">
        <f>IF(AQ50="7",BI50,0)</f>
        <v>0</v>
      </c>
      <c r="AF50" s="37">
        <f>IF(AQ50="2",BH50,0)</f>
        <v>0</v>
      </c>
      <c r="AG50" s="37">
        <f>IF(AQ50="2",BI50,0)</f>
        <v>0</v>
      </c>
      <c r="AH50" s="37">
        <f>IF(AQ50="0",BJ50,0)</f>
        <v>0</v>
      </c>
      <c r="AI50" s="34" t="s">
        <v>150</v>
      </c>
      <c r="AJ50" s="37">
        <f>IF(AN50=0,L50,0)</f>
        <v>0</v>
      </c>
      <c r="AK50" s="37">
        <f>IF(AN50=15,L50,0)</f>
        <v>0</v>
      </c>
      <c r="AL50" s="37">
        <f>IF(AN50=21,L50,0)</f>
        <v>0</v>
      </c>
      <c r="AN50" s="37">
        <v>15</v>
      </c>
      <c r="AO50" s="37">
        <f>I50*0.8353936121261</f>
        <v>0</v>
      </c>
      <c r="AP50" s="37">
        <f>I50*(1-0.8353936121261)</f>
        <v>0</v>
      </c>
      <c r="AQ50" s="66" t="s">
        <v>290</v>
      </c>
      <c r="AV50" s="37">
        <f>AW50+AX50</f>
        <v>0</v>
      </c>
      <c r="AW50" s="37">
        <f>H50*AO50</f>
        <v>0</v>
      </c>
      <c r="AX50" s="37">
        <f>H50*AP50</f>
        <v>0</v>
      </c>
      <c r="AY50" s="66" t="s">
        <v>308</v>
      </c>
      <c r="AZ50" s="66" t="s">
        <v>306</v>
      </c>
      <c r="BA50" s="34" t="s">
        <v>50</v>
      </c>
      <c r="BC50" s="37">
        <f>AW50+AX50</f>
        <v>0</v>
      </c>
      <c r="BD50" s="37">
        <f>I50/(100-BE50)*100</f>
        <v>0</v>
      </c>
      <c r="BE50" s="37">
        <v>0</v>
      </c>
      <c r="BF50" s="37">
        <f>50</f>
        <v>50</v>
      </c>
      <c r="BH50" s="37">
        <f>H50*AO50</f>
        <v>0</v>
      </c>
      <c r="BI50" s="37">
        <f>H50*AP50</f>
        <v>0</v>
      </c>
      <c r="BJ50" s="37">
        <f>H50*I50</f>
        <v>0</v>
      </c>
      <c r="BK50" s="37"/>
      <c r="BL50" s="37">
        <v>56</v>
      </c>
    </row>
    <row r="51" spans="1:13" ht="13.5" customHeight="1">
      <c r="A51" s="17"/>
      <c r="B51" s="18" t="s">
        <v>139</v>
      </c>
      <c r="C51" s="97" t="s">
        <v>145</v>
      </c>
      <c r="D51" s="98"/>
      <c r="E51" s="98"/>
      <c r="F51" s="98"/>
      <c r="G51" s="98"/>
      <c r="H51" s="98"/>
      <c r="I51" s="98"/>
      <c r="J51" s="98"/>
      <c r="K51" s="98"/>
      <c r="L51" s="98"/>
      <c r="M51" s="99"/>
    </row>
    <row r="52" spans="1:64" ht="15" customHeight="1">
      <c r="A52" s="16" t="s">
        <v>230</v>
      </c>
      <c r="B52" s="33" t="s">
        <v>179</v>
      </c>
      <c r="C52" s="96" t="s">
        <v>61</v>
      </c>
      <c r="D52" s="79"/>
      <c r="E52" s="79"/>
      <c r="F52" s="96"/>
      <c r="G52" s="33" t="s">
        <v>283</v>
      </c>
      <c r="H52" s="35">
        <v>311.5</v>
      </c>
      <c r="I52" s="35">
        <v>0</v>
      </c>
      <c r="J52" s="35">
        <f>H52*AO52</f>
        <v>0</v>
      </c>
      <c r="K52" s="35">
        <f>H52*AP52</f>
        <v>0</v>
      </c>
      <c r="L52" s="35">
        <f>H52*I52</f>
        <v>0</v>
      </c>
      <c r="M52" s="48" t="s">
        <v>243</v>
      </c>
      <c r="Z52" s="37">
        <f>IF(AQ52="5",BJ52,0)</f>
        <v>0</v>
      </c>
      <c r="AB52" s="37">
        <f>IF(AQ52="1",BH52,0)</f>
        <v>0</v>
      </c>
      <c r="AC52" s="37">
        <f>IF(AQ52="1",BI52,0)</f>
        <v>0</v>
      </c>
      <c r="AD52" s="37">
        <f>IF(AQ52="7",BH52,0)</f>
        <v>0</v>
      </c>
      <c r="AE52" s="37">
        <f>IF(AQ52="7",BI52,0)</f>
        <v>0</v>
      </c>
      <c r="AF52" s="37">
        <f>IF(AQ52="2",BH52,0)</f>
        <v>0</v>
      </c>
      <c r="AG52" s="37">
        <f>IF(AQ52="2",BI52,0)</f>
        <v>0</v>
      </c>
      <c r="AH52" s="37">
        <f>IF(AQ52="0",BJ52,0)</f>
        <v>0</v>
      </c>
      <c r="AI52" s="34" t="s">
        <v>150</v>
      </c>
      <c r="AJ52" s="37">
        <f>IF(AN52=0,L52,0)</f>
        <v>0</v>
      </c>
      <c r="AK52" s="37">
        <f>IF(AN52=15,L52,0)</f>
        <v>0</v>
      </c>
      <c r="AL52" s="37">
        <f>IF(AN52=21,L52,0)</f>
        <v>0</v>
      </c>
      <c r="AN52" s="37">
        <v>15</v>
      </c>
      <c r="AO52" s="37">
        <f>I52*0.883438202175607</f>
        <v>0</v>
      </c>
      <c r="AP52" s="37">
        <f>I52*(1-0.883438202175607)</f>
        <v>0</v>
      </c>
      <c r="AQ52" s="66" t="s">
        <v>290</v>
      </c>
      <c r="AV52" s="37">
        <f>AW52+AX52</f>
        <v>0</v>
      </c>
      <c r="AW52" s="37">
        <f>H52*AO52</f>
        <v>0</v>
      </c>
      <c r="AX52" s="37">
        <f>H52*AP52</f>
        <v>0</v>
      </c>
      <c r="AY52" s="66" t="s">
        <v>308</v>
      </c>
      <c r="AZ52" s="66" t="s">
        <v>306</v>
      </c>
      <c r="BA52" s="34" t="s">
        <v>50</v>
      </c>
      <c r="BC52" s="37">
        <f>AW52+AX52</f>
        <v>0</v>
      </c>
      <c r="BD52" s="37">
        <f>I52/(100-BE52)*100</f>
        <v>0</v>
      </c>
      <c r="BE52" s="37">
        <v>0</v>
      </c>
      <c r="BF52" s="37">
        <f>52</f>
        <v>52</v>
      </c>
      <c r="BH52" s="37">
        <f>H52*AO52</f>
        <v>0</v>
      </c>
      <c r="BI52" s="37">
        <f>H52*AP52</f>
        <v>0</v>
      </c>
      <c r="BJ52" s="37">
        <f>H52*I52</f>
        <v>0</v>
      </c>
      <c r="BK52" s="37"/>
      <c r="BL52" s="37">
        <v>56</v>
      </c>
    </row>
    <row r="53" spans="1:47" ht="15" customHeight="1">
      <c r="A53" s="44" t="s">
        <v>196</v>
      </c>
      <c r="B53" s="9" t="s">
        <v>121</v>
      </c>
      <c r="C53" s="100" t="s">
        <v>265</v>
      </c>
      <c r="D53" s="95"/>
      <c r="E53" s="95"/>
      <c r="F53" s="100"/>
      <c r="G53" s="13" t="s">
        <v>262</v>
      </c>
      <c r="H53" s="13" t="s">
        <v>262</v>
      </c>
      <c r="I53" s="13" t="s">
        <v>262</v>
      </c>
      <c r="J53" s="25">
        <f>SUM(J54:J69)</f>
        <v>0</v>
      </c>
      <c r="K53" s="25">
        <f>SUM(K54:K69)</f>
        <v>0</v>
      </c>
      <c r="L53" s="25">
        <f>SUM(L54:L69)</f>
        <v>0</v>
      </c>
      <c r="M53" s="49" t="s">
        <v>196</v>
      </c>
      <c r="AI53" s="34" t="s">
        <v>150</v>
      </c>
      <c r="AS53" s="67">
        <f>SUM(AJ54:AJ69)</f>
        <v>0</v>
      </c>
      <c r="AT53" s="67">
        <f>SUM(AK54:AK69)</f>
        <v>0</v>
      </c>
      <c r="AU53" s="67">
        <f>SUM(AL54:AL69)</f>
        <v>0</v>
      </c>
    </row>
    <row r="54" spans="1:64" ht="15" customHeight="1">
      <c r="A54" s="28" t="s">
        <v>171</v>
      </c>
      <c r="B54" s="63" t="s">
        <v>108</v>
      </c>
      <c r="C54" s="96" t="s">
        <v>180</v>
      </c>
      <c r="D54" s="79"/>
      <c r="E54" s="79"/>
      <c r="F54" s="96"/>
      <c r="G54" s="63" t="s">
        <v>283</v>
      </c>
      <c r="H54" s="51">
        <v>171</v>
      </c>
      <c r="I54" s="51">
        <v>0</v>
      </c>
      <c r="J54" s="51">
        <f>H54*AO54</f>
        <v>0</v>
      </c>
      <c r="K54" s="51">
        <f>H54*AP54</f>
        <v>0</v>
      </c>
      <c r="L54" s="51">
        <f>H54*I54</f>
        <v>0</v>
      </c>
      <c r="M54" s="38" t="s">
        <v>243</v>
      </c>
      <c r="Z54" s="37">
        <f>IF(AQ54="5",BJ54,0)</f>
        <v>0</v>
      </c>
      <c r="AB54" s="37">
        <f>IF(AQ54="1",BH54,0)</f>
        <v>0</v>
      </c>
      <c r="AC54" s="37">
        <f>IF(AQ54="1",BI54,0)</f>
        <v>0</v>
      </c>
      <c r="AD54" s="37">
        <f>IF(AQ54="7",BH54,0)</f>
        <v>0</v>
      </c>
      <c r="AE54" s="37">
        <f>IF(AQ54="7",BI54,0)</f>
        <v>0</v>
      </c>
      <c r="AF54" s="37">
        <f>IF(AQ54="2",BH54,0)</f>
        <v>0</v>
      </c>
      <c r="AG54" s="37">
        <f>IF(AQ54="2",BI54,0)</f>
        <v>0</v>
      </c>
      <c r="AH54" s="37">
        <f>IF(AQ54="0",BJ54,0)</f>
        <v>0</v>
      </c>
      <c r="AI54" s="34" t="s">
        <v>150</v>
      </c>
      <c r="AJ54" s="37">
        <f>IF(AN54=0,L54,0)</f>
        <v>0</v>
      </c>
      <c r="AK54" s="37">
        <f>IF(AN54=15,L54,0)</f>
        <v>0</v>
      </c>
      <c r="AL54" s="37">
        <f>IF(AN54=21,L54,0)</f>
        <v>0</v>
      </c>
      <c r="AN54" s="37">
        <v>15</v>
      </c>
      <c r="AO54" s="37">
        <f>I54*0.152160278745645</f>
        <v>0</v>
      </c>
      <c r="AP54" s="37">
        <f>I54*(1-0.152160278745645)</f>
        <v>0</v>
      </c>
      <c r="AQ54" s="66" t="s">
        <v>290</v>
      </c>
      <c r="AV54" s="37">
        <f>AW54+AX54</f>
        <v>0</v>
      </c>
      <c r="AW54" s="37">
        <f>H54*AO54</f>
        <v>0</v>
      </c>
      <c r="AX54" s="37">
        <f>H54*AP54</f>
        <v>0</v>
      </c>
      <c r="AY54" s="66" t="s">
        <v>286</v>
      </c>
      <c r="AZ54" s="66" t="s">
        <v>306</v>
      </c>
      <c r="BA54" s="34" t="s">
        <v>50</v>
      </c>
      <c r="BC54" s="37">
        <f>AW54+AX54</f>
        <v>0</v>
      </c>
      <c r="BD54" s="37">
        <f>I54/(100-BE54)*100</f>
        <v>0</v>
      </c>
      <c r="BE54" s="37">
        <v>0</v>
      </c>
      <c r="BF54" s="37">
        <f>54</f>
        <v>54</v>
      </c>
      <c r="BH54" s="37">
        <f>H54*AO54</f>
        <v>0</v>
      </c>
      <c r="BI54" s="37">
        <f>H54*AP54</f>
        <v>0</v>
      </c>
      <c r="BJ54" s="37">
        <f>H54*I54</f>
        <v>0</v>
      </c>
      <c r="BK54" s="37"/>
      <c r="BL54" s="37">
        <v>59</v>
      </c>
    </row>
    <row r="55" spans="1:13" ht="54" customHeight="1">
      <c r="A55" s="17"/>
      <c r="B55" s="18" t="s">
        <v>102</v>
      </c>
      <c r="C55" s="97" t="s">
        <v>247</v>
      </c>
      <c r="D55" s="98"/>
      <c r="E55" s="98"/>
      <c r="F55" s="98"/>
      <c r="G55" s="98"/>
      <c r="H55" s="98"/>
      <c r="I55" s="98"/>
      <c r="J55" s="98"/>
      <c r="K55" s="98"/>
      <c r="L55" s="98"/>
      <c r="M55" s="99"/>
    </row>
    <row r="56" spans="1:64" ht="15" customHeight="1">
      <c r="A56" s="16" t="s">
        <v>9</v>
      </c>
      <c r="B56" s="33" t="s">
        <v>79</v>
      </c>
      <c r="C56" s="96" t="s">
        <v>74</v>
      </c>
      <c r="D56" s="79"/>
      <c r="E56" s="79"/>
      <c r="F56" s="96"/>
      <c r="G56" s="33" t="s">
        <v>283</v>
      </c>
      <c r="H56" s="35">
        <v>171</v>
      </c>
      <c r="I56" s="35">
        <v>0</v>
      </c>
      <c r="J56" s="35">
        <f>H56*AO56</f>
        <v>0</v>
      </c>
      <c r="K56" s="35">
        <f>H56*AP56</f>
        <v>0</v>
      </c>
      <c r="L56" s="35">
        <f>H56*I56</f>
        <v>0</v>
      </c>
      <c r="M56" s="48" t="s">
        <v>243</v>
      </c>
      <c r="Z56" s="37">
        <f>IF(AQ56="5",BJ56,0)</f>
        <v>0</v>
      </c>
      <c r="AB56" s="37">
        <f>IF(AQ56="1",BH56,0)</f>
        <v>0</v>
      </c>
      <c r="AC56" s="37">
        <f>IF(AQ56="1",BI56,0)</f>
        <v>0</v>
      </c>
      <c r="AD56" s="37">
        <f>IF(AQ56="7",BH56,0)</f>
        <v>0</v>
      </c>
      <c r="AE56" s="37">
        <f>IF(AQ56="7",BI56,0)</f>
        <v>0</v>
      </c>
      <c r="AF56" s="37">
        <f>IF(AQ56="2",BH56,0)</f>
        <v>0</v>
      </c>
      <c r="AG56" s="37">
        <f>IF(AQ56="2",BI56,0)</f>
        <v>0</v>
      </c>
      <c r="AH56" s="37">
        <f>IF(AQ56="0",BJ56,0)</f>
        <v>0</v>
      </c>
      <c r="AI56" s="34" t="s">
        <v>150</v>
      </c>
      <c r="AJ56" s="37">
        <f>IF(AN56=0,L56,0)</f>
        <v>0</v>
      </c>
      <c r="AK56" s="37">
        <f>IF(AN56=15,L56,0)</f>
        <v>0</v>
      </c>
      <c r="AL56" s="37">
        <f>IF(AN56=21,L56,0)</f>
        <v>0</v>
      </c>
      <c r="AN56" s="37">
        <v>15</v>
      </c>
      <c r="AO56" s="37">
        <f>I56*1</f>
        <v>0</v>
      </c>
      <c r="AP56" s="37">
        <f>I56*(1-1)</f>
        <v>0</v>
      </c>
      <c r="AQ56" s="66" t="s">
        <v>290</v>
      </c>
      <c r="AV56" s="37">
        <f>AW56+AX56</f>
        <v>0</v>
      </c>
      <c r="AW56" s="37">
        <f>H56*AO56</f>
        <v>0</v>
      </c>
      <c r="AX56" s="37">
        <f>H56*AP56</f>
        <v>0</v>
      </c>
      <c r="AY56" s="66" t="s">
        <v>286</v>
      </c>
      <c r="AZ56" s="66" t="s">
        <v>306</v>
      </c>
      <c r="BA56" s="34" t="s">
        <v>50</v>
      </c>
      <c r="BC56" s="37">
        <f>AW56+AX56</f>
        <v>0</v>
      </c>
      <c r="BD56" s="37">
        <f>I56/(100-BE56)*100</f>
        <v>0</v>
      </c>
      <c r="BE56" s="37">
        <v>0</v>
      </c>
      <c r="BF56" s="37">
        <f>56</f>
        <v>56</v>
      </c>
      <c r="BH56" s="37">
        <f>H56*AO56</f>
        <v>0</v>
      </c>
      <c r="BI56" s="37">
        <f>H56*AP56</f>
        <v>0</v>
      </c>
      <c r="BJ56" s="37">
        <f>H56*I56</f>
        <v>0</v>
      </c>
      <c r="BK56" s="37"/>
      <c r="BL56" s="37">
        <v>59</v>
      </c>
    </row>
    <row r="57" spans="1:13" ht="13.5" customHeight="1">
      <c r="A57" s="17"/>
      <c r="B57" s="18" t="s">
        <v>102</v>
      </c>
      <c r="C57" s="97" t="s">
        <v>182</v>
      </c>
      <c r="D57" s="98"/>
      <c r="E57" s="98"/>
      <c r="F57" s="98"/>
      <c r="G57" s="98"/>
      <c r="H57" s="98"/>
      <c r="I57" s="98"/>
      <c r="J57" s="98"/>
      <c r="K57" s="98"/>
      <c r="L57" s="98"/>
      <c r="M57" s="99"/>
    </row>
    <row r="58" spans="1:64" ht="15" customHeight="1">
      <c r="A58" s="16" t="s">
        <v>202</v>
      </c>
      <c r="B58" s="33" t="s">
        <v>110</v>
      </c>
      <c r="C58" s="96" t="s">
        <v>95</v>
      </c>
      <c r="D58" s="79"/>
      <c r="E58" s="79"/>
      <c r="F58" s="96"/>
      <c r="G58" s="33" t="s">
        <v>283</v>
      </c>
      <c r="H58" s="35">
        <v>311.5</v>
      </c>
      <c r="I58" s="35">
        <v>0</v>
      </c>
      <c r="J58" s="35">
        <f>H58*AO58</f>
        <v>0</v>
      </c>
      <c r="K58" s="35">
        <f>H58*AP58</f>
        <v>0</v>
      </c>
      <c r="L58" s="35">
        <f>H58*I58</f>
        <v>0</v>
      </c>
      <c r="M58" s="48" t="s">
        <v>243</v>
      </c>
      <c r="Z58" s="37">
        <f>IF(AQ58="5",BJ58,0)</f>
        <v>0</v>
      </c>
      <c r="AB58" s="37">
        <f>IF(AQ58="1",BH58,0)</f>
        <v>0</v>
      </c>
      <c r="AC58" s="37">
        <f>IF(AQ58="1",BI58,0)</f>
        <v>0</v>
      </c>
      <c r="AD58" s="37">
        <f>IF(AQ58="7",BH58,0)</f>
        <v>0</v>
      </c>
      <c r="AE58" s="37">
        <f>IF(AQ58="7",BI58,0)</f>
        <v>0</v>
      </c>
      <c r="AF58" s="37">
        <f>IF(AQ58="2",BH58,0)</f>
        <v>0</v>
      </c>
      <c r="AG58" s="37">
        <f>IF(AQ58="2",BI58,0)</f>
        <v>0</v>
      </c>
      <c r="AH58" s="37">
        <f>IF(AQ58="0",BJ58,0)</f>
        <v>0</v>
      </c>
      <c r="AI58" s="34" t="s">
        <v>150</v>
      </c>
      <c r="AJ58" s="37">
        <f>IF(AN58=0,L58,0)</f>
        <v>0</v>
      </c>
      <c r="AK58" s="37">
        <f>IF(AN58=15,L58,0)</f>
        <v>0</v>
      </c>
      <c r="AL58" s="37">
        <f>IF(AN58=21,L58,0)</f>
        <v>0</v>
      </c>
      <c r="AN58" s="37">
        <v>15</v>
      </c>
      <c r="AO58" s="37">
        <f>I58*0.144602649006623</f>
        <v>0</v>
      </c>
      <c r="AP58" s="37">
        <f>I58*(1-0.144602649006623)</f>
        <v>0</v>
      </c>
      <c r="AQ58" s="66" t="s">
        <v>290</v>
      </c>
      <c r="AV58" s="37">
        <f>AW58+AX58</f>
        <v>0</v>
      </c>
      <c r="AW58" s="37">
        <f>H58*AO58</f>
        <v>0</v>
      </c>
      <c r="AX58" s="37">
        <f>H58*AP58</f>
        <v>0</v>
      </c>
      <c r="AY58" s="66" t="s">
        <v>286</v>
      </c>
      <c r="AZ58" s="66" t="s">
        <v>306</v>
      </c>
      <c r="BA58" s="34" t="s">
        <v>50</v>
      </c>
      <c r="BC58" s="37">
        <f>AW58+AX58</f>
        <v>0</v>
      </c>
      <c r="BD58" s="37">
        <f>I58/(100-BE58)*100</f>
        <v>0</v>
      </c>
      <c r="BE58" s="37">
        <v>0</v>
      </c>
      <c r="BF58" s="37">
        <f>58</f>
        <v>58</v>
      </c>
      <c r="BH58" s="37">
        <f>H58*AO58</f>
        <v>0</v>
      </c>
      <c r="BI58" s="37">
        <f>H58*AP58</f>
        <v>0</v>
      </c>
      <c r="BJ58" s="37">
        <f>H58*I58</f>
        <v>0</v>
      </c>
      <c r="BK58" s="37"/>
      <c r="BL58" s="37">
        <v>59</v>
      </c>
    </row>
    <row r="59" spans="1:13" ht="54" customHeight="1">
      <c r="A59" s="17"/>
      <c r="B59" s="18" t="s">
        <v>102</v>
      </c>
      <c r="C59" s="97" t="s">
        <v>92</v>
      </c>
      <c r="D59" s="98"/>
      <c r="E59" s="98"/>
      <c r="F59" s="98"/>
      <c r="G59" s="98"/>
      <c r="H59" s="98"/>
      <c r="I59" s="98"/>
      <c r="J59" s="98"/>
      <c r="K59" s="98"/>
      <c r="L59" s="98"/>
      <c r="M59" s="99"/>
    </row>
    <row r="60" spans="1:64" ht="15" customHeight="1">
      <c r="A60" s="16" t="s">
        <v>272</v>
      </c>
      <c r="B60" s="33" t="s">
        <v>201</v>
      </c>
      <c r="C60" s="96" t="s">
        <v>30</v>
      </c>
      <c r="D60" s="79"/>
      <c r="E60" s="79"/>
      <c r="F60" s="96"/>
      <c r="G60" s="33" t="s">
        <v>283</v>
      </c>
      <c r="H60" s="35">
        <v>42.6</v>
      </c>
      <c r="I60" s="35">
        <v>0</v>
      </c>
      <c r="J60" s="35">
        <f>H60*AO60</f>
        <v>0</v>
      </c>
      <c r="K60" s="35">
        <f>H60*AP60</f>
        <v>0</v>
      </c>
      <c r="L60" s="35">
        <f>H60*I60</f>
        <v>0</v>
      </c>
      <c r="M60" s="48" t="s">
        <v>243</v>
      </c>
      <c r="Z60" s="37">
        <f>IF(AQ60="5",BJ60,0)</f>
        <v>0</v>
      </c>
      <c r="AB60" s="37">
        <f>IF(AQ60="1",BH60,0)</f>
        <v>0</v>
      </c>
      <c r="AC60" s="37">
        <f>IF(AQ60="1",BI60,0)</f>
        <v>0</v>
      </c>
      <c r="AD60" s="37">
        <f>IF(AQ60="7",BH60,0)</f>
        <v>0</v>
      </c>
      <c r="AE60" s="37">
        <f>IF(AQ60="7",BI60,0)</f>
        <v>0</v>
      </c>
      <c r="AF60" s="37">
        <f>IF(AQ60="2",BH60,0)</f>
        <v>0</v>
      </c>
      <c r="AG60" s="37">
        <f>IF(AQ60="2",BI60,0)</f>
        <v>0</v>
      </c>
      <c r="AH60" s="37">
        <f>IF(AQ60="0",BJ60,0)</f>
        <v>0</v>
      </c>
      <c r="AI60" s="34" t="s">
        <v>150</v>
      </c>
      <c r="AJ60" s="37">
        <f>IF(AN60=0,L60,0)</f>
        <v>0</v>
      </c>
      <c r="AK60" s="37">
        <f>IF(AN60=15,L60,0)</f>
        <v>0</v>
      </c>
      <c r="AL60" s="37">
        <f>IF(AN60=21,L60,0)</f>
        <v>0</v>
      </c>
      <c r="AN60" s="37">
        <v>15</v>
      </c>
      <c r="AO60" s="37">
        <f>I60*1</f>
        <v>0</v>
      </c>
      <c r="AP60" s="37">
        <f>I60*(1-1)</f>
        <v>0</v>
      </c>
      <c r="AQ60" s="66" t="s">
        <v>290</v>
      </c>
      <c r="AV60" s="37">
        <f>AW60+AX60</f>
        <v>0</v>
      </c>
      <c r="AW60" s="37">
        <f>H60*AO60</f>
        <v>0</v>
      </c>
      <c r="AX60" s="37">
        <f>H60*AP60</f>
        <v>0</v>
      </c>
      <c r="AY60" s="66" t="s">
        <v>286</v>
      </c>
      <c r="AZ60" s="66" t="s">
        <v>306</v>
      </c>
      <c r="BA60" s="34" t="s">
        <v>50</v>
      </c>
      <c r="BC60" s="37">
        <f>AW60+AX60</f>
        <v>0</v>
      </c>
      <c r="BD60" s="37">
        <f>I60/(100-BE60)*100</f>
        <v>0</v>
      </c>
      <c r="BE60" s="37">
        <v>0</v>
      </c>
      <c r="BF60" s="37">
        <f>60</f>
        <v>60</v>
      </c>
      <c r="BH60" s="37">
        <f>H60*AO60</f>
        <v>0</v>
      </c>
      <c r="BI60" s="37">
        <f>H60*AP60</f>
        <v>0</v>
      </c>
      <c r="BJ60" s="37">
        <f>H60*I60</f>
        <v>0</v>
      </c>
      <c r="BK60" s="37"/>
      <c r="BL60" s="37">
        <v>59</v>
      </c>
    </row>
    <row r="61" spans="1:13" ht="13.5" customHeight="1">
      <c r="A61" s="17"/>
      <c r="B61" s="18" t="s">
        <v>102</v>
      </c>
      <c r="C61" s="97" t="s">
        <v>56</v>
      </c>
      <c r="D61" s="98"/>
      <c r="E61" s="98"/>
      <c r="F61" s="98"/>
      <c r="G61" s="98"/>
      <c r="H61" s="98"/>
      <c r="I61" s="98"/>
      <c r="J61" s="98"/>
      <c r="K61" s="98"/>
      <c r="L61" s="98"/>
      <c r="M61" s="99"/>
    </row>
    <row r="62" spans="1:64" ht="15" customHeight="1">
      <c r="A62" s="16" t="s">
        <v>119</v>
      </c>
      <c r="B62" s="33" t="s">
        <v>274</v>
      </c>
      <c r="C62" s="96" t="s">
        <v>249</v>
      </c>
      <c r="D62" s="79"/>
      <c r="E62" s="79"/>
      <c r="F62" s="96"/>
      <c r="G62" s="33" t="s">
        <v>283</v>
      </c>
      <c r="H62" s="35">
        <v>237.3</v>
      </c>
      <c r="I62" s="35">
        <v>0</v>
      </c>
      <c r="J62" s="35">
        <f>H62*AO62</f>
        <v>0</v>
      </c>
      <c r="K62" s="35">
        <f>H62*AP62</f>
        <v>0</v>
      </c>
      <c r="L62" s="35">
        <f>H62*I62</f>
        <v>0</v>
      </c>
      <c r="M62" s="48" t="s">
        <v>243</v>
      </c>
      <c r="Z62" s="37">
        <f>IF(AQ62="5",BJ62,0)</f>
        <v>0</v>
      </c>
      <c r="AB62" s="37">
        <f>IF(AQ62="1",BH62,0)</f>
        <v>0</v>
      </c>
      <c r="AC62" s="37">
        <f>IF(AQ62="1",BI62,0)</f>
        <v>0</v>
      </c>
      <c r="AD62" s="37">
        <f>IF(AQ62="7",BH62,0)</f>
        <v>0</v>
      </c>
      <c r="AE62" s="37">
        <f>IF(AQ62="7",BI62,0)</f>
        <v>0</v>
      </c>
      <c r="AF62" s="37">
        <f>IF(AQ62="2",BH62,0)</f>
        <v>0</v>
      </c>
      <c r="AG62" s="37">
        <f>IF(AQ62="2",BI62,0)</f>
        <v>0</v>
      </c>
      <c r="AH62" s="37">
        <f>IF(AQ62="0",BJ62,0)</f>
        <v>0</v>
      </c>
      <c r="AI62" s="34" t="s">
        <v>150</v>
      </c>
      <c r="AJ62" s="37">
        <f>IF(AN62=0,L62,0)</f>
        <v>0</v>
      </c>
      <c r="AK62" s="37">
        <f>IF(AN62=15,L62,0)</f>
        <v>0</v>
      </c>
      <c r="AL62" s="37">
        <f>IF(AN62=21,L62,0)</f>
        <v>0</v>
      </c>
      <c r="AN62" s="37">
        <v>15</v>
      </c>
      <c r="AO62" s="37">
        <f>I62*1</f>
        <v>0</v>
      </c>
      <c r="AP62" s="37">
        <f>I62*(1-1)</f>
        <v>0</v>
      </c>
      <c r="AQ62" s="66" t="s">
        <v>290</v>
      </c>
      <c r="AV62" s="37">
        <f>AW62+AX62</f>
        <v>0</v>
      </c>
      <c r="AW62" s="37">
        <f>H62*AO62</f>
        <v>0</v>
      </c>
      <c r="AX62" s="37">
        <f>H62*AP62</f>
        <v>0</v>
      </c>
      <c r="AY62" s="66" t="s">
        <v>286</v>
      </c>
      <c r="AZ62" s="66" t="s">
        <v>306</v>
      </c>
      <c r="BA62" s="34" t="s">
        <v>50</v>
      </c>
      <c r="BC62" s="37">
        <f>AW62+AX62</f>
        <v>0</v>
      </c>
      <c r="BD62" s="37">
        <f>I62/(100-BE62)*100</f>
        <v>0</v>
      </c>
      <c r="BE62" s="37">
        <v>0</v>
      </c>
      <c r="BF62" s="37">
        <f>62</f>
        <v>62</v>
      </c>
      <c r="BH62" s="37">
        <f>H62*AO62</f>
        <v>0</v>
      </c>
      <c r="BI62" s="37">
        <f>H62*AP62</f>
        <v>0</v>
      </c>
      <c r="BJ62" s="37">
        <f>H62*I62</f>
        <v>0</v>
      </c>
      <c r="BK62" s="37"/>
      <c r="BL62" s="37">
        <v>59</v>
      </c>
    </row>
    <row r="63" spans="1:13" ht="13.5" customHeight="1">
      <c r="A63" s="17"/>
      <c r="B63" s="18" t="s">
        <v>102</v>
      </c>
      <c r="C63" s="97" t="s">
        <v>182</v>
      </c>
      <c r="D63" s="98"/>
      <c r="E63" s="98"/>
      <c r="F63" s="98"/>
      <c r="G63" s="98"/>
      <c r="H63" s="98"/>
      <c r="I63" s="98"/>
      <c r="J63" s="98"/>
      <c r="K63" s="98"/>
      <c r="L63" s="98"/>
      <c r="M63" s="99"/>
    </row>
    <row r="64" spans="1:64" ht="15" customHeight="1">
      <c r="A64" s="16" t="s">
        <v>26</v>
      </c>
      <c r="B64" s="33" t="s">
        <v>55</v>
      </c>
      <c r="C64" s="96" t="s">
        <v>314</v>
      </c>
      <c r="D64" s="79"/>
      <c r="E64" s="79"/>
      <c r="F64" s="96"/>
      <c r="G64" s="33" t="s">
        <v>283</v>
      </c>
      <c r="H64" s="35">
        <v>31.6</v>
      </c>
      <c r="I64" s="35">
        <v>0</v>
      </c>
      <c r="J64" s="35">
        <f>H64*AO64</f>
        <v>0</v>
      </c>
      <c r="K64" s="35">
        <f>H64*AP64</f>
        <v>0</v>
      </c>
      <c r="L64" s="35">
        <f>H64*I64</f>
        <v>0</v>
      </c>
      <c r="M64" s="48" t="s">
        <v>243</v>
      </c>
      <c r="Z64" s="37">
        <f>IF(AQ64="5",BJ64,0)</f>
        <v>0</v>
      </c>
      <c r="AB64" s="37">
        <f>IF(AQ64="1",BH64,0)</f>
        <v>0</v>
      </c>
      <c r="AC64" s="37">
        <f>IF(AQ64="1",BI64,0)</f>
        <v>0</v>
      </c>
      <c r="AD64" s="37">
        <f>IF(AQ64="7",BH64,0)</f>
        <v>0</v>
      </c>
      <c r="AE64" s="37">
        <f>IF(AQ64="7",BI64,0)</f>
        <v>0</v>
      </c>
      <c r="AF64" s="37">
        <f>IF(AQ64="2",BH64,0)</f>
        <v>0</v>
      </c>
      <c r="AG64" s="37">
        <f>IF(AQ64="2",BI64,0)</f>
        <v>0</v>
      </c>
      <c r="AH64" s="37">
        <f>IF(AQ64="0",BJ64,0)</f>
        <v>0</v>
      </c>
      <c r="AI64" s="34" t="s">
        <v>150</v>
      </c>
      <c r="AJ64" s="37">
        <f>IF(AN64=0,L64,0)</f>
        <v>0</v>
      </c>
      <c r="AK64" s="37">
        <f>IF(AN64=15,L64,0)</f>
        <v>0</v>
      </c>
      <c r="AL64" s="37">
        <f>IF(AN64=21,L64,0)</f>
        <v>0</v>
      </c>
      <c r="AN64" s="37">
        <v>15</v>
      </c>
      <c r="AO64" s="37">
        <f>I64*1</f>
        <v>0</v>
      </c>
      <c r="AP64" s="37">
        <f>I64*(1-1)</f>
        <v>0</v>
      </c>
      <c r="AQ64" s="66" t="s">
        <v>290</v>
      </c>
      <c r="AV64" s="37">
        <f>AW64+AX64</f>
        <v>0</v>
      </c>
      <c r="AW64" s="37">
        <f>H64*AO64</f>
        <v>0</v>
      </c>
      <c r="AX64" s="37">
        <f>H64*AP64</f>
        <v>0</v>
      </c>
      <c r="AY64" s="66" t="s">
        <v>286</v>
      </c>
      <c r="AZ64" s="66" t="s">
        <v>306</v>
      </c>
      <c r="BA64" s="34" t="s">
        <v>50</v>
      </c>
      <c r="BC64" s="37">
        <f>AW64+AX64</f>
        <v>0</v>
      </c>
      <c r="BD64" s="37">
        <f>I64/(100-BE64)*100</f>
        <v>0</v>
      </c>
      <c r="BE64" s="37">
        <v>0</v>
      </c>
      <c r="BF64" s="37">
        <f>64</f>
        <v>64</v>
      </c>
      <c r="BH64" s="37">
        <f>H64*AO64</f>
        <v>0</v>
      </c>
      <c r="BI64" s="37">
        <f>H64*AP64</f>
        <v>0</v>
      </c>
      <c r="BJ64" s="37">
        <f>H64*I64</f>
        <v>0</v>
      </c>
      <c r="BK64" s="37"/>
      <c r="BL64" s="37">
        <v>59</v>
      </c>
    </row>
    <row r="65" spans="1:13" ht="13.5" customHeight="1">
      <c r="A65" s="17"/>
      <c r="B65" s="18" t="s">
        <v>102</v>
      </c>
      <c r="C65" s="97" t="s">
        <v>205</v>
      </c>
      <c r="D65" s="98"/>
      <c r="E65" s="98"/>
      <c r="F65" s="98"/>
      <c r="G65" s="98"/>
      <c r="H65" s="98"/>
      <c r="I65" s="98"/>
      <c r="J65" s="98"/>
      <c r="K65" s="98"/>
      <c r="L65" s="98"/>
      <c r="M65" s="99"/>
    </row>
    <row r="66" spans="1:64" ht="15" customHeight="1">
      <c r="A66" s="16" t="s">
        <v>64</v>
      </c>
      <c r="B66" s="33" t="s">
        <v>309</v>
      </c>
      <c r="C66" s="96" t="s">
        <v>330</v>
      </c>
      <c r="D66" s="79"/>
      <c r="E66" s="79"/>
      <c r="F66" s="96"/>
      <c r="G66" s="33" t="s">
        <v>65</v>
      </c>
      <c r="H66" s="35">
        <v>2</v>
      </c>
      <c r="I66" s="35">
        <v>0</v>
      </c>
      <c r="J66" s="35">
        <f>H66*AO66</f>
        <v>0</v>
      </c>
      <c r="K66" s="35">
        <f>H66*AP66</f>
        <v>0</v>
      </c>
      <c r="L66" s="35">
        <f>H66*I66</f>
        <v>0</v>
      </c>
      <c r="M66" s="48" t="s">
        <v>191</v>
      </c>
      <c r="Z66" s="37">
        <f>IF(AQ66="5",BJ66,0)</f>
        <v>0</v>
      </c>
      <c r="AB66" s="37">
        <f>IF(AQ66="1",BH66,0)</f>
        <v>0</v>
      </c>
      <c r="AC66" s="37">
        <f>IF(AQ66="1",BI66,0)</f>
        <v>0</v>
      </c>
      <c r="AD66" s="37">
        <f>IF(AQ66="7",BH66,0)</f>
        <v>0</v>
      </c>
      <c r="AE66" s="37">
        <f>IF(AQ66="7",BI66,0)</f>
        <v>0</v>
      </c>
      <c r="AF66" s="37">
        <f>IF(AQ66="2",BH66,0)</f>
        <v>0</v>
      </c>
      <c r="AG66" s="37">
        <f>IF(AQ66="2",BI66,0)</f>
        <v>0</v>
      </c>
      <c r="AH66" s="37">
        <f>IF(AQ66="0",BJ66,0)</f>
        <v>0</v>
      </c>
      <c r="AI66" s="34" t="s">
        <v>150</v>
      </c>
      <c r="AJ66" s="37">
        <f>IF(AN66=0,L66,0)</f>
        <v>0</v>
      </c>
      <c r="AK66" s="37">
        <f>IF(AN66=15,L66,0)</f>
        <v>0</v>
      </c>
      <c r="AL66" s="37">
        <f>IF(AN66=21,L66,0)</f>
        <v>0</v>
      </c>
      <c r="AN66" s="37">
        <v>15</v>
      </c>
      <c r="AO66" s="37">
        <f>I66*0.497685863874345</f>
        <v>0</v>
      </c>
      <c r="AP66" s="37">
        <f>I66*(1-0.497685863874345)</f>
        <v>0</v>
      </c>
      <c r="AQ66" s="66" t="s">
        <v>290</v>
      </c>
      <c r="AV66" s="37">
        <f>AW66+AX66</f>
        <v>0</v>
      </c>
      <c r="AW66" s="37">
        <f>H66*AO66</f>
        <v>0</v>
      </c>
      <c r="AX66" s="37">
        <f>H66*AP66</f>
        <v>0</v>
      </c>
      <c r="AY66" s="66" t="s">
        <v>286</v>
      </c>
      <c r="AZ66" s="66" t="s">
        <v>306</v>
      </c>
      <c r="BA66" s="34" t="s">
        <v>50</v>
      </c>
      <c r="BC66" s="37">
        <f>AW66+AX66</f>
        <v>0</v>
      </c>
      <c r="BD66" s="37">
        <f>I66/(100-BE66)*100</f>
        <v>0</v>
      </c>
      <c r="BE66" s="37">
        <v>0</v>
      </c>
      <c r="BF66" s="37">
        <f>66</f>
        <v>66</v>
      </c>
      <c r="BH66" s="37">
        <f>H66*AO66</f>
        <v>0</v>
      </c>
      <c r="BI66" s="37">
        <f>H66*AP66</f>
        <v>0</v>
      </c>
      <c r="BJ66" s="37">
        <f>H66*I66</f>
        <v>0</v>
      </c>
      <c r="BK66" s="37"/>
      <c r="BL66" s="37">
        <v>59</v>
      </c>
    </row>
    <row r="67" spans="1:13" ht="40.5" customHeight="1">
      <c r="A67" s="17"/>
      <c r="B67" s="18" t="s">
        <v>102</v>
      </c>
      <c r="C67" s="97" t="s">
        <v>40</v>
      </c>
      <c r="D67" s="98"/>
      <c r="E67" s="98"/>
      <c r="F67" s="98"/>
      <c r="G67" s="98"/>
      <c r="H67" s="98"/>
      <c r="I67" s="98"/>
      <c r="J67" s="98"/>
      <c r="K67" s="98"/>
      <c r="L67" s="98"/>
      <c r="M67" s="99"/>
    </row>
    <row r="68" spans="1:64" ht="15" customHeight="1">
      <c r="A68" s="16" t="s">
        <v>35</v>
      </c>
      <c r="B68" s="33" t="s">
        <v>54</v>
      </c>
      <c r="C68" s="96" t="s">
        <v>289</v>
      </c>
      <c r="D68" s="79"/>
      <c r="E68" s="79"/>
      <c r="F68" s="96"/>
      <c r="G68" s="33" t="s">
        <v>65</v>
      </c>
      <c r="H68" s="35">
        <v>2</v>
      </c>
      <c r="I68" s="35">
        <v>0</v>
      </c>
      <c r="J68" s="35">
        <f>H68*AO68</f>
        <v>0</v>
      </c>
      <c r="K68" s="35">
        <f>H68*AP68</f>
        <v>0</v>
      </c>
      <c r="L68" s="35">
        <f>H68*I68</f>
        <v>0</v>
      </c>
      <c r="M68" s="48" t="s">
        <v>191</v>
      </c>
      <c r="Z68" s="37">
        <f>IF(AQ68="5",BJ68,0)</f>
        <v>0</v>
      </c>
      <c r="AB68" s="37">
        <f>IF(AQ68="1",BH68,0)</f>
        <v>0</v>
      </c>
      <c r="AC68" s="37">
        <f>IF(AQ68="1",BI68,0)</f>
        <v>0</v>
      </c>
      <c r="AD68" s="37">
        <f>IF(AQ68="7",BH68,0)</f>
        <v>0</v>
      </c>
      <c r="AE68" s="37">
        <f>IF(AQ68="7",BI68,0)</f>
        <v>0</v>
      </c>
      <c r="AF68" s="37">
        <f>IF(AQ68="2",BH68,0)</f>
        <v>0</v>
      </c>
      <c r="AG68" s="37">
        <f>IF(AQ68="2",BI68,0)</f>
        <v>0</v>
      </c>
      <c r="AH68" s="37">
        <f>IF(AQ68="0",BJ68,0)</f>
        <v>0</v>
      </c>
      <c r="AI68" s="34" t="s">
        <v>150</v>
      </c>
      <c r="AJ68" s="37">
        <f>IF(AN68=0,L68,0)</f>
        <v>0</v>
      </c>
      <c r="AK68" s="37">
        <f>IF(AN68=15,L68,0)</f>
        <v>0</v>
      </c>
      <c r="AL68" s="37">
        <f>IF(AN68=21,L68,0)</f>
        <v>0</v>
      </c>
      <c r="AN68" s="37">
        <v>15</v>
      </c>
      <c r="AO68" s="37">
        <f>I68*1</f>
        <v>0</v>
      </c>
      <c r="AP68" s="37">
        <f>I68*(1-1)</f>
        <v>0</v>
      </c>
      <c r="AQ68" s="66" t="s">
        <v>290</v>
      </c>
      <c r="AV68" s="37">
        <f>AW68+AX68</f>
        <v>0</v>
      </c>
      <c r="AW68" s="37">
        <f>H68*AO68</f>
        <v>0</v>
      </c>
      <c r="AX68" s="37">
        <f>H68*AP68</f>
        <v>0</v>
      </c>
      <c r="AY68" s="66" t="s">
        <v>286</v>
      </c>
      <c r="AZ68" s="66" t="s">
        <v>306</v>
      </c>
      <c r="BA68" s="34" t="s">
        <v>50</v>
      </c>
      <c r="BC68" s="37">
        <f>AW68+AX68</f>
        <v>0</v>
      </c>
      <c r="BD68" s="37">
        <f>I68/(100-BE68)*100</f>
        <v>0</v>
      </c>
      <c r="BE68" s="37">
        <v>0</v>
      </c>
      <c r="BF68" s="37">
        <f>68</f>
        <v>68</v>
      </c>
      <c r="BH68" s="37">
        <f>H68*AO68</f>
        <v>0</v>
      </c>
      <c r="BI68" s="37">
        <f>H68*AP68</f>
        <v>0</v>
      </c>
      <c r="BJ68" s="37">
        <f>H68*I68</f>
        <v>0</v>
      </c>
      <c r="BK68" s="37"/>
      <c r="BL68" s="37">
        <v>59</v>
      </c>
    </row>
    <row r="69" spans="1:64" ht="15" customHeight="1">
      <c r="A69" s="28" t="s">
        <v>280</v>
      </c>
      <c r="B69" s="63" t="s">
        <v>188</v>
      </c>
      <c r="C69" s="96" t="s">
        <v>6</v>
      </c>
      <c r="D69" s="79"/>
      <c r="E69" s="79"/>
      <c r="F69" s="96"/>
      <c r="G69" s="63" t="s">
        <v>283</v>
      </c>
      <c r="H69" s="51">
        <v>3</v>
      </c>
      <c r="I69" s="51">
        <v>0</v>
      </c>
      <c r="J69" s="51">
        <f>H69*AO69</f>
        <v>0</v>
      </c>
      <c r="K69" s="51">
        <f>H69*AP69</f>
        <v>0</v>
      </c>
      <c r="L69" s="51">
        <f>H69*I69</f>
        <v>0</v>
      </c>
      <c r="M69" s="38" t="s">
        <v>191</v>
      </c>
      <c r="Z69" s="37">
        <f>IF(AQ69="5",BJ69,0)</f>
        <v>0</v>
      </c>
      <c r="AB69" s="37">
        <f>IF(AQ69="1",BH69,0)</f>
        <v>0</v>
      </c>
      <c r="AC69" s="37">
        <f>IF(AQ69="1",BI69,0)</f>
        <v>0</v>
      </c>
      <c r="AD69" s="37">
        <f>IF(AQ69="7",BH69,0)</f>
        <v>0</v>
      </c>
      <c r="AE69" s="37">
        <f>IF(AQ69="7",BI69,0)</f>
        <v>0</v>
      </c>
      <c r="AF69" s="37">
        <f>IF(AQ69="2",BH69,0)</f>
        <v>0</v>
      </c>
      <c r="AG69" s="37">
        <f>IF(AQ69="2",BI69,0)</f>
        <v>0</v>
      </c>
      <c r="AH69" s="37">
        <f>IF(AQ69="0",BJ69,0)</f>
        <v>0</v>
      </c>
      <c r="AI69" s="34" t="s">
        <v>150</v>
      </c>
      <c r="AJ69" s="37">
        <f>IF(AN69=0,L69,0)</f>
        <v>0</v>
      </c>
      <c r="AK69" s="37">
        <f>IF(AN69=15,L69,0)</f>
        <v>0</v>
      </c>
      <c r="AL69" s="37">
        <f>IF(AN69=21,L69,0)</f>
        <v>0</v>
      </c>
      <c r="AN69" s="37">
        <v>15</v>
      </c>
      <c r="AO69" s="37">
        <f>I69*0.694053993361357</f>
        <v>0</v>
      </c>
      <c r="AP69" s="37">
        <f>I69*(1-0.694053993361357)</f>
        <v>0</v>
      </c>
      <c r="AQ69" s="66" t="s">
        <v>290</v>
      </c>
      <c r="AV69" s="37">
        <f>AW69+AX69</f>
        <v>0</v>
      </c>
      <c r="AW69" s="37">
        <f>H69*AO69</f>
        <v>0</v>
      </c>
      <c r="AX69" s="37">
        <f>H69*AP69</f>
        <v>0</v>
      </c>
      <c r="AY69" s="66" t="s">
        <v>286</v>
      </c>
      <c r="AZ69" s="66" t="s">
        <v>306</v>
      </c>
      <c r="BA69" s="34" t="s">
        <v>50</v>
      </c>
      <c r="BC69" s="37">
        <f>AW69+AX69</f>
        <v>0</v>
      </c>
      <c r="BD69" s="37">
        <f>I69/(100-BE69)*100</f>
        <v>0</v>
      </c>
      <c r="BE69" s="37">
        <v>0</v>
      </c>
      <c r="BF69" s="37">
        <f>69</f>
        <v>69</v>
      </c>
      <c r="BH69" s="37">
        <f>H69*AO69</f>
        <v>0</v>
      </c>
      <c r="BI69" s="37">
        <f>H69*AP69</f>
        <v>0</v>
      </c>
      <c r="BJ69" s="37">
        <f>H69*I69</f>
        <v>0</v>
      </c>
      <c r="BK69" s="37"/>
      <c r="BL69" s="37">
        <v>59</v>
      </c>
    </row>
    <row r="70" spans="1:13" ht="13.5" customHeight="1">
      <c r="A70" s="17"/>
      <c r="B70" s="18" t="s">
        <v>139</v>
      </c>
      <c r="C70" s="97" t="s">
        <v>208</v>
      </c>
      <c r="D70" s="98"/>
      <c r="E70" s="98"/>
      <c r="F70" s="98"/>
      <c r="G70" s="98"/>
      <c r="H70" s="98"/>
      <c r="I70" s="98"/>
      <c r="J70" s="98"/>
      <c r="K70" s="98"/>
      <c r="L70" s="98"/>
      <c r="M70" s="99"/>
    </row>
    <row r="71" spans="1:47" ht="15" customHeight="1">
      <c r="A71" s="61" t="s">
        <v>196</v>
      </c>
      <c r="B71" s="68" t="s">
        <v>300</v>
      </c>
      <c r="C71" s="100" t="s">
        <v>203</v>
      </c>
      <c r="D71" s="95"/>
      <c r="E71" s="95"/>
      <c r="F71" s="100"/>
      <c r="G71" s="50" t="s">
        <v>262</v>
      </c>
      <c r="H71" s="50" t="s">
        <v>262</v>
      </c>
      <c r="I71" s="50" t="s">
        <v>262</v>
      </c>
      <c r="J71" s="55">
        <f>SUM(J72:J78)</f>
        <v>0</v>
      </c>
      <c r="K71" s="55">
        <f>SUM(K72:K78)</f>
        <v>0</v>
      </c>
      <c r="L71" s="55">
        <f>SUM(L72:L78)</f>
        <v>0</v>
      </c>
      <c r="M71" s="12" t="s">
        <v>196</v>
      </c>
      <c r="AI71" s="34" t="s">
        <v>150</v>
      </c>
      <c r="AS71" s="67">
        <f>SUM(AJ72:AJ78)</f>
        <v>0</v>
      </c>
      <c r="AT71" s="67">
        <f>SUM(AK72:AK78)</f>
        <v>0</v>
      </c>
      <c r="AU71" s="67">
        <f>SUM(AL72:AL78)</f>
        <v>0</v>
      </c>
    </row>
    <row r="72" spans="1:64" ht="15" customHeight="1">
      <c r="A72" s="28" t="s">
        <v>321</v>
      </c>
      <c r="B72" s="63" t="s">
        <v>68</v>
      </c>
      <c r="C72" s="96" t="s">
        <v>266</v>
      </c>
      <c r="D72" s="79"/>
      <c r="E72" s="79"/>
      <c r="F72" s="96"/>
      <c r="G72" s="63" t="s">
        <v>237</v>
      </c>
      <c r="H72" s="51">
        <v>95</v>
      </c>
      <c r="I72" s="51">
        <v>0</v>
      </c>
      <c r="J72" s="51">
        <f>H72*AO72</f>
        <v>0</v>
      </c>
      <c r="K72" s="51">
        <f>H72*AP72</f>
        <v>0</v>
      </c>
      <c r="L72" s="51">
        <f>H72*I72</f>
        <v>0</v>
      </c>
      <c r="M72" s="38" t="s">
        <v>243</v>
      </c>
      <c r="Z72" s="37">
        <f>IF(AQ72="5",BJ72,0)</f>
        <v>0</v>
      </c>
      <c r="AB72" s="37">
        <f>IF(AQ72="1",BH72,0)</f>
        <v>0</v>
      </c>
      <c r="AC72" s="37">
        <f>IF(AQ72="1",BI72,0)</f>
        <v>0</v>
      </c>
      <c r="AD72" s="37">
        <f>IF(AQ72="7",BH72,0)</f>
        <v>0</v>
      </c>
      <c r="AE72" s="37">
        <f>IF(AQ72="7",BI72,0)</f>
        <v>0</v>
      </c>
      <c r="AF72" s="37">
        <f>IF(AQ72="2",BH72,0)</f>
        <v>0</v>
      </c>
      <c r="AG72" s="37">
        <f>IF(AQ72="2",BI72,0)</f>
        <v>0</v>
      </c>
      <c r="AH72" s="37">
        <f>IF(AQ72="0",BJ72,0)</f>
        <v>0</v>
      </c>
      <c r="AI72" s="34" t="s">
        <v>150</v>
      </c>
      <c r="AJ72" s="37">
        <f>IF(AN72=0,L72,0)</f>
        <v>0</v>
      </c>
      <c r="AK72" s="37">
        <f>IF(AN72=15,L72,0)</f>
        <v>0</v>
      </c>
      <c r="AL72" s="37">
        <f>IF(AN72=21,L72,0)</f>
        <v>0</v>
      </c>
      <c r="AN72" s="37">
        <v>15</v>
      </c>
      <c r="AO72" s="37">
        <f>I72*0.472149660361712</f>
        <v>0</v>
      </c>
      <c r="AP72" s="37">
        <f>I72*(1-0.472149660361712)</f>
        <v>0</v>
      </c>
      <c r="AQ72" s="66" t="s">
        <v>290</v>
      </c>
      <c r="AV72" s="37">
        <f>AW72+AX72</f>
        <v>0</v>
      </c>
      <c r="AW72" s="37">
        <f>H72*AO72</f>
        <v>0</v>
      </c>
      <c r="AX72" s="37">
        <f>H72*AP72</f>
        <v>0</v>
      </c>
      <c r="AY72" s="66" t="s">
        <v>169</v>
      </c>
      <c r="AZ72" s="66" t="s">
        <v>328</v>
      </c>
      <c r="BA72" s="34" t="s">
        <v>50</v>
      </c>
      <c r="BC72" s="37">
        <f>AW72+AX72</f>
        <v>0</v>
      </c>
      <c r="BD72" s="37">
        <f>I72/(100-BE72)*100</f>
        <v>0</v>
      </c>
      <c r="BE72" s="37">
        <v>0</v>
      </c>
      <c r="BF72" s="37">
        <f>72</f>
        <v>72</v>
      </c>
      <c r="BH72" s="37">
        <f>H72*AO72</f>
        <v>0</v>
      </c>
      <c r="BI72" s="37">
        <f>H72*AP72</f>
        <v>0</v>
      </c>
      <c r="BJ72" s="37">
        <f>H72*I72</f>
        <v>0</v>
      </c>
      <c r="BK72" s="37"/>
      <c r="BL72" s="37">
        <v>83</v>
      </c>
    </row>
    <row r="73" spans="1:13" ht="13.5" customHeight="1">
      <c r="A73" s="17"/>
      <c r="B73" s="18" t="s">
        <v>139</v>
      </c>
      <c r="C73" s="97" t="s">
        <v>281</v>
      </c>
      <c r="D73" s="98"/>
      <c r="E73" s="98"/>
      <c r="F73" s="98"/>
      <c r="G73" s="98"/>
      <c r="H73" s="98"/>
      <c r="I73" s="98"/>
      <c r="J73" s="98"/>
      <c r="K73" s="98"/>
      <c r="L73" s="98"/>
      <c r="M73" s="99"/>
    </row>
    <row r="74" spans="1:13" ht="81" customHeight="1">
      <c r="A74" s="17"/>
      <c r="B74" s="18" t="s">
        <v>102</v>
      </c>
      <c r="C74" s="97" t="s">
        <v>305</v>
      </c>
      <c r="D74" s="98"/>
      <c r="E74" s="98"/>
      <c r="F74" s="98"/>
      <c r="G74" s="98"/>
      <c r="H74" s="98"/>
      <c r="I74" s="98"/>
      <c r="J74" s="98"/>
      <c r="K74" s="98"/>
      <c r="L74" s="98"/>
      <c r="M74" s="99"/>
    </row>
    <row r="75" spans="1:64" ht="15" customHeight="1">
      <c r="A75" s="16" t="s">
        <v>16</v>
      </c>
      <c r="B75" s="33" t="s">
        <v>160</v>
      </c>
      <c r="C75" s="96" t="s">
        <v>146</v>
      </c>
      <c r="D75" s="79"/>
      <c r="E75" s="79"/>
      <c r="F75" s="96"/>
      <c r="G75" s="33" t="s">
        <v>237</v>
      </c>
      <c r="H75" s="35">
        <v>8</v>
      </c>
      <c r="I75" s="35">
        <v>0</v>
      </c>
      <c r="J75" s="35">
        <f>H75*AO75</f>
        <v>0</v>
      </c>
      <c r="K75" s="35">
        <f>H75*AP75</f>
        <v>0</v>
      </c>
      <c r="L75" s="35">
        <f>H75*I75</f>
        <v>0</v>
      </c>
      <c r="M75" s="48" t="s">
        <v>191</v>
      </c>
      <c r="Z75" s="37">
        <f>IF(AQ75="5",BJ75,0)</f>
        <v>0</v>
      </c>
      <c r="AB75" s="37">
        <f>IF(AQ75="1",BH75,0)</f>
        <v>0</v>
      </c>
      <c r="AC75" s="37">
        <f>IF(AQ75="1",BI75,0)</f>
        <v>0</v>
      </c>
      <c r="AD75" s="37">
        <f>IF(AQ75="7",BH75,0)</f>
        <v>0</v>
      </c>
      <c r="AE75" s="37">
        <f>IF(AQ75="7",BI75,0)</f>
        <v>0</v>
      </c>
      <c r="AF75" s="37">
        <f>IF(AQ75="2",BH75,0)</f>
        <v>0</v>
      </c>
      <c r="AG75" s="37">
        <f>IF(AQ75="2",BI75,0)</f>
        <v>0</v>
      </c>
      <c r="AH75" s="37">
        <f>IF(AQ75="0",BJ75,0)</f>
        <v>0</v>
      </c>
      <c r="AI75" s="34" t="s">
        <v>150</v>
      </c>
      <c r="AJ75" s="37">
        <f>IF(AN75=0,L75,0)</f>
        <v>0</v>
      </c>
      <c r="AK75" s="37">
        <f>IF(AN75=15,L75,0)</f>
        <v>0</v>
      </c>
      <c r="AL75" s="37">
        <f>IF(AN75=21,L75,0)</f>
        <v>0</v>
      </c>
      <c r="AN75" s="37">
        <v>15</v>
      </c>
      <c r="AO75" s="37">
        <f>I75*0.342292307497563</f>
        <v>0</v>
      </c>
      <c r="AP75" s="37">
        <f>I75*(1-0.342292307497563)</f>
        <v>0</v>
      </c>
      <c r="AQ75" s="66" t="s">
        <v>290</v>
      </c>
      <c r="AV75" s="37">
        <f>AW75+AX75</f>
        <v>0</v>
      </c>
      <c r="AW75" s="37">
        <f>H75*AO75</f>
        <v>0</v>
      </c>
      <c r="AX75" s="37">
        <f>H75*AP75</f>
        <v>0</v>
      </c>
      <c r="AY75" s="66" t="s">
        <v>169</v>
      </c>
      <c r="AZ75" s="66" t="s">
        <v>328</v>
      </c>
      <c r="BA75" s="34" t="s">
        <v>50</v>
      </c>
      <c r="BC75" s="37">
        <f>AW75+AX75</f>
        <v>0</v>
      </c>
      <c r="BD75" s="37">
        <f>I75/(100-BE75)*100</f>
        <v>0</v>
      </c>
      <c r="BE75" s="37">
        <v>0</v>
      </c>
      <c r="BF75" s="37">
        <f>75</f>
        <v>75</v>
      </c>
      <c r="BH75" s="37">
        <f>H75*AO75</f>
        <v>0</v>
      </c>
      <c r="BI75" s="37">
        <f>H75*AP75</f>
        <v>0</v>
      </c>
      <c r="BJ75" s="37">
        <f>H75*I75</f>
        <v>0</v>
      </c>
      <c r="BK75" s="37"/>
      <c r="BL75" s="37">
        <v>83</v>
      </c>
    </row>
    <row r="76" spans="1:13" ht="13.5" customHeight="1">
      <c r="A76" s="17"/>
      <c r="B76" s="18" t="s">
        <v>139</v>
      </c>
      <c r="C76" s="97" t="s">
        <v>215</v>
      </c>
      <c r="D76" s="98"/>
      <c r="E76" s="98"/>
      <c r="F76" s="98"/>
      <c r="G76" s="98"/>
      <c r="H76" s="98"/>
      <c r="I76" s="98"/>
      <c r="J76" s="98"/>
      <c r="K76" s="98"/>
      <c r="L76" s="98"/>
      <c r="M76" s="99"/>
    </row>
    <row r="77" spans="1:13" ht="54" customHeight="1">
      <c r="A77" s="17"/>
      <c r="B77" s="18" t="s">
        <v>102</v>
      </c>
      <c r="C77" s="97" t="s">
        <v>293</v>
      </c>
      <c r="D77" s="98"/>
      <c r="E77" s="98"/>
      <c r="F77" s="98"/>
      <c r="G77" s="98"/>
      <c r="H77" s="98"/>
      <c r="I77" s="98"/>
      <c r="J77" s="98"/>
      <c r="K77" s="98"/>
      <c r="L77" s="98"/>
      <c r="M77" s="99"/>
    </row>
    <row r="78" spans="1:64" ht="15" customHeight="1">
      <c r="A78" s="11" t="s">
        <v>175</v>
      </c>
      <c r="B78" s="22" t="s">
        <v>278</v>
      </c>
      <c r="C78" s="79" t="s">
        <v>198</v>
      </c>
      <c r="D78" s="79"/>
      <c r="E78" s="79"/>
      <c r="F78" s="79"/>
      <c r="G78" s="22" t="s">
        <v>237</v>
      </c>
      <c r="H78" s="37">
        <v>43.5</v>
      </c>
      <c r="I78" s="37">
        <v>0</v>
      </c>
      <c r="J78" s="37">
        <f>H78*AO78</f>
        <v>0</v>
      </c>
      <c r="K78" s="37">
        <f>H78*AP78</f>
        <v>0</v>
      </c>
      <c r="L78" s="37">
        <f>H78*I78</f>
        <v>0</v>
      </c>
      <c r="M78" s="36" t="s">
        <v>191</v>
      </c>
      <c r="Z78" s="37">
        <f>IF(AQ78="5",BJ78,0)</f>
        <v>0</v>
      </c>
      <c r="AB78" s="37">
        <f>IF(AQ78="1",BH78,0)</f>
        <v>0</v>
      </c>
      <c r="AC78" s="37">
        <f>IF(AQ78="1",BI78,0)</f>
        <v>0</v>
      </c>
      <c r="AD78" s="37">
        <f>IF(AQ78="7",BH78,0)</f>
        <v>0</v>
      </c>
      <c r="AE78" s="37">
        <f>IF(AQ78="7",BI78,0)</f>
        <v>0</v>
      </c>
      <c r="AF78" s="37">
        <f>IF(AQ78="2",BH78,0)</f>
        <v>0</v>
      </c>
      <c r="AG78" s="37">
        <f>IF(AQ78="2",BI78,0)</f>
        <v>0</v>
      </c>
      <c r="AH78" s="37">
        <f>IF(AQ78="0",BJ78,0)</f>
        <v>0</v>
      </c>
      <c r="AI78" s="34" t="s">
        <v>150</v>
      </c>
      <c r="AJ78" s="37">
        <f>IF(AN78=0,L78,0)</f>
        <v>0</v>
      </c>
      <c r="AK78" s="37">
        <f>IF(AN78=15,L78,0)</f>
        <v>0</v>
      </c>
      <c r="AL78" s="37">
        <f>IF(AN78=21,L78,0)</f>
        <v>0</v>
      </c>
      <c r="AN78" s="37">
        <v>15</v>
      </c>
      <c r="AO78" s="37">
        <f>I78*0.370359772945352</f>
        <v>0</v>
      </c>
      <c r="AP78" s="37">
        <f>I78*(1-0.370359772945352)</f>
        <v>0</v>
      </c>
      <c r="AQ78" s="66" t="s">
        <v>290</v>
      </c>
      <c r="AV78" s="37">
        <f>AW78+AX78</f>
        <v>0</v>
      </c>
      <c r="AW78" s="37">
        <f>H78*AO78</f>
        <v>0</v>
      </c>
      <c r="AX78" s="37">
        <f>H78*AP78</f>
        <v>0</v>
      </c>
      <c r="AY78" s="66" t="s">
        <v>169</v>
      </c>
      <c r="AZ78" s="66" t="s">
        <v>328</v>
      </c>
      <c r="BA78" s="34" t="s">
        <v>50</v>
      </c>
      <c r="BC78" s="37">
        <f>AW78+AX78</f>
        <v>0</v>
      </c>
      <c r="BD78" s="37">
        <f>I78/(100-BE78)*100</f>
        <v>0</v>
      </c>
      <c r="BE78" s="37">
        <v>0</v>
      </c>
      <c r="BF78" s="37">
        <f>78</f>
        <v>78</v>
      </c>
      <c r="BH78" s="37">
        <f>H78*AO78</f>
        <v>0</v>
      </c>
      <c r="BI78" s="37">
        <f>H78*AP78</f>
        <v>0</v>
      </c>
      <c r="BJ78" s="37">
        <f>H78*I78</f>
        <v>0</v>
      </c>
      <c r="BK78" s="37"/>
      <c r="BL78" s="37">
        <v>83</v>
      </c>
    </row>
    <row r="79" spans="1:13" ht="13.5" customHeight="1">
      <c r="A79" s="17"/>
      <c r="B79" s="18" t="s">
        <v>139</v>
      </c>
      <c r="C79" s="97" t="s">
        <v>281</v>
      </c>
      <c r="D79" s="98"/>
      <c r="E79" s="98"/>
      <c r="F79" s="98"/>
      <c r="G79" s="98"/>
      <c r="H79" s="98"/>
      <c r="I79" s="98"/>
      <c r="J79" s="98"/>
      <c r="K79" s="98"/>
      <c r="L79" s="98"/>
      <c r="M79" s="99"/>
    </row>
    <row r="80" spans="1:13" ht="81" customHeight="1">
      <c r="A80" s="17"/>
      <c r="B80" s="18" t="s">
        <v>102</v>
      </c>
      <c r="C80" s="97" t="s">
        <v>148</v>
      </c>
      <c r="D80" s="98"/>
      <c r="E80" s="98"/>
      <c r="F80" s="98"/>
      <c r="G80" s="98"/>
      <c r="H80" s="98"/>
      <c r="I80" s="98"/>
      <c r="J80" s="98"/>
      <c r="K80" s="98"/>
      <c r="L80" s="98"/>
      <c r="M80" s="99"/>
    </row>
    <row r="81" spans="1:47" ht="15" customHeight="1">
      <c r="A81" s="61" t="s">
        <v>196</v>
      </c>
      <c r="B81" s="68" t="s">
        <v>315</v>
      </c>
      <c r="C81" s="100" t="s">
        <v>176</v>
      </c>
      <c r="D81" s="95"/>
      <c r="E81" s="95"/>
      <c r="F81" s="100"/>
      <c r="G81" s="50" t="s">
        <v>262</v>
      </c>
      <c r="H81" s="50" t="s">
        <v>262</v>
      </c>
      <c r="I81" s="50" t="s">
        <v>262</v>
      </c>
      <c r="J81" s="55">
        <f>SUM(J82:J85)</f>
        <v>0</v>
      </c>
      <c r="K81" s="55">
        <f>SUM(K82:K85)</f>
        <v>0</v>
      </c>
      <c r="L81" s="55">
        <f>SUM(L82:L85)</f>
        <v>0</v>
      </c>
      <c r="M81" s="12" t="s">
        <v>196</v>
      </c>
      <c r="AI81" s="34" t="s">
        <v>150</v>
      </c>
      <c r="AS81" s="67">
        <f>SUM(AJ82:AJ85)</f>
        <v>0</v>
      </c>
      <c r="AT81" s="67">
        <f>SUM(AK82:AK85)</f>
        <v>0</v>
      </c>
      <c r="AU81" s="67">
        <f>SUM(AL82:AL85)</f>
        <v>0</v>
      </c>
    </row>
    <row r="82" spans="1:64" ht="15" customHeight="1">
      <c r="A82" s="28" t="s">
        <v>159</v>
      </c>
      <c r="B82" s="63" t="s">
        <v>81</v>
      </c>
      <c r="C82" s="96" t="s">
        <v>236</v>
      </c>
      <c r="D82" s="79"/>
      <c r="E82" s="79"/>
      <c r="F82" s="96"/>
      <c r="G82" s="63" t="s">
        <v>65</v>
      </c>
      <c r="H82" s="51">
        <v>4</v>
      </c>
      <c r="I82" s="51">
        <v>0</v>
      </c>
      <c r="J82" s="51">
        <f>H82*AO82</f>
        <v>0</v>
      </c>
      <c r="K82" s="51">
        <f>H82*AP82</f>
        <v>0</v>
      </c>
      <c r="L82" s="51">
        <f>H82*I82</f>
        <v>0</v>
      </c>
      <c r="M82" s="38" t="s">
        <v>243</v>
      </c>
      <c r="Z82" s="37">
        <f>IF(AQ82="5",BJ82,0)</f>
        <v>0</v>
      </c>
      <c r="AB82" s="37">
        <f>IF(AQ82="1",BH82,0)</f>
        <v>0</v>
      </c>
      <c r="AC82" s="37">
        <f>IF(AQ82="1",BI82,0)</f>
        <v>0</v>
      </c>
      <c r="AD82" s="37">
        <f>IF(AQ82="7",BH82,0)</f>
        <v>0</v>
      </c>
      <c r="AE82" s="37">
        <f>IF(AQ82="7",BI82,0)</f>
        <v>0</v>
      </c>
      <c r="AF82" s="37">
        <f>IF(AQ82="2",BH82,0)</f>
        <v>0</v>
      </c>
      <c r="AG82" s="37">
        <f>IF(AQ82="2",BI82,0)</f>
        <v>0</v>
      </c>
      <c r="AH82" s="37">
        <f>IF(AQ82="0",BJ82,0)</f>
        <v>0</v>
      </c>
      <c r="AI82" s="34" t="s">
        <v>150</v>
      </c>
      <c r="AJ82" s="37">
        <f>IF(AN82=0,L82,0)</f>
        <v>0</v>
      </c>
      <c r="AK82" s="37">
        <f>IF(AN82=15,L82,0)</f>
        <v>0</v>
      </c>
      <c r="AL82" s="37">
        <f>IF(AN82=21,L82,0)</f>
        <v>0</v>
      </c>
      <c r="AN82" s="37">
        <v>15</v>
      </c>
      <c r="AO82" s="37">
        <f>I82*0.707405349794239</f>
        <v>0</v>
      </c>
      <c r="AP82" s="37">
        <f>I82*(1-0.707405349794239)</f>
        <v>0</v>
      </c>
      <c r="AQ82" s="66" t="s">
        <v>290</v>
      </c>
      <c r="AV82" s="37">
        <f>AW82+AX82</f>
        <v>0</v>
      </c>
      <c r="AW82" s="37">
        <f>H82*AO82</f>
        <v>0</v>
      </c>
      <c r="AX82" s="37">
        <f>H82*AP82</f>
        <v>0</v>
      </c>
      <c r="AY82" s="66" t="s">
        <v>18</v>
      </c>
      <c r="AZ82" s="66" t="s">
        <v>328</v>
      </c>
      <c r="BA82" s="34" t="s">
        <v>50</v>
      </c>
      <c r="BC82" s="37">
        <f>AW82+AX82</f>
        <v>0</v>
      </c>
      <c r="BD82" s="37">
        <f>I82/(100-BE82)*100</f>
        <v>0</v>
      </c>
      <c r="BE82" s="37">
        <v>0</v>
      </c>
      <c r="BF82" s="37">
        <f>82</f>
        <v>82</v>
      </c>
      <c r="BH82" s="37">
        <f>H82*AO82</f>
        <v>0</v>
      </c>
      <c r="BI82" s="37">
        <f>H82*AP82</f>
        <v>0</v>
      </c>
      <c r="BJ82" s="37">
        <f>H82*I82</f>
        <v>0</v>
      </c>
      <c r="BK82" s="37"/>
      <c r="BL82" s="37">
        <v>89</v>
      </c>
    </row>
    <row r="83" spans="1:13" ht="13.5" customHeight="1">
      <c r="A83" s="17"/>
      <c r="B83" s="18" t="s">
        <v>139</v>
      </c>
      <c r="C83" s="97" t="s">
        <v>327</v>
      </c>
      <c r="D83" s="98"/>
      <c r="E83" s="98"/>
      <c r="F83" s="98"/>
      <c r="G83" s="98"/>
      <c r="H83" s="98"/>
      <c r="I83" s="98"/>
      <c r="J83" s="98"/>
      <c r="K83" s="98"/>
      <c r="L83" s="98"/>
      <c r="M83" s="99"/>
    </row>
    <row r="84" spans="1:13" ht="40.5" customHeight="1">
      <c r="A84" s="17"/>
      <c r="B84" s="18" t="s">
        <v>102</v>
      </c>
      <c r="C84" s="97" t="s">
        <v>284</v>
      </c>
      <c r="D84" s="98"/>
      <c r="E84" s="98"/>
      <c r="F84" s="98"/>
      <c r="G84" s="98"/>
      <c r="H84" s="98"/>
      <c r="I84" s="98"/>
      <c r="J84" s="98"/>
      <c r="K84" s="98"/>
      <c r="L84" s="98"/>
      <c r="M84" s="99"/>
    </row>
    <row r="85" spans="1:64" ht="15" customHeight="1">
      <c r="A85" s="16" t="s">
        <v>245</v>
      </c>
      <c r="B85" s="33" t="s">
        <v>118</v>
      </c>
      <c r="C85" s="96" t="s">
        <v>318</v>
      </c>
      <c r="D85" s="79"/>
      <c r="E85" s="79"/>
      <c r="F85" s="96"/>
      <c r="G85" s="33" t="s">
        <v>65</v>
      </c>
      <c r="H85" s="35">
        <v>7</v>
      </c>
      <c r="I85" s="35">
        <v>0</v>
      </c>
      <c r="J85" s="35">
        <f>H85*AO85</f>
        <v>0</v>
      </c>
      <c r="K85" s="35">
        <f>H85*AP85</f>
        <v>0</v>
      </c>
      <c r="L85" s="35">
        <f>H85*I85</f>
        <v>0</v>
      </c>
      <c r="M85" s="48" t="s">
        <v>243</v>
      </c>
      <c r="Z85" s="37">
        <f>IF(AQ85="5",BJ85,0)</f>
        <v>0</v>
      </c>
      <c r="AB85" s="37">
        <f>IF(AQ85="1",BH85,0)</f>
        <v>0</v>
      </c>
      <c r="AC85" s="37">
        <f>IF(AQ85="1",BI85,0)</f>
        <v>0</v>
      </c>
      <c r="AD85" s="37">
        <f>IF(AQ85="7",BH85,0)</f>
        <v>0</v>
      </c>
      <c r="AE85" s="37">
        <f>IF(AQ85="7",BI85,0)</f>
        <v>0</v>
      </c>
      <c r="AF85" s="37">
        <f>IF(AQ85="2",BH85,0)</f>
        <v>0</v>
      </c>
      <c r="AG85" s="37">
        <f>IF(AQ85="2",BI85,0)</f>
        <v>0</v>
      </c>
      <c r="AH85" s="37">
        <f>IF(AQ85="0",BJ85,0)</f>
        <v>0</v>
      </c>
      <c r="AI85" s="34" t="s">
        <v>150</v>
      </c>
      <c r="AJ85" s="37">
        <f>IF(AN85=0,L85,0)</f>
        <v>0</v>
      </c>
      <c r="AK85" s="37">
        <f>IF(AN85=15,L85,0)</f>
        <v>0</v>
      </c>
      <c r="AL85" s="37">
        <f>IF(AN85=21,L85,0)</f>
        <v>0</v>
      </c>
      <c r="AN85" s="37">
        <v>15</v>
      </c>
      <c r="AO85" s="37">
        <f>I85*0.806332205625779</f>
        <v>0</v>
      </c>
      <c r="AP85" s="37">
        <f>I85*(1-0.806332205625779)</f>
        <v>0</v>
      </c>
      <c r="AQ85" s="66" t="s">
        <v>290</v>
      </c>
      <c r="AV85" s="37">
        <f>AW85+AX85</f>
        <v>0</v>
      </c>
      <c r="AW85" s="37">
        <f>H85*AO85</f>
        <v>0</v>
      </c>
      <c r="AX85" s="37">
        <f>H85*AP85</f>
        <v>0</v>
      </c>
      <c r="AY85" s="66" t="s">
        <v>18</v>
      </c>
      <c r="AZ85" s="66" t="s">
        <v>328</v>
      </c>
      <c r="BA85" s="34" t="s">
        <v>50</v>
      </c>
      <c r="BC85" s="37">
        <f>AW85+AX85</f>
        <v>0</v>
      </c>
      <c r="BD85" s="37">
        <f>I85/(100-BE85)*100</f>
        <v>0</v>
      </c>
      <c r="BE85" s="37">
        <v>0</v>
      </c>
      <c r="BF85" s="37">
        <f>85</f>
        <v>85</v>
      </c>
      <c r="BH85" s="37">
        <f>H85*AO85</f>
        <v>0</v>
      </c>
      <c r="BI85" s="37">
        <f>H85*AP85</f>
        <v>0</v>
      </c>
      <c r="BJ85" s="37">
        <f>H85*I85</f>
        <v>0</v>
      </c>
      <c r="BK85" s="37"/>
      <c r="BL85" s="37">
        <v>89</v>
      </c>
    </row>
    <row r="86" spans="1:13" ht="13.5" customHeight="1">
      <c r="A86" s="17"/>
      <c r="B86" s="18" t="s">
        <v>139</v>
      </c>
      <c r="C86" s="97" t="s">
        <v>217</v>
      </c>
      <c r="D86" s="98"/>
      <c r="E86" s="98"/>
      <c r="F86" s="98"/>
      <c r="G86" s="98"/>
      <c r="H86" s="98"/>
      <c r="I86" s="98"/>
      <c r="J86" s="98"/>
      <c r="K86" s="98"/>
      <c r="L86" s="98"/>
      <c r="M86" s="99"/>
    </row>
    <row r="87" spans="1:13" ht="27" customHeight="1">
      <c r="A87" s="17"/>
      <c r="B87" s="18" t="s">
        <v>102</v>
      </c>
      <c r="C87" s="97" t="s">
        <v>154</v>
      </c>
      <c r="D87" s="98"/>
      <c r="E87" s="98"/>
      <c r="F87" s="98"/>
      <c r="G87" s="98"/>
      <c r="H87" s="98"/>
      <c r="I87" s="98"/>
      <c r="J87" s="98"/>
      <c r="K87" s="98"/>
      <c r="L87" s="98"/>
      <c r="M87" s="99"/>
    </row>
    <row r="88" spans="1:47" ht="15" customHeight="1">
      <c r="A88" s="61" t="s">
        <v>196</v>
      </c>
      <c r="B88" s="68" t="s">
        <v>7</v>
      </c>
      <c r="C88" s="100" t="s">
        <v>100</v>
      </c>
      <c r="D88" s="95"/>
      <c r="E88" s="95"/>
      <c r="F88" s="100"/>
      <c r="G88" s="50" t="s">
        <v>262</v>
      </c>
      <c r="H88" s="50" t="s">
        <v>262</v>
      </c>
      <c r="I88" s="50" t="s">
        <v>262</v>
      </c>
      <c r="J88" s="55">
        <f>SUM(J89:J99)</f>
        <v>0</v>
      </c>
      <c r="K88" s="55">
        <f>SUM(K89:K99)</f>
        <v>0</v>
      </c>
      <c r="L88" s="55">
        <f>SUM(L89:L99)</f>
        <v>0</v>
      </c>
      <c r="M88" s="12" t="s">
        <v>196</v>
      </c>
      <c r="AI88" s="34" t="s">
        <v>150</v>
      </c>
      <c r="AS88" s="67">
        <f>SUM(AJ89:AJ99)</f>
        <v>0</v>
      </c>
      <c r="AT88" s="67">
        <f>SUM(AK89:AK99)</f>
        <v>0</v>
      </c>
      <c r="AU88" s="67">
        <f>SUM(AL89:AL99)</f>
        <v>0</v>
      </c>
    </row>
    <row r="89" spans="1:64" ht="15" customHeight="1">
      <c r="A89" s="28" t="s">
        <v>58</v>
      </c>
      <c r="B89" s="63" t="s">
        <v>34</v>
      </c>
      <c r="C89" s="96" t="s">
        <v>78</v>
      </c>
      <c r="D89" s="79"/>
      <c r="E89" s="79"/>
      <c r="F89" s="96"/>
      <c r="G89" s="63" t="s">
        <v>237</v>
      </c>
      <c r="H89" s="51">
        <v>276</v>
      </c>
      <c r="I89" s="51">
        <v>0</v>
      </c>
      <c r="J89" s="51">
        <f>H89*AO89</f>
        <v>0</v>
      </c>
      <c r="K89" s="51">
        <f>H89*AP89</f>
        <v>0</v>
      </c>
      <c r="L89" s="51">
        <f>H89*I89</f>
        <v>0</v>
      </c>
      <c r="M89" s="38" t="s">
        <v>243</v>
      </c>
      <c r="Z89" s="37">
        <f>IF(AQ89="5",BJ89,0)</f>
        <v>0</v>
      </c>
      <c r="AB89" s="37">
        <f>IF(AQ89="1",BH89,0)</f>
        <v>0</v>
      </c>
      <c r="AC89" s="37">
        <f>IF(AQ89="1",BI89,0)</f>
        <v>0</v>
      </c>
      <c r="AD89" s="37">
        <f>IF(AQ89="7",BH89,0)</f>
        <v>0</v>
      </c>
      <c r="AE89" s="37">
        <f>IF(AQ89="7",BI89,0)</f>
        <v>0</v>
      </c>
      <c r="AF89" s="37">
        <f>IF(AQ89="2",BH89,0)</f>
        <v>0</v>
      </c>
      <c r="AG89" s="37">
        <f>IF(AQ89="2",BI89,0)</f>
        <v>0</v>
      </c>
      <c r="AH89" s="37">
        <f>IF(AQ89="0",BJ89,0)</f>
        <v>0</v>
      </c>
      <c r="AI89" s="34" t="s">
        <v>150</v>
      </c>
      <c r="AJ89" s="37">
        <f>IF(AN89=0,L89,0)</f>
        <v>0</v>
      </c>
      <c r="AK89" s="37">
        <f>IF(AN89=15,L89,0)</f>
        <v>0</v>
      </c>
      <c r="AL89" s="37">
        <f>IF(AN89=21,L89,0)</f>
        <v>0</v>
      </c>
      <c r="AN89" s="37">
        <v>15</v>
      </c>
      <c r="AO89" s="37">
        <f>I89*0.779255813953488</f>
        <v>0</v>
      </c>
      <c r="AP89" s="37">
        <f>I89*(1-0.779255813953488)</f>
        <v>0</v>
      </c>
      <c r="AQ89" s="66" t="s">
        <v>290</v>
      </c>
      <c r="AV89" s="37">
        <f>AW89+AX89</f>
        <v>0</v>
      </c>
      <c r="AW89" s="37">
        <f>H89*AO89</f>
        <v>0</v>
      </c>
      <c r="AX89" s="37">
        <f>H89*AP89</f>
        <v>0</v>
      </c>
      <c r="AY89" s="66" t="s">
        <v>277</v>
      </c>
      <c r="AZ89" s="66" t="s">
        <v>163</v>
      </c>
      <c r="BA89" s="34" t="s">
        <v>50</v>
      </c>
      <c r="BC89" s="37">
        <f>AW89+AX89</f>
        <v>0</v>
      </c>
      <c r="BD89" s="37">
        <f>I89/(100-BE89)*100</f>
        <v>0</v>
      </c>
      <c r="BE89" s="37">
        <v>0</v>
      </c>
      <c r="BF89" s="37">
        <f>89</f>
        <v>89</v>
      </c>
      <c r="BH89" s="37">
        <f>H89*AO89</f>
        <v>0</v>
      </c>
      <c r="BI89" s="37">
        <f>H89*AP89</f>
        <v>0</v>
      </c>
      <c r="BJ89" s="37">
        <f>H89*I89</f>
        <v>0</v>
      </c>
      <c r="BK89" s="37"/>
      <c r="BL89" s="37">
        <v>91</v>
      </c>
    </row>
    <row r="90" spans="1:13" ht="13.5" customHeight="1">
      <c r="A90" s="17"/>
      <c r="B90" s="18" t="s">
        <v>139</v>
      </c>
      <c r="C90" s="97" t="s">
        <v>82</v>
      </c>
      <c r="D90" s="98"/>
      <c r="E90" s="98"/>
      <c r="F90" s="98"/>
      <c r="G90" s="98"/>
      <c r="H90" s="98"/>
      <c r="I90" s="98"/>
      <c r="J90" s="98"/>
      <c r="K90" s="98"/>
      <c r="L90" s="98"/>
      <c r="M90" s="99"/>
    </row>
    <row r="91" spans="1:64" ht="15" customHeight="1">
      <c r="A91" s="16" t="s">
        <v>325</v>
      </c>
      <c r="B91" s="33" t="s">
        <v>93</v>
      </c>
      <c r="C91" s="96" t="s">
        <v>2</v>
      </c>
      <c r="D91" s="79"/>
      <c r="E91" s="79"/>
      <c r="F91" s="96"/>
      <c r="G91" s="33" t="s">
        <v>237</v>
      </c>
      <c r="H91" s="35">
        <v>109.77</v>
      </c>
      <c r="I91" s="35">
        <v>0</v>
      </c>
      <c r="J91" s="35">
        <f>H91*AO91</f>
        <v>0</v>
      </c>
      <c r="K91" s="35">
        <f>H91*AP91</f>
        <v>0</v>
      </c>
      <c r="L91" s="35">
        <f>H91*I91</f>
        <v>0</v>
      </c>
      <c r="M91" s="48" t="s">
        <v>191</v>
      </c>
      <c r="Z91" s="37">
        <f>IF(AQ91="5",BJ91,0)</f>
        <v>0</v>
      </c>
      <c r="AB91" s="37">
        <f>IF(AQ91="1",BH91,0)</f>
        <v>0</v>
      </c>
      <c r="AC91" s="37">
        <f>IF(AQ91="1",BI91,0)</f>
        <v>0</v>
      </c>
      <c r="AD91" s="37">
        <f>IF(AQ91="7",BH91,0)</f>
        <v>0</v>
      </c>
      <c r="AE91" s="37">
        <f>IF(AQ91="7",BI91,0)</f>
        <v>0</v>
      </c>
      <c r="AF91" s="37">
        <f>IF(AQ91="2",BH91,0)</f>
        <v>0</v>
      </c>
      <c r="AG91" s="37">
        <f>IF(AQ91="2",BI91,0)</f>
        <v>0</v>
      </c>
      <c r="AH91" s="37">
        <f>IF(AQ91="0",BJ91,0)</f>
        <v>0</v>
      </c>
      <c r="AI91" s="34" t="s">
        <v>150</v>
      </c>
      <c r="AJ91" s="37">
        <f>IF(AN91=0,L91,0)</f>
        <v>0</v>
      </c>
      <c r="AK91" s="37">
        <f>IF(AN91=15,L91,0)</f>
        <v>0</v>
      </c>
      <c r="AL91" s="37">
        <f>IF(AN91=21,L91,0)</f>
        <v>0</v>
      </c>
      <c r="AN91" s="37">
        <v>15</v>
      </c>
      <c r="AO91" s="37">
        <f>I91*0.747001053497559</f>
        <v>0</v>
      </c>
      <c r="AP91" s="37">
        <f>I91*(1-0.747001053497559)</f>
        <v>0</v>
      </c>
      <c r="AQ91" s="66" t="s">
        <v>290</v>
      </c>
      <c r="AV91" s="37">
        <f>AW91+AX91</f>
        <v>0</v>
      </c>
      <c r="AW91" s="37">
        <f>H91*AO91</f>
        <v>0</v>
      </c>
      <c r="AX91" s="37">
        <f>H91*AP91</f>
        <v>0</v>
      </c>
      <c r="AY91" s="66" t="s">
        <v>277</v>
      </c>
      <c r="AZ91" s="66" t="s">
        <v>163</v>
      </c>
      <c r="BA91" s="34" t="s">
        <v>50</v>
      </c>
      <c r="BC91" s="37">
        <f>AW91+AX91</f>
        <v>0</v>
      </c>
      <c r="BD91" s="37">
        <f>I91/(100-BE91)*100</f>
        <v>0</v>
      </c>
      <c r="BE91" s="37">
        <v>0</v>
      </c>
      <c r="BF91" s="37">
        <f>91</f>
        <v>91</v>
      </c>
      <c r="BH91" s="37">
        <f>H91*AO91</f>
        <v>0</v>
      </c>
      <c r="BI91" s="37">
        <f>H91*AP91</f>
        <v>0</v>
      </c>
      <c r="BJ91" s="37">
        <f>H91*I91</f>
        <v>0</v>
      </c>
      <c r="BK91" s="37"/>
      <c r="BL91" s="37">
        <v>91</v>
      </c>
    </row>
    <row r="92" spans="1:13" ht="13.5" customHeight="1">
      <c r="A92" s="17"/>
      <c r="B92" s="18" t="s">
        <v>139</v>
      </c>
      <c r="C92" s="97" t="s">
        <v>232</v>
      </c>
      <c r="D92" s="98"/>
      <c r="E92" s="98"/>
      <c r="F92" s="98"/>
      <c r="G92" s="98"/>
      <c r="H92" s="98"/>
      <c r="I92" s="98"/>
      <c r="J92" s="98"/>
      <c r="K92" s="98"/>
      <c r="L92" s="98"/>
      <c r="M92" s="99"/>
    </row>
    <row r="93" spans="1:64" ht="15" customHeight="1">
      <c r="A93" s="16" t="s">
        <v>252</v>
      </c>
      <c r="B93" s="33" t="s">
        <v>120</v>
      </c>
      <c r="C93" s="96" t="s">
        <v>20</v>
      </c>
      <c r="D93" s="79"/>
      <c r="E93" s="79"/>
      <c r="F93" s="96"/>
      <c r="G93" s="33" t="s">
        <v>237</v>
      </c>
      <c r="H93" s="35">
        <v>154.23</v>
      </c>
      <c r="I93" s="35">
        <v>0</v>
      </c>
      <c r="J93" s="35">
        <f>H93*AO93</f>
        <v>0</v>
      </c>
      <c r="K93" s="35">
        <f>H93*AP93</f>
        <v>0</v>
      </c>
      <c r="L93" s="35">
        <f>H93*I93</f>
        <v>0</v>
      </c>
      <c r="M93" s="48" t="s">
        <v>243</v>
      </c>
      <c r="Z93" s="37">
        <f>IF(AQ93="5",BJ93,0)</f>
        <v>0</v>
      </c>
      <c r="AB93" s="37">
        <f>IF(AQ93="1",BH93,0)</f>
        <v>0</v>
      </c>
      <c r="AC93" s="37">
        <f>IF(AQ93="1",BI93,0)</f>
        <v>0</v>
      </c>
      <c r="AD93" s="37">
        <f>IF(AQ93="7",BH93,0)</f>
        <v>0</v>
      </c>
      <c r="AE93" s="37">
        <f>IF(AQ93="7",BI93,0)</f>
        <v>0</v>
      </c>
      <c r="AF93" s="37">
        <f>IF(AQ93="2",BH93,0)</f>
        <v>0</v>
      </c>
      <c r="AG93" s="37">
        <f>IF(AQ93="2",BI93,0)</f>
        <v>0</v>
      </c>
      <c r="AH93" s="37">
        <f>IF(AQ93="0",BJ93,0)</f>
        <v>0</v>
      </c>
      <c r="AI93" s="34" t="s">
        <v>150</v>
      </c>
      <c r="AJ93" s="37">
        <f>IF(AN93=0,L93,0)</f>
        <v>0</v>
      </c>
      <c r="AK93" s="37">
        <f>IF(AN93=15,L93,0)</f>
        <v>0</v>
      </c>
      <c r="AL93" s="37">
        <f>IF(AN93=21,L93,0)</f>
        <v>0</v>
      </c>
      <c r="AN93" s="37">
        <v>15</v>
      </c>
      <c r="AO93" s="37">
        <f>I93*0.697523469826817</f>
        <v>0</v>
      </c>
      <c r="AP93" s="37">
        <f>I93*(1-0.697523469826817)</f>
        <v>0</v>
      </c>
      <c r="AQ93" s="66" t="s">
        <v>290</v>
      </c>
      <c r="AV93" s="37">
        <f>AW93+AX93</f>
        <v>0</v>
      </c>
      <c r="AW93" s="37">
        <f>H93*AO93</f>
        <v>0</v>
      </c>
      <c r="AX93" s="37">
        <f>H93*AP93</f>
        <v>0</v>
      </c>
      <c r="AY93" s="66" t="s">
        <v>277</v>
      </c>
      <c r="AZ93" s="66" t="s">
        <v>163</v>
      </c>
      <c r="BA93" s="34" t="s">
        <v>50</v>
      </c>
      <c r="BC93" s="37">
        <f>AW93+AX93</f>
        <v>0</v>
      </c>
      <c r="BD93" s="37">
        <f>I93/(100-BE93)*100</f>
        <v>0</v>
      </c>
      <c r="BE93" s="37">
        <v>0</v>
      </c>
      <c r="BF93" s="37">
        <f>93</f>
        <v>93</v>
      </c>
      <c r="BH93" s="37">
        <f>H93*AO93</f>
        <v>0</v>
      </c>
      <c r="BI93" s="37">
        <f>H93*AP93</f>
        <v>0</v>
      </c>
      <c r="BJ93" s="37">
        <f>H93*I93</f>
        <v>0</v>
      </c>
      <c r="BK93" s="37"/>
      <c r="BL93" s="37">
        <v>91</v>
      </c>
    </row>
    <row r="94" spans="1:13" ht="13.5" customHeight="1">
      <c r="A94" s="17"/>
      <c r="B94" s="18" t="s">
        <v>139</v>
      </c>
      <c r="C94" s="97" t="s">
        <v>23</v>
      </c>
      <c r="D94" s="98"/>
      <c r="E94" s="98"/>
      <c r="F94" s="98"/>
      <c r="G94" s="98"/>
      <c r="H94" s="98"/>
      <c r="I94" s="98"/>
      <c r="J94" s="98"/>
      <c r="K94" s="98"/>
      <c r="L94" s="98"/>
      <c r="M94" s="99"/>
    </row>
    <row r="95" spans="1:13" ht="13.5" customHeight="1">
      <c r="A95" s="17"/>
      <c r="B95" s="18" t="s">
        <v>102</v>
      </c>
      <c r="C95" s="97" t="s">
        <v>324</v>
      </c>
      <c r="D95" s="98"/>
      <c r="E95" s="98"/>
      <c r="F95" s="98"/>
      <c r="G95" s="98"/>
      <c r="H95" s="98"/>
      <c r="I95" s="98"/>
      <c r="J95" s="98"/>
      <c r="K95" s="98"/>
      <c r="L95" s="98"/>
      <c r="M95" s="99"/>
    </row>
    <row r="96" spans="1:64" ht="15" customHeight="1">
      <c r="A96" s="16" t="s">
        <v>156</v>
      </c>
      <c r="B96" s="33" t="s">
        <v>135</v>
      </c>
      <c r="C96" s="96" t="s">
        <v>20</v>
      </c>
      <c r="D96" s="79"/>
      <c r="E96" s="79"/>
      <c r="F96" s="96"/>
      <c r="G96" s="33" t="s">
        <v>237</v>
      </c>
      <c r="H96" s="35">
        <v>12</v>
      </c>
      <c r="I96" s="35">
        <v>0</v>
      </c>
      <c r="J96" s="35">
        <f>H96*AO96</f>
        <v>0</v>
      </c>
      <c r="K96" s="35">
        <f>H96*AP96</f>
        <v>0</v>
      </c>
      <c r="L96" s="35">
        <f>H96*I96</f>
        <v>0</v>
      </c>
      <c r="M96" s="48" t="s">
        <v>191</v>
      </c>
      <c r="Z96" s="37">
        <f>IF(AQ96="5",BJ96,0)</f>
        <v>0</v>
      </c>
      <c r="AB96" s="37">
        <f>IF(AQ96="1",BH96,0)</f>
        <v>0</v>
      </c>
      <c r="AC96" s="37">
        <f>IF(AQ96="1",BI96,0)</f>
        <v>0</v>
      </c>
      <c r="AD96" s="37">
        <f>IF(AQ96="7",BH96,0)</f>
        <v>0</v>
      </c>
      <c r="AE96" s="37">
        <f>IF(AQ96="7",BI96,0)</f>
        <v>0</v>
      </c>
      <c r="AF96" s="37">
        <f>IF(AQ96="2",BH96,0)</f>
        <v>0</v>
      </c>
      <c r="AG96" s="37">
        <f>IF(AQ96="2",BI96,0)</f>
        <v>0</v>
      </c>
      <c r="AH96" s="37">
        <f>IF(AQ96="0",BJ96,0)</f>
        <v>0</v>
      </c>
      <c r="AI96" s="34" t="s">
        <v>150</v>
      </c>
      <c r="AJ96" s="37">
        <f>IF(AN96=0,L96,0)</f>
        <v>0</v>
      </c>
      <c r="AK96" s="37">
        <f>IF(AN96=15,L96,0)</f>
        <v>0</v>
      </c>
      <c r="AL96" s="37">
        <f>IF(AN96=21,L96,0)</f>
        <v>0</v>
      </c>
      <c r="AN96" s="37">
        <v>15</v>
      </c>
      <c r="AO96" s="37">
        <f>I96*0.816943005181347</f>
        <v>0</v>
      </c>
      <c r="AP96" s="37">
        <f>I96*(1-0.816943005181347)</f>
        <v>0</v>
      </c>
      <c r="AQ96" s="66" t="s">
        <v>290</v>
      </c>
      <c r="AV96" s="37">
        <f>AW96+AX96</f>
        <v>0</v>
      </c>
      <c r="AW96" s="37">
        <f>H96*AO96</f>
        <v>0</v>
      </c>
      <c r="AX96" s="37">
        <f>H96*AP96</f>
        <v>0</v>
      </c>
      <c r="AY96" s="66" t="s">
        <v>277</v>
      </c>
      <c r="AZ96" s="66" t="s">
        <v>163</v>
      </c>
      <c r="BA96" s="34" t="s">
        <v>50</v>
      </c>
      <c r="BC96" s="37">
        <f>AW96+AX96</f>
        <v>0</v>
      </c>
      <c r="BD96" s="37">
        <f>I96/(100-BE96)*100</f>
        <v>0</v>
      </c>
      <c r="BE96" s="37">
        <v>0</v>
      </c>
      <c r="BF96" s="37">
        <f>96</f>
        <v>96</v>
      </c>
      <c r="BH96" s="37">
        <f>H96*AO96</f>
        <v>0</v>
      </c>
      <c r="BI96" s="37">
        <f>H96*AP96</f>
        <v>0</v>
      </c>
      <c r="BJ96" s="37">
        <f>H96*I96</f>
        <v>0</v>
      </c>
      <c r="BK96" s="37"/>
      <c r="BL96" s="37">
        <v>91</v>
      </c>
    </row>
    <row r="97" spans="1:13" ht="13.5" customHeight="1">
      <c r="A97" s="17"/>
      <c r="B97" s="18" t="s">
        <v>139</v>
      </c>
      <c r="C97" s="97" t="s">
        <v>320</v>
      </c>
      <c r="D97" s="98"/>
      <c r="E97" s="98"/>
      <c r="F97" s="98"/>
      <c r="G97" s="98"/>
      <c r="H97" s="98"/>
      <c r="I97" s="98"/>
      <c r="J97" s="98"/>
      <c r="K97" s="98"/>
      <c r="L97" s="98"/>
      <c r="M97" s="99"/>
    </row>
    <row r="98" spans="1:13" ht="13.5" customHeight="1">
      <c r="A98" s="17"/>
      <c r="B98" s="18" t="s">
        <v>102</v>
      </c>
      <c r="C98" s="97" t="s">
        <v>324</v>
      </c>
      <c r="D98" s="98"/>
      <c r="E98" s="98"/>
      <c r="F98" s="98"/>
      <c r="G98" s="98"/>
      <c r="H98" s="98"/>
      <c r="I98" s="98"/>
      <c r="J98" s="98"/>
      <c r="K98" s="98"/>
      <c r="L98" s="98"/>
      <c r="M98" s="99"/>
    </row>
    <row r="99" spans="1:64" ht="15" customHeight="1">
      <c r="A99" s="16" t="s">
        <v>282</v>
      </c>
      <c r="B99" s="33" t="s">
        <v>4</v>
      </c>
      <c r="C99" s="96" t="s">
        <v>302</v>
      </c>
      <c r="D99" s="79"/>
      <c r="E99" s="79"/>
      <c r="F99" s="96"/>
      <c r="G99" s="33" t="s">
        <v>237</v>
      </c>
      <c r="H99" s="35">
        <v>280</v>
      </c>
      <c r="I99" s="35">
        <v>0</v>
      </c>
      <c r="J99" s="35">
        <f>H99*AO99</f>
        <v>0</v>
      </c>
      <c r="K99" s="35">
        <f>H99*AP99</f>
        <v>0</v>
      </c>
      <c r="L99" s="35">
        <f>H99*I99</f>
        <v>0</v>
      </c>
      <c r="M99" s="48" t="s">
        <v>191</v>
      </c>
      <c r="Z99" s="37">
        <f>IF(AQ99="5",BJ99,0)</f>
        <v>0</v>
      </c>
      <c r="AB99" s="37">
        <f>IF(AQ99="1",BH99,0)</f>
        <v>0</v>
      </c>
      <c r="AC99" s="37">
        <f>IF(AQ99="1",BI99,0)</f>
        <v>0</v>
      </c>
      <c r="AD99" s="37">
        <f>IF(AQ99="7",BH99,0)</f>
        <v>0</v>
      </c>
      <c r="AE99" s="37">
        <f>IF(AQ99="7",BI99,0)</f>
        <v>0</v>
      </c>
      <c r="AF99" s="37">
        <f>IF(AQ99="2",BH99,0)</f>
        <v>0</v>
      </c>
      <c r="AG99" s="37">
        <f>IF(AQ99="2",BI99,0)</f>
        <v>0</v>
      </c>
      <c r="AH99" s="37">
        <f>IF(AQ99="0",BJ99,0)</f>
        <v>0</v>
      </c>
      <c r="AI99" s="34" t="s">
        <v>150</v>
      </c>
      <c r="AJ99" s="37">
        <f>IF(AN99=0,L99,0)</f>
        <v>0</v>
      </c>
      <c r="AK99" s="37">
        <f>IF(AN99=15,L99,0)</f>
        <v>0</v>
      </c>
      <c r="AL99" s="37">
        <f>IF(AN99=21,L99,0)</f>
        <v>0</v>
      </c>
      <c r="AN99" s="37">
        <v>15</v>
      </c>
      <c r="AO99" s="37">
        <f>I99*0.563818166540627</f>
        <v>0</v>
      </c>
      <c r="AP99" s="37">
        <f>I99*(1-0.563818166540627)</f>
        <v>0</v>
      </c>
      <c r="AQ99" s="66" t="s">
        <v>290</v>
      </c>
      <c r="AV99" s="37">
        <f>AW99+AX99</f>
        <v>0</v>
      </c>
      <c r="AW99" s="37">
        <f>H99*AO99</f>
        <v>0</v>
      </c>
      <c r="AX99" s="37">
        <f>H99*AP99</f>
        <v>0</v>
      </c>
      <c r="AY99" s="66" t="s">
        <v>277</v>
      </c>
      <c r="AZ99" s="66" t="s">
        <v>163</v>
      </c>
      <c r="BA99" s="34" t="s">
        <v>50</v>
      </c>
      <c r="BC99" s="37">
        <f>AW99+AX99</f>
        <v>0</v>
      </c>
      <c r="BD99" s="37">
        <f>I99/(100-BE99)*100</f>
        <v>0</v>
      </c>
      <c r="BE99" s="37">
        <v>0</v>
      </c>
      <c r="BF99" s="37">
        <f>99</f>
        <v>99</v>
      </c>
      <c r="BH99" s="37">
        <f>H99*AO99</f>
        <v>0</v>
      </c>
      <c r="BI99" s="37">
        <f>H99*AP99</f>
        <v>0</v>
      </c>
      <c r="BJ99" s="37">
        <f>H99*I99</f>
        <v>0</v>
      </c>
      <c r="BK99" s="37"/>
      <c r="BL99" s="37">
        <v>91</v>
      </c>
    </row>
    <row r="100" spans="1:13" ht="13.5" customHeight="1">
      <c r="A100" s="17"/>
      <c r="B100" s="18" t="s">
        <v>102</v>
      </c>
      <c r="C100" s="97" t="s">
        <v>197</v>
      </c>
      <c r="D100" s="98"/>
      <c r="E100" s="98"/>
      <c r="F100" s="98"/>
      <c r="G100" s="98"/>
      <c r="H100" s="98"/>
      <c r="I100" s="98"/>
      <c r="J100" s="98"/>
      <c r="K100" s="98"/>
      <c r="L100" s="98"/>
      <c r="M100" s="99"/>
    </row>
    <row r="101" spans="1:47" ht="15" customHeight="1">
      <c r="A101" s="61" t="s">
        <v>196</v>
      </c>
      <c r="B101" s="68" t="s">
        <v>260</v>
      </c>
      <c r="C101" s="100" t="s">
        <v>106</v>
      </c>
      <c r="D101" s="95"/>
      <c r="E101" s="95"/>
      <c r="F101" s="100"/>
      <c r="G101" s="50" t="s">
        <v>262</v>
      </c>
      <c r="H101" s="50" t="s">
        <v>262</v>
      </c>
      <c r="I101" s="50" t="s">
        <v>262</v>
      </c>
      <c r="J101" s="55">
        <f>SUM(J102:J105)</f>
        <v>0</v>
      </c>
      <c r="K101" s="55">
        <f>SUM(K102:K105)</f>
        <v>0</v>
      </c>
      <c r="L101" s="55">
        <f>SUM(L102:L105)</f>
        <v>0</v>
      </c>
      <c r="M101" s="12" t="s">
        <v>196</v>
      </c>
      <c r="AI101" s="34" t="s">
        <v>150</v>
      </c>
      <c r="AS101" s="67">
        <f>SUM(AJ102:AJ105)</f>
        <v>0</v>
      </c>
      <c r="AT101" s="67">
        <f>SUM(AK102:AK105)</f>
        <v>0</v>
      </c>
      <c r="AU101" s="67">
        <f>SUM(AL102:AL105)</f>
        <v>0</v>
      </c>
    </row>
    <row r="102" spans="1:64" ht="15" customHeight="1">
      <c r="A102" s="28" t="s">
        <v>162</v>
      </c>
      <c r="B102" s="63" t="s">
        <v>244</v>
      </c>
      <c r="C102" s="96" t="s">
        <v>113</v>
      </c>
      <c r="D102" s="79"/>
      <c r="E102" s="79"/>
      <c r="F102" s="96"/>
      <c r="G102" s="63" t="s">
        <v>237</v>
      </c>
      <c r="H102" s="51">
        <v>19</v>
      </c>
      <c r="I102" s="51">
        <v>0</v>
      </c>
      <c r="J102" s="51">
        <f>H102*AO102</f>
        <v>0</v>
      </c>
      <c r="K102" s="51">
        <f>H102*AP102</f>
        <v>0</v>
      </c>
      <c r="L102" s="51">
        <f>H102*I102</f>
        <v>0</v>
      </c>
      <c r="M102" s="38" t="s">
        <v>191</v>
      </c>
      <c r="Z102" s="37">
        <f>IF(AQ102="5",BJ102,0)</f>
        <v>0</v>
      </c>
      <c r="AB102" s="37">
        <f>IF(AQ102="1",BH102,0)</f>
        <v>0</v>
      </c>
      <c r="AC102" s="37">
        <f>IF(AQ102="1",BI102,0)</f>
        <v>0</v>
      </c>
      <c r="AD102" s="37">
        <f>IF(AQ102="7",BH102,0)</f>
        <v>0</v>
      </c>
      <c r="AE102" s="37">
        <f>IF(AQ102="7",BI102,0)</f>
        <v>0</v>
      </c>
      <c r="AF102" s="37">
        <f>IF(AQ102="2",BH102,0)</f>
        <v>0</v>
      </c>
      <c r="AG102" s="37">
        <f>IF(AQ102="2",BI102,0)</f>
        <v>0</v>
      </c>
      <c r="AH102" s="37">
        <f>IF(AQ102="0",BJ102,0)</f>
        <v>0</v>
      </c>
      <c r="AI102" s="34" t="s">
        <v>150</v>
      </c>
      <c r="AJ102" s="37">
        <f>IF(AN102=0,L102,0)</f>
        <v>0</v>
      </c>
      <c r="AK102" s="37">
        <f>IF(AN102=15,L102,0)</f>
        <v>0</v>
      </c>
      <c r="AL102" s="37">
        <f>IF(AN102=21,L102,0)</f>
        <v>0</v>
      </c>
      <c r="AN102" s="37">
        <v>15</v>
      </c>
      <c r="AO102" s="37">
        <f>I102*0.617528075342244</f>
        <v>0</v>
      </c>
      <c r="AP102" s="37">
        <f>I102*(1-0.617528075342244)</f>
        <v>0</v>
      </c>
      <c r="AQ102" s="66" t="s">
        <v>290</v>
      </c>
      <c r="AV102" s="37">
        <f>AW102+AX102</f>
        <v>0</v>
      </c>
      <c r="AW102" s="37">
        <f>H102*AO102</f>
        <v>0</v>
      </c>
      <c r="AX102" s="37">
        <f>H102*AP102</f>
        <v>0</v>
      </c>
      <c r="AY102" s="66" t="s">
        <v>304</v>
      </c>
      <c r="AZ102" s="66" t="s">
        <v>163</v>
      </c>
      <c r="BA102" s="34" t="s">
        <v>50</v>
      </c>
      <c r="BC102" s="37">
        <f>AW102+AX102</f>
        <v>0</v>
      </c>
      <c r="BD102" s="37">
        <f>I102/(100-BE102)*100</f>
        <v>0</v>
      </c>
      <c r="BE102" s="37">
        <v>0</v>
      </c>
      <c r="BF102" s="37">
        <f>102</f>
        <v>102</v>
      </c>
      <c r="BH102" s="37">
        <f>H102*AO102</f>
        <v>0</v>
      </c>
      <c r="BI102" s="37">
        <f>H102*AP102</f>
        <v>0</v>
      </c>
      <c r="BJ102" s="37">
        <f>H102*I102</f>
        <v>0</v>
      </c>
      <c r="BK102" s="37"/>
      <c r="BL102" s="37">
        <v>93</v>
      </c>
    </row>
    <row r="103" spans="1:64" ht="15" customHeight="1">
      <c r="A103" s="28" t="s">
        <v>174</v>
      </c>
      <c r="B103" s="63" t="s">
        <v>264</v>
      </c>
      <c r="C103" s="96" t="s">
        <v>329</v>
      </c>
      <c r="D103" s="79"/>
      <c r="E103" s="79"/>
      <c r="F103" s="96"/>
      <c r="G103" s="63" t="s">
        <v>65</v>
      </c>
      <c r="H103" s="51">
        <v>58</v>
      </c>
      <c r="I103" s="51">
        <v>0</v>
      </c>
      <c r="J103" s="51">
        <f>H103*AO103</f>
        <v>0</v>
      </c>
      <c r="K103" s="51">
        <f>H103*AP103</f>
        <v>0</v>
      </c>
      <c r="L103" s="51">
        <f>H103*I103</f>
        <v>0</v>
      </c>
      <c r="M103" s="38" t="s">
        <v>191</v>
      </c>
      <c r="Z103" s="37">
        <f>IF(AQ103="5",BJ103,0)</f>
        <v>0</v>
      </c>
      <c r="AB103" s="37">
        <f>IF(AQ103="1",BH103,0)</f>
        <v>0</v>
      </c>
      <c r="AC103" s="37">
        <f>IF(AQ103="1",BI103,0)</f>
        <v>0</v>
      </c>
      <c r="AD103" s="37">
        <f>IF(AQ103="7",BH103,0)</f>
        <v>0</v>
      </c>
      <c r="AE103" s="37">
        <f>IF(AQ103="7",BI103,0)</f>
        <v>0</v>
      </c>
      <c r="AF103" s="37">
        <f>IF(AQ103="2",BH103,0)</f>
        <v>0</v>
      </c>
      <c r="AG103" s="37">
        <f>IF(AQ103="2",BI103,0)</f>
        <v>0</v>
      </c>
      <c r="AH103" s="37">
        <f>IF(AQ103="0",BJ103,0)</f>
        <v>0</v>
      </c>
      <c r="AI103" s="34" t="s">
        <v>150</v>
      </c>
      <c r="AJ103" s="37">
        <f>IF(AN103=0,L103,0)</f>
        <v>0</v>
      </c>
      <c r="AK103" s="37">
        <f>IF(AN103=15,L103,0)</f>
        <v>0</v>
      </c>
      <c r="AL103" s="37">
        <f>IF(AN103=21,L103,0)</f>
        <v>0</v>
      </c>
      <c r="AN103" s="37">
        <v>15</v>
      </c>
      <c r="AO103" s="37">
        <f>I103*1</f>
        <v>0</v>
      </c>
      <c r="AP103" s="37">
        <f>I103*(1-1)</f>
        <v>0</v>
      </c>
      <c r="AQ103" s="66" t="s">
        <v>290</v>
      </c>
      <c r="AV103" s="37">
        <f>AW103+AX103</f>
        <v>0</v>
      </c>
      <c r="AW103" s="37">
        <f>H103*AO103</f>
        <v>0</v>
      </c>
      <c r="AX103" s="37">
        <f>H103*AP103</f>
        <v>0</v>
      </c>
      <c r="AY103" s="66" t="s">
        <v>304</v>
      </c>
      <c r="AZ103" s="66" t="s">
        <v>163</v>
      </c>
      <c r="BA103" s="34" t="s">
        <v>50</v>
      </c>
      <c r="BC103" s="37">
        <f>AW103+AX103</f>
        <v>0</v>
      </c>
      <c r="BD103" s="37">
        <f>I103/(100-BE103)*100</f>
        <v>0</v>
      </c>
      <c r="BE103" s="37">
        <v>0</v>
      </c>
      <c r="BF103" s="37">
        <f>103</f>
        <v>103</v>
      </c>
      <c r="BH103" s="37">
        <f>H103*AO103</f>
        <v>0</v>
      </c>
      <c r="BI103" s="37">
        <f>H103*AP103</f>
        <v>0</v>
      </c>
      <c r="BJ103" s="37">
        <f>H103*I103</f>
        <v>0</v>
      </c>
      <c r="BK103" s="37"/>
      <c r="BL103" s="37">
        <v>93</v>
      </c>
    </row>
    <row r="104" spans="1:13" ht="13.5" customHeight="1">
      <c r="A104" s="17"/>
      <c r="B104" s="18" t="s">
        <v>102</v>
      </c>
      <c r="C104" s="97" t="s">
        <v>63</v>
      </c>
      <c r="D104" s="98"/>
      <c r="E104" s="98"/>
      <c r="F104" s="98"/>
      <c r="G104" s="98"/>
      <c r="H104" s="98"/>
      <c r="I104" s="98"/>
      <c r="J104" s="98"/>
      <c r="K104" s="98"/>
      <c r="L104" s="98"/>
      <c r="M104" s="99"/>
    </row>
    <row r="105" spans="1:64" ht="15" customHeight="1">
      <c r="A105" s="11" t="s">
        <v>99</v>
      </c>
      <c r="B105" s="22" t="s">
        <v>39</v>
      </c>
      <c r="C105" s="79" t="s">
        <v>97</v>
      </c>
      <c r="D105" s="79"/>
      <c r="E105" s="79"/>
      <c r="F105" s="79"/>
      <c r="G105" s="22" t="s">
        <v>122</v>
      </c>
      <c r="H105" s="37">
        <v>659.2178</v>
      </c>
      <c r="I105" s="37">
        <v>0</v>
      </c>
      <c r="J105" s="37">
        <f>H105*AO105</f>
        <v>0</v>
      </c>
      <c r="K105" s="37">
        <f>H105*AP105</f>
        <v>0</v>
      </c>
      <c r="L105" s="37">
        <f>H105*I105</f>
        <v>0</v>
      </c>
      <c r="M105" s="36" t="s">
        <v>243</v>
      </c>
      <c r="Z105" s="37">
        <f>IF(AQ105="5",BJ105,0)</f>
        <v>0</v>
      </c>
      <c r="AB105" s="37">
        <f>IF(AQ105="1",BH105,0)</f>
        <v>0</v>
      </c>
      <c r="AC105" s="37">
        <f>IF(AQ105="1",BI105,0)</f>
        <v>0</v>
      </c>
      <c r="AD105" s="37">
        <f>IF(AQ105="7",BH105,0)</f>
        <v>0</v>
      </c>
      <c r="AE105" s="37">
        <f>IF(AQ105="7",BI105,0)</f>
        <v>0</v>
      </c>
      <c r="AF105" s="37">
        <f>IF(AQ105="2",BH105,0)</f>
        <v>0</v>
      </c>
      <c r="AG105" s="37">
        <f>IF(AQ105="2",BI105,0)</f>
        <v>0</v>
      </c>
      <c r="AH105" s="37">
        <f>IF(AQ105="0",BJ105,0)</f>
        <v>0</v>
      </c>
      <c r="AI105" s="34" t="s">
        <v>150</v>
      </c>
      <c r="AJ105" s="37">
        <f>IF(AN105=0,L105,0)</f>
        <v>0</v>
      </c>
      <c r="AK105" s="37">
        <f>IF(AN105=15,L105,0)</f>
        <v>0</v>
      </c>
      <c r="AL105" s="37">
        <f>IF(AN105=21,L105,0)</f>
        <v>0</v>
      </c>
      <c r="AN105" s="37">
        <v>15</v>
      </c>
      <c r="AO105" s="37">
        <f>I105*0</f>
        <v>0</v>
      </c>
      <c r="AP105" s="37">
        <f>I105*(1-0)</f>
        <v>0</v>
      </c>
      <c r="AQ105" s="66" t="s">
        <v>144</v>
      </c>
      <c r="AV105" s="37">
        <f>AW105+AX105</f>
        <v>0</v>
      </c>
      <c r="AW105" s="37">
        <f>H105*AO105</f>
        <v>0</v>
      </c>
      <c r="AX105" s="37">
        <f>H105*AP105</f>
        <v>0</v>
      </c>
      <c r="AY105" s="66" t="s">
        <v>304</v>
      </c>
      <c r="AZ105" s="66" t="s">
        <v>163</v>
      </c>
      <c r="BA105" s="34" t="s">
        <v>50</v>
      </c>
      <c r="BC105" s="37">
        <f>AW105+AX105</f>
        <v>0</v>
      </c>
      <c r="BD105" s="37">
        <f>I105/(100-BE105)*100</f>
        <v>0</v>
      </c>
      <c r="BE105" s="37">
        <v>0</v>
      </c>
      <c r="BF105" s="37">
        <f>105</f>
        <v>105</v>
      </c>
      <c r="BH105" s="37">
        <f>H105*AO105</f>
        <v>0</v>
      </c>
      <c r="BI105" s="37">
        <f>H105*AP105</f>
        <v>0</v>
      </c>
      <c r="BJ105" s="37">
        <f>H105*I105</f>
        <v>0</v>
      </c>
      <c r="BK105" s="37"/>
      <c r="BL105" s="37">
        <v>93</v>
      </c>
    </row>
    <row r="106" spans="1:13" ht="15" customHeight="1">
      <c r="A106" s="71" t="s">
        <v>196</v>
      </c>
      <c r="B106" s="29" t="s">
        <v>196</v>
      </c>
      <c r="C106" s="95" t="s">
        <v>90</v>
      </c>
      <c r="D106" s="95"/>
      <c r="E106" s="95"/>
      <c r="F106" s="95"/>
      <c r="G106" s="52" t="s">
        <v>262</v>
      </c>
      <c r="H106" s="52" t="s">
        <v>262</v>
      </c>
      <c r="I106" s="52" t="s">
        <v>262</v>
      </c>
      <c r="J106" s="67">
        <f>J107+J109+J111+J114+J116</f>
        <v>0</v>
      </c>
      <c r="K106" s="67">
        <f>K107+K109+K111+K114+K116</f>
        <v>0</v>
      </c>
      <c r="L106" s="67">
        <f>L107+L109+L111+L114+L116</f>
        <v>0</v>
      </c>
      <c r="M106" s="3" t="s">
        <v>196</v>
      </c>
    </row>
    <row r="107" spans="1:47" ht="15" customHeight="1">
      <c r="A107" s="71" t="s">
        <v>196</v>
      </c>
      <c r="B107" s="29" t="s">
        <v>77</v>
      </c>
      <c r="C107" s="95" t="s">
        <v>1</v>
      </c>
      <c r="D107" s="95"/>
      <c r="E107" s="95"/>
      <c r="F107" s="95"/>
      <c r="G107" s="52" t="s">
        <v>262</v>
      </c>
      <c r="H107" s="52" t="s">
        <v>262</v>
      </c>
      <c r="I107" s="52" t="s">
        <v>262</v>
      </c>
      <c r="J107" s="67">
        <f>SUM(J108:J108)</f>
        <v>0</v>
      </c>
      <c r="K107" s="67">
        <f>SUM(K108:K108)</f>
        <v>0</v>
      </c>
      <c r="L107" s="67">
        <f>SUM(L108:L108)</f>
        <v>0</v>
      </c>
      <c r="M107" s="3" t="s">
        <v>196</v>
      </c>
      <c r="AI107" s="34" t="s">
        <v>66</v>
      </c>
      <c r="AS107" s="67">
        <f>SUM(AJ108:AJ108)</f>
        <v>0</v>
      </c>
      <c r="AT107" s="67">
        <f>SUM(AK108:AK108)</f>
        <v>0</v>
      </c>
      <c r="AU107" s="67">
        <f>SUM(AL108:AL108)</f>
        <v>0</v>
      </c>
    </row>
    <row r="108" spans="1:64" ht="15" customHeight="1">
      <c r="A108" s="11" t="s">
        <v>285</v>
      </c>
      <c r="B108" s="22" t="s">
        <v>189</v>
      </c>
      <c r="C108" s="79" t="s">
        <v>167</v>
      </c>
      <c r="D108" s="79"/>
      <c r="E108" s="79"/>
      <c r="F108" s="79"/>
      <c r="G108" s="22" t="s">
        <v>275</v>
      </c>
      <c r="H108" s="37">
        <v>585</v>
      </c>
      <c r="I108" s="37">
        <v>0</v>
      </c>
      <c r="J108" s="37">
        <f>H108*AO108</f>
        <v>0</v>
      </c>
      <c r="K108" s="37">
        <f>H108*AP108</f>
        <v>0</v>
      </c>
      <c r="L108" s="37">
        <f>H108*I108</f>
        <v>0</v>
      </c>
      <c r="M108" s="36" t="s">
        <v>243</v>
      </c>
      <c r="Z108" s="37">
        <f>IF(AQ108="5",BJ108,0)</f>
        <v>0</v>
      </c>
      <c r="AB108" s="37">
        <f>IF(AQ108="1",BH108,0)</f>
        <v>0</v>
      </c>
      <c r="AC108" s="37">
        <f>IF(AQ108="1",BI108,0)</f>
        <v>0</v>
      </c>
      <c r="AD108" s="37">
        <f>IF(AQ108="7",BH108,0)</f>
        <v>0</v>
      </c>
      <c r="AE108" s="37">
        <f>IF(AQ108="7",BI108,0)</f>
        <v>0</v>
      </c>
      <c r="AF108" s="37">
        <f>IF(AQ108="2",BH108,0)</f>
        <v>0</v>
      </c>
      <c r="AG108" s="37">
        <f>IF(AQ108="2",BI108,0)</f>
        <v>0</v>
      </c>
      <c r="AH108" s="37">
        <f>IF(AQ108="0",BJ108,0)</f>
        <v>0</v>
      </c>
      <c r="AI108" s="34" t="s">
        <v>66</v>
      </c>
      <c r="AJ108" s="37">
        <f>IF(AN108=0,L108,0)</f>
        <v>0</v>
      </c>
      <c r="AK108" s="37">
        <f>IF(AN108=15,L108,0)</f>
        <v>0</v>
      </c>
      <c r="AL108" s="37">
        <f>IF(AN108=21,L108,0)</f>
        <v>0</v>
      </c>
      <c r="AN108" s="37">
        <v>15</v>
      </c>
      <c r="AO108" s="37">
        <f>I108*0.0413857288541698</f>
        <v>0</v>
      </c>
      <c r="AP108" s="37">
        <f>I108*(1-0.0413857288541698)</f>
        <v>0</v>
      </c>
      <c r="AQ108" s="66" t="s">
        <v>290</v>
      </c>
      <c r="AV108" s="37">
        <f>AW108+AX108</f>
        <v>0</v>
      </c>
      <c r="AW108" s="37">
        <f>H108*AO108</f>
        <v>0</v>
      </c>
      <c r="AX108" s="37">
        <f>H108*AP108</f>
        <v>0</v>
      </c>
      <c r="AY108" s="66" t="s">
        <v>257</v>
      </c>
      <c r="AZ108" s="66" t="s">
        <v>207</v>
      </c>
      <c r="BA108" s="34" t="s">
        <v>310</v>
      </c>
      <c r="BC108" s="37">
        <f>AW108+AX108</f>
        <v>0</v>
      </c>
      <c r="BD108" s="37">
        <f>I108/(100-BE108)*100</f>
        <v>0</v>
      </c>
      <c r="BE108" s="37">
        <v>0</v>
      </c>
      <c r="BF108" s="37">
        <f>108</f>
        <v>108</v>
      </c>
      <c r="BH108" s="37">
        <f>H108*AO108</f>
        <v>0</v>
      </c>
      <c r="BI108" s="37">
        <f>H108*AP108</f>
        <v>0</v>
      </c>
      <c r="BJ108" s="37">
        <f>H108*I108</f>
        <v>0</v>
      </c>
      <c r="BK108" s="37"/>
      <c r="BL108" s="37">
        <v>13</v>
      </c>
    </row>
    <row r="109" spans="1:47" ht="15" customHeight="1">
      <c r="A109" s="71" t="s">
        <v>196</v>
      </c>
      <c r="B109" s="29" t="s">
        <v>24</v>
      </c>
      <c r="C109" s="95" t="s">
        <v>241</v>
      </c>
      <c r="D109" s="95"/>
      <c r="E109" s="95"/>
      <c r="F109" s="95"/>
      <c r="G109" s="52" t="s">
        <v>262</v>
      </c>
      <c r="H109" s="52" t="s">
        <v>262</v>
      </c>
      <c r="I109" s="52" t="s">
        <v>262</v>
      </c>
      <c r="J109" s="67">
        <f>SUM(J110:J110)</f>
        <v>0</v>
      </c>
      <c r="K109" s="67">
        <f>SUM(K110:K110)</f>
        <v>0</v>
      </c>
      <c r="L109" s="67">
        <f>SUM(L110:L110)</f>
        <v>0</v>
      </c>
      <c r="M109" s="3" t="s">
        <v>196</v>
      </c>
      <c r="AI109" s="34" t="s">
        <v>66</v>
      </c>
      <c r="AS109" s="67">
        <f>SUM(AJ110:AJ110)</f>
        <v>0</v>
      </c>
      <c r="AT109" s="67">
        <f>SUM(AK110:AK110)</f>
        <v>0</v>
      </c>
      <c r="AU109" s="67">
        <f>SUM(AL110:AL110)</f>
        <v>0</v>
      </c>
    </row>
    <row r="110" spans="1:64" ht="15" customHeight="1">
      <c r="A110" s="11" t="s">
        <v>45</v>
      </c>
      <c r="B110" s="22" t="s">
        <v>76</v>
      </c>
      <c r="C110" s="79" t="s">
        <v>301</v>
      </c>
      <c r="D110" s="79"/>
      <c r="E110" s="79"/>
      <c r="F110" s="79"/>
      <c r="G110" s="22" t="s">
        <v>275</v>
      </c>
      <c r="H110" s="37">
        <v>585</v>
      </c>
      <c r="I110" s="37">
        <v>0</v>
      </c>
      <c r="J110" s="37">
        <f>H110*AO110</f>
        <v>0</v>
      </c>
      <c r="K110" s="37">
        <f>H110*AP110</f>
        <v>0</v>
      </c>
      <c r="L110" s="37">
        <f>H110*I110</f>
        <v>0</v>
      </c>
      <c r="M110" s="36" t="s">
        <v>243</v>
      </c>
      <c r="Z110" s="37">
        <f>IF(AQ110="5",BJ110,0)</f>
        <v>0</v>
      </c>
      <c r="AB110" s="37">
        <f>IF(AQ110="1",BH110,0)</f>
        <v>0</v>
      </c>
      <c r="AC110" s="37">
        <f>IF(AQ110="1",BI110,0)</f>
        <v>0</v>
      </c>
      <c r="AD110" s="37">
        <f>IF(AQ110="7",BH110,0)</f>
        <v>0</v>
      </c>
      <c r="AE110" s="37">
        <f>IF(AQ110="7",BI110,0)</f>
        <v>0</v>
      </c>
      <c r="AF110" s="37">
        <f>IF(AQ110="2",BH110,0)</f>
        <v>0</v>
      </c>
      <c r="AG110" s="37">
        <f>IF(AQ110="2",BI110,0)</f>
        <v>0</v>
      </c>
      <c r="AH110" s="37">
        <f>IF(AQ110="0",BJ110,0)</f>
        <v>0</v>
      </c>
      <c r="AI110" s="34" t="s">
        <v>66</v>
      </c>
      <c r="AJ110" s="37">
        <f>IF(AN110=0,L110,0)</f>
        <v>0</v>
      </c>
      <c r="AK110" s="37">
        <f>IF(AN110=15,L110,0)</f>
        <v>0</v>
      </c>
      <c r="AL110" s="37">
        <f>IF(AN110=21,L110,0)</f>
        <v>0</v>
      </c>
      <c r="AN110" s="37">
        <v>15</v>
      </c>
      <c r="AO110" s="37">
        <f>I110*0</f>
        <v>0</v>
      </c>
      <c r="AP110" s="37">
        <f>I110*(1-0)</f>
        <v>0</v>
      </c>
      <c r="AQ110" s="66" t="s">
        <v>290</v>
      </c>
      <c r="AV110" s="37">
        <f>AW110+AX110</f>
        <v>0</v>
      </c>
      <c r="AW110" s="37">
        <f>H110*AO110</f>
        <v>0</v>
      </c>
      <c r="AX110" s="37">
        <f>H110*AP110</f>
        <v>0</v>
      </c>
      <c r="AY110" s="66" t="s">
        <v>263</v>
      </c>
      <c r="AZ110" s="66" t="s">
        <v>207</v>
      </c>
      <c r="BA110" s="34" t="s">
        <v>310</v>
      </c>
      <c r="BC110" s="37">
        <f>AW110+AX110</f>
        <v>0</v>
      </c>
      <c r="BD110" s="37">
        <f>I110/(100-BE110)*100</f>
        <v>0</v>
      </c>
      <c r="BE110" s="37">
        <v>0</v>
      </c>
      <c r="BF110" s="37">
        <f>110</f>
        <v>110</v>
      </c>
      <c r="BH110" s="37">
        <f>H110*AO110</f>
        <v>0</v>
      </c>
      <c r="BI110" s="37">
        <f>H110*AP110</f>
        <v>0</v>
      </c>
      <c r="BJ110" s="37">
        <f>H110*I110</f>
        <v>0</v>
      </c>
      <c r="BK110" s="37"/>
      <c r="BL110" s="37">
        <v>16</v>
      </c>
    </row>
    <row r="111" spans="1:47" ht="15" customHeight="1">
      <c r="A111" s="71" t="s">
        <v>196</v>
      </c>
      <c r="B111" s="29" t="s">
        <v>199</v>
      </c>
      <c r="C111" s="95" t="s">
        <v>36</v>
      </c>
      <c r="D111" s="95"/>
      <c r="E111" s="95"/>
      <c r="F111" s="95"/>
      <c r="G111" s="52" t="s">
        <v>262</v>
      </c>
      <c r="H111" s="52" t="s">
        <v>262</v>
      </c>
      <c r="I111" s="52" t="s">
        <v>262</v>
      </c>
      <c r="J111" s="67">
        <f>SUM(J112:J112)</f>
        <v>0</v>
      </c>
      <c r="K111" s="67">
        <f>SUM(K112:K112)</f>
        <v>0</v>
      </c>
      <c r="L111" s="67">
        <f>SUM(L112:L112)</f>
        <v>0</v>
      </c>
      <c r="M111" s="3" t="s">
        <v>196</v>
      </c>
      <c r="AI111" s="34" t="s">
        <v>66</v>
      </c>
      <c r="AS111" s="67">
        <f>SUM(AJ112:AJ112)</f>
        <v>0</v>
      </c>
      <c r="AT111" s="67">
        <f>SUM(AK112:AK112)</f>
        <v>0</v>
      </c>
      <c r="AU111" s="67">
        <f>SUM(AL112:AL112)</f>
        <v>0</v>
      </c>
    </row>
    <row r="112" spans="1:64" ht="15" customHeight="1">
      <c r="A112" s="11" t="s">
        <v>89</v>
      </c>
      <c r="B112" s="22" t="s">
        <v>303</v>
      </c>
      <c r="C112" s="79" t="s">
        <v>13</v>
      </c>
      <c r="D112" s="79"/>
      <c r="E112" s="79"/>
      <c r="F112" s="79"/>
      <c r="G112" s="22" t="s">
        <v>275</v>
      </c>
      <c r="H112" s="37">
        <v>585</v>
      </c>
      <c r="I112" s="37">
        <v>0</v>
      </c>
      <c r="J112" s="37">
        <f>H112*AO112</f>
        <v>0</v>
      </c>
      <c r="K112" s="37">
        <f>H112*AP112</f>
        <v>0</v>
      </c>
      <c r="L112" s="37">
        <f>H112*I112</f>
        <v>0</v>
      </c>
      <c r="M112" s="36" t="s">
        <v>243</v>
      </c>
      <c r="Z112" s="37">
        <f>IF(AQ112="5",BJ112,0)</f>
        <v>0</v>
      </c>
      <c r="AB112" s="37">
        <f>IF(AQ112="1",BH112,0)</f>
        <v>0</v>
      </c>
      <c r="AC112" s="37">
        <f>IF(AQ112="1",BI112,0)</f>
        <v>0</v>
      </c>
      <c r="AD112" s="37">
        <f>IF(AQ112="7",BH112,0)</f>
        <v>0</v>
      </c>
      <c r="AE112" s="37">
        <f>IF(AQ112="7",BI112,0)</f>
        <v>0</v>
      </c>
      <c r="AF112" s="37">
        <f>IF(AQ112="2",BH112,0)</f>
        <v>0</v>
      </c>
      <c r="AG112" s="37">
        <f>IF(AQ112="2",BI112,0)</f>
        <v>0</v>
      </c>
      <c r="AH112" s="37">
        <f>IF(AQ112="0",BJ112,0)</f>
        <v>0</v>
      </c>
      <c r="AI112" s="34" t="s">
        <v>66</v>
      </c>
      <c r="AJ112" s="37">
        <f>IF(AN112=0,L112,0)</f>
        <v>0</v>
      </c>
      <c r="AK112" s="37">
        <f>IF(AN112=15,L112,0)</f>
        <v>0</v>
      </c>
      <c r="AL112" s="37">
        <f>IF(AN112=21,L112,0)</f>
        <v>0</v>
      </c>
      <c r="AN112" s="37">
        <v>15</v>
      </c>
      <c r="AO112" s="37">
        <f>I112*0</f>
        <v>0</v>
      </c>
      <c r="AP112" s="37">
        <f>I112*(1-0)</f>
        <v>0</v>
      </c>
      <c r="AQ112" s="66" t="s">
        <v>290</v>
      </c>
      <c r="AV112" s="37">
        <f>AW112+AX112</f>
        <v>0</v>
      </c>
      <c r="AW112" s="37">
        <f>H112*AO112</f>
        <v>0</v>
      </c>
      <c r="AX112" s="37">
        <f>H112*AP112</f>
        <v>0</v>
      </c>
      <c r="AY112" s="66" t="s">
        <v>52</v>
      </c>
      <c r="AZ112" s="66" t="s">
        <v>207</v>
      </c>
      <c r="BA112" s="34" t="s">
        <v>310</v>
      </c>
      <c r="BC112" s="37">
        <f>AW112+AX112</f>
        <v>0</v>
      </c>
      <c r="BD112" s="37">
        <f>I112/(100-BE112)*100</f>
        <v>0</v>
      </c>
      <c r="BE112" s="37">
        <v>0</v>
      </c>
      <c r="BF112" s="37">
        <f>112</f>
        <v>112</v>
      </c>
      <c r="BH112" s="37">
        <f>H112*AO112</f>
        <v>0</v>
      </c>
      <c r="BI112" s="37">
        <f>H112*AP112</f>
        <v>0</v>
      </c>
      <c r="BJ112" s="37">
        <f>H112*I112</f>
        <v>0</v>
      </c>
      <c r="BK112" s="37"/>
      <c r="BL112" s="37">
        <v>17</v>
      </c>
    </row>
    <row r="113" spans="1:13" ht="13.5" customHeight="1">
      <c r="A113" s="17"/>
      <c r="B113" s="18" t="s">
        <v>102</v>
      </c>
      <c r="C113" s="97" t="s">
        <v>184</v>
      </c>
      <c r="D113" s="98"/>
      <c r="E113" s="98"/>
      <c r="F113" s="98"/>
      <c r="G113" s="98"/>
      <c r="H113" s="98"/>
      <c r="I113" s="98"/>
      <c r="J113" s="98"/>
      <c r="K113" s="98"/>
      <c r="L113" s="98"/>
      <c r="M113" s="99"/>
    </row>
    <row r="114" spans="1:47" ht="15" customHeight="1">
      <c r="A114" s="71" t="s">
        <v>196</v>
      </c>
      <c r="B114" s="29" t="s">
        <v>171</v>
      </c>
      <c r="C114" s="95" t="s">
        <v>94</v>
      </c>
      <c r="D114" s="95"/>
      <c r="E114" s="95"/>
      <c r="F114" s="95"/>
      <c r="G114" s="52" t="s">
        <v>262</v>
      </c>
      <c r="H114" s="52" t="s">
        <v>262</v>
      </c>
      <c r="I114" s="52" t="s">
        <v>262</v>
      </c>
      <c r="J114" s="67">
        <f>SUM(J115:J115)</f>
        <v>0</v>
      </c>
      <c r="K114" s="67">
        <f>SUM(K115:K115)</f>
        <v>0</v>
      </c>
      <c r="L114" s="67">
        <f>SUM(L115:L115)</f>
        <v>0</v>
      </c>
      <c r="M114" s="3" t="s">
        <v>196</v>
      </c>
      <c r="AI114" s="34" t="s">
        <v>66</v>
      </c>
      <c r="AS114" s="67">
        <f>SUM(AJ115:AJ115)</f>
        <v>0</v>
      </c>
      <c r="AT114" s="67">
        <f>SUM(AK115:AK115)</f>
        <v>0</v>
      </c>
      <c r="AU114" s="67">
        <f>SUM(AL115:AL115)</f>
        <v>0</v>
      </c>
    </row>
    <row r="115" spans="1:64" ht="15" customHeight="1">
      <c r="A115" s="11" t="s">
        <v>117</v>
      </c>
      <c r="B115" s="22" t="s">
        <v>258</v>
      </c>
      <c r="C115" s="79" t="s">
        <v>218</v>
      </c>
      <c r="D115" s="79"/>
      <c r="E115" s="79"/>
      <c r="F115" s="79"/>
      <c r="G115" s="22" t="s">
        <v>275</v>
      </c>
      <c r="H115" s="37">
        <v>585</v>
      </c>
      <c r="I115" s="37">
        <v>0</v>
      </c>
      <c r="J115" s="37">
        <f>H115*AO115</f>
        <v>0</v>
      </c>
      <c r="K115" s="37">
        <f>H115*AP115</f>
        <v>0</v>
      </c>
      <c r="L115" s="37">
        <f>H115*I115</f>
        <v>0</v>
      </c>
      <c r="M115" s="36" t="s">
        <v>243</v>
      </c>
      <c r="Z115" s="37">
        <f>IF(AQ115="5",BJ115,0)</f>
        <v>0</v>
      </c>
      <c r="AB115" s="37">
        <f>IF(AQ115="1",BH115,0)</f>
        <v>0</v>
      </c>
      <c r="AC115" s="37">
        <f>IF(AQ115="1",BI115,0)</f>
        <v>0</v>
      </c>
      <c r="AD115" s="37">
        <f>IF(AQ115="7",BH115,0)</f>
        <v>0</v>
      </c>
      <c r="AE115" s="37">
        <f>IF(AQ115="7",BI115,0)</f>
        <v>0</v>
      </c>
      <c r="AF115" s="37">
        <f>IF(AQ115="2",BH115,0)</f>
        <v>0</v>
      </c>
      <c r="AG115" s="37">
        <f>IF(AQ115="2",BI115,0)</f>
        <v>0</v>
      </c>
      <c r="AH115" s="37">
        <f>IF(AQ115="0",BJ115,0)</f>
        <v>0</v>
      </c>
      <c r="AI115" s="34" t="s">
        <v>66</v>
      </c>
      <c r="AJ115" s="37">
        <f>IF(AN115=0,L115,0)</f>
        <v>0</v>
      </c>
      <c r="AK115" s="37">
        <f>IF(AN115=15,L115,0)</f>
        <v>0</v>
      </c>
      <c r="AL115" s="37">
        <f>IF(AN115=21,L115,0)</f>
        <v>0</v>
      </c>
      <c r="AN115" s="37">
        <v>15</v>
      </c>
      <c r="AO115" s="37">
        <f>I115*0</f>
        <v>0</v>
      </c>
      <c r="AP115" s="37">
        <f>I115*(1-0)</f>
        <v>0</v>
      </c>
      <c r="AQ115" s="66" t="s">
        <v>290</v>
      </c>
      <c r="AV115" s="37">
        <f>AW115+AX115</f>
        <v>0</v>
      </c>
      <c r="AW115" s="37">
        <f>H115*AO115</f>
        <v>0</v>
      </c>
      <c r="AX115" s="37">
        <f>H115*AP115</f>
        <v>0</v>
      </c>
      <c r="AY115" s="66" t="s">
        <v>224</v>
      </c>
      <c r="AZ115" s="66" t="s">
        <v>207</v>
      </c>
      <c r="BA115" s="34" t="s">
        <v>310</v>
      </c>
      <c r="BC115" s="37">
        <f>AW115+AX115</f>
        <v>0</v>
      </c>
      <c r="BD115" s="37">
        <f>I115/(100-BE115)*100</f>
        <v>0</v>
      </c>
      <c r="BE115" s="37">
        <v>0</v>
      </c>
      <c r="BF115" s="37">
        <f>115</f>
        <v>115</v>
      </c>
      <c r="BH115" s="37">
        <f>H115*AO115</f>
        <v>0</v>
      </c>
      <c r="BI115" s="37">
        <f>H115*AP115</f>
        <v>0</v>
      </c>
      <c r="BJ115" s="37">
        <f>H115*I115</f>
        <v>0</v>
      </c>
      <c r="BK115" s="37"/>
      <c r="BL115" s="37">
        <v>19</v>
      </c>
    </row>
    <row r="116" spans="1:47" ht="15" customHeight="1">
      <c r="A116" s="71" t="s">
        <v>196</v>
      </c>
      <c r="B116" s="29" t="s">
        <v>98</v>
      </c>
      <c r="C116" s="95" t="s">
        <v>222</v>
      </c>
      <c r="D116" s="95"/>
      <c r="E116" s="95"/>
      <c r="F116" s="95"/>
      <c r="G116" s="52" t="s">
        <v>262</v>
      </c>
      <c r="H116" s="52" t="s">
        <v>262</v>
      </c>
      <c r="I116" s="52" t="s">
        <v>262</v>
      </c>
      <c r="J116" s="67">
        <f>SUM(J117:J118)</f>
        <v>0</v>
      </c>
      <c r="K116" s="67">
        <f>SUM(K117:K118)</f>
        <v>0</v>
      </c>
      <c r="L116" s="67">
        <f>SUM(L117:L118)</f>
        <v>0</v>
      </c>
      <c r="M116" s="3" t="s">
        <v>196</v>
      </c>
      <c r="AI116" s="34" t="s">
        <v>66</v>
      </c>
      <c r="AS116" s="67">
        <f>SUM(AJ117:AJ118)</f>
        <v>0</v>
      </c>
      <c r="AT116" s="67">
        <f>SUM(AK117:AK118)</f>
        <v>0</v>
      </c>
      <c r="AU116" s="67">
        <f>SUM(AL117:AL118)</f>
        <v>0</v>
      </c>
    </row>
    <row r="117" spans="1:64" ht="15" customHeight="1">
      <c r="A117" s="11" t="s">
        <v>98</v>
      </c>
      <c r="B117" s="22" t="s">
        <v>233</v>
      </c>
      <c r="C117" s="79" t="s">
        <v>53</v>
      </c>
      <c r="D117" s="79"/>
      <c r="E117" s="79"/>
      <c r="F117" s="79"/>
      <c r="G117" s="22" t="s">
        <v>275</v>
      </c>
      <c r="H117" s="37">
        <v>585</v>
      </c>
      <c r="I117" s="37">
        <v>0</v>
      </c>
      <c r="J117" s="37">
        <f>H117*AO117</f>
        <v>0</v>
      </c>
      <c r="K117" s="37">
        <f>H117*AP117</f>
        <v>0</v>
      </c>
      <c r="L117" s="37">
        <f>H117*I117</f>
        <v>0</v>
      </c>
      <c r="M117" s="36" t="s">
        <v>243</v>
      </c>
      <c r="Z117" s="37">
        <f>IF(AQ117="5",BJ117,0)</f>
        <v>0</v>
      </c>
      <c r="AB117" s="37">
        <f>IF(AQ117="1",BH117,0)</f>
        <v>0</v>
      </c>
      <c r="AC117" s="37">
        <f>IF(AQ117="1",BI117,0)</f>
        <v>0</v>
      </c>
      <c r="AD117" s="37">
        <f>IF(AQ117="7",BH117,0)</f>
        <v>0</v>
      </c>
      <c r="AE117" s="37">
        <f>IF(AQ117="7",BI117,0)</f>
        <v>0</v>
      </c>
      <c r="AF117" s="37">
        <f>IF(AQ117="2",BH117,0)</f>
        <v>0</v>
      </c>
      <c r="AG117" s="37">
        <f>IF(AQ117="2",BI117,0)</f>
        <v>0</v>
      </c>
      <c r="AH117" s="37">
        <f>IF(AQ117="0",BJ117,0)</f>
        <v>0</v>
      </c>
      <c r="AI117" s="34" t="s">
        <v>66</v>
      </c>
      <c r="AJ117" s="37">
        <f>IF(AN117=0,L117,0)</f>
        <v>0</v>
      </c>
      <c r="AK117" s="37">
        <f>IF(AN117=15,L117,0)</f>
        <v>0</v>
      </c>
      <c r="AL117" s="37">
        <f>IF(AN117=21,L117,0)</f>
        <v>0</v>
      </c>
      <c r="AN117" s="37">
        <v>15</v>
      </c>
      <c r="AO117" s="37">
        <f>I117*0.896465621230398</f>
        <v>0</v>
      </c>
      <c r="AP117" s="37">
        <f>I117*(1-0.896465621230398)</f>
        <v>0</v>
      </c>
      <c r="AQ117" s="66" t="s">
        <v>290</v>
      </c>
      <c r="AV117" s="37">
        <f>AW117+AX117</f>
        <v>0</v>
      </c>
      <c r="AW117" s="37">
        <f>H117*AO117</f>
        <v>0</v>
      </c>
      <c r="AX117" s="37">
        <f>H117*AP117</f>
        <v>0</v>
      </c>
      <c r="AY117" s="66" t="s">
        <v>132</v>
      </c>
      <c r="AZ117" s="66" t="s">
        <v>130</v>
      </c>
      <c r="BA117" s="34" t="s">
        <v>310</v>
      </c>
      <c r="BC117" s="37">
        <f>AW117+AX117</f>
        <v>0</v>
      </c>
      <c r="BD117" s="37">
        <f>I117/(100-BE117)*100</f>
        <v>0</v>
      </c>
      <c r="BE117" s="37">
        <v>0</v>
      </c>
      <c r="BF117" s="37">
        <f>117</f>
        <v>117</v>
      </c>
      <c r="BH117" s="37">
        <f>H117*AO117</f>
        <v>0</v>
      </c>
      <c r="BI117" s="37">
        <f>H117*AP117</f>
        <v>0</v>
      </c>
      <c r="BJ117" s="37">
        <f>H117*I117</f>
        <v>0</v>
      </c>
      <c r="BK117" s="37"/>
      <c r="BL117" s="37">
        <v>45</v>
      </c>
    </row>
    <row r="118" spans="1:64" ht="15" customHeight="1">
      <c r="A118" s="11" t="s">
        <v>234</v>
      </c>
      <c r="B118" s="22" t="s">
        <v>115</v>
      </c>
      <c r="C118" s="79" t="s">
        <v>254</v>
      </c>
      <c r="D118" s="79"/>
      <c r="E118" s="79"/>
      <c r="F118" s="79"/>
      <c r="G118" s="22" t="s">
        <v>122</v>
      </c>
      <c r="H118" s="37">
        <v>1105.65</v>
      </c>
      <c r="I118" s="37">
        <v>0</v>
      </c>
      <c r="J118" s="37">
        <f>H118*AO118</f>
        <v>0</v>
      </c>
      <c r="K118" s="37">
        <f>H118*AP118</f>
        <v>0</v>
      </c>
      <c r="L118" s="37">
        <f>H118*I118</f>
        <v>0</v>
      </c>
      <c r="M118" s="36" t="s">
        <v>191</v>
      </c>
      <c r="Z118" s="37">
        <f>IF(AQ118="5",BJ118,0)</f>
        <v>0</v>
      </c>
      <c r="AB118" s="37">
        <f>IF(AQ118="1",BH118,0)</f>
        <v>0</v>
      </c>
      <c r="AC118" s="37">
        <f>IF(AQ118="1",BI118,0)</f>
        <v>0</v>
      </c>
      <c r="AD118" s="37">
        <f>IF(AQ118="7",BH118,0)</f>
        <v>0</v>
      </c>
      <c r="AE118" s="37">
        <f>IF(AQ118="7",BI118,0)</f>
        <v>0</v>
      </c>
      <c r="AF118" s="37">
        <f>IF(AQ118="2",BH118,0)</f>
        <v>0</v>
      </c>
      <c r="AG118" s="37">
        <f>IF(AQ118="2",BI118,0)</f>
        <v>0</v>
      </c>
      <c r="AH118" s="37">
        <f>IF(AQ118="0",BJ118,0)</f>
        <v>0</v>
      </c>
      <c r="AI118" s="34" t="s">
        <v>66</v>
      </c>
      <c r="AJ118" s="37">
        <f>IF(AN118=0,L118,0)</f>
        <v>0</v>
      </c>
      <c r="AK118" s="37">
        <f>IF(AN118=15,L118,0)</f>
        <v>0</v>
      </c>
      <c r="AL118" s="37">
        <f>IF(AN118=21,L118,0)</f>
        <v>0</v>
      </c>
      <c r="AN118" s="37">
        <v>15</v>
      </c>
      <c r="AO118" s="37">
        <f>I118*0</f>
        <v>0</v>
      </c>
      <c r="AP118" s="37">
        <f>I118*(1-0)</f>
        <v>0</v>
      </c>
      <c r="AQ118" s="66" t="s">
        <v>144</v>
      </c>
      <c r="AV118" s="37">
        <f>AW118+AX118</f>
        <v>0</v>
      </c>
      <c r="AW118" s="37">
        <f>H118*AO118</f>
        <v>0</v>
      </c>
      <c r="AX118" s="37">
        <f>H118*AP118</f>
        <v>0</v>
      </c>
      <c r="AY118" s="66" t="s">
        <v>132</v>
      </c>
      <c r="AZ118" s="66" t="s">
        <v>130</v>
      </c>
      <c r="BA118" s="34" t="s">
        <v>310</v>
      </c>
      <c r="BC118" s="37">
        <f>AW118+AX118</f>
        <v>0</v>
      </c>
      <c r="BD118" s="37">
        <f>I118/(100-BE118)*100</f>
        <v>0</v>
      </c>
      <c r="BE118" s="37">
        <v>0</v>
      </c>
      <c r="BF118" s="37">
        <f>118</f>
        <v>118</v>
      </c>
      <c r="BH118" s="37">
        <f>H118*AO118</f>
        <v>0</v>
      </c>
      <c r="BI118" s="37">
        <f>H118*AP118</f>
        <v>0</v>
      </c>
      <c r="BJ118" s="37">
        <f>H118*I118</f>
        <v>0</v>
      </c>
      <c r="BK118" s="37"/>
      <c r="BL118" s="37">
        <v>45</v>
      </c>
    </row>
    <row r="119" spans="1:13" ht="27" customHeight="1">
      <c r="A119" s="42"/>
      <c r="B119" s="40" t="s">
        <v>102</v>
      </c>
      <c r="C119" s="101" t="s">
        <v>38</v>
      </c>
      <c r="D119" s="102"/>
      <c r="E119" s="102"/>
      <c r="F119" s="102"/>
      <c r="G119" s="102"/>
      <c r="H119" s="102"/>
      <c r="I119" s="102"/>
      <c r="J119" s="102"/>
      <c r="K119" s="102"/>
      <c r="L119" s="102"/>
      <c r="M119" s="103"/>
    </row>
    <row r="120" spans="10:12" ht="15" customHeight="1">
      <c r="J120" s="85" t="s">
        <v>228</v>
      </c>
      <c r="K120" s="85"/>
      <c r="L120" s="1">
        <f>L14+L17+L19+L21+L25+L27+L32+L34+L37+L40+L42+L49+L53+L71+L81+L88+L101+L107+L109+L111+L114+L116</f>
        <v>0</v>
      </c>
    </row>
    <row r="121" ht="15" customHeight="1">
      <c r="A121" s="64" t="s">
        <v>21</v>
      </c>
    </row>
    <row r="122" spans="1:13" ht="12.75" customHeight="1">
      <c r="A122" s="82" t="s">
        <v>196</v>
      </c>
      <c r="B122" s="79"/>
      <c r="C122" s="79"/>
      <c r="D122" s="79"/>
      <c r="E122" s="79"/>
      <c r="F122" s="79"/>
      <c r="G122" s="79"/>
      <c r="H122" s="79"/>
      <c r="I122" s="79"/>
      <c r="J122" s="79"/>
      <c r="K122" s="79"/>
      <c r="L122" s="79"/>
      <c r="M122" s="79"/>
    </row>
  </sheetData>
  <sheetProtection/>
  <mergeCells count="138">
    <mergeCell ref="C118:F118"/>
    <mergeCell ref="C119:M119"/>
    <mergeCell ref="J120:K120"/>
    <mergeCell ref="A122:M122"/>
    <mergeCell ref="C112:F112"/>
    <mergeCell ref="C113:M113"/>
    <mergeCell ref="C114:F114"/>
    <mergeCell ref="C115:F115"/>
    <mergeCell ref="C116:F116"/>
    <mergeCell ref="C117:F117"/>
    <mergeCell ref="C106:F106"/>
    <mergeCell ref="C107:F107"/>
    <mergeCell ref="C108:F108"/>
    <mergeCell ref="C109:F109"/>
    <mergeCell ref="C110:F110"/>
    <mergeCell ref="C111:F111"/>
    <mergeCell ref="C100:M100"/>
    <mergeCell ref="C101:F101"/>
    <mergeCell ref="C102:F102"/>
    <mergeCell ref="C103:F103"/>
    <mergeCell ref="C104:M104"/>
    <mergeCell ref="C105:F105"/>
    <mergeCell ref="C94:M94"/>
    <mergeCell ref="C95:M95"/>
    <mergeCell ref="C96:F96"/>
    <mergeCell ref="C97:M97"/>
    <mergeCell ref="C98:M98"/>
    <mergeCell ref="C99:F99"/>
    <mergeCell ref="C88:F88"/>
    <mergeCell ref="C89:F89"/>
    <mergeCell ref="C90:M90"/>
    <mergeCell ref="C91:F91"/>
    <mergeCell ref="C92:M92"/>
    <mergeCell ref="C93:F93"/>
    <mergeCell ref="C82:F82"/>
    <mergeCell ref="C83:M83"/>
    <mergeCell ref="C84:M84"/>
    <mergeCell ref="C85:F85"/>
    <mergeCell ref="C86:M86"/>
    <mergeCell ref="C87:M87"/>
    <mergeCell ref="C76:M76"/>
    <mergeCell ref="C77:M77"/>
    <mergeCell ref="C78:F78"/>
    <mergeCell ref="C79:M79"/>
    <mergeCell ref="C80:M80"/>
    <mergeCell ref="C81:F81"/>
    <mergeCell ref="C70:M70"/>
    <mergeCell ref="C71:F71"/>
    <mergeCell ref="C72:F72"/>
    <mergeCell ref="C73:M73"/>
    <mergeCell ref="C74:M74"/>
    <mergeCell ref="C75:F75"/>
    <mergeCell ref="C64:F64"/>
    <mergeCell ref="C65:M65"/>
    <mergeCell ref="C66:F66"/>
    <mergeCell ref="C67:M67"/>
    <mergeCell ref="C68:F68"/>
    <mergeCell ref="C69:F69"/>
    <mergeCell ref="C58:F58"/>
    <mergeCell ref="C59:M59"/>
    <mergeCell ref="C60:F60"/>
    <mergeCell ref="C61:M61"/>
    <mergeCell ref="C62:F62"/>
    <mergeCell ref="C63:M63"/>
    <mergeCell ref="C52:F52"/>
    <mergeCell ref="C53:F53"/>
    <mergeCell ref="C54:F54"/>
    <mergeCell ref="C55:M55"/>
    <mergeCell ref="C56:F56"/>
    <mergeCell ref="C57:M57"/>
    <mergeCell ref="C46:F46"/>
    <mergeCell ref="C47:F47"/>
    <mergeCell ref="C48:M48"/>
    <mergeCell ref="C49:F49"/>
    <mergeCell ref="C50:F50"/>
    <mergeCell ref="C51:M51"/>
    <mergeCell ref="C40:F40"/>
    <mergeCell ref="C41:F41"/>
    <mergeCell ref="C42:F42"/>
    <mergeCell ref="C43:F43"/>
    <mergeCell ref="C44:M44"/>
    <mergeCell ref="C45:M45"/>
    <mergeCell ref="C34:F34"/>
    <mergeCell ref="C35:F35"/>
    <mergeCell ref="C36:M36"/>
    <mergeCell ref="C37:F37"/>
    <mergeCell ref="C38:F38"/>
    <mergeCell ref="C39:M39"/>
    <mergeCell ref="C28:F28"/>
    <mergeCell ref="C29:M29"/>
    <mergeCell ref="C30:F30"/>
    <mergeCell ref="C31:M31"/>
    <mergeCell ref="C32:F32"/>
    <mergeCell ref="C33:F33"/>
    <mergeCell ref="C22:F22"/>
    <mergeCell ref="C23:F23"/>
    <mergeCell ref="C24:F24"/>
    <mergeCell ref="C25:F25"/>
    <mergeCell ref="C26:F26"/>
    <mergeCell ref="C27:F27"/>
    <mergeCell ref="C16:F16"/>
    <mergeCell ref="C17:F17"/>
    <mergeCell ref="C18:F18"/>
    <mergeCell ref="C19:F19"/>
    <mergeCell ref="C20:F20"/>
    <mergeCell ref="C21:F21"/>
    <mergeCell ref="C11:F11"/>
    <mergeCell ref="J10:L10"/>
    <mergeCell ref="C12:F12"/>
    <mergeCell ref="C13:F13"/>
    <mergeCell ref="C14:F14"/>
    <mergeCell ref="C15:F15"/>
    <mergeCell ref="G8:H9"/>
    <mergeCell ref="J2:M3"/>
    <mergeCell ref="J4:M5"/>
    <mergeCell ref="J6:M7"/>
    <mergeCell ref="J8:M9"/>
    <mergeCell ref="C10:F10"/>
    <mergeCell ref="I4:I5"/>
    <mergeCell ref="I6:I7"/>
    <mergeCell ref="I8:I9"/>
    <mergeCell ref="C2:D3"/>
    <mergeCell ref="C4:D5"/>
    <mergeCell ref="C6:D7"/>
    <mergeCell ref="C8:D9"/>
    <mergeCell ref="G2:H3"/>
    <mergeCell ref="G4:H5"/>
    <mergeCell ref="G6:H7"/>
    <mergeCell ref="A1:M1"/>
    <mergeCell ref="A2:B3"/>
    <mergeCell ref="A4:B5"/>
    <mergeCell ref="A6:B7"/>
    <mergeCell ref="A8:B9"/>
    <mergeCell ref="E2:F3"/>
    <mergeCell ref="E4:F5"/>
    <mergeCell ref="E6:F7"/>
    <mergeCell ref="E8:F9"/>
    <mergeCell ref="I2:I3"/>
  </mergeCells>
  <printOptions/>
  <pageMargins left="0.394" right="0.394" top="0.591" bottom="0.591" header="0" footer="0"/>
  <pageSetup firstPageNumber="0" useFirstPageNumber="1" fitToHeight="0" fitToWidth="1"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tabSelected="1" showOutlineSymbols="0" zoomScalePageLayoutView="0" workbookViewId="0" topLeftCell="A1">
      <selection activeCell="A37" sqref="A37:I37"/>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4" t="s">
        <v>60</v>
      </c>
      <c r="B1" s="75"/>
      <c r="C1" s="75"/>
      <c r="D1" s="75"/>
      <c r="E1" s="75"/>
      <c r="F1" s="75"/>
      <c r="G1" s="75"/>
      <c r="H1" s="75"/>
      <c r="I1" s="75"/>
    </row>
    <row r="2" spans="1:9" ht="15" customHeight="1">
      <c r="A2" s="76" t="s">
        <v>14</v>
      </c>
      <c r="B2" s="77"/>
      <c r="C2" s="83" t="str">
        <f>'Stavební rozpočet'!C2</f>
        <v>Chodník na ul. Hradištská - ZNOJMO</v>
      </c>
      <c r="D2" s="84"/>
      <c r="E2" s="81" t="s">
        <v>246</v>
      </c>
      <c r="F2" s="81" t="str">
        <f>'Stavební rozpočet'!J2</f>
        <v> </v>
      </c>
      <c r="G2" s="77"/>
      <c r="H2" s="81" t="s">
        <v>177</v>
      </c>
      <c r="I2" s="86" t="s">
        <v>196</v>
      </c>
    </row>
    <row r="3" spans="1:9" ht="15" customHeight="1">
      <c r="A3" s="78"/>
      <c r="B3" s="79"/>
      <c r="C3" s="85"/>
      <c r="D3" s="85"/>
      <c r="E3" s="79"/>
      <c r="F3" s="79"/>
      <c r="G3" s="79"/>
      <c r="H3" s="79"/>
      <c r="I3" s="87"/>
    </row>
    <row r="4" spans="1:9" ht="15" customHeight="1">
      <c r="A4" s="80" t="s">
        <v>147</v>
      </c>
      <c r="B4" s="79"/>
      <c r="C4" s="82" t="str">
        <f>'Stavební rozpočet'!C4</f>
        <v> </v>
      </c>
      <c r="D4" s="79"/>
      <c r="E4" s="82" t="s">
        <v>193</v>
      </c>
      <c r="F4" s="82" t="str">
        <f>'Stavební rozpočet'!J4</f>
        <v> </v>
      </c>
      <c r="G4" s="79"/>
      <c r="H4" s="82" t="s">
        <v>177</v>
      </c>
      <c r="I4" s="87" t="s">
        <v>196</v>
      </c>
    </row>
    <row r="5" spans="1:9" ht="15" customHeight="1">
      <c r="A5" s="78"/>
      <c r="B5" s="79"/>
      <c r="C5" s="79"/>
      <c r="D5" s="79"/>
      <c r="E5" s="79"/>
      <c r="F5" s="79"/>
      <c r="G5" s="79"/>
      <c r="H5" s="79"/>
      <c r="I5" s="87"/>
    </row>
    <row r="6" spans="1:9" ht="15" customHeight="1">
      <c r="A6" s="80" t="s">
        <v>22</v>
      </c>
      <c r="B6" s="79"/>
      <c r="C6" s="82" t="str">
        <f>'Stavební rozpočet'!C6</f>
        <v> </v>
      </c>
      <c r="D6" s="79"/>
      <c r="E6" s="82" t="s">
        <v>251</v>
      </c>
      <c r="F6" s="82" t="str">
        <f>'Stavební rozpočet'!J6</f>
        <v> </v>
      </c>
      <c r="G6" s="79"/>
      <c r="H6" s="82" t="s">
        <v>177</v>
      </c>
      <c r="I6" s="87" t="s">
        <v>196</v>
      </c>
    </row>
    <row r="7" spans="1:9" ht="15" customHeight="1">
      <c r="A7" s="78"/>
      <c r="B7" s="79"/>
      <c r="C7" s="79"/>
      <c r="D7" s="79"/>
      <c r="E7" s="79"/>
      <c r="F7" s="79"/>
      <c r="G7" s="79"/>
      <c r="H7" s="79"/>
      <c r="I7" s="87"/>
    </row>
    <row r="8" spans="1:9" ht="15" customHeight="1">
      <c r="A8" s="80" t="s">
        <v>253</v>
      </c>
      <c r="B8" s="79"/>
      <c r="C8" s="82" t="str">
        <f>'Stavební rozpočet'!G4</f>
        <v>13.08.2021</v>
      </c>
      <c r="D8" s="79"/>
      <c r="E8" s="82" t="s">
        <v>86</v>
      </c>
      <c r="F8" s="82" t="str">
        <f>'Stavební rozpočet'!G6</f>
        <v> </v>
      </c>
      <c r="G8" s="79"/>
      <c r="H8" s="79" t="s">
        <v>294</v>
      </c>
      <c r="I8" s="107">
        <v>46</v>
      </c>
    </row>
    <row r="9" spans="1:9" ht="15" customHeight="1">
      <c r="A9" s="78"/>
      <c r="B9" s="79"/>
      <c r="C9" s="79"/>
      <c r="D9" s="79"/>
      <c r="E9" s="79"/>
      <c r="F9" s="79"/>
      <c r="G9" s="79"/>
      <c r="H9" s="79"/>
      <c r="I9" s="87"/>
    </row>
    <row r="10" spans="1:9" ht="15" customHeight="1">
      <c r="A10" s="80" t="s">
        <v>131</v>
      </c>
      <c r="B10" s="79"/>
      <c r="C10" s="82" t="str">
        <f>'Stavební rozpočet'!C8</f>
        <v> </v>
      </c>
      <c r="D10" s="79"/>
      <c r="E10" s="82" t="s">
        <v>181</v>
      </c>
      <c r="F10" s="82" t="str">
        <f>'Stavební rozpočet'!J8</f>
        <v> </v>
      </c>
      <c r="G10" s="79"/>
      <c r="H10" s="79" t="s">
        <v>276</v>
      </c>
      <c r="I10" s="108" t="str">
        <f>'Stavební rozpočet'!G8</f>
        <v>13.08.2021</v>
      </c>
    </row>
    <row r="11" spans="1:9" ht="15" customHeight="1">
      <c r="A11" s="105"/>
      <c r="B11" s="106"/>
      <c r="C11" s="106"/>
      <c r="D11" s="106"/>
      <c r="E11" s="106"/>
      <c r="F11" s="106"/>
      <c r="G11" s="106"/>
      <c r="H11" s="106"/>
      <c r="I11" s="109"/>
    </row>
    <row r="12" spans="1:9" ht="22.5" customHeight="1">
      <c r="A12" s="110" t="s">
        <v>42</v>
      </c>
      <c r="B12" s="110"/>
      <c r="C12" s="110"/>
      <c r="D12" s="110"/>
      <c r="E12" s="110"/>
      <c r="F12" s="110"/>
      <c r="G12" s="110"/>
      <c r="H12" s="110"/>
      <c r="I12" s="110"/>
    </row>
    <row r="13" spans="1:9" ht="26.25" customHeight="1">
      <c r="A13" s="60" t="s">
        <v>255</v>
      </c>
      <c r="B13" s="111" t="s">
        <v>33</v>
      </c>
      <c r="C13" s="112"/>
      <c r="D13" s="20" t="s">
        <v>43</v>
      </c>
      <c r="E13" s="111" t="s">
        <v>101</v>
      </c>
      <c r="F13" s="112"/>
      <c r="G13" s="20" t="s">
        <v>172</v>
      </c>
      <c r="H13" s="111" t="s">
        <v>44</v>
      </c>
      <c r="I13" s="112"/>
    </row>
    <row r="14" spans="1:9" ht="15" customHeight="1">
      <c r="A14" s="39" t="s">
        <v>104</v>
      </c>
      <c r="B14" s="19" t="s">
        <v>69</v>
      </c>
      <c r="C14" s="8">
        <f>SUM('Stavební rozpočet'!AB12:AB119)</f>
        <v>0</v>
      </c>
      <c r="D14" s="119" t="s">
        <v>204</v>
      </c>
      <c r="E14" s="120"/>
      <c r="F14" s="8">
        <v>0</v>
      </c>
      <c r="G14" s="119" t="s">
        <v>29</v>
      </c>
      <c r="H14" s="120"/>
      <c r="I14" s="32" t="s">
        <v>142</v>
      </c>
    </row>
    <row r="15" spans="1:9" ht="15" customHeight="1">
      <c r="A15" s="26" t="s">
        <v>196</v>
      </c>
      <c r="B15" s="19" t="s">
        <v>48</v>
      </c>
      <c r="C15" s="8">
        <f>SUM('Stavební rozpočet'!AC12:AC119)</f>
        <v>0</v>
      </c>
      <c r="D15" s="119" t="s">
        <v>27</v>
      </c>
      <c r="E15" s="120"/>
      <c r="F15" s="8">
        <v>0</v>
      </c>
      <c r="G15" s="119" t="s">
        <v>229</v>
      </c>
      <c r="H15" s="120"/>
      <c r="I15" s="32" t="s">
        <v>142</v>
      </c>
    </row>
    <row r="16" spans="1:9" ht="15" customHeight="1">
      <c r="A16" s="39" t="s">
        <v>25</v>
      </c>
      <c r="B16" s="19" t="s">
        <v>69</v>
      </c>
      <c r="C16" s="8">
        <f>SUM('Stavební rozpočet'!AD12:AD119)</f>
        <v>0</v>
      </c>
      <c r="D16" s="119" t="s">
        <v>212</v>
      </c>
      <c r="E16" s="120"/>
      <c r="F16" s="8">
        <v>0</v>
      </c>
      <c r="G16" s="119" t="s">
        <v>273</v>
      </c>
      <c r="H16" s="120"/>
      <c r="I16" s="32" t="s">
        <v>142</v>
      </c>
    </row>
    <row r="17" spans="1:9" ht="15" customHeight="1">
      <c r="A17" s="26" t="s">
        <v>196</v>
      </c>
      <c r="B17" s="19" t="s">
        <v>48</v>
      </c>
      <c r="C17" s="8">
        <f>SUM('Stavební rozpočet'!AE12:AE119)</f>
        <v>0</v>
      </c>
      <c r="D17" s="119" t="s">
        <v>196</v>
      </c>
      <c r="E17" s="120"/>
      <c r="F17" s="32" t="s">
        <v>196</v>
      </c>
      <c r="G17" s="119" t="s">
        <v>143</v>
      </c>
      <c r="H17" s="120"/>
      <c r="I17" s="32" t="s">
        <v>142</v>
      </c>
    </row>
    <row r="18" spans="1:9" ht="15" customHeight="1">
      <c r="A18" s="39" t="s">
        <v>80</v>
      </c>
      <c r="B18" s="19" t="s">
        <v>69</v>
      </c>
      <c r="C18" s="8">
        <f>SUM('Stavební rozpočet'!AF12:AF119)</f>
        <v>0</v>
      </c>
      <c r="D18" s="119" t="s">
        <v>196</v>
      </c>
      <c r="E18" s="120"/>
      <c r="F18" s="32" t="s">
        <v>196</v>
      </c>
      <c r="G18" s="119" t="s">
        <v>178</v>
      </c>
      <c r="H18" s="120"/>
      <c r="I18" s="32" t="s">
        <v>142</v>
      </c>
    </row>
    <row r="19" spans="1:9" ht="15" customHeight="1">
      <c r="A19" s="26" t="s">
        <v>196</v>
      </c>
      <c r="B19" s="19" t="s">
        <v>48</v>
      </c>
      <c r="C19" s="8">
        <f>SUM('Stavební rozpočet'!AG12:AG119)</f>
        <v>0</v>
      </c>
      <c r="D19" s="119" t="s">
        <v>196</v>
      </c>
      <c r="E19" s="120"/>
      <c r="F19" s="32" t="s">
        <v>196</v>
      </c>
      <c r="G19" s="119" t="s">
        <v>288</v>
      </c>
      <c r="H19" s="120"/>
      <c r="I19" s="32" t="s">
        <v>142</v>
      </c>
    </row>
    <row r="20" spans="1:9" ht="15" customHeight="1">
      <c r="A20" s="113" t="s">
        <v>15</v>
      </c>
      <c r="B20" s="114"/>
      <c r="C20" s="8">
        <f>SUM('Stavební rozpočet'!AH12:AH119)</f>
        <v>0</v>
      </c>
      <c r="D20" s="119" t="s">
        <v>196</v>
      </c>
      <c r="E20" s="120"/>
      <c r="F20" s="32" t="s">
        <v>196</v>
      </c>
      <c r="G20" s="119" t="s">
        <v>196</v>
      </c>
      <c r="H20" s="120"/>
      <c r="I20" s="32" t="s">
        <v>196</v>
      </c>
    </row>
    <row r="21" spans="1:9" ht="15" customHeight="1">
      <c r="A21" s="115" t="s">
        <v>287</v>
      </c>
      <c r="B21" s="116"/>
      <c r="C21" s="57">
        <f>SUM('Stavební rozpočet'!Z12:Z119)</f>
        <v>0</v>
      </c>
      <c r="D21" s="121" t="s">
        <v>196</v>
      </c>
      <c r="E21" s="122"/>
      <c r="F21" s="53" t="s">
        <v>196</v>
      </c>
      <c r="G21" s="121" t="s">
        <v>196</v>
      </c>
      <c r="H21" s="122"/>
      <c r="I21" s="53" t="s">
        <v>196</v>
      </c>
    </row>
    <row r="22" spans="1:9" ht="16.5" customHeight="1">
      <c r="A22" s="117" t="s">
        <v>51</v>
      </c>
      <c r="B22" s="118"/>
      <c r="C22" s="27">
        <f>SUM(C14:C21)</f>
        <v>0</v>
      </c>
      <c r="D22" s="123" t="s">
        <v>140</v>
      </c>
      <c r="E22" s="118"/>
      <c r="F22" s="27">
        <f>SUM(F14:F21)</f>
        <v>0</v>
      </c>
      <c r="G22" s="123" t="s">
        <v>295</v>
      </c>
      <c r="H22" s="118"/>
      <c r="I22" s="27">
        <f>SUM(I14:I21)</f>
        <v>0</v>
      </c>
    </row>
    <row r="23" spans="4:9" ht="15" customHeight="1">
      <c r="D23" s="113" t="s">
        <v>231</v>
      </c>
      <c r="E23" s="114"/>
      <c r="F23" s="23">
        <v>0</v>
      </c>
      <c r="G23" s="124" t="s">
        <v>12</v>
      </c>
      <c r="H23" s="114"/>
      <c r="I23" s="8">
        <v>0</v>
      </c>
    </row>
    <row r="24" spans="7:8" ht="15" customHeight="1">
      <c r="G24" s="113" t="s">
        <v>194</v>
      </c>
      <c r="H24" s="114"/>
    </row>
    <row r="25" spans="7:9" ht="15" customHeight="1">
      <c r="G25" s="113" t="s">
        <v>220</v>
      </c>
      <c r="H25" s="114"/>
      <c r="I25" s="27">
        <v>0</v>
      </c>
    </row>
    <row r="27" spans="1:3" ht="15" customHeight="1">
      <c r="A27" s="125" t="s">
        <v>112</v>
      </c>
      <c r="B27" s="126"/>
      <c r="C27" s="74">
        <f>SUM('Stavební rozpočet'!AJ12:AJ119)</f>
        <v>0</v>
      </c>
    </row>
    <row r="28" spans="1:9" ht="15" customHeight="1">
      <c r="A28" s="127" t="s">
        <v>5</v>
      </c>
      <c r="B28" s="128"/>
      <c r="C28" s="6">
        <f>SUM('Stavební rozpočet'!AK12:AK119)</f>
        <v>0</v>
      </c>
      <c r="D28" s="126" t="s">
        <v>59</v>
      </c>
      <c r="E28" s="126"/>
      <c r="F28" s="74">
        <f>ROUND(C28*(15/100),2)</f>
        <v>0</v>
      </c>
      <c r="G28" s="126" t="s">
        <v>37</v>
      </c>
      <c r="H28" s="126"/>
      <c r="I28" s="74">
        <f>SUM(C27:C29)</f>
        <v>0</v>
      </c>
    </row>
    <row r="29" spans="1:9" ht="15" customHeight="1">
      <c r="A29" s="127" t="s">
        <v>8</v>
      </c>
      <c r="B29" s="128"/>
      <c r="C29" s="6">
        <f>SUM('Stavební rozpočet'!AL12:AL119)</f>
        <v>0</v>
      </c>
      <c r="D29" s="128" t="s">
        <v>214</v>
      </c>
      <c r="E29" s="128"/>
      <c r="F29" s="6">
        <f>ROUND(C29*(21/100),2)</f>
        <v>0</v>
      </c>
      <c r="G29" s="128" t="s">
        <v>111</v>
      </c>
      <c r="H29" s="128"/>
      <c r="I29" s="6">
        <f>SUM(F28:F29)+I28</f>
        <v>0</v>
      </c>
    </row>
    <row r="31" spans="1:9" ht="15" customHeight="1">
      <c r="A31" s="129" t="s">
        <v>3</v>
      </c>
      <c r="B31" s="130"/>
      <c r="C31" s="131"/>
      <c r="D31" s="130" t="s">
        <v>267</v>
      </c>
      <c r="E31" s="130"/>
      <c r="F31" s="131"/>
      <c r="G31" s="130" t="s">
        <v>190</v>
      </c>
      <c r="H31" s="130"/>
      <c r="I31" s="131"/>
    </row>
    <row r="32" spans="1:9" ht="15" customHeight="1">
      <c r="A32" s="132" t="s">
        <v>196</v>
      </c>
      <c r="B32" s="121"/>
      <c r="C32" s="133"/>
      <c r="D32" s="121" t="s">
        <v>196</v>
      </c>
      <c r="E32" s="121"/>
      <c r="F32" s="133"/>
      <c r="G32" s="121" t="s">
        <v>196</v>
      </c>
      <c r="H32" s="121"/>
      <c r="I32" s="133"/>
    </row>
    <row r="33" spans="1:9" ht="15" customHeight="1">
      <c r="A33" s="132" t="s">
        <v>196</v>
      </c>
      <c r="B33" s="121"/>
      <c r="C33" s="133"/>
      <c r="D33" s="121" t="s">
        <v>196</v>
      </c>
      <c r="E33" s="121"/>
      <c r="F33" s="133"/>
      <c r="G33" s="121" t="s">
        <v>196</v>
      </c>
      <c r="H33" s="121"/>
      <c r="I33" s="133"/>
    </row>
    <row r="34" spans="1:9" ht="15" customHeight="1">
      <c r="A34" s="132" t="s">
        <v>196</v>
      </c>
      <c r="B34" s="121"/>
      <c r="C34" s="133"/>
      <c r="D34" s="121" t="s">
        <v>196</v>
      </c>
      <c r="E34" s="121"/>
      <c r="F34" s="133"/>
      <c r="G34" s="121" t="s">
        <v>196</v>
      </c>
      <c r="H34" s="121"/>
      <c r="I34" s="133"/>
    </row>
    <row r="35" spans="1:9" ht="15" customHeight="1">
      <c r="A35" s="134" t="s">
        <v>49</v>
      </c>
      <c r="B35" s="135"/>
      <c r="C35" s="136"/>
      <c r="D35" s="135" t="s">
        <v>49</v>
      </c>
      <c r="E35" s="135"/>
      <c r="F35" s="136"/>
      <c r="G35" s="135" t="s">
        <v>49</v>
      </c>
      <c r="H35" s="135"/>
      <c r="I35" s="136"/>
    </row>
    <row r="36" ht="15" customHeight="1">
      <c r="A36" s="64" t="s">
        <v>21</v>
      </c>
    </row>
    <row r="37" spans="1:9" ht="12.75" customHeight="1">
      <c r="A37" s="82" t="s">
        <v>196</v>
      </c>
      <c r="B37" s="79"/>
      <c r="C37" s="79"/>
      <c r="D37" s="79"/>
      <c r="E37" s="79"/>
      <c r="F37" s="79"/>
      <c r="G37" s="79"/>
      <c r="H37" s="79"/>
      <c r="I37" s="79"/>
    </row>
  </sheetData>
  <sheetProtection/>
  <mergeCells count="83">
    <mergeCell ref="G31:I31"/>
    <mergeCell ref="G32:I32"/>
    <mergeCell ref="G33:I33"/>
    <mergeCell ref="G34:I34"/>
    <mergeCell ref="G35:I35"/>
    <mergeCell ref="A37:I37"/>
    <mergeCell ref="A31:C31"/>
    <mergeCell ref="A32:C32"/>
    <mergeCell ref="A33:C33"/>
    <mergeCell ref="A34:C34"/>
    <mergeCell ref="A35:C35"/>
    <mergeCell ref="D31:F31"/>
    <mergeCell ref="D32:F32"/>
    <mergeCell ref="D33:F33"/>
    <mergeCell ref="D34:F34"/>
    <mergeCell ref="D35:F35"/>
    <mergeCell ref="A27:B27"/>
    <mergeCell ref="A28:B28"/>
    <mergeCell ref="A29:B29"/>
    <mergeCell ref="D28:E28"/>
    <mergeCell ref="D29:E29"/>
    <mergeCell ref="G28:H28"/>
    <mergeCell ref="G29:H29"/>
    <mergeCell ref="G20:H20"/>
    <mergeCell ref="G21:H21"/>
    <mergeCell ref="G22:H22"/>
    <mergeCell ref="G23:H23"/>
    <mergeCell ref="G24:H24"/>
    <mergeCell ref="G25:H25"/>
    <mergeCell ref="G14:H14"/>
    <mergeCell ref="G15:H15"/>
    <mergeCell ref="G16:H16"/>
    <mergeCell ref="G17:H17"/>
    <mergeCell ref="G18:H18"/>
    <mergeCell ref="G19:H19"/>
    <mergeCell ref="D18:E18"/>
    <mergeCell ref="D19:E19"/>
    <mergeCell ref="D20:E20"/>
    <mergeCell ref="D21:E21"/>
    <mergeCell ref="D22:E22"/>
    <mergeCell ref="D23:E23"/>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kucer</cp:lastModifiedBy>
  <dcterms:created xsi:type="dcterms:W3CDTF">2021-06-10T20:06:38Z</dcterms:created>
  <dcterms:modified xsi:type="dcterms:W3CDTF">2023-08-02T10:51:05Z</dcterms:modified>
  <cp:category/>
  <cp:version/>
  <cp:contentType/>
  <cp:contentStatus/>
</cp:coreProperties>
</file>