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770" windowHeight="12255"/>
  </bookViews>
  <sheets>
    <sheet name="Stavební rozpočet" sheetId="1" r:id="rId1"/>
    <sheet name="Krycí list rozpočtu" sheetId="2" r:id="rId2"/>
  </sheets>
  <calcPr calcId="124519" iterateCount="1"/>
</workbook>
</file>

<file path=xl/calcChain.xml><?xml version="1.0" encoding="utf-8"?>
<calcChain xmlns="http://schemas.openxmlformats.org/spreadsheetml/2006/main">
  <c r="AS1" i="1"/>
  <c r="AT1"/>
  <c r="AU1"/>
  <c r="J15"/>
  <c r="K15"/>
  <c r="L15"/>
  <c r="AL15" s="1"/>
  <c r="AF15"/>
  <c r="AG15"/>
  <c r="AO15"/>
  <c r="AP15"/>
  <c r="AV15"/>
  <c r="AW15"/>
  <c r="BC15" s="1"/>
  <c r="AX15"/>
  <c r="BD15"/>
  <c r="BF15"/>
  <c r="BH15"/>
  <c r="AD15" s="1"/>
  <c r="BI15"/>
  <c r="AE15" s="1"/>
  <c r="BJ15"/>
  <c r="AH15" s="1"/>
  <c r="BM15"/>
  <c r="L16"/>
  <c r="AJ16"/>
  <c r="AK16"/>
  <c r="AL16"/>
  <c r="AO16"/>
  <c r="J16" s="1"/>
  <c r="AP16"/>
  <c r="AX16" s="1"/>
  <c r="BD16"/>
  <c r="BF16"/>
  <c r="BH16"/>
  <c r="AB16" s="1"/>
  <c r="BI16"/>
  <c r="AC16" s="1"/>
  <c r="BJ16"/>
  <c r="Z16" s="1"/>
  <c r="BM16"/>
  <c r="L17"/>
  <c r="AS17"/>
  <c r="AT17"/>
  <c r="AU17"/>
  <c r="L18"/>
  <c r="AJ18"/>
  <c r="AK18"/>
  <c r="AL18"/>
  <c r="AO18"/>
  <c r="J18" s="1"/>
  <c r="J17" s="1"/>
  <c r="AP18"/>
  <c r="AX18" s="1"/>
  <c r="BD18"/>
  <c r="BF18"/>
  <c r="BH18"/>
  <c r="AD18" s="1"/>
  <c r="BI18"/>
  <c r="AC18" s="1"/>
  <c r="BJ18"/>
  <c r="Z18" s="1"/>
  <c r="BO18"/>
  <c r="L19"/>
  <c r="AS19"/>
  <c r="AT19"/>
  <c r="AU19"/>
  <c r="L20"/>
  <c r="AJ20"/>
  <c r="AK20"/>
  <c r="AL20"/>
  <c r="AO20"/>
  <c r="AW20" s="1"/>
  <c r="AP20"/>
  <c r="AX20" s="1"/>
  <c r="BD20"/>
  <c r="BF20"/>
  <c r="BI20"/>
  <c r="AC20" s="1"/>
  <c r="BJ20"/>
  <c r="Z20" s="1"/>
  <c r="BP20"/>
  <c r="L22"/>
  <c r="AJ22"/>
  <c r="AK22"/>
  <c r="AL22"/>
  <c r="AO22"/>
  <c r="AW22" s="1"/>
  <c r="AP22"/>
  <c r="AX22" s="1"/>
  <c r="BD22"/>
  <c r="BF22"/>
  <c r="BH22"/>
  <c r="AB22" s="1"/>
  <c r="BI22"/>
  <c r="AC22" s="1"/>
  <c r="BJ22"/>
  <c r="Z22" s="1"/>
  <c r="BS22"/>
  <c r="K24"/>
  <c r="L24"/>
  <c r="L21" s="1"/>
  <c r="Z24"/>
  <c r="AB24"/>
  <c r="AC24"/>
  <c r="AG24"/>
  <c r="AH24"/>
  <c r="AJ24"/>
  <c r="AS21" s="1"/>
  <c r="AK24"/>
  <c r="AT21" s="1"/>
  <c r="AL24"/>
  <c r="AU21" s="1"/>
  <c r="AO24"/>
  <c r="AW24" s="1"/>
  <c r="AP24"/>
  <c r="AX24"/>
  <c r="BD24"/>
  <c r="BF24"/>
  <c r="BH24"/>
  <c r="AF24" s="1"/>
  <c r="BI24"/>
  <c r="AE24" s="1"/>
  <c r="BJ24"/>
  <c r="BS24"/>
  <c r="J26"/>
  <c r="J27"/>
  <c r="K27"/>
  <c r="K26" s="1"/>
  <c r="L27"/>
  <c r="AL27" s="1"/>
  <c r="AU26" s="1"/>
  <c r="Z27"/>
  <c r="AF27"/>
  <c r="AG27"/>
  <c r="AH27"/>
  <c r="AO27"/>
  <c r="AP27"/>
  <c r="AW27"/>
  <c r="AV27" s="1"/>
  <c r="AX27"/>
  <c r="BD27"/>
  <c r="BF27"/>
  <c r="BH27"/>
  <c r="AD27" s="1"/>
  <c r="BI27"/>
  <c r="AE27" s="1"/>
  <c r="BJ27"/>
  <c r="J28"/>
  <c r="K28"/>
  <c r="J29"/>
  <c r="K29"/>
  <c r="L29"/>
  <c r="AK29" s="1"/>
  <c r="AT28" s="1"/>
  <c r="Z29"/>
  <c r="AB29"/>
  <c r="AF29"/>
  <c r="AG29"/>
  <c r="AH29"/>
  <c r="AO29"/>
  <c r="AP29"/>
  <c r="AW29"/>
  <c r="AV29" s="1"/>
  <c r="AX29"/>
  <c r="BC29" s="1"/>
  <c r="BD29"/>
  <c r="BF29"/>
  <c r="BH29"/>
  <c r="AD29" s="1"/>
  <c r="BI29"/>
  <c r="AE29" s="1"/>
  <c r="BJ29"/>
  <c r="J30"/>
  <c r="K30"/>
  <c r="J31"/>
  <c r="K31"/>
  <c r="L31"/>
  <c r="Z31"/>
  <c r="AB31"/>
  <c r="AC31"/>
  <c r="AF31"/>
  <c r="AG31"/>
  <c r="AH31"/>
  <c r="AJ31"/>
  <c r="AK31"/>
  <c r="AL31"/>
  <c r="AO31"/>
  <c r="AP31"/>
  <c r="AW31"/>
  <c r="AV31" s="1"/>
  <c r="AX31"/>
  <c r="BC31"/>
  <c r="BD31"/>
  <c r="BF31"/>
  <c r="BH31"/>
  <c r="AD31" s="1"/>
  <c r="BI31"/>
  <c r="AE31" s="1"/>
  <c r="BJ31"/>
  <c r="J33"/>
  <c r="K33"/>
  <c r="L33"/>
  <c r="AL33" s="1"/>
  <c r="Z33"/>
  <c r="AB33"/>
  <c r="AF33"/>
  <c r="AG33"/>
  <c r="AH33"/>
  <c r="AO33"/>
  <c r="AP33"/>
  <c r="AW33"/>
  <c r="AV33" s="1"/>
  <c r="AX33"/>
  <c r="BC33" s="1"/>
  <c r="BD33"/>
  <c r="BF33"/>
  <c r="BH33"/>
  <c r="AD33" s="1"/>
  <c r="BI33"/>
  <c r="AE33" s="1"/>
  <c r="BJ33"/>
  <c r="J35"/>
  <c r="K35"/>
  <c r="L35"/>
  <c r="J36"/>
  <c r="K36"/>
  <c r="L36"/>
  <c r="Z36"/>
  <c r="AB36"/>
  <c r="AC36"/>
  <c r="AF36"/>
  <c r="AG36"/>
  <c r="AH36"/>
  <c r="AJ36"/>
  <c r="AS35" s="1"/>
  <c r="AK36"/>
  <c r="AT35" s="1"/>
  <c r="AL36"/>
  <c r="AU35" s="1"/>
  <c r="AO36"/>
  <c r="AP36"/>
  <c r="AW36"/>
  <c r="AV36" s="1"/>
  <c r="AX36"/>
  <c r="BC36"/>
  <c r="BD36"/>
  <c r="BF36"/>
  <c r="BH36"/>
  <c r="AD36" s="1"/>
  <c r="BI36"/>
  <c r="AE36" s="1"/>
  <c r="BJ36"/>
  <c r="K37"/>
  <c r="L37"/>
  <c r="AS37"/>
  <c r="K38"/>
  <c r="L38"/>
  <c r="Z38"/>
  <c r="AB38"/>
  <c r="AC38"/>
  <c r="AG38"/>
  <c r="AH38"/>
  <c r="AJ38"/>
  <c r="AK38"/>
  <c r="AT37" s="1"/>
  <c r="AL38"/>
  <c r="AU37" s="1"/>
  <c r="AO38"/>
  <c r="AW38" s="1"/>
  <c r="AP38"/>
  <c r="AX38"/>
  <c r="BD38"/>
  <c r="BF38"/>
  <c r="BH38"/>
  <c r="AF38" s="1"/>
  <c r="BI38"/>
  <c r="AE38" s="1"/>
  <c r="BJ38"/>
  <c r="L40"/>
  <c r="AS40"/>
  <c r="AT40"/>
  <c r="L41"/>
  <c r="Z41"/>
  <c r="AC41"/>
  <c r="AH41"/>
  <c r="AJ41"/>
  <c r="AK41"/>
  <c r="AL41"/>
  <c r="AU40" s="1"/>
  <c r="AO41"/>
  <c r="AW41" s="1"/>
  <c r="AP41"/>
  <c r="AX41" s="1"/>
  <c r="BD41"/>
  <c r="BF41"/>
  <c r="BH41"/>
  <c r="AB41" s="1"/>
  <c r="BI41"/>
  <c r="AG41" s="1"/>
  <c r="BJ41"/>
  <c r="L43"/>
  <c r="AS43"/>
  <c r="AT43"/>
  <c r="AU43"/>
  <c r="L44"/>
  <c r="AJ44"/>
  <c r="AK44"/>
  <c r="AL44"/>
  <c r="AO44"/>
  <c r="J44" s="1"/>
  <c r="J43" s="1"/>
  <c r="AP44"/>
  <c r="AX44" s="1"/>
  <c r="BD44"/>
  <c r="BF44"/>
  <c r="BH44"/>
  <c r="AB44" s="1"/>
  <c r="BI44"/>
  <c r="AC44" s="1"/>
  <c r="BJ44"/>
  <c r="Z44" s="1"/>
  <c r="J46"/>
  <c r="L46"/>
  <c r="AF46"/>
  <c r="AJ46"/>
  <c r="AK46"/>
  <c r="AL46"/>
  <c r="AO46"/>
  <c r="AP46"/>
  <c r="AX46" s="1"/>
  <c r="AV46" s="1"/>
  <c r="AW46"/>
  <c r="BC46" s="1"/>
  <c r="BD46"/>
  <c r="BF46"/>
  <c r="BH46"/>
  <c r="AD46" s="1"/>
  <c r="BI46"/>
  <c r="AC46" s="1"/>
  <c r="BJ46"/>
  <c r="Z46" s="1"/>
  <c r="L49"/>
  <c r="AJ49"/>
  <c r="AK49"/>
  <c r="AT45" s="1"/>
  <c r="AL49"/>
  <c r="AO49"/>
  <c r="AW49" s="1"/>
  <c r="AP49"/>
  <c r="AX49" s="1"/>
  <c r="BD49"/>
  <c r="BF49"/>
  <c r="BH49"/>
  <c r="AB49" s="1"/>
  <c r="BI49"/>
  <c r="AC49" s="1"/>
  <c r="BJ49"/>
  <c r="Z49" s="1"/>
  <c r="L50"/>
  <c r="L45" s="1"/>
  <c r="Z50"/>
  <c r="AH50"/>
  <c r="AJ50"/>
  <c r="AS45" s="1"/>
  <c r="AK50"/>
  <c r="AL50"/>
  <c r="AU45" s="1"/>
  <c r="AO50"/>
  <c r="AW50" s="1"/>
  <c r="AP50"/>
  <c r="AX50" s="1"/>
  <c r="BD50"/>
  <c r="BF50"/>
  <c r="BH50"/>
  <c r="AB50" s="1"/>
  <c r="BJ50"/>
  <c r="L52"/>
  <c r="AT52"/>
  <c r="L53"/>
  <c r="AJ53"/>
  <c r="AK53"/>
  <c r="AL53"/>
  <c r="AO53"/>
  <c r="BH53" s="1"/>
  <c r="AP53"/>
  <c r="AX53" s="1"/>
  <c r="BD53"/>
  <c r="BF53"/>
  <c r="BI53"/>
  <c r="AC53" s="1"/>
  <c r="BJ53"/>
  <c r="Z53" s="1"/>
  <c r="L55"/>
  <c r="Z55"/>
  <c r="AH55"/>
  <c r="AJ55"/>
  <c r="AS52" s="1"/>
  <c r="AK55"/>
  <c r="AL55"/>
  <c r="AU52" s="1"/>
  <c r="AO55"/>
  <c r="AW55" s="1"/>
  <c r="AP55"/>
  <c r="AX55" s="1"/>
  <c r="BD55"/>
  <c r="BF55"/>
  <c r="BH55"/>
  <c r="AB55" s="1"/>
  <c r="BJ55"/>
  <c r="L57"/>
  <c r="AJ57"/>
  <c r="AK57"/>
  <c r="AL57"/>
  <c r="AO57"/>
  <c r="AW57" s="1"/>
  <c r="AP57"/>
  <c r="AX57" s="1"/>
  <c r="BD57"/>
  <c r="BF57"/>
  <c r="BH57"/>
  <c r="AB57" s="1"/>
  <c r="BI57"/>
  <c r="AC57" s="1"/>
  <c r="BJ57"/>
  <c r="Z57" s="1"/>
  <c r="L59"/>
  <c r="Z59"/>
  <c r="AC59"/>
  <c r="AH59"/>
  <c r="AJ59"/>
  <c r="AS56" s="1"/>
  <c r="AK59"/>
  <c r="AL59"/>
  <c r="AU56" s="1"/>
  <c r="AO59"/>
  <c r="AW59" s="1"/>
  <c r="AP59"/>
  <c r="AX59" s="1"/>
  <c r="BD59"/>
  <c r="BF59"/>
  <c r="BH59"/>
  <c r="AB59" s="1"/>
  <c r="BI59"/>
  <c r="AG59" s="1"/>
  <c r="BJ59"/>
  <c r="K60"/>
  <c r="L60"/>
  <c r="L56" s="1"/>
  <c r="Z60"/>
  <c r="AB60"/>
  <c r="AC60"/>
  <c r="AG60"/>
  <c r="AH60"/>
  <c r="AJ60"/>
  <c r="AK60"/>
  <c r="AT56" s="1"/>
  <c r="AL60"/>
  <c r="AO60"/>
  <c r="AW60" s="1"/>
  <c r="AP60"/>
  <c r="AX60"/>
  <c r="BD60"/>
  <c r="BF60"/>
  <c r="BH60"/>
  <c r="AF60" s="1"/>
  <c r="BI60"/>
  <c r="AE60" s="1"/>
  <c r="BJ60"/>
  <c r="L62"/>
  <c r="Z62"/>
  <c r="AC62"/>
  <c r="AH62"/>
  <c r="AJ62"/>
  <c r="AK62"/>
  <c r="AL62"/>
  <c r="AO62"/>
  <c r="AW62" s="1"/>
  <c r="AP62"/>
  <c r="AX62" s="1"/>
  <c r="BD62"/>
  <c r="BF62"/>
  <c r="BH62"/>
  <c r="AB62" s="1"/>
  <c r="BI62"/>
  <c r="AG62" s="1"/>
  <c r="BJ62"/>
  <c r="K64"/>
  <c r="L64"/>
  <c r="L61" s="1"/>
  <c r="Z64"/>
  <c r="AB64"/>
  <c r="AC64"/>
  <c r="AG64"/>
  <c r="AH64"/>
  <c r="AK64"/>
  <c r="AL64"/>
  <c r="AO64"/>
  <c r="AW64" s="1"/>
  <c r="AP64"/>
  <c r="AX64"/>
  <c r="BD64"/>
  <c r="BF64"/>
  <c r="BH64"/>
  <c r="AD64" s="1"/>
  <c r="BI64"/>
  <c r="AE64" s="1"/>
  <c r="BJ64"/>
  <c r="J66"/>
  <c r="K66"/>
  <c r="L66"/>
  <c r="Z66"/>
  <c r="AB66"/>
  <c r="AC66"/>
  <c r="AF66"/>
  <c r="AG66"/>
  <c r="AH66"/>
  <c r="AJ66"/>
  <c r="AK66"/>
  <c r="AL66"/>
  <c r="AO66"/>
  <c r="AP66"/>
  <c r="AW66"/>
  <c r="AV66" s="1"/>
  <c r="AX66"/>
  <c r="BC66"/>
  <c r="BD66"/>
  <c r="BF66"/>
  <c r="BH66"/>
  <c r="AD66" s="1"/>
  <c r="BI66"/>
  <c r="AE66" s="1"/>
  <c r="BJ66"/>
  <c r="J68"/>
  <c r="K68"/>
  <c r="L68"/>
  <c r="AL68" s="1"/>
  <c r="Z68"/>
  <c r="AB68"/>
  <c r="AF68"/>
  <c r="AG68"/>
  <c r="AH68"/>
  <c r="AO68"/>
  <c r="AP68"/>
  <c r="AW68"/>
  <c r="AX68"/>
  <c r="AV68" s="1"/>
  <c r="BD68"/>
  <c r="BF68"/>
  <c r="BH68"/>
  <c r="AD68" s="1"/>
  <c r="BI68"/>
  <c r="AE68" s="1"/>
  <c r="BJ68"/>
  <c r="J70"/>
  <c r="K70"/>
  <c r="L70"/>
  <c r="AJ70" s="1"/>
  <c r="Z70"/>
  <c r="AF70"/>
  <c r="AG70"/>
  <c r="AH70"/>
  <c r="AO70"/>
  <c r="AP70"/>
  <c r="AW70"/>
  <c r="AV70" s="1"/>
  <c r="AX70"/>
  <c r="BD70"/>
  <c r="BF70"/>
  <c r="BH70"/>
  <c r="AD70" s="1"/>
  <c r="BI70"/>
  <c r="AE70" s="1"/>
  <c r="BJ70"/>
  <c r="J72"/>
  <c r="K72"/>
  <c r="L72"/>
  <c r="AL72" s="1"/>
  <c r="AF72"/>
  <c r="AG72"/>
  <c r="AO72"/>
  <c r="AP72"/>
  <c r="AV72"/>
  <c r="AW72"/>
  <c r="BC72" s="1"/>
  <c r="AX72"/>
  <c r="BD72"/>
  <c r="BF72"/>
  <c r="BH72"/>
  <c r="AD72" s="1"/>
  <c r="BI72"/>
  <c r="AE72" s="1"/>
  <c r="BJ72"/>
  <c r="AH72" s="1"/>
  <c r="J74"/>
  <c r="L74"/>
  <c r="AF74"/>
  <c r="AJ74"/>
  <c r="AK74"/>
  <c r="AL74"/>
  <c r="AO74"/>
  <c r="AP74"/>
  <c r="AX74" s="1"/>
  <c r="AV74" s="1"/>
  <c r="AW74"/>
  <c r="BD74"/>
  <c r="BF74"/>
  <c r="BH74"/>
  <c r="AD74" s="1"/>
  <c r="BI74"/>
  <c r="AC74" s="1"/>
  <c r="BJ74"/>
  <c r="Z74" s="1"/>
  <c r="L76"/>
  <c r="AJ76"/>
  <c r="AK76"/>
  <c r="AL76"/>
  <c r="AO76"/>
  <c r="J76" s="1"/>
  <c r="AP76"/>
  <c r="AX76" s="1"/>
  <c r="BD76"/>
  <c r="BF76"/>
  <c r="BH76"/>
  <c r="AB76" s="1"/>
  <c r="BI76"/>
  <c r="AC76" s="1"/>
  <c r="BJ76"/>
  <c r="Z76" s="1"/>
  <c r="L77"/>
  <c r="Z77"/>
  <c r="AH77"/>
  <c r="AJ77"/>
  <c r="AK77"/>
  <c r="AL77"/>
  <c r="AO77"/>
  <c r="AW77" s="1"/>
  <c r="AP77"/>
  <c r="AX77" s="1"/>
  <c r="BD77"/>
  <c r="BF77"/>
  <c r="BH77"/>
  <c r="AB77" s="1"/>
  <c r="BJ77"/>
  <c r="K79"/>
  <c r="L79"/>
  <c r="AJ79" s="1"/>
  <c r="Z79"/>
  <c r="AC79"/>
  <c r="AG79"/>
  <c r="AH79"/>
  <c r="AK79"/>
  <c r="AL79"/>
  <c r="AO79"/>
  <c r="AW79" s="1"/>
  <c r="AP79"/>
  <c r="AX79"/>
  <c r="BD79"/>
  <c r="BF79"/>
  <c r="BI79"/>
  <c r="AE79" s="1"/>
  <c r="BJ79"/>
  <c r="J80"/>
  <c r="K80"/>
  <c r="L80"/>
  <c r="Z80"/>
  <c r="AB80"/>
  <c r="AC80"/>
  <c r="AF80"/>
  <c r="AG80"/>
  <c r="AH80"/>
  <c r="AJ80"/>
  <c r="AK80"/>
  <c r="AL80"/>
  <c r="AO80"/>
  <c r="AP80"/>
  <c r="AW80"/>
  <c r="AV80" s="1"/>
  <c r="AX80"/>
  <c r="BC80"/>
  <c r="BD80"/>
  <c r="BF80"/>
  <c r="BH80"/>
  <c r="AD80" s="1"/>
  <c r="BI80"/>
  <c r="AE80" s="1"/>
  <c r="BJ80"/>
  <c r="K82"/>
  <c r="L82"/>
  <c r="AJ82" s="1"/>
  <c r="Z82"/>
  <c r="AB82"/>
  <c r="AC82"/>
  <c r="AG82"/>
  <c r="AH82"/>
  <c r="AK82"/>
  <c r="AL82"/>
  <c r="AO82"/>
  <c r="AW82" s="1"/>
  <c r="AP82"/>
  <c r="AX82"/>
  <c r="BD82"/>
  <c r="BF82"/>
  <c r="BH82"/>
  <c r="AF82" s="1"/>
  <c r="BI82"/>
  <c r="AE82" s="1"/>
  <c r="BJ82"/>
  <c r="J85"/>
  <c r="K85"/>
  <c r="K81" s="1"/>
  <c r="L85"/>
  <c r="Z85"/>
  <c r="AB85"/>
  <c r="AC85"/>
  <c r="AF85"/>
  <c r="AG85"/>
  <c r="AH85"/>
  <c r="AJ85"/>
  <c r="AK85"/>
  <c r="AL85"/>
  <c r="AO85"/>
  <c r="AP85"/>
  <c r="AW85"/>
  <c r="AV85" s="1"/>
  <c r="AX85"/>
  <c r="BC85"/>
  <c r="BD85"/>
  <c r="BF85"/>
  <c r="BH85"/>
  <c r="AD85" s="1"/>
  <c r="BI85"/>
  <c r="AE85" s="1"/>
  <c r="BJ85"/>
  <c r="J88"/>
  <c r="K88"/>
  <c r="L88"/>
  <c r="AL88" s="1"/>
  <c r="Z88"/>
  <c r="AB88"/>
  <c r="AF88"/>
  <c r="AG88"/>
  <c r="AH88"/>
  <c r="AO88"/>
  <c r="AP88"/>
  <c r="AW88"/>
  <c r="AX88"/>
  <c r="AV88" s="1"/>
  <c r="BD88"/>
  <c r="BF88"/>
  <c r="BH88"/>
  <c r="AD88" s="1"/>
  <c r="BI88"/>
  <c r="AE88" s="1"/>
  <c r="BJ88"/>
  <c r="J91"/>
  <c r="K91"/>
  <c r="L91"/>
  <c r="AL91" s="1"/>
  <c r="Z91"/>
  <c r="AF91"/>
  <c r="AG91"/>
  <c r="AH91"/>
  <c r="AO91"/>
  <c r="AP91"/>
  <c r="AW91"/>
  <c r="AV91" s="1"/>
  <c r="AX91"/>
  <c r="BD91"/>
  <c r="BF91"/>
  <c r="BH91"/>
  <c r="AD91" s="1"/>
  <c r="BI91"/>
  <c r="AE91" s="1"/>
  <c r="BJ91"/>
  <c r="J93"/>
  <c r="J94"/>
  <c r="K94"/>
  <c r="L94"/>
  <c r="L93" s="1"/>
  <c r="Z94"/>
  <c r="AB94"/>
  <c r="AF94"/>
  <c r="AG94"/>
  <c r="AH94"/>
  <c r="AO94"/>
  <c r="AP94"/>
  <c r="AW94"/>
  <c r="AX94"/>
  <c r="AV94" s="1"/>
  <c r="BD94"/>
  <c r="BF94"/>
  <c r="BH94"/>
  <c r="AD94" s="1"/>
  <c r="BI94"/>
  <c r="AE94" s="1"/>
  <c r="BJ94"/>
  <c r="J97"/>
  <c r="K97"/>
  <c r="K93" s="1"/>
  <c r="L97"/>
  <c r="AL97" s="1"/>
  <c r="Z97"/>
  <c r="AF97"/>
  <c r="AG97"/>
  <c r="AH97"/>
  <c r="AO97"/>
  <c r="AP97"/>
  <c r="AW97"/>
  <c r="AV97" s="1"/>
  <c r="AX97"/>
  <c r="BD97"/>
  <c r="BF97"/>
  <c r="BH97"/>
  <c r="AD97" s="1"/>
  <c r="BI97"/>
  <c r="AE97" s="1"/>
  <c r="BJ97"/>
  <c r="J101"/>
  <c r="K101"/>
  <c r="L101"/>
  <c r="AK101" s="1"/>
  <c r="Z101"/>
  <c r="AB101"/>
  <c r="AF101"/>
  <c r="AG101"/>
  <c r="AH101"/>
  <c r="AO101"/>
  <c r="AP101"/>
  <c r="AW101"/>
  <c r="AX101"/>
  <c r="AV101" s="1"/>
  <c r="BD101"/>
  <c r="BF101"/>
  <c r="BH101"/>
  <c r="AD101" s="1"/>
  <c r="BI101"/>
  <c r="AE101" s="1"/>
  <c r="BJ101"/>
  <c r="J103"/>
  <c r="K103"/>
  <c r="L103"/>
  <c r="AJ103" s="1"/>
  <c r="Z103"/>
  <c r="AF103"/>
  <c r="AG103"/>
  <c r="AH103"/>
  <c r="AO103"/>
  <c r="AP103"/>
  <c r="AW103"/>
  <c r="AV103" s="1"/>
  <c r="AX103"/>
  <c r="BD103"/>
  <c r="BF103"/>
  <c r="BH103"/>
  <c r="AD103" s="1"/>
  <c r="BI103"/>
  <c r="AE103" s="1"/>
  <c r="BJ103"/>
  <c r="J105"/>
  <c r="K105"/>
  <c r="L105"/>
  <c r="AL105" s="1"/>
  <c r="AF105"/>
  <c r="AG105"/>
  <c r="AO105"/>
  <c r="AP105"/>
  <c r="AV105"/>
  <c r="AW105"/>
  <c r="BC105" s="1"/>
  <c r="AX105"/>
  <c r="BD105"/>
  <c r="BF105"/>
  <c r="BH105"/>
  <c r="AD105" s="1"/>
  <c r="BI105"/>
  <c r="AE105" s="1"/>
  <c r="BJ105"/>
  <c r="Z105" s="1"/>
  <c r="J108"/>
  <c r="L108"/>
  <c r="AF108"/>
  <c r="AJ108"/>
  <c r="AK108"/>
  <c r="AL108"/>
  <c r="AO108"/>
  <c r="AP108"/>
  <c r="K108" s="1"/>
  <c r="AW108"/>
  <c r="BD108"/>
  <c r="BF108"/>
  <c r="BH108"/>
  <c r="AD108" s="1"/>
  <c r="BI108"/>
  <c r="AC108" s="1"/>
  <c r="BJ108"/>
  <c r="Z108" s="1"/>
  <c r="L111"/>
  <c r="AJ111"/>
  <c r="AK111"/>
  <c r="AL111"/>
  <c r="AO111"/>
  <c r="J111" s="1"/>
  <c r="AP111"/>
  <c r="AX111" s="1"/>
  <c r="BD111"/>
  <c r="BF111"/>
  <c r="BI111"/>
  <c r="AC111" s="1"/>
  <c r="BJ111"/>
  <c r="Z111" s="1"/>
  <c r="L113"/>
  <c r="Z113"/>
  <c r="AH113"/>
  <c r="AJ113"/>
  <c r="AK113"/>
  <c r="AL113"/>
  <c r="AO113"/>
  <c r="AW113" s="1"/>
  <c r="AP113"/>
  <c r="AX113" s="1"/>
  <c r="BD113"/>
  <c r="BF113"/>
  <c r="BJ113"/>
  <c r="K115"/>
  <c r="L115"/>
  <c r="AJ115" s="1"/>
  <c r="Z115"/>
  <c r="AC115"/>
  <c r="AG115"/>
  <c r="AH115"/>
  <c r="AK115"/>
  <c r="AL115"/>
  <c r="AO115"/>
  <c r="AW115" s="1"/>
  <c r="AP115"/>
  <c r="AX115"/>
  <c r="BD115"/>
  <c r="BF115"/>
  <c r="BI115"/>
  <c r="AE115" s="1"/>
  <c r="BJ115"/>
  <c r="J116"/>
  <c r="K116"/>
  <c r="L116"/>
  <c r="Z116"/>
  <c r="AB116"/>
  <c r="AC116"/>
  <c r="AF116"/>
  <c r="AG116"/>
  <c r="AH116"/>
  <c r="AJ116"/>
  <c r="AK116"/>
  <c r="AL116"/>
  <c r="AO116"/>
  <c r="AP116"/>
  <c r="AW116"/>
  <c r="AV116" s="1"/>
  <c r="AX116"/>
  <c r="BC116"/>
  <c r="BD116"/>
  <c r="BF116"/>
  <c r="BH116"/>
  <c r="AD116" s="1"/>
  <c r="BI116"/>
  <c r="AE116" s="1"/>
  <c r="BJ116"/>
  <c r="K118"/>
  <c r="L118"/>
  <c r="AJ118" s="1"/>
  <c r="Z118"/>
  <c r="AB118"/>
  <c r="AC118"/>
  <c r="AG118"/>
  <c r="AH118"/>
  <c r="AK118"/>
  <c r="AL118"/>
  <c r="AO118"/>
  <c r="AW118" s="1"/>
  <c r="AP118"/>
  <c r="AX118"/>
  <c r="BD118"/>
  <c r="BF118"/>
  <c r="BH118"/>
  <c r="AF118" s="1"/>
  <c r="BI118"/>
  <c r="AE118" s="1"/>
  <c r="BJ118"/>
  <c r="J119"/>
  <c r="K119"/>
  <c r="K117" s="1"/>
  <c r="L119"/>
  <c r="Z119"/>
  <c r="AB119"/>
  <c r="AC119"/>
  <c r="AF119"/>
  <c r="AG119"/>
  <c r="AH119"/>
  <c r="AJ119"/>
  <c r="AK119"/>
  <c r="AL119"/>
  <c r="AO119"/>
  <c r="AP119"/>
  <c r="AW119"/>
  <c r="AV119" s="1"/>
  <c r="AX119"/>
  <c r="BC119"/>
  <c r="BD119"/>
  <c r="BF119"/>
  <c r="BH119"/>
  <c r="AD119" s="1"/>
  <c r="BI119"/>
  <c r="AE119" s="1"/>
  <c r="BJ119"/>
  <c r="J121"/>
  <c r="K121"/>
  <c r="L121"/>
  <c r="L117" s="1"/>
  <c r="Z121"/>
  <c r="AB121"/>
  <c r="AF121"/>
  <c r="AG121"/>
  <c r="AH121"/>
  <c r="AO121"/>
  <c r="AP121"/>
  <c r="AW121"/>
  <c r="AX121"/>
  <c r="BC121" s="1"/>
  <c r="BD121"/>
  <c r="BF121"/>
  <c r="BH121"/>
  <c r="AD121" s="1"/>
  <c r="BI121"/>
  <c r="AE121" s="1"/>
  <c r="BJ121"/>
  <c r="J124"/>
  <c r="J123" s="1"/>
  <c r="K124"/>
  <c r="K123" s="1"/>
  <c r="L124"/>
  <c r="AL124" s="1"/>
  <c r="AU123" s="1"/>
  <c r="AF124"/>
  <c r="AG124"/>
  <c r="AO124"/>
  <c r="AP124"/>
  <c r="AV124"/>
  <c r="AW124"/>
  <c r="BC124" s="1"/>
  <c r="AX124"/>
  <c r="BD124"/>
  <c r="BF124"/>
  <c r="BH124"/>
  <c r="AD124" s="1"/>
  <c r="BI124"/>
  <c r="AE124" s="1"/>
  <c r="BJ124"/>
  <c r="AH124" s="1"/>
  <c r="J126"/>
  <c r="J127"/>
  <c r="K127"/>
  <c r="K126" s="1"/>
  <c r="L127"/>
  <c r="AL127" s="1"/>
  <c r="AU126" s="1"/>
  <c r="Z127"/>
  <c r="AF127"/>
  <c r="AG127"/>
  <c r="AH127"/>
  <c r="AO127"/>
  <c r="AP127"/>
  <c r="AW127"/>
  <c r="AV127" s="1"/>
  <c r="AX127"/>
  <c r="BD127"/>
  <c r="BF127"/>
  <c r="BH127"/>
  <c r="AD127" s="1"/>
  <c r="BI127"/>
  <c r="AE127" s="1"/>
  <c r="BJ127"/>
  <c r="J128"/>
  <c r="K128"/>
  <c r="J129"/>
  <c r="K129"/>
  <c r="L129"/>
  <c r="AJ129" s="1"/>
  <c r="AS128" s="1"/>
  <c r="Z129"/>
  <c r="AB129"/>
  <c r="AF129"/>
  <c r="AG129"/>
  <c r="AH129"/>
  <c r="AO129"/>
  <c r="AP129"/>
  <c r="AW129"/>
  <c r="AX129"/>
  <c r="AV129" s="1"/>
  <c r="BD129"/>
  <c r="BF129"/>
  <c r="BH129"/>
  <c r="AD129" s="1"/>
  <c r="BI129"/>
  <c r="AE129" s="1"/>
  <c r="BJ129"/>
  <c r="J131"/>
  <c r="K131"/>
  <c r="L131"/>
  <c r="J132"/>
  <c r="K132"/>
  <c r="L132"/>
  <c r="AL132" s="1"/>
  <c r="AU131" s="1"/>
  <c r="Z132"/>
  <c r="AB132"/>
  <c r="AC132"/>
  <c r="AF132"/>
  <c r="AG132"/>
  <c r="AH132"/>
  <c r="AJ132"/>
  <c r="AS131" s="1"/>
  <c r="AK132"/>
  <c r="AT131" s="1"/>
  <c r="AO132"/>
  <c r="AP132"/>
  <c r="AW132"/>
  <c r="AV132" s="1"/>
  <c r="AX132"/>
  <c r="BC132"/>
  <c r="BD132"/>
  <c r="BF132"/>
  <c r="BH132"/>
  <c r="AD132" s="1"/>
  <c r="BI132"/>
  <c r="AE132" s="1"/>
  <c r="BJ132"/>
  <c r="L133"/>
  <c r="K134"/>
  <c r="L134"/>
  <c r="AJ134" s="1"/>
  <c r="AS133" s="1"/>
  <c r="Z134"/>
  <c r="AB134"/>
  <c r="AC134"/>
  <c r="AG134"/>
  <c r="AH134"/>
  <c r="AK134"/>
  <c r="AT133" s="1"/>
  <c r="AL134"/>
  <c r="AO134"/>
  <c r="AW134" s="1"/>
  <c r="AP134"/>
  <c r="AX134"/>
  <c r="BD134"/>
  <c r="BF134"/>
  <c r="BH134"/>
  <c r="AF134" s="1"/>
  <c r="BI134"/>
  <c r="AE134" s="1"/>
  <c r="BJ134"/>
  <c r="J135"/>
  <c r="K135"/>
  <c r="K133" s="1"/>
  <c r="L135"/>
  <c r="AL135" s="1"/>
  <c r="Z135"/>
  <c r="AB135"/>
  <c r="AC135"/>
  <c r="AF135"/>
  <c r="AG135"/>
  <c r="AH135"/>
  <c r="AJ135"/>
  <c r="AK135"/>
  <c r="AO135"/>
  <c r="AP135"/>
  <c r="AW135"/>
  <c r="AV135" s="1"/>
  <c r="AX135"/>
  <c r="BC135"/>
  <c r="BD135"/>
  <c r="BF135"/>
  <c r="BH135"/>
  <c r="AD135" s="1"/>
  <c r="BI135"/>
  <c r="AE135" s="1"/>
  <c r="BJ135"/>
  <c r="C2" i="2"/>
  <c r="F2"/>
  <c r="C4"/>
  <c r="F4"/>
  <c r="C6"/>
  <c r="F6"/>
  <c r="C8"/>
  <c r="F8"/>
  <c r="C10"/>
  <c r="F10"/>
  <c r="I10"/>
  <c r="F22"/>
  <c r="I22"/>
  <c r="BC82" i="1" l="1"/>
  <c r="AV82"/>
  <c r="BC57"/>
  <c r="AV57"/>
  <c r="BC60"/>
  <c r="AV60"/>
  <c r="BC38"/>
  <c r="AV38"/>
  <c r="BC118"/>
  <c r="AV118"/>
  <c r="BC79"/>
  <c r="AV79"/>
  <c r="BC49"/>
  <c r="AV49"/>
  <c r="BC41"/>
  <c r="AV41"/>
  <c r="BC22"/>
  <c r="AV22"/>
  <c r="AS81"/>
  <c r="K122"/>
  <c r="AB53"/>
  <c r="AF53"/>
  <c r="AD53"/>
  <c r="J14"/>
  <c r="BC115"/>
  <c r="AV115"/>
  <c r="BC24"/>
  <c r="AV24"/>
  <c r="AU14"/>
  <c r="AS30"/>
  <c r="K14"/>
  <c r="AU133"/>
  <c r="BC74"/>
  <c r="BC77"/>
  <c r="AV77"/>
  <c r="BC134"/>
  <c r="AV134"/>
  <c r="AU30"/>
  <c r="BC113"/>
  <c r="AV113"/>
  <c r="BC64"/>
  <c r="AV64"/>
  <c r="BC62"/>
  <c r="AV62"/>
  <c r="BC59"/>
  <c r="AV59"/>
  <c r="BC55"/>
  <c r="AV55"/>
  <c r="BC50"/>
  <c r="AV50"/>
  <c r="BC20"/>
  <c r="AV20"/>
  <c r="AU81"/>
  <c r="AE74"/>
  <c r="AE46"/>
  <c r="BH113"/>
  <c r="AJ94"/>
  <c r="AJ88"/>
  <c r="AD77"/>
  <c r="AE76"/>
  <c r="BC68"/>
  <c r="AJ68"/>
  <c r="AD62"/>
  <c r="AD59"/>
  <c r="AE57"/>
  <c r="AD55"/>
  <c r="AE53"/>
  <c r="AD50"/>
  <c r="AE49"/>
  <c r="AE44"/>
  <c r="AD41"/>
  <c r="AJ33"/>
  <c r="L30"/>
  <c r="AJ29"/>
  <c r="AS28" s="1"/>
  <c r="AE22"/>
  <c r="AE20"/>
  <c r="AE18"/>
  <c r="AE16"/>
  <c r="BH20"/>
  <c r="AE111"/>
  <c r="BC88"/>
  <c r="AK129"/>
  <c r="AT128" s="1"/>
  <c r="AJ127"/>
  <c r="AS126" s="1"/>
  <c r="AH105"/>
  <c r="L100"/>
  <c r="AJ97"/>
  <c r="AK94"/>
  <c r="AJ91"/>
  <c r="AK68"/>
  <c r="AT61" s="1"/>
  <c r="AE108"/>
  <c r="L81"/>
  <c r="AD76"/>
  <c r="AD22"/>
  <c r="AD16"/>
  <c r="AJ121"/>
  <c r="AS117" s="1"/>
  <c r="L128"/>
  <c r="AG108"/>
  <c r="AK88"/>
  <c r="AF76"/>
  <c r="K74"/>
  <c r="AE62"/>
  <c r="AE59"/>
  <c r="J57"/>
  <c r="J56" s="1"/>
  <c r="J49"/>
  <c r="K46"/>
  <c r="AD38"/>
  <c r="AK33"/>
  <c r="AT30" s="1"/>
  <c r="L28"/>
  <c r="BC27"/>
  <c r="AJ27"/>
  <c r="AS26" s="1"/>
  <c r="J22"/>
  <c r="J20"/>
  <c r="J19" s="1"/>
  <c r="AL129"/>
  <c r="AU128" s="1"/>
  <c r="AC129"/>
  <c r="AK127"/>
  <c r="AT126" s="1"/>
  <c r="AB127"/>
  <c r="L126"/>
  <c r="AJ124"/>
  <c r="AS123" s="1"/>
  <c r="Z124"/>
  <c r="AL121"/>
  <c r="AU117" s="1"/>
  <c r="AC121"/>
  <c r="J113"/>
  <c r="AW111"/>
  <c r="AG111"/>
  <c r="K111"/>
  <c r="K100" s="1"/>
  <c r="AX108"/>
  <c r="AV108" s="1"/>
  <c r="AH108"/>
  <c r="AJ105"/>
  <c r="AK103"/>
  <c r="AT100" s="1"/>
  <c r="AB103"/>
  <c r="AL101"/>
  <c r="AC101"/>
  <c r="AK97"/>
  <c r="AB97"/>
  <c r="AL94"/>
  <c r="AU93" s="1"/>
  <c r="AC94"/>
  <c r="AK91"/>
  <c r="AT81" s="1"/>
  <c r="AB91"/>
  <c r="AC88"/>
  <c r="AF77"/>
  <c r="J77"/>
  <c r="AW76"/>
  <c r="AG76"/>
  <c r="K76"/>
  <c r="AH74"/>
  <c r="AJ72"/>
  <c r="Z72"/>
  <c r="AK70"/>
  <c r="AB70"/>
  <c r="AC68"/>
  <c r="AF62"/>
  <c r="J62"/>
  <c r="AF59"/>
  <c r="J59"/>
  <c r="AG57"/>
  <c r="K57"/>
  <c r="AF55"/>
  <c r="J55"/>
  <c r="AW53"/>
  <c r="AG53"/>
  <c r="K53"/>
  <c r="AF50"/>
  <c r="J50"/>
  <c r="J45" s="1"/>
  <c r="AG49"/>
  <c r="K49"/>
  <c r="AH46"/>
  <c r="AW44"/>
  <c r="AG44"/>
  <c r="K44"/>
  <c r="K43" s="1"/>
  <c r="AF41"/>
  <c r="J41"/>
  <c r="J40" s="1"/>
  <c r="AC33"/>
  <c r="AL29"/>
  <c r="AU28" s="1"/>
  <c r="AC29"/>
  <c r="AK27"/>
  <c r="AT26" s="1"/>
  <c r="AB27"/>
  <c r="L26"/>
  <c r="AG22"/>
  <c r="K22"/>
  <c r="K21" s="1"/>
  <c r="AG20"/>
  <c r="K20"/>
  <c r="K19" s="1"/>
  <c r="AW18"/>
  <c r="AG18"/>
  <c r="K18"/>
  <c r="K17" s="1"/>
  <c r="AW16"/>
  <c r="AG16"/>
  <c r="K16"/>
  <c r="AJ15"/>
  <c r="Z15"/>
  <c r="C21" i="2" s="1"/>
  <c r="BH111" i="1"/>
  <c r="AD44"/>
  <c r="BC129"/>
  <c r="BC101"/>
  <c r="AD134"/>
  <c r="BC127"/>
  <c r="AD118"/>
  <c r="BH115"/>
  <c r="BI113"/>
  <c r="BC103"/>
  <c r="AD82"/>
  <c r="BH79"/>
  <c r="BI77"/>
  <c r="BC70"/>
  <c r="AD60"/>
  <c r="AF57"/>
  <c r="BI55"/>
  <c r="J53"/>
  <c r="J52" s="1"/>
  <c r="BI50"/>
  <c r="AF49"/>
  <c r="AG46"/>
  <c r="AF44"/>
  <c r="AE41"/>
  <c r="AD24"/>
  <c r="AF22"/>
  <c r="AF18"/>
  <c r="AF16"/>
  <c r="J134"/>
  <c r="J133" s="1"/>
  <c r="J122" s="1"/>
  <c r="AC127"/>
  <c r="AK124"/>
  <c r="AT123" s="1"/>
  <c r="AB124"/>
  <c r="L123"/>
  <c r="L122" s="1"/>
  <c r="J118"/>
  <c r="J117" s="1"/>
  <c r="J115"/>
  <c r="J100" s="1"/>
  <c r="K113"/>
  <c r="AH111"/>
  <c r="AK105"/>
  <c r="AB105"/>
  <c r="AL103"/>
  <c r="AC103"/>
  <c r="AC97"/>
  <c r="AC91"/>
  <c r="J82"/>
  <c r="J81" s="1"/>
  <c r="J79"/>
  <c r="K77"/>
  <c r="AH76"/>
  <c r="AK72"/>
  <c r="AB72"/>
  <c r="AL70"/>
  <c r="AU61" s="1"/>
  <c r="AC70"/>
  <c r="AF64"/>
  <c r="J64"/>
  <c r="K62"/>
  <c r="K61" s="1"/>
  <c r="J60"/>
  <c r="K59"/>
  <c r="AH57"/>
  <c r="K55"/>
  <c r="AH53"/>
  <c r="K50"/>
  <c r="AH49"/>
  <c r="AH44"/>
  <c r="K41"/>
  <c r="K40" s="1"/>
  <c r="J38"/>
  <c r="J37" s="1"/>
  <c r="AC27"/>
  <c r="J24"/>
  <c r="AH22"/>
  <c r="C20" i="2" s="1"/>
  <c r="AH20" i="1"/>
  <c r="AH18"/>
  <c r="AH16"/>
  <c r="AK15"/>
  <c r="AB15"/>
  <c r="L14"/>
  <c r="AD49"/>
  <c r="AJ101"/>
  <c r="AS100" s="1"/>
  <c r="BC94"/>
  <c r="AK121"/>
  <c r="AT117" s="1"/>
  <c r="BC97"/>
  <c r="BC91"/>
  <c r="AG74"/>
  <c r="AC124"/>
  <c r="AB108"/>
  <c r="AC105"/>
  <c r="AB74"/>
  <c r="AC72"/>
  <c r="AB46"/>
  <c r="AC15"/>
  <c r="AD57"/>
  <c r="AV121"/>
  <c r="AB18"/>
  <c r="AJ64"/>
  <c r="AS61" s="1"/>
  <c r="AB115" l="1"/>
  <c r="AD115"/>
  <c r="AF115"/>
  <c r="C29" i="2"/>
  <c r="F29" s="1"/>
  <c r="AC113" i="1"/>
  <c r="AG113"/>
  <c r="AE113"/>
  <c r="AB20"/>
  <c r="AF20"/>
  <c r="C18" i="2" s="1"/>
  <c r="AD20" i="1"/>
  <c r="K13"/>
  <c r="K12"/>
  <c r="J13"/>
  <c r="J12"/>
  <c r="AG50"/>
  <c r="AE50"/>
  <c r="C17" i="2" s="1"/>
  <c r="AC50" i="1"/>
  <c r="AB113"/>
  <c r="AF113"/>
  <c r="AD113"/>
  <c r="AT93"/>
  <c r="J61"/>
  <c r="J25" s="1"/>
  <c r="BC18"/>
  <c r="AV18"/>
  <c r="BC44"/>
  <c r="AV44"/>
  <c r="L25"/>
  <c r="K52"/>
  <c r="K45"/>
  <c r="K25" s="1"/>
  <c r="AS93"/>
  <c r="AD79"/>
  <c r="AF79"/>
  <c r="AB79"/>
  <c r="BC16"/>
  <c r="AV16"/>
  <c r="AG77"/>
  <c r="AE77"/>
  <c r="AC77"/>
  <c r="J21"/>
  <c r="L12"/>
  <c r="L137"/>
  <c r="L13"/>
  <c r="AD111"/>
  <c r="AB111"/>
  <c r="AF111"/>
  <c r="BC53"/>
  <c r="AV53"/>
  <c r="C28" i="2"/>
  <c r="F28" s="1"/>
  <c r="AT14" i="1"/>
  <c r="BC111"/>
  <c r="AV111"/>
  <c r="C15" i="2"/>
  <c r="AU100" i="1"/>
  <c r="AG55"/>
  <c r="C19" i="2" s="1"/>
  <c r="AC55" i="1"/>
  <c r="AE55"/>
  <c r="BC76"/>
  <c r="AV76"/>
  <c r="AS14"/>
  <c r="C27" i="2"/>
  <c r="I28" s="1"/>
  <c r="C14"/>
  <c r="K56" i="1"/>
  <c r="BC108"/>
  <c r="I29" i="2" l="1"/>
  <c r="C16"/>
  <c r="C22" s="1"/>
</calcChain>
</file>

<file path=xl/sharedStrings.xml><?xml version="1.0" encoding="utf-8"?>
<sst xmlns="http://schemas.openxmlformats.org/spreadsheetml/2006/main" count="1023" uniqueCount="371">
  <si>
    <t>Doba výstavby:</t>
  </si>
  <si>
    <t>Hloubené vykopávky</t>
  </si>
  <si>
    <t>Osazení stojat. obrub. bet.bez opěry,lože z C12/15</t>
  </si>
  <si>
    <t>Projektant</t>
  </si>
  <si>
    <t>919735113R00</t>
  </si>
  <si>
    <t>Základ 15%</t>
  </si>
  <si>
    <t>Dlažba z lomového kamene,lože z MC do 5 cm</t>
  </si>
  <si>
    <t>91</t>
  </si>
  <si>
    <t>919721211R00</t>
  </si>
  <si>
    <t>Základ 21%</t>
  </si>
  <si>
    <t>20</t>
  </si>
  <si>
    <t>03VRN</t>
  </si>
  <si>
    <t>Přesun hmot, pozemní komunikace, kryt živičný</t>
  </si>
  <si>
    <t>Dodávka</t>
  </si>
  <si>
    <t>NUS celkem z obj.</t>
  </si>
  <si>
    <t>Uložení sypaniny do násypů nezhutněných</t>
  </si>
  <si>
    <t>Název stavby:</t>
  </si>
  <si>
    <t>Ostatní materiál</t>
  </si>
  <si>
    <t>48</t>
  </si>
  <si>
    <t>29</t>
  </si>
  <si>
    <t>Č</t>
  </si>
  <si>
    <t>89_</t>
  </si>
  <si>
    <t>Poplatek za skládku horniny 5 - 7, č. dle katal. odpadů 17 05 04</t>
  </si>
  <si>
    <t>Osazení stojat. obrub.bet. s opěrou,lože z C 12/15</t>
  </si>
  <si>
    <t>Poznámka:</t>
  </si>
  <si>
    <t>Lokalita:</t>
  </si>
  <si>
    <t>včetně obrubníku nájezdového CSB H 15 1000/150/150</t>
  </si>
  <si>
    <t>16</t>
  </si>
  <si>
    <t>PSV</t>
  </si>
  <si>
    <t>24</t>
  </si>
  <si>
    <t>Bez pevné podl.</t>
  </si>
  <si>
    <t>Celkem</t>
  </si>
  <si>
    <t>Zařízení staveniště</t>
  </si>
  <si>
    <t>Dlažba BEST KLASIKO červená pro nevidomé 20x10x8</t>
  </si>
  <si>
    <t>11_</t>
  </si>
  <si>
    <t>4</t>
  </si>
  <si>
    <t>objem retence I+ objem retence II:10mx24mx(1,5m+0,5m) + 2,5mx14mx3m = 585 m3</t>
  </si>
  <si>
    <t>572751112R00</t>
  </si>
  <si>
    <t>11.3.2005 provedena oprava normy - přidán přesun hmot</t>
  </si>
  <si>
    <t>Základní rozpočtové náklady</t>
  </si>
  <si>
    <t>916561111RT4</t>
  </si>
  <si>
    <t>26</t>
  </si>
  <si>
    <t>Konstrukce ze zemin</t>
  </si>
  <si>
    <t>Celkem bez DPH</t>
  </si>
  <si>
    <t>Položka je určena pro úpravy vodních toků a kanály délky do 7 km, hráze ochranné, rybniční a ostatní (833 2, 833 3, 832 15, 832 16, 832 19)</t>
  </si>
  <si>
    <t>998223011R00</t>
  </si>
  <si>
    <t>Položka obsahuje zřízení podkladního betonu tl. 100 mm, položení lože ze suchého betonu tl. 30 mm a montáž trub. V položce nejsou zakalkulovány náklady na dodání trub. Dodávka se oceňuje ve specifikaci. Ztratné se nedoporučuje. Položka neobsahuje náklady na zálivku dilatační spáry se sousední konstrukcí. Pro trouby do 450 mm šířky</t>
  </si>
  <si>
    <t>6</t>
  </si>
  <si>
    <t>Rozpočtové náklady v Kč</t>
  </si>
  <si>
    <t>B</t>
  </si>
  <si>
    <t>Náklady na umístění stavby (NUS)</t>
  </si>
  <si>
    <t>42</t>
  </si>
  <si>
    <t>Zkoušky</t>
  </si>
  <si>
    <t>034002VRN</t>
  </si>
  <si>
    <t>Montáž</t>
  </si>
  <si>
    <t>Datum, razítko a podpis</t>
  </si>
  <si>
    <t>so 126_</t>
  </si>
  <si>
    <t>ZRN celkem</t>
  </si>
  <si>
    <t>17_</t>
  </si>
  <si>
    <t>Filtrační vrstvy z nezhutněné štěrkodrti 0-125 mm</t>
  </si>
  <si>
    <t>59227453</t>
  </si>
  <si>
    <t>59245040</t>
  </si>
  <si>
    <t>Dlažba vibrolisovaná, barva červená</t>
  </si>
  <si>
    <t>Dodávka trub se oceňuje ve specifikaci. Ztratné se doporučuje ve výši 10 %. Položka obsahuje náklady na spojování protlačovaných trub, úpravu čela potrubí pro protlačení, odstranění horniny z protlačovaných trub stlačeným vzduchem, vodorovné přemístění výkopku z protlačovaného potrubí a svislé přemístění výkopku z montážní jámy na přilehlý terén. Položka neobsahuje zemní práce pro startovací a vytahovací jámy, případné roubení, čerpání vody, montáž vedení do chráničky a případné zřízení opěrné konstrukce pro zatlačovací zařízení, úpravu dna startovací jámy kamenivem ani silničními panely</t>
  </si>
  <si>
    <t>33</t>
  </si>
  <si>
    <t>DPH 15%</t>
  </si>
  <si>
    <t>Krycí list slepého rozpočtu</t>
  </si>
  <si>
    <t>Podklad z kameniva zpev.cementem SC C8/10 tl.12 cm</t>
  </si>
  <si>
    <t>03VRN_</t>
  </si>
  <si>
    <t>Impregnace Protect system I</t>
  </si>
  <si>
    <t>25</t>
  </si>
  <si>
    <t>kus</t>
  </si>
  <si>
    <t>so 305</t>
  </si>
  <si>
    <t>Odkopávky a prokopávky</t>
  </si>
  <si>
    <t>831350014RAA</t>
  </si>
  <si>
    <t>Dodávky</t>
  </si>
  <si>
    <t>075002VRN</t>
  </si>
  <si>
    <t>soustava</t>
  </si>
  <si>
    <t>Ostatní mat.</t>
  </si>
  <si>
    <t>Cenová</t>
  </si>
  <si>
    <t>Dlažba BEST KLASIKO rovné přírodní  20x10x6</t>
  </si>
  <si>
    <t>HSV prac</t>
  </si>
  <si>
    <t>162701155R00</t>
  </si>
  <si>
    <t>13</t>
  </si>
  <si>
    <t>Osazení záhon.obrubníků do lože z C 12/15 s opěrou</t>
  </si>
  <si>
    <t>592453092</t>
  </si>
  <si>
    <t>"M"</t>
  </si>
  <si>
    <t>894411010RAF</t>
  </si>
  <si>
    <t>Postřik spojovací z KAE, množství zbytkového asfaltu 0,4 kg/m2</t>
  </si>
  <si>
    <t>včetně obrubníku ABO 4 - 5    50/5/25</t>
  </si>
  <si>
    <t>Odkopávky nezapažené v hor. 5 do 1000 m3</t>
  </si>
  <si>
    <t>Cena/MJ</t>
  </si>
  <si>
    <t>14231111</t>
  </si>
  <si>
    <t>Konec výstavby:</t>
  </si>
  <si>
    <t>Beton asfalt. ACO 8,ACO 11,ACO 16, do 3 m, tl.5 cm</t>
  </si>
  <si>
    <t>Kód</t>
  </si>
  <si>
    <t>04VRN</t>
  </si>
  <si>
    <t>43</t>
  </si>
  <si>
    <t>Řezání zámkové dlažby tl. 60 mm</t>
  </si>
  <si>
    <t>RETENCE</t>
  </si>
  <si>
    <t>113153114R00</t>
  </si>
  <si>
    <t>Úprava podloží a základové spáry</t>
  </si>
  <si>
    <t>Od CÚ 2015/ II. není v jednotkové ceně započteno řezání dlaždic!!! Rozpočtuje se samostatnou položkou 596 29-1113.R00 Řezání zámkové dlažby tl. 80 mm. V položce jsou zakalkulovány i náklady na dodání hmot pro lože a na dodání materiálu na výplň spár. V položce nejsou zakalkulovány náklady na dodání zámkové dlažby, která se oceňuje ve specifikaci, ztratné se doporučuje ve výši 5%.</t>
  </si>
  <si>
    <t>917832111RT7</t>
  </si>
  <si>
    <t>Hloubení pro podzemní stěny, ražení a hloubení důlní</t>
  </si>
  <si>
    <t>Kladení zámkové dlažby tl. 8 cm do drtě tl. 4 cm</t>
  </si>
  <si>
    <t>MJ</t>
  </si>
  <si>
    <t>Přesun hmot, pozemní komunikace, kryt dlážděný</t>
  </si>
  <si>
    <t>45</t>
  </si>
  <si>
    <t>40</t>
  </si>
  <si>
    <t>Fréz.beton.krytu pl.do 500 m2,pruh do 75 cm,tl.5cm</t>
  </si>
  <si>
    <t>Doplňující konstrukce a práce na pozemních komunikacích a zpevněných plochách</t>
  </si>
  <si>
    <t>Doplňkové náklady</t>
  </si>
  <si>
    <t>RTS komentář:</t>
  </si>
  <si>
    <t>PSV prac</t>
  </si>
  <si>
    <t>HSV</t>
  </si>
  <si>
    <t>9</t>
  </si>
  <si>
    <t>Různé dokončovací konstrukce a práce inženýrských staveb</t>
  </si>
  <si>
    <t>15</t>
  </si>
  <si>
    <t>596215021R00</t>
  </si>
  <si>
    <t>ISWORK</t>
  </si>
  <si>
    <t>57_</t>
  </si>
  <si>
    <t>596215040R00</t>
  </si>
  <si>
    <t>Celkem včetně DPH</t>
  </si>
  <si>
    <t>Základ 0%</t>
  </si>
  <si>
    <t>52</t>
  </si>
  <si>
    <t>596291111R00</t>
  </si>
  <si>
    <t>51</t>
  </si>
  <si>
    <t>Osazení přík.žlabu do C8/10 tl.10cm z tvárnic 80cm</t>
  </si>
  <si>
    <t>Mont prac</t>
  </si>
  <si>
    <t>998332011R00</t>
  </si>
  <si>
    <t>Opláštění žeber z geotextilie o sklonu do 1 : 2,5</t>
  </si>
  <si>
    <t>44</t>
  </si>
  <si>
    <t>894412311RAB</t>
  </si>
  <si>
    <t>23</t>
  </si>
  <si>
    <t>917862111RV3</t>
  </si>
  <si>
    <t>59</t>
  </si>
  <si>
    <t>t</t>
  </si>
  <si>
    <t> </t>
  </si>
  <si>
    <t>53</t>
  </si>
  <si>
    <t>Položky jsou shodné i pro úpravu pláně v násypech.</t>
  </si>
  <si>
    <t>99</t>
  </si>
  <si>
    <t>V ceně není zahrnuta cena za vyřízení uzavírky. Vyřizuje objednatel.</t>
  </si>
  <si>
    <t>Průzkumy, geodetické a projektové práce</t>
  </si>
  <si>
    <t>so 126_1_</t>
  </si>
  <si>
    <t>Řezání zámkové dlažby tl. 80 mm</t>
  </si>
  <si>
    <t>012002VRN</t>
  </si>
  <si>
    <t>01VRN_</t>
  </si>
  <si>
    <t>so 305_4_</t>
  </si>
  <si>
    <t>JKSO:</t>
  </si>
  <si>
    <t>45_</t>
  </si>
  <si>
    <t>564851111RT2</t>
  </si>
  <si>
    <t>18_</t>
  </si>
  <si>
    <t>577141212RT3</t>
  </si>
  <si>
    <t>917862111RV4</t>
  </si>
  <si>
    <t>Ochraná pásma objektů a inženýrských sítí</t>
  </si>
  <si>
    <t>Trativody z drenážních trubek</t>
  </si>
  <si>
    <t>12_</t>
  </si>
  <si>
    <t>Kryty pozemních komunikací, letišť a ploch z kameniva nebo živičné</t>
  </si>
  <si>
    <t>Varianta:</t>
  </si>
  <si>
    <t>DN celkem</t>
  </si>
  <si>
    <t>GROUPCODE</t>
  </si>
  <si>
    <t>0</t>
  </si>
  <si>
    <t>Provozní vlivy</t>
  </si>
  <si>
    <t>5</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</si>
  <si>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</si>
  <si>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štěrkodrť frakce 0-32 mm</t>
  </si>
  <si>
    <t>Kanalizační přípojka z trub PVC, D 200 mm; vč napojení</t>
  </si>
  <si>
    <t>Druh stavby:</t>
  </si>
  <si>
    <t>Přípravné a přidružené práce</t>
  </si>
  <si>
    <t>V položce je zakalkulováno: hloubení rýh, pažení a rozepření rýh včetně přepažování, svislé přemístění, naložení přebytku po zásypu (0,675 m3/m rýhy) na dopravní prostředek, odvoz do 6 km a uložení na skládku, lože pod potrubí ze štěrkopísku, dodávka a montáž potrubí z trub PVC vnějšího průměru dle popisu,  zřízení kanalizační přípojky (1 kus/20 m potrubí), dodávka a montáž PVC tvarovek odbočných (1 kus/ 20 m potrubí), dodávka a montáž PVC tvarovek jednoosých (1 kus/ 20 m potrubí), obsyp potrubí pískem, zásyp rýhy sypaninou, se zhutněním. V položce není kalkulován poplatek za skládku zeminy. Tyto náklady se oceňují individuálně podle místních podmínek.</t>
  </si>
  <si>
    <t>Zpracováno dne:</t>
  </si>
  <si>
    <t>so 126</t>
  </si>
  <si>
    <t>lože štěrkopís.,obsyp kamenivem,světlost trub 20cm</t>
  </si>
  <si>
    <t>Silniční provoz - DIO, DIR a dopravní značení</t>
  </si>
  <si>
    <t>Ražení a hloubení tunelářské</t>
  </si>
  <si>
    <t>V položce je zakalkulováno: osazení betonového dna, betonové skruže, šachetního konusu, vyrovnávacího prstence vložení těsnění mezi dílce a osazení litinového poklopu.  V max. 40 vtok/výtok do max. DN 40</t>
  </si>
  <si>
    <t>10</t>
  </si>
  <si>
    <t>36</t>
  </si>
  <si>
    <t>14</t>
  </si>
  <si>
    <t>VORN - Vedlejší a ostatní rozpočtové náklady</t>
  </si>
  <si>
    <t>31</t>
  </si>
  <si>
    <t>831350114RAD</t>
  </si>
  <si>
    <t>Množství</t>
  </si>
  <si>
    <t>38</t>
  </si>
  <si>
    <t>so 126_9_</t>
  </si>
  <si>
    <t>Úprava pláně v zářezech v hor. 1-4, se zhutněním</t>
  </si>
  <si>
    <t>21_</t>
  </si>
  <si>
    <t>Typ skupiny</t>
  </si>
  <si>
    <t>plochy 101-200 m2</t>
  </si>
  <si>
    <t>Hloubení zapažených jam v hor.5 do 1000 m3</t>
  </si>
  <si>
    <t>69370512</t>
  </si>
  <si>
    <t>83_</t>
  </si>
  <si>
    <t>56</t>
  </si>
  <si>
    <t>19</t>
  </si>
  <si>
    <t>C</t>
  </si>
  <si>
    <t>Náklady (Kč)</t>
  </si>
  <si>
    <t>39</t>
  </si>
  <si>
    <t>30</t>
  </si>
  <si>
    <t>Ostatní konstrukce a práce na trubním vedení</t>
  </si>
  <si>
    <t>IČO/DIČ:</t>
  </si>
  <si>
    <t>Ostatní</t>
  </si>
  <si>
    <t>567122111R00</t>
  </si>
  <si>
    <t>Kladení zámkové dlažby tl. 6 cm do drtě tl. 4 cm</t>
  </si>
  <si>
    <t>55</t>
  </si>
  <si>
    <t>Vyspravení výtluků krytů asf.betonem,1 km nad 10 t</t>
  </si>
  <si>
    <t>Zpracoval:</t>
  </si>
  <si>
    <t>Dlažba vibrolisovaná, standardní povrc</t>
  </si>
  <si>
    <t>Podkladní vrstvy komunikací, letišť a ploch</t>
  </si>
  <si>
    <t>919731121R00</t>
  </si>
  <si>
    <t>Uložení sypaniny do násypů nebo na skládku s rozprostřením sypaniny ve vrstvách a s hrubým urovnáním</t>
  </si>
  <si>
    <t>Soubor</t>
  </si>
  <si>
    <t>Protlak z ocel. trub beraněný, v hor.1-4, D 324 mm</t>
  </si>
  <si>
    <t>043002VRN</t>
  </si>
  <si>
    <t>594411111RT2</t>
  </si>
  <si>
    <t>Přesun hmot, trubní vedení plastová, otevř. výkop</t>
  </si>
  <si>
    <t>131401202R00</t>
  </si>
  <si>
    <t>Zhotovitel</t>
  </si>
  <si>
    <t>RTS I / 2023</t>
  </si>
  <si>
    <t>Dilatační spáry vkládané vyplněné asfalt. zálivkou</t>
  </si>
  <si>
    <t>2</t>
  </si>
  <si>
    <t>Projektant:</t>
  </si>
  <si>
    <t>ORN celkem</t>
  </si>
  <si>
    <t>Zkrácený popis / Varianta</t>
  </si>
  <si>
    <t/>
  </si>
  <si>
    <t>V položce jsou zakalkulovány i náklady na spotřebu vody</t>
  </si>
  <si>
    <t>Kanalizace z trub PVC hrdlových D 250 mm</t>
  </si>
  <si>
    <t>17</t>
  </si>
  <si>
    <t>013002VRN</t>
  </si>
  <si>
    <t>59245264</t>
  </si>
  <si>
    <t>Zarovnání styčné plochy živičné tl. do 5 cm</t>
  </si>
  <si>
    <t>21</t>
  </si>
  <si>
    <t>Potrubí z trub kameninových</t>
  </si>
  <si>
    <t>Práce přesčas</t>
  </si>
  <si>
    <t>Impregnace Protect System I</t>
  </si>
  <si>
    <t>so 005_ _</t>
  </si>
  <si>
    <t>so 305_1_</t>
  </si>
  <si>
    <t>tloušťky 200 mm, tř. 1, včetně dodávky kamene</t>
  </si>
  <si>
    <t>07VRN</t>
  </si>
  <si>
    <t>12</t>
  </si>
  <si>
    <t>01VRN</t>
  </si>
  <si>
    <t>Kulturní památka</t>
  </si>
  <si>
    <t>TRUBKY BEZEŠVÉ HLADKÉ KRUHOVÉ ČSN 42 5715.01, ČSN 42 0250, ČSN 41 1353.1</t>
  </si>
  <si>
    <t>DPH 21%</t>
  </si>
  <si>
    <t>573231124R00</t>
  </si>
  <si>
    <t>rýha šířky 0,9 m, hloubky 1,5 m</t>
  </si>
  <si>
    <t>181101102R00</t>
  </si>
  <si>
    <t>Položka je určena i pro vkládané spáry podkladu z prostého betonu</t>
  </si>
  <si>
    <t>hloubka dna 2,26 m poklop litina 40 t</t>
  </si>
  <si>
    <t>Poplatek za skládku horniny 5 - 7</t>
  </si>
  <si>
    <t>Zabezpečení staveniště</t>
  </si>
  <si>
    <t>ORN celkem z obj.</t>
  </si>
  <si>
    <t>dříve MOKRUTEX SPECIAL DS  Je vyroben ze 100% POP střiže. Plní funkci separační. Použití: při výstavbě silnic, dálnic, železnic, parkovišť, mostů, tunelů, místních komunikací, lesních cest, letištních ploch, benzinových čerpadel, zpevnění hrází, skládek NO, TKO a jejich sanac</t>
  </si>
  <si>
    <t>Podkladní a vedlejší konstrukce (kromě vozovek a železničního svršku)</t>
  </si>
  <si>
    <t>so 126_2_</t>
  </si>
  <si>
    <t>49</t>
  </si>
  <si>
    <t>19_</t>
  </si>
  <si>
    <t>Přesuny</t>
  </si>
  <si>
    <t>MAT</t>
  </si>
  <si>
    <t>8</t>
  </si>
  <si>
    <t>Celkem:</t>
  </si>
  <si>
    <t>Mimostav. doprava</t>
  </si>
  <si>
    <t>18</t>
  </si>
  <si>
    <t>DN celkem z obj.</t>
  </si>
  <si>
    <t>včetně obrubníku ABO 2 - 15 100/15/25</t>
  </si>
  <si>
    <t>457541112R00</t>
  </si>
  <si>
    <t>46</t>
  </si>
  <si>
    <t>122401102R00</t>
  </si>
  <si>
    <t>50</t>
  </si>
  <si>
    <t>Vpusť uliční z dílců DN 450,s odkalištěm,napojení</t>
  </si>
  <si>
    <t>m</t>
  </si>
  <si>
    <t>NESTAVEBNÍ NÁKLADY</t>
  </si>
  <si>
    <t>Inženýrské činnosti</t>
  </si>
  <si>
    <t>04VRN_</t>
  </si>
  <si>
    <t>596291113R00</t>
  </si>
  <si>
    <t>Přemístění výkopku</t>
  </si>
  <si>
    <t>11</t>
  </si>
  <si>
    <t>RTS II / 2022</t>
  </si>
  <si>
    <t>935112211R00</t>
  </si>
  <si>
    <t>32</t>
  </si>
  <si>
    <t>Objednatel:</t>
  </si>
  <si>
    <t>Od CÚ 2015/ II. není v jednotkové ceně započteno řezání dlaždic!!! Rozpočtuje se samostatnou položkou 596 29-1111.R00 Řezání zámkové dlažby tl. 60 mm. V položce jsou zakalkulovány i náklady na dodání hmot pro lože a na dodání materiálu na výplň spár. V položce nejsou zakalkulovány náklady na dodání zámkové dlažby, která se oceňuje ve specifikaci, ztratné se doporučuje ve výši 5%.</t>
  </si>
  <si>
    <t>PSV mat</t>
  </si>
  <si>
    <t>Dlažba BEST KLASIKO přírodní 20x10x8</t>
  </si>
  <si>
    <t>3</t>
  </si>
  <si>
    <t>998276101R00</t>
  </si>
  <si>
    <t>Zhotovitel:</t>
  </si>
  <si>
    <t>35</t>
  </si>
  <si>
    <t>Začátek výstavby:</t>
  </si>
  <si>
    <t>Přesun hmot, úpravy toků a kanálů, hráze ostatní</t>
  </si>
  <si>
    <t>A</t>
  </si>
  <si>
    <t>Mont mat</t>
  </si>
  <si>
    <t>13_</t>
  </si>
  <si>
    <t>199000003R00</t>
  </si>
  <si>
    <t>Slepý stavební rozpočet</t>
  </si>
  <si>
    <t>93</t>
  </si>
  <si>
    <t>54</t>
  </si>
  <si>
    <t>212750010RAF</t>
  </si>
  <si>
    <t xml:space="preserve"> </t>
  </si>
  <si>
    <t>16_</t>
  </si>
  <si>
    <t>59227518</t>
  </si>
  <si>
    <t>Kryty pozemních komunikací, letišť a ploch dlážděných (předlažby)</t>
  </si>
  <si>
    <t>Kanalizace z trub PVC hrdlových D 315 mm</t>
  </si>
  <si>
    <t>Objednatel</t>
  </si>
  <si>
    <t>57</t>
  </si>
  <si>
    <t>(Kč)</t>
  </si>
  <si>
    <t>so 005</t>
  </si>
  <si>
    <t>Podklad ze štěrkodrti po zhutnění tloušťky 15 cm</t>
  </si>
  <si>
    <t>072002VRN</t>
  </si>
  <si>
    <t>22</t>
  </si>
  <si>
    <t>Územní vlivy</t>
  </si>
  <si>
    <t>592452655</t>
  </si>
  <si>
    <t>m3</t>
  </si>
  <si>
    <t>Datum:</t>
  </si>
  <si>
    <t>91_</t>
  </si>
  <si>
    <t>831350019RAB</t>
  </si>
  <si>
    <t>07VRN_</t>
  </si>
  <si>
    <t>27</t>
  </si>
  <si>
    <t>hloubka 2,0 m</t>
  </si>
  <si>
    <t>37</t>
  </si>
  <si>
    <t>m2</t>
  </si>
  <si>
    <t>V položce je zakalkulováno: zřízení uliční vpusti betonových dílců ze spodního dílu s odkalištěm, středové skruže, hrdlového dílu s odtokem DN 150 mm, přechodového dílu, vyrovnávacího prstence a vtokové mříže bez kalového koše.  Měrnou jednotkou je kus</t>
  </si>
  <si>
    <t>41</t>
  </si>
  <si>
    <t>59_</t>
  </si>
  <si>
    <t>Přesun hmot a sutí</t>
  </si>
  <si>
    <t>NUS z rozpočtu</t>
  </si>
  <si>
    <t>Žlab štěrbinový TZD - Q 400/500/3000</t>
  </si>
  <si>
    <t>998225111R00</t>
  </si>
  <si>
    <t>1</t>
  </si>
  <si>
    <t>7</t>
  </si>
  <si>
    <t>Rozměry</t>
  </si>
  <si>
    <t>Položka obsahuje: vyhloubení rýhy, svislé přemístění, naložení přebytku po zásypu na dopravní prostředek a odvoz do 10 km, lože pod potrubí z kameniva 4-8 mm, dodávku a montáž potrubí z trub PVC hrdlových vnějšího průměru podle popisu, dodávku a montáž PVC tvarovek jednoosých (1 kus/ 10 m potrubí), zkoušku těsnosti potrubí, obsyp potrubí z kameniva 4-8 mm, dosyp rýhy výkopkem se zhutněním</t>
  </si>
  <si>
    <t>Položek:</t>
  </si>
  <si>
    <t>NUS celkem</t>
  </si>
  <si>
    <t>Projektové práce - DOKUMENTACE SKUT. PROVEDENÍ</t>
  </si>
  <si>
    <t>WORK</t>
  </si>
  <si>
    <t>Povrchové úpravy terénu</t>
  </si>
  <si>
    <t>Geodetické práce - DOKUMENTACE SKUT. PROVEDENÍ, VYTÝČENÍ</t>
  </si>
  <si>
    <t>83</t>
  </si>
  <si>
    <t>Vodorovné přemístění výkopku z hor.5-7 do 10000 m</t>
  </si>
  <si>
    <t>Řezání stávajícího živičného krytu tl. 10 - 15 cm</t>
  </si>
  <si>
    <t>171201101R00</t>
  </si>
  <si>
    <t>93_</t>
  </si>
  <si>
    <t>V položce je zakalkulováno: hloubení rýh, pažení a rozepření rýh včetně přepažování, svislé přemístění, naložení přebytku po zásypu (0,747 m3/m rýhy) na dopravní prostředek, odvoz do 6 km a uložení na skládku, lože pod potrubí ze štěrkopísku, dodávka a montáž potrubí z trub PVC vnějšího průměru dle popisu,  zřízení kanalizační přípojky (1 kus/20 m potrubí), dodávka a montáž PVC tvarovek odbočných (1 kus/ 20 m potrubí), dodávka a montáž PVC tvarovek jednoosých (1 kus/ 20 m potrubí), obsyp potrubí pískem, zásyp rýhy sypaninou, se zhutněním. V položce není kalkulován poplatek za skládku zeminy. Tyto náklady se oceňují individuálně podle místních podmínek.</t>
  </si>
  <si>
    <t>47</t>
  </si>
  <si>
    <t>so 126_5_</t>
  </si>
  <si>
    <t>HSV mat</t>
  </si>
  <si>
    <t>56_</t>
  </si>
  <si>
    <t>597121111R00</t>
  </si>
  <si>
    <t>so 305_</t>
  </si>
  <si>
    <t>Geotextilie MOKRUTEX HQ PP 250 g/m2 do 6 m</t>
  </si>
  <si>
    <t>211971110R00</t>
  </si>
  <si>
    <t>14_</t>
  </si>
  <si>
    <t>Dlažba zámková SLP s vodicí linií přírodní 20/20/8</t>
  </si>
  <si>
    <t>89</t>
  </si>
  <si>
    <t>141741117R00</t>
  </si>
  <si>
    <t>PĚŠÍ KOMUNIKACE</t>
  </si>
  <si>
    <t>Šachta, DN 1000 stěna 120 mm, dno přímé V max. 40</t>
  </si>
  <si>
    <t>13.08.2021</t>
  </si>
  <si>
    <t>vč.obrub.nájezd.náběh.CSB H 15/25 1000/150/150-250</t>
  </si>
  <si>
    <t>28</t>
  </si>
  <si>
    <t>Trubka bezešvá hladká 11 353.1, rozměr 324,0 x 8,0 mm</t>
  </si>
  <si>
    <t>CELK</t>
  </si>
  <si>
    <t>Snížený obrubník pro nájezd ze silnice</t>
  </si>
  <si>
    <t>34</t>
  </si>
  <si>
    <t>so 005_</t>
  </si>
  <si>
    <t>DN 150, mříž litina 500x500 40 t, hl. 1,67 m</t>
  </si>
  <si>
    <t>so 126_8_</t>
  </si>
  <si>
    <t>Příkopový žlab TBM 1-65/33</t>
  </si>
  <si>
    <t>Montáž odvodňov. štěrbinových trub (žlabů) dl.3 m</t>
  </si>
  <si>
    <t>Chodník na ul. Hradištská - ZNOJMO</t>
  </si>
</sst>
</file>

<file path=xl/styles.xml><?xml version="1.0" encoding="utf-8"?>
<styleSheet xmlns="http://schemas.openxmlformats.org/spreadsheetml/2006/main">
  <fonts count="12">
    <font>
      <sz val="8"/>
      <name val="Arial"/>
    </font>
    <font>
      <sz val="11"/>
      <name val="Calibri"/>
    </font>
    <font>
      <sz val="10"/>
      <color rgb="FF000000"/>
      <name val="Arial"/>
      <charset val="238"/>
    </font>
    <font>
      <sz val="12"/>
      <color rgb="FF000000"/>
      <name val="Arial"/>
      <charset val="238"/>
    </font>
    <font>
      <b/>
      <sz val="10"/>
      <color rgb="FF000000"/>
      <name val="Arial"/>
      <charset val="238"/>
    </font>
    <font>
      <i/>
      <sz val="10"/>
      <color rgb="FF000000"/>
      <name val="Arial"/>
      <charset val="238"/>
    </font>
    <font>
      <b/>
      <sz val="12"/>
      <color rgb="FF000000"/>
      <name val="Arial"/>
      <charset val="238"/>
    </font>
    <font>
      <b/>
      <sz val="11"/>
      <color rgb="FF000000"/>
      <name val="Arial"/>
      <charset val="238"/>
    </font>
    <font>
      <b/>
      <sz val="18"/>
      <color rgb="FF000000"/>
      <name val="Arial"/>
      <charset val="238"/>
    </font>
    <font>
      <i/>
      <sz val="8"/>
      <color rgb="FF000000"/>
      <name val="Arial"/>
      <charset val="238"/>
    </font>
    <font>
      <sz val="18"/>
      <color rgb="FF000000"/>
      <name val="Arial"/>
      <charset val="238"/>
    </font>
    <font>
      <b/>
      <sz val="20"/>
      <color rgb="FF000000"/>
      <name val="Arial"/>
      <charset val="238"/>
    </font>
  </fonts>
  <fills count="5">
    <fill>
      <patternFill patternType="none"/>
    </fill>
    <fill>
      <patternFill patternType="gray125"/>
    </fill>
    <fill>
      <patternFill patternType="solid">
        <fgColor rgb="FFFFFFFF"/>
        <bgColor indexed="64"/>
      </patternFill>
    </fill>
    <fill>
      <patternFill patternType="solid">
        <fgColor rgb="FFC0C0C0"/>
        <bgColor indexed="9"/>
      </patternFill>
    </fill>
    <fill>
      <patternFill patternType="solid">
        <fgColor rgb="FFFFFFFF"/>
        <bgColor indexed="9"/>
      </patternFill>
    </fill>
  </fills>
  <borders count="33">
    <border>
      <left/>
      <right/>
      <top/>
      <bottom/>
      <diagonal/>
    </border>
    <border>
      <left style="medium">
        <color rgb="FF000000"/>
      </left>
      <right/>
      <top/>
      <bottom style="medium">
        <color rgb="FF000000"/>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rgb="FF000000"/>
      </left>
      <right style="thin">
        <color rgb="FF000000"/>
      </right>
      <top/>
      <bottom style="medium">
        <color rgb="FF000000"/>
      </bottom>
      <diagonal/>
    </border>
    <border>
      <left/>
      <right style="thin">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diagonal/>
    </border>
    <border>
      <left/>
      <right/>
      <top style="medium">
        <color rgb="FF000000"/>
      </top>
      <bottom/>
      <diagonal/>
    </border>
    <border>
      <left/>
      <right/>
      <top/>
      <bottom style="medium">
        <color rgb="FF000000"/>
      </bottom>
      <diagonal/>
    </border>
    <border>
      <left/>
      <right/>
      <top style="thin">
        <color rgb="FF000000"/>
      </top>
      <bottom/>
      <diagonal/>
    </border>
    <border>
      <left/>
      <right style="medium">
        <color rgb="FF000000"/>
      </right>
      <top/>
      <bottom/>
      <diagonal/>
    </border>
    <border>
      <left/>
      <right style="medium">
        <color rgb="FF000000"/>
      </right>
      <top style="medium">
        <color rgb="FF000000"/>
      </top>
      <bottom style="thin">
        <color rgb="FF000000"/>
      </bottom>
      <diagonal/>
    </border>
    <border>
      <left/>
      <right style="thin">
        <color rgb="FF000000"/>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thin">
        <color rgb="FFC0C0C0"/>
      </left>
      <right/>
      <top/>
      <bottom/>
      <diagonal/>
    </border>
    <border>
      <left style="thin">
        <color rgb="FF000000"/>
      </left>
      <right style="thin">
        <color rgb="FF000000"/>
      </right>
      <top/>
      <bottom/>
      <diagonal/>
    </border>
    <border>
      <left/>
      <right style="thin">
        <color rgb="FFC0C0C0"/>
      </right>
      <top/>
      <bottom/>
      <diagonal/>
    </border>
    <border>
      <left/>
      <right/>
      <top style="thin">
        <color rgb="FF000000"/>
      </top>
      <bottom style="thin">
        <color rgb="FF000000"/>
      </bottom>
      <diagonal/>
    </border>
    <border>
      <left/>
      <right style="thin">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
    <xf numFmtId="0" fontId="0" fillId="0" borderId="0" applyNumberFormat="0" applyFont="0" applyFill="0" applyBorder="0" applyAlignment="0" applyProtection="0"/>
  </cellStyleXfs>
  <cellXfs count="137">
    <xf numFmtId="0" fontId="1" fillId="0" borderId="0" xfId="0" applyNumberFormat="1" applyFont="1" applyFill="1" applyBorder="1" applyAlignment="1" applyProtection="1"/>
    <xf numFmtId="0" fontId="2" fillId="2"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4" fillId="3"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horizontal="left" vertical="center"/>
    </xf>
    <xf numFmtId="4" fontId="6" fillId="3" borderId="5"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right" vertical="center"/>
    </xf>
    <xf numFmtId="0" fontId="4" fillId="0" borderId="9" xfId="0" applyNumberFormat="1" applyFont="1" applyFill="1" applyBorder="1" applyAlignment="1" applyProtection="1">
      <alignment horizontal="center" vertical="center"/>
    </xf>
    <xf numFmtId="0" fontId="2" fillId="3" borderId="11" xfId="0" applyNumberFormat="1" applyFont="1" applyFill="1" applyBorder="1" applyAlignment="1" applyProtection="1">
      <alignment horizontal="left" vertical="center"/>
    </xf>
    <xf numFmtId="4" fontId="3" fillId="0" borderId="8" xfId="0" applyNumberFormat="1" applyFont="1" applyFill="1" applyBorder="1" applyAlignment="1" applyProtection="1">
      <alignment horizontal="right" vertical="center"/>
    </xf>
    <xf numFmtId="0" fontId="4" fillId="3" borderId="2"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13"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left" vertical="center"/>
    </xf>
    <xf numFmtId="0" fontId="4" fillId="3" borderId="0" xfId="0" applyNumberFormat="1" applyFont="1" applyFill="1" applyBorder="1" applyAlignment="1" applyProtection="1">
      <alignment horizontal="right" vertical="center"/>
    </xf>
    <xf numFmtId="0" fontId="2" fillId="3" borderId="11" xfId="0" applyNumberFormat="1" applyFont="1" applyFill="1" applyBorder="1" applyAlignment="1" applyProtection="1">
      <alignment horizontal="left" vertical="center"/>
    </xf>
    <xf numFmtId="0" fontId="2" fillId="4" borderId="0" xfId="0" applyNumberFormat="1" applyFont="1" applyFill="1" applyBorder="1" applyAlignment="1" applyProtection="1">
      <alignment horizontal="left" vertical="center"/>
    </xf>
    <xf numFmtId="4" fontId="3" fillId="0" borderId="5" xfId="0" applyNumberFormat="1" applyFont="1" applyFill="1" applyBorder="1" applyAlignment="1" applyProtection="1">
      <alignment horizontal="right" vertical="center"/>
    </xf>
    <xf numFmtId="4" fontId="4" fillId="3" borderId="0" xfId="0" applyNumberFormat="1" applyFont="1" applyFill="1" applyBorder="1" applyAlignment="1" applyProtection="1">
      <alignment horizontal="right" vertical="center"/>
    </xf>
    <xf numFmtId="0" fontId="2" fillId="4"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right" vertical="center"/>
    </xf>
    <xf numFmtId="0" fontId="2" fillId="3" borderId="0" xfId="0" applyNumberFormat="1" applyFont="1" applyFill="1" applyBorder="1" applyAlignment="1" applyProtection="1">
      <alignment horizontal="left" vertical="center"/>
    </xf>
    <xf numFmtId="0" fontId="2" fillId="4" borderId="20" xfId="0" applyNumberFormat="1" applyFont="1" applyFill="1" applyBorder="1" applyAlignment="1" applyProtection="1">
      <alignment horizontal="left" vertical="center"/>
    </xf>
    <xf numFmtId="0" fontId="6" fillId="0" borderId="21" xfId="0" applyNumberFormat="1" applyFont="1" applyFill="1" applyBorder="1" applyAlignment="1" applyProtection="1">
      <alignment horizontal="left" vertical="center"/>
    </xf>
    <xf numFmtId="0" fontId="4" fillId="4" borderId="22" xfId="0" applyNumberFormat="1" applyFont="1" applyFill="1" applyBorder="1" applyAlignment="1" applyProtection="1">
      <alignment horizontal="right" vertical="center"/>
    </xf>
    <xf numFmtId="0" fontId="1" fillId="0" borderId="11" xfId="0" applyNumberFormat="1" applyFont="1" applyFill="1" applyBorder="1" applyAlignment="1" applyProtection="1"/>
    <xf numFmtId="4" fontId="4" fillId="3" borderId="0" xfId="0" applyNumberFormat="1" applyFont="1" applyFill="1" applyBorder="1" applyAlignment="1" applyProtection="1">
      <alignment horizontal="right" vertical="center"/>
    </xf>
    <xf numFmtId="0" fontId="2" fillId="3" borderId="0" xfId="0" applyNumberFormat="1" applyFont="1" applyFill="1" applyBorder="1" applyAlignment="1" applyProtection="1">
      <alignment horizontal="left" vertical="center"/>
    </xf>
    <xf numFmtId="0" fontId="2" fillId="0" borderId="11" xfId="0" applyNumberFormat="1" applyFont="1" applyFill="1" applyBorder="1" applyAlignment="1" applyProtection="1">
      <alignment horizontal="left" vertical="center"/>
    </xf>
    <xf numFmtId="0" fontId="4" fillId="3" borderId="2" xfId="0" applyNumberFormat="1" applyFont="1" applyFill="1" applyBorder="1" applyAlignment="1" applyProtection="1">
      <alignment horizontal="right" vertical="center"/>
    </xf>
    <xf numFmtId="0" fontId="4" fillId="3" borderId="2" xfId="0" applyNumberFormat="1" applyFont="1" applyFill="1" applyBorder="1" applyAlignment="1" applyProtection="1">
      <alignment horizontal="right" vertical="center"/>
    </xf>
    <xf numFmtId="0" fontId="2" fillId="2" borderId="22"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center" vertical="center"/>
    </xf>
    <xf numFmtId="0" fontId="11" fillId="3" borderId="5" xfId="0" applyNumberFormat="1" applyFont="1" applyFill="1" applyBorder="1" applyAlignment="1" applyProtection="1">
      <alignment horizontal="center" vertical="center"/>
    </xf>
    <xf numFmtId="0" fontId="2" fillId="2" borderId="20" xfId="0" applyNumberFormat="1" applyFont="1" applyFill="1" applyBorder="1" applyAlignment="1" applyProtection="1">
      <alignment horizontal="left" vertical="center"/>
    </xf>
    <xf numFmtId="0" fontId="4" fillId="3" borderId="2" xfId="0" applyNumberFormat="1" applyFont="1" applyFill="1" applyBorder="1" applyAlignment="1" applyProtection="1">
      <alignment horizontal="right" vertical="center"/>
    </xf>
    <xf numFmtId="0" fontId="2" fillId="0" borderId="17" xfId="0" applyNumberFormat="1" applyFont="1" applyFill="1" applyBorder="1" applyAlignment="1" applyProtection="1">
      <alignment horizontal="left" vertical="center"/>
    </xf>
    <xf numFmtId="0" fontId="2" fillId="3" borderId="11" xfId="0" applyNumberFormat="1" applyFont="1" applyFill="1" applyBorder="1" applyAlignment="1" applyProtection="1">
      <alignment horizontal="left" vertical="center"/>
    </xf>
    <xf numFmtId="0" fontId="2" fillId="3" borderId="1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right" vertical="center"/>
    </xf>
    <xf numFmtId="4" fontId="2" fillId="2" borderId="0" xfId="0" applyNumberFormat="1" applyFont="1" applyFill="1" applyBorder="1" applyAlignment="1" applyProtection="1">
      <alignment horizontal="right" vertical="center"/>
    </xf>
    <xf numFmtId="4" fontId="2" fillId="2" borderId="0" xfId="0" applyNumberFormat="1" applyFont="1" applyFill="1" applyBorder="1" applyAlignment="1" applyProtection="1">
      <alignment horizontal="right" vertical="center"/>
    </xf>
    <xf numFmtId="4" fontId="4" fillId="3" borderId="0"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center" vertical="center"/>
    </xf>
    <xf numFmtId="0" fontId="11" fillId="3" borderId="27"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left" vertical="center"/>
    </xf>
    <xf numFmtId="4" fontId="4" fillId="4" borderId="0"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left" vertical="center"/>
    </xf>
    <xf numFmtId="0" fontId="4" fillId="0" borderId="17"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horizontal="right" vertical="center"/>
    </xf>
    <xf numFmtId="4" fontId="3" fillId="0" borderId="17" xfId="0" applyNumberFormat="1" applyFont="1" applyFill="1" applyBorder="1" applyAlignment="1" applyProtection="1">
      <alignment horizontal="right" vertical="center"/>
    </xf>
    <xf numFmtId="0" fontId="4" fillId="4" borderId="0" xfId="0" applyNumberFormat="1" applyFont="1" applyFill="1" applyBorder="1" applyAlignment="1" applyProtection="1">
      <alignment horizontal="left" vertical="center"/>
    </xf>
    <xf numFmtId="0" fontId="2" fillId="4" borderId="20" xfId="0" applyNumberFormat="1" applyFont="1" applyFill="1" applyBorder="1" applyAlignment="1" applyProtection="1">
      <alignment horizontal="left" vertical="center"/>
    </xf>
    <xf numFmtId="0" fontId="4" fillId="0" borderId="29"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right" vertical="center"/>
    </xf>
    <xf numFmtId="4" fontId="4" fillId="4"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xf numFmtId="0" fontId="6" fillId="0" borderId="31" xfId="0" applyNumberFormat="1" applyFont="1" applyFill="1" applyBorder="1" applyAlignment="1" applyProtection="1">
      <alignment horizontal="left" vertical="center"/>
    </xf>
    <xf numFmtId="4" fontId="6" fillId="3" borderId="8" xfId="0" applyNumberFormat="1" applyFont="1" applyFill="1" applyBorder="1" applyAlignment="1" applyProtection="1">
      <alignment horizontal="right" vertical="center"/>
    </xf>
    <xf numFmtId="4" fontId="4" fillId="3"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4" fillId="4" borderId="22" xfId="0" applyNumberFormat="1" applyFont="1" applyFill="1" applyBorder="1" applyAlignment="1" applyProtection="1">
      <alignment horizontal="right" vertical="center"/>
    </xf>
    <xf numFmtId="0" fontId="4" fillId="3" borderId="0" xfId="0" applyNumberFormat="1" applyFont="1" applyFill="1" applyBorder="1" applyAlignment="1" applyProtection="1">
      <alignment horizontal="left" vertical="center"/>
    </xf>
    <xf numFmtId="0" fontId="4" fillId="3" borderId="0" xfId="0" applyNumberFormat="1" applyFont="1" applyFill="1" applyBorder="1" applyAlignment="1" applyProtection="1">
      <alignment horizontal="left" vertical="center"/>
    </xf>
    <xf numFmtId="0" fontId="2" fillId="2" borderId="20" xfId="0" applyNumberFormat="1" applyFont="1" applyFill="1" applyBorder="1" applyAlignment="1" applyProtection="1">
      <alignment horizontal="left" vertical="center"/>
    </xf>
    <xf numFmtId="0" fontId="2" fillId="3" borderId="0" xfId="0" applyNumberFormat="1" applyFont="1" applyFill="1" applyBorder="1" applyAlignment="1" applyProtection="1">
      <alignment horizontal="left" vertical="center"/>
    </xf>
    <xf numFmtId="4" fontId="3" fillId="0" borderId="2" xfId="0" applyNumberFormat="1" applyFont="1" applyFill="1" applyBorder="1" applyAlignment="1" applyProtection="1">
      <alignment horizontal="right" vertical="center"/>
    </xf>
    <xf numFmtId="4" fontId="4" fillId="0" borderId="0" xfId="0" applyNumberFormat="1" applyFont="1" applyFill="1" applyBorder="1" applyAlignment="1" applyProtection="1">
      <alignment horizontal="right" vertical="center"/>
    </xf>
    <xf numFmtId="0" fontId="2" fillId="2" borderId="22" xfId="0" applyNumberFormat="1" applyFont="1" applyFill="1" applyBorder="1" applyAlignment="1" applyProtection="1">
      <alignment horizontal="right" vertical="center"/>
    </xf>
    <xf numFmtId="0" fontId="2" fillId="3" borderId="0" xfId="0" applyNumberFormat="1" applyFont="1" applyFill="1" applyBorder="1" applyAlignment="1" applyProtection="1">
      <alignment horizontal="left" vertical="center"/>
    </xf>
    <xf numFmtId="0" fontId="4" fillId="4" borderId="0"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left" vertical="center" wrapText="1"/>
    </xf>
    <xf numFmtId="0" fontId="2" fillId="0" borderId="14" xfId="0" applyNumberFormat="1" applyFont="1" applyFill="1" applyBorder="1" applyAlignment="1" applyProtection="1">
      <alignment horizontal="left" vertical="center"/>
    </xf>
    <xf numFmtId="0" fontId="2" fillId="0" borderId="1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2" fillId="0" borderId="11" xfId="0" applyNumberFormat="1" applyFont="1" applyFill="1" applyBorder="1" applyAlignment="1" applyProtection="1">
      <alignment horizontal="left" vertical="center" wrapText="1"/>
    </xf>
    <xf numFmtId="0" fontId="2" fillId="0" borderId="14"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2" fillId="0" borderId="3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4" fillId="0" borderId="24"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left" vertical="center"/>
    </xf>
    <xf numFmtId="0" fontId="4" fillId="0" borderId="17" xfId="0" applyNumberFormat="1" applyFont="1" applyFill="1" applyBorder="1" applyAlignment="1" applyProtection="1">
      <alignment horizontal="left" vertical="center"/>
    </xf>
    <xf numFmtId="0" fontId="4" fillId="0" borderId="30"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left" vertical="center"/>
    </xf>
    <xf numFmtId="0" fontId="2" fillId="2" borderId="0" xfId="0" applyNumberFormat="1" applyFont="1" applyFill="1" applyBorder="1" applyAlignment="1" applyProtection="1">
      <alignment horizontal="left" vertical="center"/>
    </xf>
    <xf numFmtId="0" fontId="4" fillId="4" borderId="0"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5" fillId="0" borderId="8"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left" vertical="center"/>
    </xf>
    <xf numFmtId="1"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xf>
    <xf numFmtId="0" fontId="6" fillId="0" borderId="25" xfId="0" applyNumberFormat="1" applyFont="1" applyFill="1" applyBorder="1" applyAlignment="1" applyProtection="1">
      <alignment horizontal="left" vertical="center"/>
    </xf>
    <xf numFmtId="0" fontId="6" fillId="0" borderId="5"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6" fillId="0" borderId="23"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left" vertical="center"/>
    </xf>
    <xf numFmtId="0" fontId="6" fillId="3" borderId="25" xfId="0" applyNumberFormat="1" applyFont="1" applyFill="1" applyBorder="1" applyAlignment="1" applyProtection="1">
      <alignment horizontal="left" vertical="center"/>
    </xf>
    <xf numFmtId="0" fontId="6" fillId="3" borderId="23" xfId="0" applyNumberFormat="1" applyFont="1" applyFill="1" applyBorder="1" applyAlignment="1" applyProtection="1">
      <alignment horizontal="left" vertical="center"/>
    </xf>
    <xf numFmtId="0" fontId="6" fillId="3" borderId="4" xfId="0" applyNumberFormat="1" applyFont="1" applyFill="1" applyBorder="1" applyAlignment="1" applyProtection="1">
      <alignment horizontal="left" vertical="center"/>
    </xf>
    <xf numFmtId="0" fontId="6" fillId="3" borderId="3" xfId="0" applyNumberFormat="1" applyFont="1" applyFill="1" applyBorder="1" applyAlignment="1" applyProtection="1">
      <alignment horizontal="left" vertical="center"/>
    </xf>
    <xf numFmtId="0" fontId="3" fillId="0" borderId="2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19" xfId="0" applyNumberFormat="1" applyFont="1" applyFill="1" applyBorder="1" applyAlignment="1" applyProtection="1">
      <alignment horizontal="left" vertical="center"/>
    </xf>
    <xf numFmtId="0" fontId="3" fillId="0" borderId="6"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3" fillId="0" borderId="13" xfId="0" applyNumberFormat="1" applyFont="1" applyFill="1" applyBorder="1" applyAlignment="1" applyProtection="1">
      <alignment horizontal="left" vertical="center"/>
    </xf>
    <xf numFmtId="0" fontId="3" fillId="0" borderId="9" xfId="0" applyNumberFormat="1" applyFont="1" applyFill="1" applyBorder="1" applyAlignment="1" applyProtection="1">
      <alignment horizontal="left" vertical="center"/>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400050</xdr:colOff>
      <xdr:row>0</xdr:row>
      <xdr:rowOff>666750</xdr:rowOff>
    </xdr:to>
    <xdr:pic>
      <xdr:nvPicPr>
        <xdr:cNvPr id="1026" name="Picture 2"/>
        <xdr:cNvPicPr>
          <a:picLocks noChangeAspect="1" noChangeArrowheads="1"/>
        </xdr:cNvPicPr>
      </xdr:nvPicPr>
      <xdr:blipFill>
        <a:blip xmlns:r="http://schemas.openxmlformats.org/officeDocument/2006/relationships" r:embed="rId1"/>
        <a:srcRect/>
        <a:stretch>
          <a:fillRect/>
        </a:stretch>
      </xdr:blipFill>
      <xdr:spPr bwMode="auto">
        <a:xfrm>
          <a:off x="0" y="0"/>
          <a:ext cx="666750" cy="666750"/>
        </a:xfrm>
        <a:prstGeom prst="rect">
          <a:avLst/>
        </a:prstGeom>
        <a:noFill/>
        <a:ln w="9525">
          <a:prstDash val="solid"/>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57150</xdr:colOff>
      <xdr:row>0</xdr:row>
      <xdr:rowOff>666750</xdr:rowOff>
    </xdr:to>
    <xdr:pic>
      <xdr:nvPicPr>
        <xdr:cNvPr id="1028"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666750" cy="666750"/>
        </a:xfrm>
        <a:prstGeom prst="rect">
          <a:avLst/>
        </a:prstGeom>
        <a:noFill/>
        <a:ln w="9525">
          <a:prstDash val="solid"/>
          <a:miter lim="800000"/>
          <a:headEnd/>
          <a:tailEnd/>
        </a:ln>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ageSetUpPr autoPageBreaks="0" fitToPage="1"/>
  </sheetPr>
  <dimension ref="A1:BV139"/>
  <sheetViews>
    <sheetView tabSelected="1" showOutlineSymbols="0" workbookViewId="0">
      <pane ySplit="11" topLeftCell="A18" activePane="bottomLeft" state="frozenSplit"/>
      <selection activeCell="A139" sqref="A139:M139"/>
      <selection pane="bottomLeft" activeCell="C4" sqref="C4:D5"/>
    </sheetView>
  </sheetViews>
  <sheetFormatPr defaultColWidth="14.1640625" defaultRowHeight="15" customHeight="1"/>
  <cols>
    <col min="1" max="1" width="4.6640625" customWidth="1"/>
    <col min="2" max="2" width="20.83203125" customWidth="1"/>
    <col min="3" max="3" width="1.6640625" customWidth="1"/>
    <col min="4" max="4" width="67.33203125" customWidth="1"/>
    <col min="7" max="7" width="7.83203125" customWidth="1"/>
    <col min="8" max="8" width="15" customWidth="1"/>
    <col min="9" max="9" width="14" customWidth="1"/>
    <col min="10" max="12" width="18.33203125" customWidth="1"/>
    <col min="13" max="13" width="13.6640625" customWidth="1"/>
    <col min="25" max="74" width="14.1640625" hidden="1" customWidth="1"/>
  </cols>
  <sheetData>
    <row r="1" spans="1:65" ht="54.75" customHeight="1">
      <c r="A1" s="75" t="s">
        <v>294</v>
      </c>
      <c r="B1" s="75"/>
      <c r="C1" s="75"/>
      <c r="D1" s="75"/>
      <c r="E1" s="75"/>
      <c r="F1" s="75"/>
      <c r="G1" s="75"/>
      <c r="H1" s="75"/>
      <c r="I1" s="75"/>
      <c r="J1" s="75"/>
      <c r="K1" s="75"/>
      <c r="L1" s="75"/>
      <c r="M1" s="75"/>
      <c r="AS1" s="19">
        <f>SUM(AJ1:AJ2)</f>
        <v>0</v>
      </c>
      <c r="AT1" s="19">
        <f>SUM(AK1:AK2)</f>
        <v>0</v>
      </c>
      <c r="AU1" s="19">
        <f>SUM(AL1:AL2)</f>
        <v>0</v>
      </c>
    </row>
    <row r="2" spans="1:65" ht="15" customHeight="1">
      <c r="A2" s="76" t="s">
        <v>16</v>
      </c>
      <c r="B2" s="77"/>
      <c r="C2" s="83" t="s">
        <v>370</v>
      </c>
      <c r="D2" s="84"/>
      <c r="E2" s="77" t="s">
        <v>0</v>
      </c>
      <c r="F2" s="77"/>
      <c r="G2" s="77" t="s">
        <v>298</v>
      </c>
      <c r="H2" s="77"/>
      <c r="I2" s="81" t="s">
        <v>280</v>
      </c>
      <c r="J2" s="77" t="s">
        <v>138</v>
      </c>
      <c r="K2" s="77"/>
      <c r="L2" s="77"/>
      <c r="M2" s="86"/>
    </row>
    <row r="3" spans="1:65" ht="15" customHeight="1">
      <c r="A3" s="78"/>
      <c r="B3" s="79"/>
      <c r="C3" s="85"/>
      <c r="D3" s="85"/>
      <c r="E3" s="79"/>
      <c r="F3" s="79"/>
      <c r="G3" s="79"/>
      <c r="H3" s="79"/>
      <c r="I3" s="79"/>
      <c r="J3" s="79"/>
      <c r="K3" s="79"/>
      <c r="L3" s="79"/>
      <c r="M3" s="87"/>
    </row>
    <row r="4" spans="1:65" ht="15" customHeight="1">
      <c r="A4" s="80" t="s">
        <v>168</v>
      </c>
      <c r="B4" s="79"/>
      <c r="C4" s="82" t="s">
        <v>298</v>
      </c>
      <c r="D4" s="79"/>
      <c r="E4" s="79" t="s">
        <v>288</v>
      </c>
      <c r="F4" s="79"/>
      <c r="G4" s="79" t="s">
        <v>358</v>
      </c>
      <c r="H4" s="79"/>
      <c r="I4" s="82" t="s">
        <v>221</v>
      </c>
      <c r="J4" s="79" t="s">
        <v>138</v>
      </c>
      <c r="K4" s="79"/>
      <c r="L4" s="79"/>
      <c r="M4" s="87"/>
    </row>
    <row r="5" spans="1:65" ht="15" customHeight="1">
      <c r="A5" s="78"/>
      <c r="B5" s="79"/>
      <c r="C5" s="79"/>
      <c r="D5" s="79"/>
      <c r="E5" s="79"/>
      <c r="F5" s="79"/>
      <c r="G5" s="79"/>
      <c r="H5" s="79"/>
      <c r="I5" s="79"/>
      <c r="J5" s="79"/>
      <c r="K5" s="79"/>
      <c r="L5" s="79"/>
      <c r="M5" s="87"/>
    </row>
    <row r="6" spans="1:65" ht="15" customHeight="1">
      <c r="A6" s="80" t="s">
        <v>25</v>
      </c>
      <c r="B6" s="79"/>
      <c r="C6" s="82" t="s">
        <v>298</v>
      </c>
      <c r="D6" s="79"/>
      <c r="E6" s="79" t="s">
        <v>93</v>
      </c>
      <c r="F6" s="79"/>
      <c r="G6" s="79" t="s">
        <v>298</v>
      </c>
      <c r="H6" s="79"/>
      <c r="I6" s="82" t="s">
        <v>286</v>
      </c>
      <c r="J6" s="79" t="s">
        <v>138</v>
      </c>
      <c r="K6" s="79"/>
      <c r="L6" s="79"/>
      <c r="M6" s="87"/>
    </row>
    <row r="7" spans="1:65" ht="15" customHeight="1">
      <c r="A7" s="78"/>
      <c r="B7" s="79"/>
      <c r="C7" s="79"/>
      <c r="D7" s="79"/>
      <c r="E7" s="79"/>
      <c r="F7" s="79"/>
      <c r="G7" s="79"/>
      <c r="H7" s="79"/>
      <c r="I7" s="79"/>
      <c r="J7" s="79"/>
      <c r="K7" s="79"/>
      <c r="L7" s="79"/>
      <c r="M7" s="87"/>
    </row>
    <row r="8" spans="1:65" ht="15" customHeight="1">
      <c r="A8" s="80" t="s">
        <v>149</v>
      </c>
      <c r="B8" s="79"/>
      <c r="C8" s="82" t="s">
        <v>298</v>
      </c>
      <c r="D8" s="79"/>
      <c r="E8" s="79" t="s">
        <v>171</v>
      </c>
      <c r="F8" s="79"/>
      <c r="G8" s="79" t="s">
        <v>358</v>
      </c>
      <c r="H8" s="79"/>
      <c r="I8" s="82" t="s">
        <v>206</v>
      </c>
      <c r="J8" s="79" t="s">
        <v>138</v>
      </c>
      <c r="K8" s="79"/>
      <c r="L8" s="79"/>
      <c r="M8" s="87"/>
    </row>
    <row r="9" spans="1:65" ht="15" customHeight="1">
      <c r="A9" s="78"/>
      <c r="B9" s="79"/>
      <c r="C9" s="79"/>
      <c r="D9" s="79"/>
      <c r="E9" s="79"/>
      <c r="F9" s="79"/>
      <c r="G9" s="79"/>
      <c r="H9" s="79"/>
      <c r="I9" s="79"/>
      <c r="J9" s="79"/>
      <c r="K9" s="79"/>
      <c r="L9" s="79"/>
      <c r="M9" s="87"/>
    </row>
    <row r="10" spans="1:65" ht="15" customHeight="1">
      <c r="A10" s="55" t="s">
        <v>20</v>
      </c>
      <c r="B10" s="49" t="s">
        <v>95</v>
      </c>
      <c r="C10" s="88" t="s">
        <v>223</v>
      </c>
      <c r="D10" s="88"/>
      <c r="E10" s="88"/>
      <c r="F10" s="89"/>
      <c r="G10" s="49" t="s">
        <v>106</v>
      </c>
      <c r="H10" s="33" t="s">
        <v>183</v>
      </c>
      <c r="I10" s="74" t="s">
        <v>91</v>
      </c>
      <c r="J10" s="92" t="s">
        <v>196</v>
      </c>
      <c r="K10" s="93"/>
      <c r="L10" s="94"/>
      <c r="M10" s="33" t="s">
        <v>79</v>
      </c>
      <c r="BK10" s="15" t="s">
        <v>120</v>
      </c>
      <c r="BL10" s="12" t="s">
        <v>161</v>
      </c>
    </row>
    <row r="11" spans="1:65" ht="15" customHeight="1">
      <c r="A11" s="6" t="s">
        <v>298</v>
      </c>
      <c r="B11" s="37" t="s">
        <v>298</v>
      </c>
      <c r="C11" s="90" t="s">
        <v>330</v>
      </c>
      <c r="D11" s="90"/>
      <c r="E11" s="90"/>
      <c r="F11" s="91"/>
      <c r="G11" s="37" t="s">
        <v>298</v>
      </c>
      <c r="H11" s="37" t="s">
        <v>298</v>
      </c>
      <c r="I11" s="13" t="s">
        <v>305</v>
      </c>
      <c r="J11" s="45" t="s">
        <v>13</v>
      </c>
      <c r="K11" s="50" t="s">
        <v>54</v>
      </c>
      <c r="L11" s="8" t="s">
        <v>31</v>
      </c>
      <c r="M11" s="50" t="s">
        <v>77</v>
      </c>
      <c r="Z11" s="15" t="s">
        <v>257</v>
      </c>
      <c r="AA11" s="15" t="s">
        <v>188</v>
      </c>
      <c r="AB11" s="15" t="s">
        <v>346</v>
      </c>
      <c r="AC11" s="15" t="s">
        <v>81</v>
      </c>
      <c r="AD11" s="15" t="s">
        <v>282</v>
      </c>
      <c r="AE11" s="15" t="s">
        <v>114</v>
      </c>
      <c r="AF11" s="15" t="s">
        <v>291</v>
      </c>
      <c r="AG11" s="15" t="s">
        <v>129</v>
      </c>
      <c r="AH11" s="15" t="s">
        <v>78</v>
      </c>
      <c r="BH11" s="15" t="s">
        <v>258</v>
      </c>
      <c r="BI11" s="15" t="s">
        <v>335</v>
      </c>
      <c r="BJ11" s="15" t="s">
        <v>362</v>
      </c>
    </row>
    <row r="12" spans="1:65" ht="15" customHeight="1">
      <c r="A12" s="39" t="s">
        <v>224</v>
      </c>
      <c r="B12" s="3" t="s">
        <v>224</v>
      </c>
      <c r="C12" s="95" t="s">
        <v>271</v>
      </c>
      <c r="D12" s="95"/>
      <c r="E12" s="95"/>
      <c r="F12" s="95"/>
      <c r="G12" s="68" t="s">
        <v>298</v>
      </c>
      <c r="H12" s="68" t="s">
        <v>298</v>
      </c>
      <c r="I12" s="68" t="s">
        <v>298</v>
      </c>
      <c r="J12" s="43">
        <f>J14+J17+J19+J21</f>
        <v>0</v>
      </c>
      <c r="K12" s="43">
        <f>K14+K17+K19+K21</f>
        <v>0</v>
      </c>
      <c r="L12" s="43">
        <f>L14+L17+L19+L21</f>
        <v>0</v>
      </c>
      <c r="M12" s="36" t="s">
        <v>224</v>
      </c>
    </row>
    <row r="13" spans="1:65" ht="15" customHeight="1">
      <c r="A13" s="16" t="s">
        <v>224</v>
      </c>
      <c r="B13" s="47" t="s">
        <v>224</v>
      </c>
      <c r="C13" s="95" t="s">
        <v>180</v>
      </c>
      <c r="D13" s="95"/>
      <c r="E13" s="95"/>
      <c r="F13" s="95"/>
      <c r="G13" s="22" t="s">
        <v>298</v>
      </c>
      <c r="H13" s="22" t="s">
        <v>298</v>
      </c>
      <c r="I13" s="22" t="s">
        <v>298</v>
      </c>
      <c r="J13" s="19">
        <f>J14+J17+J19+J21</f>
        <v>0</v>
      </c>
      <c r="K13" s="19">
        <f>K14+K17+K19+K21</f>
        <v>0</v>
      </c>
      <c r="L13" s="19">
        <f>L14+L17+L19+L21</f>
        <v>0</v>
      </c>
      <c r="M13" s="31" t="s">
        <v>224</v>
      </c>
      <c r="AI13" s="15" t="s">
        <v>306</v>
      </c>
    </row>
    <row r="14" spans="1:65" ht="15" customHeight="1">
      <c r="A14" s="16" t="s">
        <v>224</v>
      </c>
      <c r="B14" s="47" t="s">
        <v>240</v>
      </c>
      <c r="C14" s="95" t="s">
        <v>143</v>
      </c>
      <c r="D14" s="95"/>
      <c r="E14" s="95"/>
      <c r="F14" s="95"/>
      <c r="G14" s="22" t="s">
        <v>298</v>
      </c>
      <c r="H14" s="22" t="s">
        <v>298</v>
      </c>
      <c r="I14" s="22" t="s">
        <v>298</v>
      </c>
      <c r="J14" s="19">
        <f>SUM(J15:J16)</f>
        <v>0</v>
      </c>
      <c r="K14" s="19">
        <f>SUM(K15:K16)</f>
        <v>0</v>
      </c>
      <c r="L14" s="19">
        <f>SUM(L15:L16)</f>
        <v>0</v>
      </c>
      <c r="M14" s="31" t="s">
        <v>224</v>
      </c>
      <c r="AI14" s="15" t="s">
        <v>306</v>
      </c>
      <c r="AS14" s="19">
        <f>SUM(AJ15:AJ16)</f>
        <v>0</v>
      </c>
      <c r="AT14" s="19">
        <f>SUM(AK15:AK16)</f>
        <v>0</v>
      </c>
      <c r="AU14" s="19">
        <f>SUM(AL15:AL16)</f>
        <v>0</v>
      </c>
    </row>
    <row r="15" spans="1:65" ht="15" customHeight="1">
      <c r="A15" s="29" t="s">
        <v>328</v>
      </c>
      <c r="B15" s="2" t="s">
        <v>146</v>
      </c>
      <c r="C15" s="79" t="s">
        <v>337</v>
      </c>
      <c r="D15" s="79"/>
      <c r="E15" s="79"/>
      <c r="F15" s="79"/>
      <c r="G15" s="2" t="s">
        <v>211</v>
      </c>
      <c r="H15" s="51">
        <v>1</v>
      </c>
      <c r="I15" s="51">
        <v>0</v>
      </c>
      <c r="J15" s="51">
        <f>H15*AO15</f>
        <v>0</v>
      </c>
      <c r="K15" s="51">
        <f>H15*AP15</f>
        <v>0</v>
      </c>
      <c r="L15" s="51">
        <f>H15*I15</f>
        <v>0</v>
      </c>
      <c r="M15" s="44" t="s">
        <v>218</v>
      </c>
      <c r="Z15" s="51">
        <f>IF(AQ15="5",BJ15,0)</f>
        <v>0</v>
      </c>
      <c r="AB15" s="51">
        <f>IF(AQ15="1",BH15,0)</f>
        <v>0</v>
      </c>
      <c r="AC15" s="51">
        <f>IF(AQ15="1",BI15,0)</f>
        <v>0</v>
      </c>
      <c r="AD15" s="51">
        <f>IF(AQ15="7",BH15,0)</f>
        <v>0</v>
      </c>
      <c r="AE15" s="51">
        <f>IF(AQ15="7",BI15,0)</f>
        <v>0</v>
      </c>
      <c r="AF15" s="51">
        <f>IF(AQ15="2",BH15,0)</f>
        <v>0</v>
      </c>
      <c r="AG15" s="51">
        <f>IF(AQ15="2",BI15,0)</f>
        <v>0</v>
      </c>
      <c r="AH15" s="51">
        <f>IF(AQ15="0",BJ15,0)</f>
        <v>0</v>
      </c>
      <c r="AI15" s="15" t="s">
        <v>306</v>
      </c>
      <c r="AJ15" s="51">
        <f>IF(AN15=0,L15,0)</f>
        <v>0</v>
      </c>
      <c r="AK15" s="51">
        <f>IF(AN15=15,L15,0)</f>
        <v>0</v>
      </c>
      <c r="AL15" s="51">
        <f>IF(AN15=21,L15,0)</f>
        <v>0</v>
      </c>
      <c r="AN15" s="51">
        <v>21</v>
      </c>
      <c r="AO15" s="51">
        <f>I15*0</f>
        <v>0</v>
      </c>
      <c r="AP15" s="51">
        <f>I15*(1-0)</f>
        <v>0</v>
      </c>
      <c r="AQ15" s="63" t="s">
        <v>141</v>
      </c>
      <c r="AV15" s="51">
        <f>AW15+AX15</f>
        <v>0</v>
      </c>
      <c r="AW15" s="51">
        <f>H15*AO15</f>
        <v>0</v>
      </c>
      <c r="AX15" s="51">
        <f>H15*AP15</f>
        <v>0</v>
      </c>
      <c r="AY15" s="63" t="s">
        <v>147</v>
      </c>
      <c r="AZ15" s="63" t="s">
        <v>235</v>
      </c>
      <c r="BA15" s="15" t="s">
        <v>365</v>
      </c>
      <c r="BC15" s="51">
        <f>AW15+AX15</f>
        <v>0</v>
      </c>
      <c r="BD15" s="51">
        <f>I15/(100-BE15)*100</f>
        <v>0</v>
      </c>
      <c r="BE15" s="51">
        <v>0</v>
      </c>
      <c r="BF15" s="51">
        <f>15</f>
        <v>15</v>
      </c>
      <c r="BH15" s="51">
        <f>H15*AO15</f>
        <v>0</v>
      </c>
      <c r="BI15" s="51">
        <f>H15*AP15</f>
        <v>0</v>
      </c>
      <c r="BJ15" s="51">
        <f>H15*I15</f>
        <v>0</v>
      </c>
      <c r="BK15" s="51"/>
      <c r="BL15" s="51"/>
      <c r="BM15" s="51">
        <f>H15*I15</f>
        <v>0</v>
      </c>
    </row>
    <row r="16" spans="1:65" ht="15" customHeight="1">
      <c r="A16" s="29" t="s">
        <v>220</v>
      </c>
      <c r="B16" s="2" t="s">
        <v>228</v>
      </c>
      <c r="C16" s="79" t="s">
        <v>334</v>
      </c>
      <c r="D16" s="79"/>
      <c r="E16" s="79"/>
      <c r="F16" s="79"/>
      <c r="G16" s="2" t="s">
        <v>211</v>
      </c>
      <c r="H16" s="51">
        <v>1</v>
      </c>
      <c r="I16" s="51">
        <v>0</v>
      </c>
      <c r="J16" s="51">
        <f>H16*AO16</f>
        <v>0</v>
      </c>
      <c r="K16" s="51">
        <f>H16*AP16</f>
        <v>0</v>
      </c>
      <c r="L16" s="51">
        <f>H16*I16</f>
        <v>0</v>
      </c>
      <c r="M16" s="44" t="s">
        <v>218</v>
      </c>
      <c r="Z16" s="51">
        <f>IF(AQ16="5",BJ16,0)</f>
        <v>0</v>
      </c>
      <c r="AB16" s="51">
        <f>IF(AQ16="1",BH16,0)</f>
        <v>0</v>
      </c>
      <c r="AC16" s="51">
        <f>IF(AQ16="1",BI16,0)</f>
        <v>0</v>
      </c>
      <c r="AD16" s="51">
        <f>IF(AQ16="7",BH16,0)</f>
        <v>0</v>
      </c>
      <c r="AE16" s="51">
        <f>IF(AQ16="7",BI16,0)</f>
        <v>0</v>
      </c>
      <c r="AF16" s="51">
        <f>IF(AQ16="2",BH16,0)</f>
        <v>0</v>
      </c>
      <c r="AG16" s="51">
        <f>IF(AQ16="2",BI16,0)</f>
        <v>0</v>
      </c>
      <c r="AH16" s="51">
        <f>IF(AQ16="0",BJ16,0)</f>
        <v>0</v>
      </c>
      <c r="AI16" s="15" t="s">
        <v>306</v>
      </c>
      <c r="AJ16" s="51">
        <f>IF(AN16=0,L16,0)</f>
        <v>0</v>
      </c>
      <c r="AK16" s="51">
        <f>IF(AN16=15,L16,0)</f>
        <v>0</v>
      </c>
      <c r="AL16" s="51">
        <f>IF(AN16=21,L16,0)</f>
        <v>0</v>
      </c>
      <c r="AN16" s="51">
        <v>21</v>
      </c>
      <c r="AO16" s="51">
        <f>I16*0</f>
        <v>0</v>
      </c>
      <c r="AP16" s="51">
        <f>I16*(1-0)</f>
        <v>0</v>
      </c>
      <c r="AQ16" s="63" t="s">
        <v>141</v>
      </c>
      <c r="AV16" s="51">
        <f>AW16+AX16</f>
        <v>0</v>
      </c>
      <c r="AW16" s="51">
        <f>H16*AO16</f>
        <v>0</v>
      </c>
      <c r="AX16" s="51">
        <f>H16*AP16</f>
        <v>0</v>
      </c>
      <c r="AY16" s="63" t="s">
        <v>147</v>
      </c>
      <c r="AZ16" s="63" t="s">
        <v>235</v>
      </c>
      <c r="BA16" s="15" t="s">
        <v>365</v>
      </c>
      <c r="BC16" s="51">
        <f>AW16+AX16</f>
        <v>0</v>
      </c>
      <c r="BD16" s="51">
        <f>I16/(100-BE16)*100</f>
        <v>0</v>
      </c>
      <c r="BE16" s="51">
        <v>0</v>
      </c>
      <c r="BF16" s="51">
        <f>16</f>
        <v>16</v>
      </c>
      <c r="BH16" s="51">
        <f>H16*AO16</f>
        <v>0</v>
      </c>
      <c r="BI16" s="51">
        <f>H16*AP16</f>
        <v>0</v>
      </c>
      <c r="BJ16" s="51">
        <f>H16*I16</f>
        <v>0</v>
      </c>
      <c r="BK16" s="51"/>
      <c r="BL16" s="51"/>
      <c r="BM16" s="51">
        <f>H16*I16</f>
        <v>0</v>
      </c>
    </row>
    <row r="17" spans="1:71" ht="15" customHeight="1">
      <c r="A17" s="16" t="s">
        <v>224</v>
      </c>
      <c r="B17" s="47" t="s">
        <v>11</v>
      </c>
      <c r="C17" s="95" t="s">
        <v>32</v>
      </c>
      <c r="D17" s="95"/>
      <c r="E17" s="95"/>
      <c r="F17" s="95"/>
      <c r="G17" s="22" t="s">
        <v>298</v>
      </c>
      <c r="H17" s="22" t="s">
        <v>298</v>
      </c>
      <c r="I17" s="22" t="s">
        <v>298</v>
      </c>
      <c r="J17" s="19">
        <f>SUM(J18:J18)</f>
        <v>0</v>
      </c>
      <c r="K17" s="19">
        <f>SUM(K18:K18)</f>
        <v>0</v>
      </c>
      <c r="L17" s="19">
        <f>SUM(L18:L18)</f>
        <v>0</v>
      </c>
      <c r="M17" s="31" t="s">
        <v>224</v>
      </c>
      <c r="AI17" s="15" t="s">
        <v>306</v>
      </c>
      <c r="AS17" s="19">
        <f>SUM(AJ18:AJ18)</f>
        <v>0</v>
      </c>
      <c r="AT17" s="19">
        <f>SUM(AK18:AK18)</f>
        <v>0</v>
      </c>
      <c r="AU17" s="19">
        <f>SUM(AL18:AL18)</f>
        <v>0</v>
      </c>
    </row>
    <row r="18" spans="1:71" ht="15" customHeight="1">
      <c r="A18" s="29" t="s">
        <v>284</v>
      </c>
      <c r="B18" s="2" t="s">
        <v>53</v>
      </c>
      <c r="C18" s="79" t="s">
        <v>250</v>
      </c>
      <c r="D18" s="79"/>
      <c r="E18" s="79"/>
      <c r="F18" s="79"/>
      <c r="G18" s="2" t="s">
        <v>211</v>
      </c>
      <c r="H18" s="51">
        <v>1</v>
      </c>
      <c r="I18" s="51">
        <v>0</v>
      </c>
      <c r="J18" s="51">
        <f>H18*AO18</f>
        <v>0</v>
      </c>
      <c r="K18" s="51">
        <f>H18*AP18</f>
        <v>0</v>
      </c>
      <c r="L18" s="51">
        <f>H18*I18</f>
        <v>0</v>
      </c>
      <c r="M18" s="44" t="s">
        <v>218</v>
      </c>
      <c r="Z18" s="51">
        <f>IF(AQ18="5",BJ18,0)</f>
        <v>0</v>
      </c>
      <c r="AB18" s="51">
        <f>IF(AQ18="1",BH18,0)</f>
        <v>0</v>
      </c>
      <c r="AC18" s="51">
        <f>IF(AQ18="1",BI18,0)</f>
        <v>0</v>
      </c>
      <c r="AD18" s="51">
        <f>IF(AQ18="7",BH18,0)</f>
        <v>0</v>
      </c>
      <c r="AE18" s="51">
        <f>IF(AQ18="7",BI18,0)</f>
        <v>0</v>
      </c>
      <c r="AF18" s="51">
        <f>IF(AQ18="2",BH18,0)</f>
        <v>0</v>
      </c>
      <c r="AG18" s="51">
        <f>IF(AQ18="2",BI18,0)</f>
        <v>0</v>
      </c>
      <c r="AH18" s="51">
        <f>IF(AQ18="0",BJ18,0)</f>
        <v>0</v>
      </c>
      <c r="AI18" s="15" t="s">
        <v>306</v>
      </c>
      <c r="AJ18" s="51">
        <f>IF(AN18=0,L18,0)</f>
        <v>0</v>
      </c>
      <c r="AK18" s="51">
        <f>IF(AN18=15,L18,0)</f>
        <v>0</v>
      </c>
      <c r="AL18" s="51">
        <f>IF(AN18=21,L18,0)</f>
        <v>0</v>
      </c>
      <c r="AN18" s="51">
        <v>21</v>
      </c>
      <c r="AO18" s="51">
        <f>I18*0</f>
        <v>0</v>
      </c>
      <c r="AP18" s="51">
        <f>I18*(1-0)</f>
        <v>0</v>
      </c>
      <c r="AQ18" s="63" t="s">
        <v>141</v>
      </c>
      <c r="AV18" s="51">
        <f>AW18+AX18</f>
        <v>0</v>
      </c>
      <c r="AW18" s="51">
        <f>H18*AO18</f>
        <v>0</v>
      </c>
      <c r="AX18" s="51">
        <f>H18*AP18</f>
        <v>0</v>
      </c>
      <c r="AY18" s="63" t="s">
        <v>68</v>
      </c>
      <c r="AZ18" s="63" t="s">
        <v>235</v>
      </c>
      <c r="BA18" s="15" t="s">
        <v>365</v>
      </c>
      <c r="BC18" s="51">
        <f>AW18+AX18</f>
        <v>0</v>
      </c>
      <c r="BD18" s="51">
        <f>I18/(100-BE18)*100</f>
        <v>0</v>
      </c>
      <c r="BE18" s="51">
        <v>0</v>
      </c>
      <c r="BF18" s="51">
        <f>18</f>
        <v>18</v>
      </c>
      <c r="BH18" s="51">
        <f>H18*AO18</f>
        <v>0</v>
      </c>
      <c r="BI18" s="51">
        <f>H18*AP18</f>
        <v>0</v>
      </c>
      <c r="BJ18" s="51">
        <f>H18*I18</f>
        <v>0</v>
      </c>
      <c r="BK18" s="51"/>
      <c r="BL18" s="51"/>
      <c r="BO18" s="51">
        <f>H18*I18</f>
        <v>0</v>
      </c>
    </row>
    <row r="19" spans="1:71" ht="15" customHeight="1">
      <c r="A19" s="16" t="s">
        <v>224</v>
      </c>
      <c r="B19" s="47" t="s">
        <v>96</v>
      </c>
      <c r="C19" s="95" t="s">
        <v>272</v>
      </c>
      <c r="D19" s="95"/>
      <c r="E19" s="95"/>
      <c r="F19" s="95"/>
      <c r="G19" s="22" t="s">
        <v>298</v>
      </c>
      <c r="H19" s="22" t="s">
        <v>298</v>
      </c>
      <c r="I19" s="22" t="s">
        <v>298</v>
      </c>
      <c r="J19" s="19">
        <f>SUM(J20:J20)</f>
        <v>0</v>
      </c>
      <c r="K19" s="19">
        <f>SUM(K20:K20)</f>
        <v>0</v>
      </c>
      <c r="L19" s="19">
        <f>SUM(L20:L20)</f>
        <v>0</v>
      </c>
      <c r="M19" s="31" t="s">
        <v>224</v>
      </c>
      <c r="AI19" s="15" t="s">
        <v>306</v>
      </c>
      <c r="AS19" s="19">
        <f>SUM(AJ20:AJ20)</f>
        <v>0</v>
      </c>
      <c r="AT19" s="19">
        <f>SUM(AK20:AK20)</f>
        <v>0</v>
      </c>
      <c r="AU19" s="19">
        <f>SUM(AL20:AL20)</f>
        <v>0</v>
      </c>
    </row>
    <row r="20" spans="1:71" ht="15" customHeight="1">
      <c r="A20" s="29" t="s">
        <v>35</v>
      </c>
      <c r="B20" s="2" t="s">
        <v>213</v>
      </c>
      <c r="C20" s="79" t="s">
        <v>52</v>
      </c>
      <c r="D20" s="79"/>
      <c r="E20" s="79"/>
      <c r="F20" s="79"/>
      <c r="G20" s="2" t="s">
        <v>211</v>
      </c>
      <c r="H20" s="51">
        <v>1</v>
      </c>
      <c r="I20" s="51">
        <v>0</v>
      </c>
      <c r="J20" s="51">
        <f>H20*AO20</f>
        <v>0</v>
      </c>
      <c r="K20" s="51">
        <f>H20*AP20</f>
        <v>0</v>
      </c>
      <c r="L20" s="51">
        <f>H20*I20</f>
        <v>0</v>
      </c>
      <c r="M20" s="44" t="s">
        <v>218</v>
      </c>
      <c r="Z20" s="51">
        <f>IF(AQ20="5",BJ20,0)</f>
        <v>0</v>
      </c>
      <c r="AB20" s="51">
        <f>IF(AQ20="1",BH20,0)</f>
        <v>0</v>
      </c>
      <c r="AC20" s="51">
        <f>IF(AQ20="1",BI20,0)</f>
        <v>0</v>
      </c>
      <c r="AD20" s="51">
        <f>IF(AQ20="7",BH20,0)</f>
        <v>0</v>
      </c>
      <c r="AE20" s="51">
        <f>IF(AQ20="7",BI20,0)</f>
        <v>0</v>
      </c>
      <c r="AF20" s="51">
        <f>IF(AQ20="2",BH20,0)</f>
        <v>0</v>
      </c>
      <c r="AG20" s="51">
        <f>IF(AQ20="2",BI20,0)</f>
        <v>0</v>
      </c>
      <c r="AH20" s="51">
        <f>IF(AQ20="0",BJ20,0)</f>
        <v>0</v>
      </c>
      <c r="AI20" s="15" t="s">
        <v>306</v>
      </c>
      <c r="AJ20" s="51">
        <f>IF(AN20=0,L20,0)</f>
        <v>0</v>
      </c>
      <c r="AK20" s="51">
        <f>IF(AN20=15,L20,0)</f>
        <v>0</v>
      </c>
      <c r="AL20" s="51">
        <f>IF(AN20=21,L20,0)</f>
        <v>0</v>
      </c>
      <c r="AN20" s="51">
        <v>21</v>
      </c>
      <c r="AO20" s="51">
        <f>I20*0</f>
        <v>0</v>
      </c>
      <c r="AP20" s="51">
        <f>I20*(1-0)</f>
        <v>0</v>
      </c>
      <c r="AQ20" s="63" t="s">
        <v>141</v>
      </c>
      <c r="AV20" s="51">
        <f>AW20+AX20</f>
        <v>0</v>
      </c>
      <c r="AW20" s="51">
        <f>H20*AO20</f>
        <v>0</v>
      </c>
      <c r="AX20" s="51">
        <f>H20*AP20</f>
        <v>0</v>
      </c>
      <c r="AY20" s="63" t="s">
        <v>273</v>
      </c>
      <c r="AZ20" s="63" t="s">
        <v>235</v>
      </c>
      <c r="BA20" s="15" t="s">
        <v>365</v>
      </c>
      <c r="BC20" s="51">
        <f>AW20+AX20</f>
        <v>0</v>
      </c>
      <c r="BD20" s="51">
        <f>I20/(100-BE20)*100</f>
        <v>0</v>
      </c>
      <c r="BE20" s="51">
        <v>0</v>
      </c>
      <c r="BF20" s="51">
        <f>20</f>
        <v>20</v>
      </c>
      <c r="BH20" s="51">
        <f>H20*AO20</f>
        <v>0</v>
      </c>
      <c r="BI20" s="51">
        <f>H20*AP20</f>
        <v>0</v>
      </c>
      <c r="BJ20" s="51">
        <f>H20*I20</f>
        <v>0</v>
      </c>
      <c r="BK20" s="51"/>
      <c r="BL20" s="51"/>
      <c r="BP20" s="51">
        <f>H20*I20</f>
        <v>0</v>
      </c>
    </row>
    <row r="21" spans="1:71" ht="15" customHeight="1">
      <c r="A21" s="16" t="s">
        <v>224</v>
      </c>
      <c r="B21" s="47" t="s">
        <v>238</v>
      </c>
      <c r="C21" s="95" t="s">
        <v>163</v>
      </c>
      <c r="D21" s="95"/>
      <c r="E21" s="95"/>
      <c r="F21" s="95"/>
      <c r="G21" s="22" t="s">
        <v>298</v>
      </c>
      <c r="H21" s="22" t="s">
        <v>298</v>
      </c>
      <c r="I21" s="22" t="s">
        <v>298</v>
      </c>
      <c r="J21" s="19">
        <f>SUM(J22:J24)</f>
        <v>0</v>
      </c>
      <c r="K21" s="19">
        <f>SUM(K22:K24)</f>
        <v>0</v>
      </c>
      <c r="L21" s="19">
        <f>SUM(L22:L24)</f>
        <v>0</v>
      </c>
      <c r="M21" s="31" t="s">
        <v>224</v>
      </c>
      <c r="AI21" s="15" t="s">
        <v>306</v>
      </c>
      <c r="AS21" s="19">
        <f>SUM(AJ22:AJ24)</f>
        <v>0</v>
      </c>
      <c r="AT21" s="19">
        <f>SUM(AK22:AK24)</f>
        <v>0</v>
      </c>
      <c r="AU21" s="19">
        <f>SUM(AL22:AL24)</f>
        <v>0</v>
      </c>
    </row>
    <row r="22" spans="1:71" ht="15" customHeight="1">
      <c r="A22" s="29" t="s">
        <v>164</v>
      </c>
      <c r="B22" s="2" t="s">
        <v>308</v>
      </c>
      <c r="C22" s="79" t="s">
        <v>174</v>
      </c>
      <c r="D22" s="79"/>
      <c r="E22" s="79"/>
      <c r="F22" s="79"/>
      <c r="G22" s="2" t="s">
        <v>211</v>
      </c>
      <c r="H22" s="51">
        <v>1</v>
      </c>
      <c r="I22" s="51">
        <v>0</v>
      </c>
      <c r="J22" s="51">
        <f>H22*AO22</f>
        <v>0</v>
      </c>
      <c r="K22" s="51">
        <f>H22*AP22</f>
        <v>0</v>
      </c>
      <c r="L22" s="51">
        <f>H22*I22</f>
        <v>0</v>
      </c>
      <c r="M22" s="44" t="s">
        <v>218</v>
      </c>
      <c r="Z22" s="51">
        <f>IF(AQ22="5",BJ22,0)</f>
        <v>0</v>
      </c>
      <c r="AB22" s="51">
        <f>IF(AQ22="1",BH22,0)</f>
        <v>0</v>
      </c>
      <c r="AC22" s="51">
        <f>IF(AQ22="1",BI22,0)</f>
        <v>0</v>
      </c>
      <c r="AD22" s="51">
        <f>IF(AQ22="7",BH22,0)</f>
        <v>0</v>
      </c>
      <c r="AE22" s="51">
        <f>IF(AQ22="7",BI22,0)</f>
        <v>0</v>
      </c>
      <c r="AF22" s="51">
        <f>IF(AQ22="2",BH22,0)</f>
        <v>0</v>
      </c>
      <c r="AG22" s="51">
        <f>IF(AQ22="2",BI22,0)</f>
        <v>0</v>
      </c>
      <c r="AH22" s="51">
        <f>IF(AQ22="0",BJ22,0)</f>
        <v>0</v>
      </c>
      <c r="AI22" s="15" t="s">
        <v>306</v>
      </c>
      <c r="AJ22" s="51">
        <f>IF(AN22=0,L22,0)</f>
        <v>0</v>
      </c>
      <c r="AK22" s="51">
        <f>IF(AN22=15,L22,0)</f>
        <v>0</v>
      </c>
      <c r="AL22" s="51">
        <f>IF(AN22=21,L22,0)</f>
        <v>0</v>
      </c>
      <c r="AN22" s="51">
        <v>21</v>
      </c>
      <c r="AO22" s="51">
        <f>I22*0</f>
        <v>0</v>
      </c>
      <c r="AP22" s="51">
        <f>I22*(1-0)</f>
        <v>0</v>
      </c>
      <c r="AQ22" s="63" t="s">
        <v>141</v>
      </c>
      <c r="AV22" s="51">
        <f>AW22+AX22</f>
        <v>0</v>
      </c>
      <c r="AW22" s="51">
        <f>H22*AO22</f>
        <v>0</v>
      </c>
      <c r="AX22" s="51">
        <f>H22*AP22</f>
        <v>0</v>
      </c>
      <c r="AY22" s="63" t="s">
        <v>316</v>
      </c>
      <c r="AZ22" s="63" t="s">
        <v>235</v>
      </c>
      <c r="BA22" s="15" t="s">
        <v>365</v>
      </c>
      <c r="BC22" s="51">
        <f>AW22+AX22</f>
        <v>0</v>
      </c>
      <c r="BD22" s="51">
        <f>I22/(100-BE22)*100</f>
        <v>0</v>
      </c>
      <c r="BE22" s="51">
        <v>0</v>
      </c>
      <c r="BF22" s="51">
        <f>22</f>
        <v>22</v>
      </c>
      <c r="BH22" s="51">
        <f>H22*AO22</f>
        <v>0</v>
      </c>
      <c r="BI22" s="51">
        <f>H22*AP22</f>
        <v>0</v>
      </c>
      <c r="BJ22" s="51">
        <f>H22*I22</f>
        <v>0</v>
      </c>
      <c r="BK22" s="51"/>
      <c r="BL22" s="51"/>
      <c r="BS22" s="51">
        <f>H22*I22</f>
        <v>0</v>
      </c>
    </row>
    <row r="23" spans="1:71" ht="13.5" customHeight="1">
      <c r="A23" s="26"/>
      <c r="B23" s="21" t="s">
        <v>159</v>
      </c>
      <c r="C23" s="96" t="s">
        <v>142</v>
      </c>
      <c r="D23" s="97"/>
      <c r="E23" s="97"/>
      <c r="F23" s="97"/>
      <c r="G23" s="97"/>
      <c r="H23" s="97"/>
      <c r="I23" s="97"/>
      <c r="J23" s="97"/>
      <c r="K23" s="97"/>
      <c r="L23" s="97"/>
      <c r="M23" s="98"/>
    </row>
    <row r="24" spans="1:71" ht="15" customHeight="1">
      <c r="A24" s="29" t="s">
        <v>47</v>
      </c>
      <c r="B24" s="2" t="s">
        <v>76</v>
      </c>
      <c r="C24" s="79" t="s">
        <v>155</v>
      </c>
      <c r="D24" s="79"/>
      <c r="E24" s="79"/>
      <c r="F24" s="79"/>
      <c r="G24" s="2" t="s">
        <v>211</v>
      </c>
      <c r="H24" s="51">
        <v>1</v>
      </c>
      <c r="I24" s="51">
        <v>0</v>
      </c>
      <c r="J24" s="51">
        <f>H24*AO24</f>
        <v>0</v>
      </c>
      <c r="K24" s="51">
        <f>H24*AP24</f>
        <v>0</v>
      </c>
      <c r="L24" s="51">
        <f>H24*I24</f>
        <v>0</v>
      </c>
      <c r="M24" s="44" t="s">
        <v>218</v>
      </c>
      <c r="Z24" s="51">
        <f>IF(AQ24="5",BJ24,0)</f>
        <v>0</v>
      </c>
      <c r="AB24" s="51">
        <f>IF(AQ24="1",BH24,0)</f>
        <v>0</v>
      </c>
      <c r="AC24" s="51">
        <f>IF(AQ24="1",BI24,0)</f>
        <v>0</v>
      </c>
      <c r="AD24" s="51">
        <f>IF(AQ24="7",BH24,0)</f>
        <v>0</v>
      </c>
      <c r="AE24" s="51">
        <f>IF(AQ24="7",BI24,0)</f>
        <v>0</v>
      </c>
      <c r="AF24" s="51">
        <f>IF(AQ24="2",BH24,0)</f>
        <v>0</v>
      </c>
      <c r="AG24" s="51">
        <f>IF(AQ24="2",BI24,0)</f>
        <v>0</v>
      </c>
      <c r="AH24" s="51">
        <f>IF(AQ24="0",BJ24,0)</f>
        <v>0</v>
      </c>
      <c r="AI24" s="15" t="s">
        <v>306</v>
      </c>
      <c r="AJ24" s="51">
        <f>IF(AN24=0,L24,0)</f>
        <v>0</v>
      </c>
      <c r="AK24" s="51">
        <f>IF(AN24=15,L24,0)</f>
        <v>0</v>
      </c>
      <c r="AL24" s="51">
        <f>IF(AN24=21,L24,0)</f>
        <v>0</v>
      </c>
      <c r="AN24" s="51">
        <v>21</v>
      </c>
      <c r="AO24" s="51">
        <f>I24*0</f>
        <v>0</v>
      </c>
      <c r="AP24" s="51">
        <f>I24*(1-0)</f>
        <v>0</v>
      </c>
      <c r="AQ24" s="63" t="s">
        <v>141</v>
      </c>
      <c r="AV24" s="51">
        <f>AW24+AX24</f>
        <v>0</v>
      </c>
      <c r="AW24" s="51">
        <f>H24*AO24</f>
        <v>0</v>
      </c>
      <c r="AX24" s="51">
        <f>H24*AP24</f>
        <v>0</v>
      </c>
      <c r="AY24" s="63" t="s">
        <v>316</v>
      </c>
      <c r="AZ24" s="63" t="s">
        <v>235</v>
      </c>
      <c r="BA24" s="15" t="s">
        <v>365</v>
      </c>
      <c r="BC24" s="51">
        <f>AW24+AX24</f>
        <v>0</v>
      </c>
      <c r="BD24" s="51">
        <f>I24/(100-BE24)*100</f>
        <v>0</v>
      </c>
      <c r="BE24" s="51">
        <v>0</v>
      </c>
      <c r="BF24" s="51">
        <f>24</f>
        <v>24</v>
      </c>
      <c r="BH24" s="51">
        <f>H24*AO24</f>
        <v>0</v>
      </c>
      <c r="BI24" s="51">
        <f>H24*AP24</f>
        <v>0</v>
      </c>
      <c r="BJ24" s="51">
        <f>H24*I24</f>
        <v>0</v>
      </c>
      <c r="BK24" s="51"/>
      <c r="BL24" s="51"/>
      <c r="BS24" s="51">
        <f>H24*I24</f>
        <v>0</v>
      </c>
    </row>
    <row r="25" spans="1:71" ht="15" customHeight="1">
      <c r="A25" s="16" t="s">
        <v>224</v>
      </c>
      <c r="B25" s="47" t="s">
        <v>224</v>
      </c>
      <c r="C25" s="95" t="s">
        <v>356</v>
      </c>
      <c r="D25" s="95"/>
      <c r="E25" s="95"/>
      <c r="F25" s="95"/>
      <c r="G25" s="22" t="s">
        <v>298</v>
      </c>
      <c r="H25" s="22" t="s">
        <v>298</v>
      </c>
      <c r="I25" s="22" t="s">
        <v>298</v>
      </c>
      <c r="J25" s="19">
        <f>J26+J28+J30+J35+J37+J40+J43+J45+J52+J56+J61+J81+J93+J100+J117</f>
        <v>0</v>
      </c>
      <c r="K25" s="19">
        <f>K26+K28+K30+K35+K37+K40+K43+K45+K52+K56+K61+K81+K93+K100+K117</f>
        <v>0</v>
      </c>
      <c r="L25" s="19">
        <f>L26+L28+L30+L35+L37+L40+L43+L45+L52+L56+L61+L81+L93+L100+L117</f>
        <v>0</v>
      </c>
      <c r="M25" s="31" t="s">
        <v>224</v>
      </c>
    </row>
    <row r="26" spans="1:71" ht="15" customHeight="1">
      <c r="A26" s="16" t="s">
        <v>224</v>
      </c>
      <c r="B26" s="47" t="s">
        <v>276</v>
      </c>
      <c r="C26" s="95" t="s">
        <v>169</v>
      </c>
      <c r="D26" s="95"/>
      <c r="E26" s="95"/>
      <c r="F26" s="95"/>
      <c r="G26" s="22" t="s">
        <v>298</v>
      </c>
      <c r="H26" s="22" t="s">
        <v>298</v>
      </c>
      <c r="I26" s="22" t="s">
        <v>298</v>
      </c>
      <c r="J26" s="19">
        <f>SUM(J27:J27)</f>
        <v>0</v>
      </c>
      <c r="K26" s="19">
        <f>SUM(K27:K27)</f>
        <v>0</v>
      </c>
      <c r="L26" s="19">
        <f>SUM(L27:L27)</f>
        <v>0</v>
      </c>
      <c r="M26" s="31" t="s">
        <v>224</v>
      </c>
      <c r="AI26" s="15" t="s">
        <v>172</v>
      </c>
      <c r="AS26" s="19">
        <f>SUM(AJ27:AJ27)</f>
        <v>0</v>
      </c>
      <c r="AT26" s="19">
        <f>SUM(AK27:AK27)</f>
        <v>0</v>
      </c>
      <c r="AU26" s="19">
        <f>SUM(AL27:AL27)</f>
        <v>0</v>
      </c>
    </row>
    <row r="27" spans="1:71" ht="15" customHeight="1">
      <c r="A27" s="29" t="s">
        <v>329</v>
      </c>
      <c r="B27" s="2" t="s">
        <v>100</v>
      </c>
      <c r="C27" s="79" t="s">
        <v>110</v>
      </c>
      <c r="D27" s="79"/>
      <c r="E27" s="79"/>
      <c r="F27" s="79"/>
      <c r="G27" s="2" t="s">
        <v>320</v>
      </c>
      <c r="H27" s="51">
        <v>168</v>
      </c>
      <c r="I27" s="51">
        <v>0</v>
      </c>
      <c r="J27" s="51">
        <f>H27*AO27</f>
        <v>0</v>
      </c>
      <c r="K27" s="51">
        <f>H27*AP27</f>
        <v>0</v>
      </c>
      <c r="L27" s="51">
        <f>H27*I27</f>
        <v>0</v>
      </c>
      <c r="M27" s="44" t="s">
        <v>218</v>
      </c>
      <c r="Z27" s="51">
        <f>IF(AQ27="5",BJ27,0)</f>
        <v>0</v>
      </c>
      <c r="AB27" s="51">
        <f>IF(AQ27="1",BH27,0)</f>
        <v>0</v>
      </c>
      <c r="AC27" s="51">
        <f>IF(AQ27="1",BI27,0)</f>
        <v>0</v>
      </c>
      <c r="AD27" s="51">
        <f>IF(AQ27="7",BH27,0)</f>
        <v>0</v>
      </c>
      <c r="AE27" s="51">
        <f>IF(AQ27="7",BI27,0)</f>
        <v>0</v>
      </c>
      <c r="AF27" s="51">
        <f>IF(AQ27="2",BH27,0)</f>
        <v>0</v>
      </c>
      <c r="AG27" s="51">
        <f>IF(AQ27="2",BI27,0)</f>
        <v>0</v>
      </c>
      <c r="AH27" s="51">
        <f>IF(AQ27="0",BJ27,0)</f>
        <v>0</v>
      </c>
      <c r="AI27" s="15" t="s">
        <v>172</v>
      </c>
      <c r="AJ27" s="51">
        <f>IF(AN27=0,L27,0)</f>
        <v>0</v>
      </c>
      <c r="AK27" s="51">
        <f>IF(AN27=15,L27,0)</f>
        <v>0</v>
      </c>
      <c r="AL27" s="51">
        <f>IF(AN27=21,L27,0)</f>
        <v>0</v>
      </c>
      <c r="AN27" s="51">
        <v>21</v>
      </c>
      <c r="AO27" s="51">
        <f>I27*0</f>
        <v>0</v>
      </c>
      <c r="AP27" s="51">
        <f>I27*(1-0)</f>
        <v>0</v>
      </c>
      <c r="AQ27" s="63" t="s">
        <v>328</v>
      </c>
      <c r="AV27" s="51">
        <f>AW27+AX27</f>
        <v>0</v>
      </c>
      <c r="AW27" s="51">
        <f>H27*AO27</f>
        <v>0</v>
      </c>
      <c r="AX27" s="51">
        <f>H27*AP27</f>
        <v>0</v>
      </c>
      <c r="AY27" s="63" t="s">
        <v>34</v>
      </c>
      <c r="AZ27" s="63" t="s">
        <v>144</v>
      </c>
      <c r="BA27" s="15" t="s">
        <v>56</v>
      </c>
      <c r="BC27" s="51">
        <f>AW27+AX27</f>
        <v>0</v>
      </c>
      <c r="BD27" s="51">
        <f>I27/(100-BE27)*100</f>
        <v>0</v>
      </c>
      <c r="BE27" s="51">
        <v>0</v>
      </c>
      <c r="BF27" s="51">
        <f>27</f>
        <v>27</v>
      </c>
      <c r="BH27" s="51">
        <f>H27*AO27</f>
        <v>0</v>
      </c>
      <c r="BI27" s="51">
        <f>H27*AP27</f>
        <v>0</v>
      </c>
      <c r="BJ27" s="51">
        <f>H27*I27</f>
        <v>0</v>
      </c>
      <c r="BK27" s="51"/>
      <c r="BL27" s="51">
        <v>11</v>
      </c>
    </row>
    <row r="28" spans="1:71" ht="15" customHeight="1">
      <c r="A28" s="9" t="s">
        <v>224</v>
      </c>
      <c r="B28" s="65" t="s">
        <v>239</v>
      </c>
      <c r="C28" s="95" t="s">
        <v>73</v>
      </c>
      <c r="D28" s="95"/>
      <c r="E28" s="95"/>
      <c r="F28" s="95"/>
      <c r="G28" s="72" t="s">
        <v>298</v>
      </c>
      <c r="H28" s="72" t="s">
        <v>298</v>
      </c>
      <c r="I28" s="72" t="s">
        <v>298</v>
      </c>
      <c r="J28" s="27">
        <f>SUM(J29:J29)</f>
        <v>0</v>
      </c>
      <c r="K28" s="27">
        <f>SUM(K29:K29)</f>
        <v>0</v>
      </c>
      <c r="L28" s="27">
        <f>SUM(L29:L29)</f>
        <v>0</v>
      </c>
      <c r="M28" s="11" t="s">
        <v>224</v>
      </c>
      <c r="AI28" s="15" t="s">
        <v>172</v>
      </c>
      <c r="AS28" s="19">
        <f>SUM(AJ29:AJ29)</f>
        <v>0</v>
      </c>
      <c r="AT28" s="19">
        <f>SUM(AK29:AK29)</f>
        <v>0</v>
      </c>
      <c r="AU28" s="19">
        <f>SUM(AL29:AL29)</f>
        <v>0</v>
      </c>
    </row>
    <row r="29" spans="1:71" ht="15" customHeight="1">
      <c r="A29" s="35" t="s">
        <v>259</v>
      </c>
      <c r="B29" s="4" t="s">
        <v>267</v>
      </c>
      <c r="C29" s="99" t="s">
        <v>90</v>
      </c>
      <c r="D29" s="79"/>
      <c r="E29" s="79"/>
      <c r="F29" s="99"/>
      <c r="G29" s="4" t="s">
        <v>312</v>
      </c>
      <c r="H29" s="41">
        <v>287.55</v>
      </c>
      <c r="I29" s="41">
        <v>0</v>
      </c>
      <c r="J29" s="41">
        <f>H29*AO29</f>
        <v>0</v>
      </c>
      <c r="K29" s="41">
        <f>H29*AP29</f>
        <v>0</v>
      </c>
      <c r="L29" s="41">
        <f>H29*I29</f>
        <v>0</v>
      </c>
      <c r="M29" s="32" t="s">
        <v>277</v>
      </c>
      <c r="Z29" s="51">
        <f>IF(AQ29="5",BJ29,0)</f>
        <v>0</v>
      </c>
      <c r="AB29" s="51">
        <f>IF(AQ29="1",BH29,0)</f>
        <v>0</v>
      </c>
      <c r="AC29" s="51">
        <f>IF(AQ29="1",BI29,0)</f>
        <v>0</v>
      </c>
      <c r="AD29" s="51">
        <f>IF(AQ29="7",BH29,0)</f>
        <v>0</v>
      </c>
      <c r="AE29" s="51">
        <f>IF(AQ29="7",BI29,0)</f>
        <v>0</v>
      </c>
      <c r="AF29" s="51">
        <f>IF(AQ29="2",BH29,0)</f>
        <v>0</v>
      </c>
      <c r="AG29" s="51">
        <f>IF(AQ29="2",BI29,0)</f>
        <v>0</v>
      </c>
      <c r="AH29" s="51">
        <f>IF(AQ29="0",BJ29,0)</f>
        <v>0</v>
      </c>
      <c r="AI29" s="15" t="s">
        <v>172</v>
      </c>
      <c r="AJ29" s="51">
        <f>IF(AN29=0,L29,0)</f>
        <v>0</v>
      </c>
      <c r="AK29" s="51">
        <f>IF(AN29=15,L29,0)</f>
        <v>0</v>
      </c>
      <c r="AL29" s="51">
        <f>IF(AN29=21,L29,0)</f>
        <v>0</v>
      </c>
      <c r="AN29" s="51">
        <v>21</v>
      </c>
      <c r="AO29" s="51">
        <f>I29*0.0718643191450132</f>
        <v>0</v>
      </c>
      <c r="AP29" s="51">
        <f>I29*(1-0.0718643191450132)</f>
        <v>0</v>
      </c>
      <c r="AQ29" s="63" t="s">
        <v>328</v>
      </c>
      <c r="AV29" s="51">
        <f>AW29+AX29</f>
        <v>0</v>
      </c>
      <c r="AW29" s="51">
        <f>H29*AO29</f>
        <v>0</v>
      </c>
      <c r="AX29" s="51">
        <f>H29*AP29</f>
        <v>0</v>
      </c>
      <c r="AY29" s="63" t="s">
        <v>157</v>
      </c>
      <c r="AZ29" s="63" t="s">
        <v>144</v>
      </c>
      <c r="BA29" s="15" t="s">
        <v>56</v>
      </c>
      <c r="BC29" s="51">
        <f>AW29+AX29</f>
        <v>0</v>
      </c>
      <c r="BD29" s="51">
        <f>I29/(100-BE29)*100</f>
        <v>0</v>
      </c>
      <c r="BE29" s="51">
        <v>0</v>
      </c>
      <c r="BF29" s="51">
        <f>29</f>
        <v>29</v>
      </c>
      <c r="BH29" s="51">
        <f>H29*AO29</f>
        <v>0</v>
      </c>
      <c r="BI29" s="51">
        <f>H29*AP29</f>
        <v>0</v>
      </c>
      <c r="BJ29" s="51">
        <f>H29*I29</f>
        <v>0</v>
      </c>
      <c r="BK29" s="51"/>
      <c r="BL29" s="51">
        <v>12</v>
      </c>
    </row>
    <row r="30" spans="1:71" ht="15" customHeight="1">
      <c r="A30" s="38" t="s">
        <v>224</v>
      </c>
      <c r="B30" s="66" t="s">
        <v>179</v>
      </c>
      <c r="C30" s="95" t="s">
        <v>175</v>
      </c>
      <c r="D30" s="95"/>
      <c r="E30" s="95"/>
      <c r="F30" s="95"/>
      <c r="G30" s="28" t="s">
        <v>298</v>
      </c>
      <c r="H30" s="28" t="s">
        <v>298</v>
      </c>
      <c r="I30" s="28" t="s">
        <v>298</v>
      </c>
      <c r="J30" s="62">
        <f>SUM(J31:J33)</f>
        <v>0</v>
      </c>
      <c r="K30" s="62">
        <f>SUM(K31:K33)</f>
        <v>0</v>
      </c>
      <c r="L30" s="62">
        <f>SUM(L31:L33)</f>
        <v>0</v>
      </c>
      <c r="M30" s="30" t="s">
        <v>224</v>
      </c>
      <c r="AI30" s="15" t="s">
        <v>172</v>
      </c>
      <c r="AS30" s="19">
        <f>SUM(AJ31:AJ33)</f>
        <v>0</v>
      </c>
      <c r="AT30" s="19">
        <f>SUM(AK31:AK33)</f>
        <v>0</v>
      </c>
      <c r="AU30" s="19">
        <f>SUM(AL31:AL33)</f>
        <v>0</v>
      </c>
    </row>
    <row r="31" spans="1:71" ht="15" customHeight="1">
      <c r="A31" s="29" t="s">
        <v>116</v>
      </c>
      <c r="B31" s="2" t="s">
        <v>355</v>
      </c>
      <c r="C31" s="79" t="s">
        <v>212</v>
      </c>
      <c r="D31" s="79"/>
      <c r="E31" s="79"/>
      <c r="F31" s="79"/>
      <c r="G31" s="2" t="s">
        <v>270</v>
      </c>
      <c r="H31" s="51">
        <v>16</v>
      </c>
      <c r="I31" s="51">
        <v>0</v>
      </c>
      <c r="J31" s="51">
        <f>H31*AO31</f>
        <v>0</v>
      </c>
      <c r="K31" s="51">
        <f>H31*AP31</f>
        <v>0</v>
      </c>
      <c r="L31" s="51">
        <f>H31*I31</f>
        <v>0</v>
      </c>
      <c r="M31" s="44" t="s">
        <v>218</v>
      </c>
      <c r="Z31" s="51">
        <f>IF(AQ31="5",BJ31,0)</f>
        <v>0</v>
      </c>
      <c r="AB31" s="51">
        <f>IF(AQ31="1",BH31,0)</f>
        <v>0</v>
      </c>
      <c r="AC31" s="51">
        <f>IF(AQ31="1",BI31,0)</f>
        <v>0</v>
      </c>
      <c r="AD31" s="51">
        <f>IF(AQ31="7",BH31,0)</f>
        <v>0</v>
      </c>
      <c r="AE31" s="51">
        <f>IF(AQ31="7",BI31,0)</f>
        <v>0</v>
      </c>
      <c r="AF31" s="51">
        <f>IF(AQ31="2",BH31,0)</f>
        <v>0</v>
      </c>
      <c r="AG31" s="51">
        <f>IF(AQ31="2",BI31,0)</f>
        <v>0</v>
      </c>
      <c r="AH31" s="51">
        <f>IF(AQ31="0",BJ31,0)</f>
        <v>0</v>
      </c>
      <c r="AI31" s="15" t="s">
        <v>172</v>
      </c>
      <c r="AJ31" s="51">
        <f>IF(AN31=0,L31,0)</f>
        <v>0</v>
      </c>
      <c r="AK31" s="51">
        <f>IF(AN31=15,L31,0)</f>
        <v>0</v>
      </c>
      <c r="AL31" s="51">
        <f>IF(AN31=21,L31,0)</f>
        <v>0</v>
      </c>
      <c r="AN31" s="51">
        <v>21</v>
      </c>
      <c r="AO31" s="51">
        <f>I31*0.0200864345738295</f>
        <v>0</v>
      </c>
      <c r="AP31" s="51">
        <f>I31*(1-0.0200864345738295)</f>
        <v>0</v>
      </c>
      <c r="AQ31" s="63" t="s">
        <v>328</v>
      </c>
      <c r="AV31" s="51">
        <f>AW31+AX31</f>
        <v>0</v>
      </c>
      <c r="AW31" s="51">
        <f>H31*AO31</f>
        <v>0</v>
      </c>
      <c r="AX31" s="51">
        <f>H31*AP31</f>
        <v>0</v>
      </c>
      <c r="AY31" s="63" t="s">
        <v>352</v>
      </c>
      <c r="AZ31" s="63" t="s">
        <v>144</v>
      </c>
      <c r="BA31" s="15" t="s">
        <v>56</v>
      </c>
      <c r="BC31" s="51">
        <f>AW31+AX31</f>
        <v>0</v>
      </c>
      <c r="BD31" s="51">
        <f>I31/(100-BE31)*100</f>
        <v>0</v>
      </c>
      <c r="BE31" s="51">
        <v>0</v>
      </c>
      <c r="BF31" s="51">
        <f>31</f>
        <v>31</v>
      </c>
      <c r="BH31" s="51">
        <f>H31*AO31</f>
        <v>0</v>
      </c>
      <c r="BI31" s="51">
        <f>H31*AP31</f>
        <v>0</v>
      </c>
      <c r="BJ31" s="51">
        <f>H31*I31</f>
        <v>0</v>
      </c>
      <c r="BK31" s="51"/>
      <c r="BL31" s="51">
        <v>14</v>
      </c>
    </row>
    <row r="32" spans="1:71" ht="81" customHeight="1">
      <c r="A32" s="26"/>
      <c r="B32" s="21" t="s">
        <v>113</v>
      </c>
      <c r="C32" s="96" t="s">
        <v>63</v>
      </c>
      <c r="D32" s="97"/>
      <c r="E32" s="97"/>
      <c r="F32" s="97"/>
      <c r="G32" s="97"/>
      <c r="H32" s="97"/>
      <c r="I32" s="97"/>
      <c r="J32" s="97"/>
      <c r="K32" s="97"/>
      <c r="L32" s="97"/>
      <c r="M32" s="98"/>
    </row>
    <row r="33" spans="1:64" ht="15" customHeight="1">
      <c r="A33" s="29" t="s">
        <v>177</v>
      </c>
      <c r="B33" s="2" t="s">
        <v>92</v>
      </c>
      <c r="C33" s="79" t="s">
        <v>361</v>
      </c>
      <c r="D33" s="79"/>
      <c r="E33" s="79"/>
      <c r="F33" s="79"/>
      <c r="G33" s="2" t="s">
        <v>270</v>
      </c>
      <c r="H33" s="51">
        <v>17</v>
      </c>
      <c r="I33" s="51">
        <v>0</v>
      </c>
      <c r="J33" s="51">
        <f>H33*AO33</f>
        <v>0</v>
      </c>
      <c r="K33" s="51">
        <f>H33*AP33</f>
        <v>0</v>
      </c>
      <c r="L33" s="51">
        <f>H33*I33</f>
        <v>0</v>
      </c>
      <c r="M33" s="44" t="s">
        <v>218</v>
      </c>
      <c r="Z33" s="51">
        <f>IF(AQ33="5",BJ33,0)</f>
        <v>0</v>
      </c>
      <c r="AB33" s="51">
        <f>IF(AQ33="1",BH33,0)</f>
        <v>0</v>
      </c>
      <c r="AC33" s="51">
        <f>IF(AQ33="1",BI33,0)</f>
        <v>0</v>
      </c>
      <c r="AD33" s="51">
        <f>IF(AQ33="7",BH33,0)</f>
        <v>0</v>
      </c>
      <c r="AE33" s="51">
        <f>IF(AQ33="7",BI33,0)</f>
        <v>0</v>
      </c>
      <c r="AF33" s="51">
        <f>IF(AQ33="2",BH33,0)</f>
        <v>0</v>
      </c>
      <c r="AG33" s="51">
        <f>IF(AQ33="2",BI33,0)</f>
        <v>0</v>
      </c>
      <c r="AH33" s="51">
        <f>IF(AQ33="0",BJ33,0)</f>
        <v>0</v>
      </c>
      <c r="AI33" s="15" t="s">
        <v>172</v>
      </c>
      <c r="AJ33" s="51">
        <f>IF(AN33=0,L33,0)</f>
        <v>0</v>
      </c>
      <c r="AK33" s="51">
        <f>IF(AN33=15,L33,0)</f>
        <v>0</v>
      </c>
      <c r="AL33" s="51">
        <f>IF(AN33=21,L33,0)</f>
        <v>0</v>
      </c>
      <c r="AN33" s="51">
        <v>21</v>
      </c>
      <c r="AO33" s="51">
        <f>I33*1</f>
        <v>0</v>
      </c>
      <c r="AP33" s="51">
        <f>I33*(1-1)</f>
        <v>0</v>
      </c>
      <c r="AQ33" s="63" t="s">
        <v>328</v>
      </c>
      <c r="AV33" s="51">
        <f>AW33+AX33</f>
        <v>0</v>
      </c>
      <c r="AW33" s="51">
        <f>H33*AO33</f>
        <v>0</v>
      </c>
      <c r="AX33" s="51">
        <f>H33*AP33</f>
        <v>0</v>
      </c>
      <c r="AY33" s="63" t="s">
        <v>352</v>
      </c>
      <c r="AZ33" s="63" t="s">
        <v>144</v>
      </c>
      <c r="BA33" s="15" t="s">
        <v>56</v>
      </c>
      <c r="BC33" s="51">
        <f>AW33+AX33</f>
        <v>0</v>
      </c>
      <c r="BD33" s="51">
        <f>I33/(100-BE33)*100</f>
        <v>0</v>
      </c>
      <c r="BE33" s="51">
        <v>0</v>
      </c>
      <c r="BF33" s="51">
        <f>33</f>
        <v>33</v>
      </c>
      <c r="BH33" s="51">
        <f>H33*AO33</f>
        <v>0</v>
      </c>
      <c r="BI33" s="51">
        <f>H33*AP33</f>
        <v>0</v>
      </c>
      <c r="BJ33" s="51">
        <f>H33*I33</f>
        <v>0</v>
      </c>
      <c r="BK33" s="51"/>
      <c r="BL33" s="51">
        <v>14</v>
      </c>
    </row>
    <row r="34" spans="1:64" ht="13.5" customHeight="1">
      <c r="A34" s="26"/>
      <c r="B34" s="21" t="s">
        <v>113</v>
      </c>
      <c r="C34" s="96" t="s">
        <v>242</v>
      </c>
      <c r="D34" s="97"/>
      <c r="E34" s="97"/>
      <c r="F34" s="97"/>
      <c r="G34" s="97"/>
      <c r="H34" s="97"/>
      <c r="I34" s="97"/>
      <c r="J34" s="97"/>
      <c r="K34" s="97"/>
      <c r="L34" s="97"/>
      <c r="M34" s="98"/>
    </row>
    <row r="35" spans="1:64" ht="15" customHeight="1">
      <c r="A35" s="54" t="s">
        <v>224</v>
      </c>
      <c r="B35" s="53" t="s">
        <v>27</v>
      </c>
      <c r="C35" s="100" t="s">
        <v>275</v>
      </c>
      <c r="D35" s="95"/>
      <c r="E35" s="95"/>
      <c r="F35" s="100"/>
      <c r="G35" s="17" t="s">
        <v>298</v>
      </c>
      <c r="H35" s="17" t="s">
        <v>298</v>
      </c>
      <c r="I35" s="17" t="s">
        <v>298</v>
      </c>
      <c r="J35" s="58">
        <f>SUM(J36:J36)</f>
        <v>0</v>
      </c>
      <c r="K35" s="58">
        <f>SUM(K36:K36)</f>
        <v>0</v>
      </c>
      <c r="L35" s="58">
        <f>SUM(L36:L36)</f>
        <v>0</v>
      </c>
      <c r="M35" s="25" t="s">
        <v>224</v>
      </c>
      <c r="AI35" s="15" t="s">
        <v>172</v>
      </c>
      <c r="AS35" s="19">
        <f>SUM(AJ36:AJ36)</f>
        <v>0</v>
      </c>
      <c r="AT35" s="19">
        <f>SUM(AK36:AK36)</f>
        <v>0</v>
      </c>
      <c r="AU35" s="19">
        <f>SUM(AL36:AL36)</f>
        <v>0</v>
      </c>
    </row>
    <row r="36" spans="1:64" ht="15" customHeight="1">
      <c r="A36" s="67" t="s">
        <v>276</v>
      </c>
      <c r="B36" s="1" t="s">
        <v>82</v>
      </c>
      <c r="C36" s="99" t="s">
        <v>339</v>
      </c>
      <c r="D36" s="79"/>
      <c r="E36" s="79"/>
      <c r="F36" s="99"/>
      <c r="G36" s="1" t="s">
        <v>312</v>
      </c>
      <c r="H36" s="42">
        <v>287.55</v>
      </c>
      <c r="I36" s="42">
        <v>0</v>
      </c>
      <c r="J36" s="42">
        <f>H36*AO36</f>
        <v>0</v>
      </c>
      <c r="K36" s="42">
        <f>H36*AP36</f>
        <v>0</v>
      </c>
      <c r="L36" s="42">
        <f>H36*I36</f>
        <v>0</v>
      </c>
      <c r="M36" s="71" t="s">
        <v>277</v>
      </c>
      <c r="Z36" s="51">
        <f>IF(AQ36="5",BJ36,0)</f>
        <v>0</v>
      </c>
      <c r="AB36" s="51">
        <f>IF(AQ36="1",BH36,0)</f>
        <v>0</v>
      </c>
      <c r="AC36" s="51">
        <f>IF(AQ36="1",BI36,0)</f>
        <v>0</v>
      </c>
      <c r="AD36" s="51">
        <f>IF(AQ36="7",BH36,0)</f>
        <v>0</v>
      </c>
      <c r="AE36" s="51">
        <f>IF(AQ36="7",BI36,0)</f>
        <v>0</v>
      </c>
      <c r="AF36" s="51">
        <f>IF(AQ36="2",BH36,0)</f>
        <v>0</v>
      </c>
      <c r="AG36" s="51">
        <f>IF(AQ36="2",BI36,0)</f>
        <v>0</v>
      </c>
      <c r="AH36" s="51">
        <f>IF(AQ36="0",BJ36,0)</f>
        <v>0</v>
      </c>
      <c r="AI36" s="15" t="s">
        <v>172</v>
      </c>
      <c r="AJ36" s="51">
        <f>IF(AN36=0,L36,0)</f>
        <v>0</v>
      </c>
      <c r="AK36" s="51">
        <f>IF(AN36=15,L36,0)</f>
        <v>0</v>
      </c>
      <c r="AL36" s="51">
        <f>IF(AN36=21,L36,0)</f>
        <v>0</v>
      </c>
      <c r="AN36" s="51">
        <v>21</v>
      </c>
      <c r="AO36" s="51">
        <f>I36*0</f>
        <v>0</v>
      </c>
      <c r="AP36" s="51">
        <f>I36*(1-0)</f>
        <v>0</v>
      </c>
      <c r="AQ36" s="63" t="s">
        <v>328</v>
      </c>
      <c r="AV36" s="51">
        <f>AW36+AX36</f>
        <v>0</v>
      </c>
      <c r="AW36" s="51">
        <f>H36*AO36</f>
        <v>0</v>
      </c>
      <c r="AX36" s="51">
        <f>H36*AP36</f>
        <v>0</v>
      </c>
      <c r="AY36" s="63" t="s">
        <v>299</v>
      </c>
      <c r="AZ36" s="63" t="s">
        <v>144</v>
      </c>
      <c r="BA36" s="15" t="s">
        <v>56</v>
      </c>
      <c r="BC36" s="51">
        <f>AW36+AX36</f>
        <v>0</v>
      </c>
      <c r="BD36" s="51">
        <f>I36/(100-BE36)*100</f>
        <v>0</v>
      </c>
      <c r="BE36" s="51">
        <v>0</v>
      </c>
      <c r="BF36" s="51">
        <f>36</f>
        <v>36</v>
      </c>
      <c r="BH36" s="51">
        <f>H36*AO36</f>
        <v>0</v>
      </c>
      <c r="BI36" s="51">
        <f>H36*AP36</f>
        <v>0</v>
      </c>
      <c r="BJ36" s="51">
        <f>H36*I36</f>
        <v>0</v>
      </c>
      <c r="BK36" s="51"/>
      <c r="BL36" s="51">
        <v>16</v>
      </c>
    </row>
    <row r="37" spans="1:64" ht="15" customHeight="1">
      <c r="A37" s="23" t="s">
        <v>224</v>
      </c>
      <c r="B37" s="73" t="s">
        <v>227</v>
      </c>
      <c r="C37" s="100" t="s">
        <v>42</v>
      </c>
      <c r="D37" s="95"/>
      <c r="E37" s="95"/>
      <c r="F37" s="100"/>
      <c r="G37" s="20" t="s">
        <v>298</v>
      </c>
      <c r="H37" s="20" t="s">
        <v>298</v>
      </c>
      <c r="I37" s="20" t="s">
        <v>298</v>
      </c>
      <c r="J37" s="48">
        <f>SUM(J38:J38)</f>
        <v>0</v>
      </c>
      <c r="K37" s="48">
        <f>SUM(K38:K38)</f>
        <v>0</v>
      </c>
      <c r="L37" s="48">
        <f>SUM(L38:L38)</f>
        <v>0</v>
      </c>
      <c r="M37" s="64" t="s">
        <v>224</v>
      </c>
      <c r="AI37" s="15" t="s">
        <v>172</v>
      </c>
      <c r="AS37" s="19">
        <f>SUM(AJ38:AJ38)</f>
        <v>0</v>
      </c>
      <c r="AT37" s="19">
        <f>SUM(AK38:AK38)</f>
        <v>0</v>
      </c>
      <c r="AU37" s="19">
        <f>SUM(AL38:AL38)</f>
        <v>0</v>
      </c>
    </row>
    <row r="38" spans="1:64" ht="15" customHeight="1">
      <c r="A38" s="67" t="s">
        <v>239</v>
      </c>
      <c r="B38" s="1" t="s">
        <v>341</v>
      </c>
      <c r="C38" s="99" t="s">
        <v>15</v>
      </c>
      <c r="D38" s="79"/>
      <c r="E38" s="79"/>
      <c r="F38" s="99"/>
      <c r="G38" s="1" t="s">
        <v>312</v>
      </c>
      <c r="H38" s="42">
        <v>287.55</v>
      </c>
      <c r="I38" s="42">
        <v>0</v>
      </c>
      <c r="J38" s="42">
        <f>H38*AO38</f>
        <v>0</v>
      </c>
      <c r="K38" s="42">
        <f>H38*AP38</f>
        <v>0</v>
      </c>
      <c r="L38" s="42">
        <f>H38*I38</f>
        <v>0</v>
      </c>
      <c r="M38" s="71" t="s">
        <v>277</v>
      </c>
      <c r="Z38" s="51">
        <f>IF(AQ38="5",BJ38,0)</f>
        <v>0</v>
      </c>
      <c r="AB38" s="51">
        <f>IF(AQ38="1",BH38,0)</f>
        <v>0</v>
      </c>
      <c r="AC38" s="51">
        <f>IF(AQ38="1",BI38,0)</f>
        <v>0</v>
      </c>
      <c r="AD38" s="51">
        <f>IF(AQ38="7",BH38,0)</f>
        <v>0</v>
      </c>
      <c r="AE38" s="51">
        <f>IF(AQ38="7",BI38,0)</f>
        <v>0</v>
      </c>
      <c r="AF38" s="51">
        <f>IF(AQ38="2",BH38,0)</f>
        <v>0</v>
      </c>
      <c r="AG38" s="51">
        <f>IF(AQ38="2",BI38,0)</f>
        <v>0</v>
      </c>
      <c r="AH38" s="51">
        <f>IF(AQ38="0",BJ38,0)</f>
        <v>0</v>
      </c>
      <c r="AI38" s="15" t="s">
        <v>172</v>
      </c>
      <c r="AJ38" s="51">
        <f>IF(AN38=0,L38,0)</f>
        <v>0</v>
      </c>
      <c r="AK38" s="51">
        <f>IF(AN38=15,L38,0)</f>
        <v>0</v>
      </c>
      <c r="AL38" s="51">
        <f>IF(AN38=21,L38,0)</f>
        <v>0</v>
      </c>
      <c r="AN38" s="51">
        <v>21</v>
      </c>
      <c r="AO38" s="51">
        <f>I38*0</f>
        <v>0</v>
      </c>
      <c r="AP38" s="51">
        <f>I38*(1-0)</f>
        <v>0</v>
      </c>
      <c r="AQ38" s="63" t="s">
        <v>328</v>
      </c>
      <c r="AV38" s="51">
        <f>AW38+AX38</f>
        <v>0</v>
      </c>
      <c r="AW38" s="51">
        <f>H38*AO38</f>
        <v>0</v>
      </c>
      <c r="AX38" s="51">
        <f>H38*AP38</f>
        <v>0</v>
      </c>
      <c r="AY38" s="63" t="s">
        <v>58</v>
      </c>
      <c r="AZ38" s="63" t="s">
        <v>144</v>
      </c>
      <c r="BA38" s="15" t="s">
        <v>56</v>
      </c>
      <c r="BC38" s="51">
        <f>AW38+AX38</f>
        <v>0</v>
      </c>
      <c r="BD38" s="51">
        <f>I38/(100-BE38)*100</f>
        <v>0</v>
      </c>
      <c r="BE38" s="51">
        <v>0</v>
      </c>
      <c r="BF38" s="51">
        <f>38</f>
        <v>38</v>
      </c>
      <c r="BH38" s="51">
        <f>H38*AO38</f>
        <v>0</v>
      </c>
      <c r="BI38" s="51">
        <f>H38*AP38</f>
        <v>0</v>
      </c>
      <c r="BJ38" s="51">
        <f>H38*I38</f>
        <v>0</v>
      </c>
      <c r="BK38" s="51"/>
      <c r="BL38" s="51">
        <v>17</v>
      </c>
    </row>
    <row r="39" spans="1:64" ht="13.5" customHeight="1">
      <c r="A39" s="26"/>
      <c r="B39" s="21" t="s">
        <v>113</v>
      </c>
      <c r="C39" s="96" t="s">
        <v>210</v>
      </c>
      <c r="D39" s="97"/>
      <c r="E39" s="97"/>
      <c r="F39" s="97"/>
      <c r="G39" s="97"/>
      <c r="H39" s="97"/>
      <c r="I39" s="97"/>
      <c r="J39" s="97"/>
      <c r="K39" s="97"/>
      <c r="L39" s="97"/>
      <c r="M39" s="98"/>
    </row>
    <row r="40" spans="1:64" ht="15" customHeight="1">
      <c r="A40" s="54" t="s">
        <v>224</v>
      </c>
      <c r="B40" s="53" t="s">
        <v>262</v>
      </c>
      <c r="C40" s="100" t="s">
        <v>336</v>
      </c>
      <c r="D40" s="95"/>
      <c r="E40" s="95"/>
      <c r="F40" s="100"/>
      <c r="G40" s="17" t="s">
        <v>298</v>
      </c>
      <c r="H40" s="17" t="s">
        <v>298</v>
      </c>
      <c r="I40" s="17" t="s">
        <v>298</v>
      </c>
      <c r="J40" s="58">
        <f>SUM(J41:J41)</f>
        <v>0</v>
      </c>
      <c r="K40" s="58">
        <f>SUM(K41:K41)</f>
        <v>0</v>
      </c>
      <c r="L40" s="58">
        <f>SUM(L41:L41)</f>
        <v>0</v>
      </c>
      <c r="M40" s="25" t="s">
        <v>224</v>
      </c>
      <c r="AI40" s="15" t="s">
        <v>172</v>
      </c>
      <c r="AS40" s="19">
        <f>SUM(AJ41:AJ41)</f>
        <v>0</v>
      </c>
      <c r="AT40" s="19">
        <f>SUM(AK41:AK41)</f>
        <v>0</v>
      </c>
      <c r="AU40" s="19">
        <f>SUM(AL41:AL41)</f>
        <v>0</v>
      </c>
    </row>
    <row r="41" spans="1:64" ht="15" customHeight="1">
      <c r="A41" s="67" t="s">
        <v>83</v>
      </c>
      <c r="B41" s="1" t="s">
        <v>246</v>
      </c>
      <c r="C41" s="99" t="s">
        <v>186</v>
      </c>
      <c r="D41" s="79"/>
      <c r="E41" s="79"/>
      <c r="F41" s="99"/>
      <c r="G41" s="1" t="s">
        <v>320</v>
      </c>
      <c r="H41" s="42">
        <v>594.5</v>
      </c>
      <c r="I41" s="42">
        <v>0</v>
      </c>
      <c r="J41" s="42">
        <f>H41*AO41</f>
        <v>0</v>
      </c>
      <c r="K41" s="42">
        <f>H41*AP41</f>
        <v>0</v>
      </c>
      <c r="L41" s="42">
        <f>H41*I41</f>
        <v>0</v>
      </c>
      <c r="M41" s="71" t="s">
        <v>277</v>
      </c>
      <c r="Z41" s="51">
        <f>IF(AQ41="5",BJ41,0)</f>
        <v>0</v>
      </c>
      <c r="AB41" s="51">
        <f>IF(AQ41="1",BH41,0)</f>
        <v>0</v>
      </c>
      <c r="AC41" s="51">
        <f>IF(AQ41="1",BI41,0)</f>
        <v>0</v>
      </c>
      <c r="AD41" s="51">
        <f>IF(AQ41="7",BH41,0)</f>
        <v>0</v>
      </c>
      <c r="AE41" s="51">
        <f>IF(AQ41="7",BI41,0)</f>
        <v>0</v>
      </c>
      <c r="AF41" s="51">
        <f>IF(AQ41="2",BH41,0)</f>
        <v>0</v>
      </c>
      <c r="AG41" s="51">
        <f>IF(AQ41="2",BI41,0)</f>
        <v>0</v>
      </c>
      <c r="AH41" s="51">
        <f>IF(AQ41="0",BJ41,0)</f>
        <v>0</v>
      </c>
      <c r="AI41" s="15" t="s">
        <v>172</v>
      </c>
      <c r="AJ41" s="51">
        <f>IF(AN41=0,L41,0)</f>
        <v>0</v>
      </c>
      <c r="AK41" s="51">
        <f>IF(AN41=15,L41,0)</f>
        <v>0</v>
      </c>
      <c r="AL41" s="51">
        <f>IF(AN41=21,L41,0)</f>
        <v>0</v>
      </c>
      <c r="AN41" s="51">
        <v>21</v>
      </c>
      <c r="AO41" s="51">
        <f>I41*0</f>
        <v>0</v>
      </c>
      <c r="AP41" s="51">
        <f>I41*(1-0)</f>
        <v>0</v>
      </c>
      <c r="AQ41" s="63" t="s">
        <v>328</v>
      </c>
      <c r="AV41" s="51">
        <f>AW41+AX41</f>
        <v>0</v>
      </c>
      <c r="AW41" s="51">
        <f>H41*AO41</f>
        <v>0</v>
      </c>
      <c r="AX41" s="51">
        <f>H41*AP41</f>
        <v>0</v>
      </c>
      <c r="AY41" s="63" t="s">
        <v>152</v>
      </c>
      <c r="AZ41" s="63" t="s">
        <v>144</v>
      </c>
      <c r="BA41" s="15" t="s">
        <v>56</v>
      </c>
      <c r="BC41" s="51">
        <f>AW41+AX41</f>
        <v>0</v>
      </c>
      <c r="BD41" s="51">
        <f>I41/(100-BE41)*100</f>
        <v>0</v>
      </c>
      <c r="BE41" s="51">
        <v>0</v>
      </c>
      <c r="BF41" s="51">
        <f>41</f>
        <v>41</v>
      </c>
      <c r="BH41" s="51">
        <f>H41*AO41</f>
        <v>0</v>
      </c>
      <c r="BI41" s="51">
        <f>H41*AP41</f>
        <v>0</v>
      </c>
      <c r="BJ41" s="51">
        <f>H41*I41</f>
        <v>0</v>
      </c>
      <c r="BK41" s="51"/>
      <c r="BL41" s="51">
        <v>18</v>
      </c>
    </row>
    <row r="42" spans="1:64" ht="13.5" customHeight="1">
      <c r="A42" s="26"/>
      <c r="B42" s="21" t="s">
        <v>113</v>
      </c>
      <c r="C42" s="96" t="s">
        <v>140</v>
      </c>
      <c r="D42" s="97"/>
      <c r="E42" s="97"/>
      <c r="F42" s="97"/>
      <c r="G42" s="97"/>
      <c r="H42" s="97"/>
      <c r="I42" s="97"/>
      <c r="J42" s="97"/>
      <c r="K42" s="97"/>
      <c r="L42" s="97"/>
      <c r="M42" s="98"/>
    </row>
    <row r="43" spans="1:64" ht="15" customHeight="1">
      <c r="A43" s="54" t="s">
        <v>224</v>
      </c>
      <c r="B43" s="53" t="s">
        <v>194</v>
      </c>
      <c r="C43" s="100" t="s">
        <v>104</v>
      </c>
      <c r="D43" s="95"/>
      <c r="E43" s="95"/>
      <c r="F43" s="100"/>
      <c r="G43" s="17" t="s">
        <v>298</v>
      </c>
      <c r="H43" s="17" t="s">
        <v>298</v>
      </c>
      <c r="I43" s="17" t="s">
        <v>298</v>
      </c>
      <c r="J43" s="58">
        <f>SUM(J44:J44)</f>
        <v>0</v>
      </c>
      <c r="K43" s="58">
        <f>SUM(K44:K44)</f>
        <v>0</v>
      </c>
      <c r="L43" s="58">
        <f>SUM(L44:L44)</f>
        <v>0</v>
      </c>
      <c r="M43" s="25" t="s">
        <v>224</v>
      </c>
      <c r="AI43" s="15" t="s">
        <v>172</v>
      </c>
      <c r="AS43" s="19">
        <f>SUM(AJ44:AJ44)</f>
        <v>0</v>
      </c>
      <c r="AT43" s="19">
        <f>SUM(AK44:AK44)</f>
        <v>0</v>
      </c>
      <c r="AU43" s="19">
        <f>SUM(AL44:AL44)</f>
        <v>0</v>
      </c>
    </row>
    <row r="44" spans="1:64" ht="15" customHeight="1">
      <c r="A44" s="67" t="s">
        <v>179</v>
      </c>
      <c r="B44" s="1" t="s">
        <v>293</v>
      </c>
      <c r="C44" s="99" t="s">
        <v>22</v>
      </c>
      <c r="D44" s="79"/>
      <c r="E44" s="79"/>
      <c r="F44" s="99"/>
      <c r="G44" s="1" t="s">
        <v>312</v>
      </c>
      <c r="H44" s="42">
        <v>287.55</v>
      </c>
      <c r="I44" s="42">
        <v>0</v>
      </c>
      <c r="J44" s="42">
        <f>H44*AO44</f>
        <v>0</v>
      </c>
      <c r="K44" s="42">
        <f>H44*AP44</f>
        <v>0</v>
      </c>
      <c r="L44" s="42">
        <f>H44*I44</f>
        <v>0</v>
      </c>
      <c r="M44" s="71" t="s">
        <v>277</v>
      </c>
      <c r="Z44" s="51">
        <f>IF(AQ44="5",BJ44,0)</f>
        <v>0</v>
      </c>
      <c r="AB44" s="51">
        <f>IF(AQ44="1",BH44,0)</f>
        <v>0</v>
      </c>
      <c r="AC44" s="51">
        <f>IF(AQ44="1",BI44,0)</f>
        <v>0</v>
      </c>
      <c r="AD44" s="51">
        <f>IF(AQ44="7",BH44,0)</f>
        <v>0</v>
      </c>
      <c r="AE44" s="51">
        <f>IF(AQ44="7",BI44,0)</f>
        <v>0</v>
      </c>
      <c r="AF44" s="51">
        <f>IF(AQ44="2",BH44,0)</f>
        <v>0</v>
      </c>
      <c r="AG44" s="51">
        <f>IF(AQ44="2",BI44,0)</f>
        <v>0</v>
      </c>
      <c r="AH44" s="51">
        <f>IF(AQ44="0",BJ44,0)</f>
        <v>0</v>
      </c>
      <c r="AI44" s="15" t="s">
        <v>172</v>
      </c>
      <c r="AJ44" s="51">
        <f>IF(AN44=0,L44,0)</f>
        <v>0</v>
      </c>
      <c r="AK44" s="51">
        <f>IF(AN44=15,L44,0)</f>
        <v>0</v>
      </c>
      <c r="AL44" s="51">
        <f>IF(AN44=21,L44,0)</f>
        <v>0</v>
      </c>
      <c r="AN44" s="51">
        <v>21</v>
      </c>
      <c r="AO44" s="51">
        <f>I44*0</f>
        <v>0</v>
      </c>
      <c r="AP44" s="51">
        <f>I44*(1-0)</f>
        <v>0</v>
      </c>
      <c r="AQ44" s="63" t="s">
        <v>328</v>
      </c>
      <c r="AV44" s="51">
        <f>AW44+AX44</f>
        <v>0</v>
      </c>
      <c r="AW44" s="51">
        <f>H44*AO44</f>
        <v>0</v>
      </c>
      <c r="AX44" s="51">
        <f>H44*AP44</f>
        <v>0</v>
      </c>
      <c r="AY44" s="63" t="s">
        <v>256</v>
      </c>
      <c r="AZ44" s="63" t="s">
        <v>144</v>
      </c>
      <c r="BA44" s="15" t="s">
        <v>56</v>
      </c>
      <c r="BC44" s="51">
        <f>AW44+AX44</f>
        <v>0</v>
      </c>
      <c r="BD44" s="51">
        <f>I44/(100-BE44)*100</f>
        <v>0</v>
      </c>
      <c r="BE44" s="51">
        <v>0</v>
      </c>
      <c r="BF44" s="51">
        <f>44</f>
        <v>44</v>
      </c>
      <c r="BH44" s="51">
        <f>H44*AO44</f>
        <v>0</v>
      </c>
      <c r="BI44" s="51">
        <f>H44*AP44</f>
        <v>0</v>
      </c>
      <c r="BJ44" s="51">
        <f>H44*I44</f>
        <v>0</v>
      </c>
      <c r="BK44" s="51"/>
      <c r="BL44" s="51">
        <v>19</v>
      </c>
    </row>
    <row r="45" spans="1:64" ht="15" customHeight="1">
      <c r="A45" s="23" t="s">
        <v>224</v>
      </c>
      <c r="B45" s="73" t="s">
        <v>231</v>
      </c>
      <c r="C45" s="100" t="s">
        <v>101</v>
      </c>
      <c r="D45" s="95"/>
      <c r="E45" s="95"/>
      <c r="F45" s="100"/>
      <c r="G45" s="20" t="s">
        <v>298</v>
      </c>
      <c r="H45" s="20" t="s">
        <v>298</v>
      </c>
      <c r="I45" s="20" t="s">
        <v>298</v>
      </c>
      <c r="J45" s="48">
        <f>SUM(J46:J50)</f>
        <v>0</v>
      </c>
      <c r="K45" s="48">
        <f>SUM(K46:K50)</f>
        <v>0</v>
      </c>
      <c r="L45" s="48">
        <f>SUM(L46:L50)</f>
        <v>0</v>
      </c>
      <c r="M45" s="64" t="s">
        <v>224</v>
      </c>
      <c r="AI45" s="15" t="s">
        <v>172</v>
      </c>
      <c r="AS45" s="19">
        <f>SUM(AJ46:AJ50)</f>
        <v>0</v>
      </c>
      <c r="AT45" s="19">
        <f>SUM(AK46:AK50)</f>
        <v>0</v>
      </c>
      <c r="AU45" s="19">
        <f>SUM(AL46:AL50)</f>
        <v>0</v>
      </c>
    </row>
    <row r="46" spans="1:64" ht="15" customHeight="1">
      <c r="A46" s="67" t="s">
        <v>118</v>
      </c>
      <c r="B46" s="1" t="s">
        <v>297</v>
      </c>
      <c r="C46" s="99" t="s">
        <v>156</v>
      </c>
      <c r="D46" s="79"/>
      <c r="E46" s="79"/>
      <c r="F46" s="99"/>
      <c r="G46" s="1" t="s">
        <v>270</v>
      </c>
      <c r="H46" s="42">
        <v>50</v>
      </c>
      <c r="I46" s="42">
        <v>0</v>
      </c>
      <c r="J46" s="42">
        <f>H46*AO46</f>
        <v>0</v>
      </c>
      <c r="K46" s="42">
        <f>H46*AP46</f>
        <v>0</v>
      </c>
      <c r="L46" s="42">
        <f>H46*I46</f>
        <v>0</v>
      </c>
      <c r="M46" s="71" t="s">
        <v>277</v>
      </c>
      <c r="Z46" s="51">
        <f>IF(AQ46="5",BJ46,0)</f>
        <v>0</v>
      </c>
      <c r="AB46" s="51">
        <f>IF(AQ46="1",BH46,0)</f>
        <v>0</v>
      </c>
      <c r="AC46" s="51">
        <f>IF(AQ46="1",BI46,0)</f>
        <v>0</v>
      </c>
      <c r="AD46" s="51">
        <f>IF(AQ46="7",BH46,0)</f>
        <v>0</v>
      </c>
      <c r="AE46" s="51">
        <f>IF(AQ46="7",BI46,0)</f>
        <v>0</v>
      </c>
      <c r="AF46" s="51">
        <f>IF(AQ46="2",BH46,0)</f>
        <v>0</v>
      </c>
      <c r="AG46" s="51">
        <f>IF(AQ46="2",BI46,0)</f>
        <v>0</v>
      </c>
      <c r="AH46" s="51">
        <f>IF(AQ46="0",BJ46,0)</f>
        <v>0</v>
      </c>
      <c r="AI46" s="15" t="s">
        <v>172</v>
      </c>
      <c r="AJ46" s="51">
        <f>IF(AN46=0,L46,0)</f>
        <v>0</v>
      </c>
      <c r="AK46" s="51">
        <f>IF(AN46=15,L46,0)</f>
        <v>0</v>
      </c>
      <c r="AL46" s="51">
        <f>IF(AN46=21,L46,0)</f>
        <v>0</v>
      </c>
      <c r="AN46" s="51">
        <v>21</v>
      </c>
      <c r="AO46" s="51">
        <f>I46*0.588651898212962</f>
        <v>0</v>
      </c>
      <c r="AP46" s="51">
        <f>I46*(1-0.588651898212962)</f>
        <v>0</v>
      </c>
      <c r="AQ46" s="63" t="s">
        <v>328</v>
      </c>
      <c r="AV46" s="51">
        <f>AW46+AX46</f>
        <v>0</v>
      </c>
      <c r="AW46" s="51">
        <f>H46*AO46</f>
        <v>0</v>
      </c>
      <c r="AX46" s="51">
        <f>H46*AP46</f>
        <v>0</v>
      </c>
      <c r="AY46" s="63" t="s">
        <v>187</v>
      </c>
      <c r="AZ46" s="63" t="s">
        <v>254</v>
      </c>
      <c r="BA46" s="15" t="s">
        <v>56</v>
      </c>
      <c r="BC46" s="51">
        <f>AW46+AX46</f>
        <v>0</v>
      </c>
      <c r="BD46" s="51">
        <f>I46/(100-BE46)*100</f>
        <v>0</v>
      </c>
      <c r="BE46" s="51">
        <v>0</v>
      </c>
      <c r="BF46" s="51">
        <f>46</f>
        <v>46</v>
      </c>
      <c r="BH46" s="51">
        <f>H46*AO46</f>
        <v>0</v>
      </c>
      <c r="BI46" s="51">
        <f>H46*AP46</f>
        <v>0</v>
      </c>
      <c r="BJ46" s="51">
        <f>H46*I46</f>
        <v>0</v>
      </c>
      <c r="BK46" s="51"/>
      <c r="BL46" s="51">
        <v>21</v>
      </c>
    </row>
    <row r="47" spans="1:64" ht="13.5" customHeight="1">
      <c r="A47" s="26"/>
      <c r="B47" s="21" t="s">
        <v>159</v>
      </c>
      <c r="C47" s="96" t="s">
        <v>173</v>
      </c>
      <c r="D47" s="97"/>
      <c r="E47" s="97"/>
      <c r="F47" s="97"/>
      <c r="G47" s="97"/>
      <c r="H47" s="97"/>
      <c r="I47" s="97"/>
      <c r="J47" s="97"/>
      <c r="K47" s="97"/>
      <c r="L47" s="97"/>
      <c r="M47" s="98"/>
    </row>
    <row r="48" spans="1:64" ht="13.5" customHeight="1">
      <c r="A48" s="26"/>
      <c r="B48" s="21" t="s">
        <v>113</v>
      </c>
      <c r="C48" s="96" t="s">
        <v>38</v>
      </c>
      <c r="D48" s="97"/>
      <c r="E48" s="97"/>
      <c r="F48" s="97"/>
      <c r="G48" s="97"/>
      <c r="H48" s="97"/>
      <c r="I48" s="97"/>
      <c r="J48" s="97"/>
      <c r="K48" s="97"/>
      <c r="L48" s="97"/>
      <c r="M48" s="98"/>
    </row>
    <row r="49" spans="1:64" ht="15" customHeight="1">
      <c r="A49" s="35" t="s">
        <v>27</v>
      </c>
      <c r="B49" s="4" t="s">
        <v>351</v>
      </c>
      <c r="C49" s="99" t="s">
        <v>131</v>
      </c>
      <c r="D49" s="79"/>
      <c r="E49" s="79"/>
      <c r="F49" s="99"/>
      <c r="G49" s="4" t="s">
        <v>320</v>
      </c>
      <c r="H49" s="41">
        <v>212.5</v>
      </c>
      <c r="I49" s="41">
        <v>0</v>
      </c>
      <c r="J49" s="41">
        <f>H49*AO49</f>
        <v>0</v>
      </c>
      <c r="K49" s="41">
        <f>H49*AP49</f>
        <v>0</v>
      </c>
      <c r="L49" s="41">
        <f>H49*I49</f>
        <v>0</v>
      </c>
      <c r="M49" s="32" t="s">
        <v>218</v>
      </c>
      <c r="Z49" s="51">
        <f>IF(AQ49="5",BJ49,0)</f>
        <v>0</v>
      </c>
      <c r="AB49" s="51">
        <f>IF(AQ49="1",BH49,0)</f>
        <v>0</v>
      </c>
      <c r="AC49" s="51">
        <f>IF(AQ49="1",BI49,0)</f>
        <v>0</v>
      </c>
      <c r="AD49" s="51">
        <f>IF(AQ49="7",BH49,0)</f>
        <v>0</v>
      </c>
      <c r="AE49" s="51">
        <f>IF(AQ49="7",BI49,0)</f>
        <v>0</v>
      </c>
      <c r="AF49" s="51">
        <f>IF(AQ49="2",BH49,0)</f>
        <v>0</v>
      </c>
      <c r="AG49" s="51">
        <f>IF(AQ49="2",BI49,0)</f>
        <v>0</v>
      </c>
      <c r="AH49" s="51">
        <f>IF(AQ49="0",BJ49,0)</f>
        <v>0</v>
      </c>
      <c r="AI49" s="15" t="s">
        <v>172</v>
      </c>
      <c r="AJ49" s="51">
        <f>IF(AN49=0,L49,0)</f>
        <v>0</v>
      </c>
      <c r="AK49" s="51">
        <f>IF(AN49=15,L49,0)</f>
        <v>0</v>
      </c>
      <c r="AL49" s="51">
        <f>IF(AN49=21,L49,0)</f>
        <v>0</v>
      </c>
      <c r="AN49" s="51">
        <v>21</v>
      </c>
      <c r="AO49" s="51">
        <f>I49*0.0994711070134315</f>
        <v>0</v>
      </c>
      <c r="AP49" s="51">
        <f>I49*(1-0.0994711070134315)</f>
        <v>0</v>
      </c>
      <c r="AQ49" s="63" t="s">
        <v>328</v>
      </c>
      <c r="AV49" s="51">
        <f>AW49+AX49</f>
        <v>0</v>
      </c>
      <c r="AW49" s="51">
        <f>H49*AO49</f>
        <v>0</v>
      </c>
      <c r="AX49" s="51">
        <f>H49*AP49</f>
        <v>0</v>
      </c>
      <c r="AY49" s="63" t="s">
        <v>187</v>
      </c>
      <c r="AZ49" s="63" t="s">
        <v>254</v>
      </c>
      <c r="BA49" s="15" t="s">
        <v>56</v>
      </c>
      <c r="BC49" s="51">
        <f>AW49+AX49</f>
        <v>0</v>
      </c>
      <c r="BD49" s="51">
        <f>I49/(100-BE49)*100</f>
        <v>0</v>
      </c>
      <c r="BE49" s="51">
        <v>0</v>
      </c>
      <c r="BF49" s="51">
        <f>49</f>
        <v>49</v>
      </c>
      <c r="BH49" s="51">
        <f>H49*AO49</f>
        <v>0</v>
      </c>
      <c r="BI49" s="51">
        <f>H49*AP49</f>
        <v>0</v>
      </c>
      <c r="BJ49" s="51">
        <f>H49*I49</f>
        <v>0</v>
      </c>
      <c r="BK49" s="51"/>
      <c r="BL49" s="51">
        <v>21</v>
      </c>
    </row>
    <row r="50" spans="1:64" ht="15" customHeight="1">
      <c r="A50" s="67" t="s">
        <v>227</v>
      </c>
      <c r="B50" s="1" t="s">
        <v>191</v>
      </c>
      <c r="C50" s="99" t="s">
        <v>350</v>
      </c>
      <c r="D50" s="79"/>
      <c r="E50" s="79"/>
      <c r="F50" s="99"/>
      <c r="G50" s="1" t="s">
        <v>320</v>
      </c>
      <c r="H50" s="42">
        <v>213</v>
      </c>
      <c r="I50" s="42">
        <v>0</v>
      </c>
      <c r="J50" s="42">
        <f>H50*AO50</f>
        <v>0</v>
      </c>
      <c r="K50" s="42">
        <f>H50*AP50</f>
        <v>0</v>
      </c>
      <c r="L50" s="42">
        <f>H50*I50</f>
        <v>0</v>
      </c>
      <c r="M50" s="71" t="s">
        <v>218</v>
      </c>
      <c r="Z50" s="51">
        <f>IF(AQ50="5",BJ50,0)</f>
        <v>0</v>
      </c>
      <c r="AB50" s="51">
        <f>IF(AQ50="1",BH50,0)</f>
        <v>0</v>
      </c>
      <c r="AC50" s="51">
        <f>IF(AQ50="1",BI50,0)</f>
        <v>0</v>
      </c>
      <c r="AD50" s="51">
        <f>IF(AQ50="7",BH50,0)</f>
        <v>0</v>
      </c>
      <c r="AE50" s="51">
        <f>IF(AQ50="7",BI50,0)</f>
        <v>0</v>
      </c>
      <c r="AF50" s="51">
        <f>IF(AQ50="2",BH50,0)</f>
        <v>0</v>
      </c>
      <c r="AG50" s="51">
        <f>IF(AQ50="2",BI50,0)</f>
        <v>0</v>
      </c>
      <c r="AH50" s="51">
        <f>IF(AQ50="0",BJ50,0)</f>
        <v>0</v>
      </c>
      <c r="AI50" s="15" t="s">
        <v>172</v>
      </c>
      <c r="AJ50" s="51">
        <f>IF(AN50=0,L50,0)</f>
        <v>0</v>
      </c>
      <c r="AK50" s="51">
        <f>IF(AN50=15,L50,0)</f>
        <v>0</v>
      </c>
      <c r="AL50" s="51">
        <f>IF(AN50=21,L50,0)</f>
        <v>0</v>
      </c>
      <c r="AN50" s="51">
        <v>21</v>
      </c>
      <c r="AO50" s="51">
        <f>I50*1</f>
        <v>0</v>
      </c>
      <c r="AP50" s="51">
        <f>I50*(1-1)</f>
        <v>0</v>
      </c>
      <c r="AQ50" s="63" t="s">
        <v>328</v>
      </c>
      <c r="AV50" s="51">
        <f>AW50+AX50</f>
        <v>0</v>
      </c>
      <c r="AW50" s="51">
        <f>H50*AO50</f>
        <v>0</v>
      </c>
      <c r="AX50" s="51">
        <f>H50*AP50</f>
        <v>0</v>
      </c>
      <c r="AY50" s="63" t="s">
        <v>187</v>
      </c>
      <c r="AZ50" s="63" t="s">
        <v>254</v>
      </c>
      <c r="BA50" s="15" t="s">
        <v>56</v>
      </c>
      <c r="BC50" s="51">
        <f>AW50+AX50</f>
        <v>0</v>
      </c>
      <c r="BD50" s="51">
        <f>I50/(100-BE50)*100</f>
        <v>0</v>
      </c>
      <c r="BE50" s="51">
        <v>0</v>
      </c>
      <c r="BF50" s="51">
        <f>50</f>
        <v>50</v>
      </c>
      <c r="BH50" s="51">
        <f>H50*AO50</f>
        <v>0</v>
      </c>
      <c r="BI50" s="51">
        <f>H50*AP50</f>
        <v>0</v>
      </c>
      <c r="BJ50" s="51">
        <f>H50*I50</f>
        <v>0</v>
      </c>
      <c r="BK50" s="51"/>
      <c r="BL50" s="51">
        <v>21</v>
      </c>
    </row>
    <row r="51" spans="1:64" ht="40.5" customHeight="1">
      <c r="A51" s="26"/>
      <c r="B51" s="21" t="s">
        <v>113</v>
      </c>
      <c r="C51" s="96" t="s">
        <v>252</v>
      </c>
      <c r="D51" s="97"/>
      <c r="E51" s="97"/>
      <c r="F51" s="97"/>
      <c r="G51" s="97"/>
      <c r="H51" s="97"/>
      <c r="I51" s="97"/>
      <c r="J51" s="97"/>
      <c r="K51" s="97"/>
      <c r="L51" s="97"/>
      <c r="M51" s="98"/>
    </row>
    <row r="52" spans="1:64" ht="15" customHeight="1">
      <c r="A52" s="54" t="s">
        <v>224</v>
      </c>
      <c r="B52" s="53" t="s">
        <v>193</v>
      </c>
      <c r="C52" s="100" t="s">
        <v>208</v>
      </c>
      <c r="D52" s="95"/>
      <c r="E52" s="95"/>
      <c r="F52" s="100"/>
      <c r="G52" s="17" t="s">
        <v>298</v>
      </c>
      <c r="H52" s="17" t="s">
        <v>298</v>
      </c>
      <c r="I52" s="17" t="s">
        <v>298</v>
      </c>
      <c r="J52" s="58">
        <f>SUM(J53:J55)</f>
        <v>0</v>
      </c>
      <c r="K52" s="58">
        <f>SUM(K53:K55)</f>
        <v>0</v>
      </c>
      <c r="L52" s="58">
        <f>SUM(L53:L55)</f>
        <v>0</v>
      </c>
      <c r="M52" s="25" t="s">
        <v>224</v>
      </c>
      <c r="AI52" s="15" t="s">
        <v>172</v>
      </c>
      <c r="AS52" s="19">
        <f>SUM(AJ53:AJ55)</f>
        <v>0</v>
      </c>
      <c r="AT52" s="19">
        <f>SUM(AK53:AK55)</f>
        <v>0</v>
      </c>
      <c r="AU52" s="19">
        <f>SUM(AL53:AL55)</f>
        <v>0</v>
      </c>
    </row>
    <row r="53" spans="1:64" ht="15" customHeight="1">
      <c r="A53" s="67" t="s">
        <v>262</v>
      </c>
      <c r="B53" s="1" t="s">
        <v>151</v>
      </c>
      <c r="C53" s="99" t="s">
        <v>307</v>
      </c>
      <c r="D53" s="79"/>
      <c r="E53" s="79"/>
      <c r="F53" s="99"/>
      <c r="G53" s="1" t="s">
        <v>320</v>
      </c>
      <c r="H53" s="42">
        <v>482.5</v>
      </c>
      <c r="I53" s="42">
        <v>0</v>
      </c>
      <c r="J53" s="42">
        <f>H53*AO53</f>
        <v>0</v>
      </c>
      <c r="K53" s="42">
        <f>H53*AP53</f>
        <v>0</v>
      </c>
      <c r="L53" s="42">
        <f>H53*I53</f>
        <v>0</v>
      </c>
      <c r="M53" s="71" t="s">
        <v>277</v>
      </c>
      <c r="Z53" s="51">
        <f>IF(AQ53="5",BJ53,0)</f>
        <v>0</v>
      </c>
      <c r="AB53" s="51">
        <f>IF(AQ53="1",BH53,0)</f>
        <v>0</v>
      </c>
      <c r="AC53" s="51">
        <f>IF(AQ53="1",BI53,0)</f>
        <v>0</v>
      </c>
      <c r="AD53" s="51">
        <f>IF(AQ53="7",BH53,0)</f>
        <v>0</v>
      </c>
      <c r="AE53" s="51">
        <f>IF(AQ53="7",BI53,0)</f>
        <v>0</v>
      </c>
      <c r="AF53" s="51">
        <f>IF(AQ53="2",BH53,0)</f>
        <v>0</v>
      </c>
      <c r="AG53" s="51">
        <f>IF(AQ53="2",BI53,0)</f>
        <v>0</v>
      </c>
      <c r="AH53" s="51">
        <f>IF(AQ53="0",BJ53,0)</f>
        <v>0</v>
      </c>
      <c r="AI53" s="15" t="s">
        <v>172</v>
      </c>
      <c r="AJ53" s="51">
        <f>IF(AN53=0,L53,0)</f>
        <v>0</v>
      </c>
      <c r="AK53" s="51">
        <f>IF(AN53=15,L53,0)</f>
        <v>0</v>
      </c>
      <c r="AL53" s="51">
        <f>IF(AN53=21,L53,0)</f>
        <v>0</v>
      </c>
      <c r="AN53" s="51">
        <v>21</v>
      </c>
      <c r="AO53" s="51">
        <f>I53*0.8353936121261</f>
        <v>0</v>
      </c>
      <c r="AP53" s="51">
        <f>I53*(1-0.8353936121261)</f>
        <v>0</v>
      </c>
      <c r="AQ53" s="63" t="s">
        <v>328</v>
      </c>
      <c r="AV53" s="51">
        <f>AW53+AX53</f>
        <v>0</v>
      </c>
      <c r="AW53" s="51">
        <f>H53*AO53</f>
        <v>0</v>
      </c>
      <c r="AX53" s="51">
        <f>H53*AP53</f>
        <v>0</v>
      </c>
      <c r="AY53" s="63" t="s">
        <v>347</v>
      </c>
      <c r="AZ53" s="63" t="s">
        <v>345</v>
      </c>
      <c r="BA53" s="15" t="s">
        <v>56</v>
      </c>
      <c r="BC53" s="51">
        <f>AW53+AX53</f>
        <v>0</v>
      </c>
      <c r="BD53" s="51">
        <f>I53/(100-BE53)*100</f>
        <v>0</v>
      </c>
      <c r="BE53" s="51">
        <v>0</v>
      </c>
      <c r="BF53" s="51">
        <f>53</f>
        <v>53</v>
      </c>
      <c r="BH53" s="51">
        <f>H53*AO53</f>
        <v>0</v>
      </c>
      <c r="BI53" s="51">
        <f>H53*AP53</f>
        <v>0</v>
      </c>
      <c r="BJ53" s="51">
        <f>H53*I53</f>
        <v>0</v>
      </c>
      <c r="BK53" s="51"/>
      <c r="BL53" s="51">
        <v>56</v>
      </c>
    </row>
    <row r="54" spans="1:64" ht="13.5" customHeight="1">
      <c r="A54" s="26"/>
      <c r="B54" s="21" t="s">
        <v>159</v>
      </c>
      <c r="C54" s="96" t="s">
        <v>166</v>
      </c>
      <c r="D54" s="97"/>
      <c r="E54" s="97"/>
      <c r="F54" s="97"/>
      <c r="G54" s="97"/>
      <c r="H54" s="97"/>
      <c r="I54" s="97"/>
      <c r="J54" s="97"/>
      <c r="K54" s="97"/>
      <c r="L54" s="97"/>
      <c r="M54" s="98"/>
    </row>
    <row r="55" spans="1:64" ht="15" customHeight="1">
      <c r="A55" s="35" t="s">
        <v>194</v>
      </c>
      <c r="B55" s="4" t="s">
        <v>202</v>
      </c>
      <c r="C55" s="99" t="s">
        <v>67</v>
      </c>
      <c r="D55" s="79"/>
      <c r="E55" s="79"/>
      <c r="F55" s="99"/>
      <c r="G55" s="4" t="s">
        <v>320</v>
      </c>
      <c r="H55" s="41">
        <v>311.5</v>
      </c>
      <c r="I55" s="41">
        <v>0</v>
      </c>
      <c r="J55" s="41">
        <f>H55*AO55</f>
        <v>0</v>
      </c>
      <c r="K55" s="41">
        <f>H55*AP55</f>
        <v>0</v>
      </c>
      <c r="L55" s="41">
        <f>H55*I55</f>
        <v>0</v>
      </c>
      <c r="M55" s="32" t="s">
        <v>277</v>
      </c>
      <c r="Z55" s="51">
        <f>IF(AQ55="5",BJ55,0)</f>
        <v>0</v>
      </c>
      <c r="AB55" s="51">
        <f>IF(AQ55="1",BH55,0)</f>
        <v>0</v>
      </c>
      <c r="AC55" s="51">
        <f>IF(AQ55="1",BI55,0)</f>
        <v>0</v>
      </c>
      <c r="AD55" s="51">
        <f>IF(AQ55="7",BH55,0)</f>
        <v>0</v>
      </c>
      <c r="AE55" s="51">
        <f>IF(AQ55="7",BI55,0)</f>
        <v>0</v>
      </c>
      <c r="AF55" s="51">
        <f>IF(AQ55="2",BH55,0)</f>
        <v>0</v>
      </c>
      <c r="AG55" s="51">
        <f>IF(AQ55="2",BI55,0)</f>
        <v>0</v>
      </c>
      <c r="AH55" s="51">
        <f>IF(AQ55="0",BJ55,0)</f>
        <v>0</v>
      </c>
      <c r="AI55" s="15" t="s">
        <v>172</v>
      </c>
      <c r="AJ55" s="51">
        <f>IF(AN55=0,L55,0)</f>
        <v>0</v>
      </c>
      <c r="AK55" s="51">
        <f>IF(AN55=15,L55,0)</f>
        <v>0</v>
      </c>
      <c r="AL55" s="51">
        <f>IF(AN55=21,L55,0)</f>
        <v>0</v>
      </c>
      <c r="AN55" s="51">
        <v>21</v>
      </c>
      <c r="AO55" s="51">
        <f>I55*0.883438202175607</f>
        <v>0</v>
      </c>
      <c r="AP55" s="51">
        <f>I55*(1-0.883438202175607)</f>
        <v>0</v>
      </c>
      <c r="AQ55" s="63" t="s">
        <v>328</v>
      </c>
      <c r="AV55" s="51">
        <f>AW55+AX55</f>
        <v>0</v>
      </c>
      <c r="AW55" s="51">
        <f>H55*AO55</f>
        <v>0</v>
      </c>
      <c r="AX55" s="51">
        <f>H55*AP55</f>
        <v>0</v>
      </c>
      <c r="AY55" s="63" t="s">
        <v>347</v>
      </c>
      <c r="AZ55" s="63" t="s">
        <v>345</v>
      </c>
      <c r="BA55" s="15" t="s">
        <v>56</v>
      </c>
      <c r="BC55" s="51">
        <f>AW55+AX55</f>
        <v>0</v>
      </c>
      <c r="BD55" s="51">
        <f>I55/(100-BE55)*100</f>
        <v>0</v>
      </c>
      <c r="BE55" s="51">
        <v>0</v>
      </c>
      <c r="BF55" s="51">
        <f>55</f>
        <v>55</v>
      </c>
      <c r="BH55" s="51">
        <f>H55*AO55</f>
        <v>0</v>
      </c>
      <c r="BI55" s="51">
        <f>H55*AP55</f>
        <v>0</v>
      </c>
      <c r="BJ55" s="51">
        <f>H55*I55</f>
        <v>0</v>
      </c>
      <c r="BK55" s="51"/>
      <c r="BL55" s="51">
        <v>56</v>
      </c>
    </row>
    <row r="56" spans="1:64" ht="15" customHeight="1">
      <c r="A56" s="38" t="s">
        <v>224</v>
      </c>
      <c r="B56" s="66" t="s">
        <v>304</v>
      </c>
      <c r="C56" s="95" t="s">
        <v>158</v>
      </c>
      <c r="D56" s="95"/>
      <c r="E56" s="95"/>
      <c r="F56" s="95"/>
      <c r="G56" s="28" t="s">
        <v>298</v>
      </c>
      <c r="H56" s="28" t="s">
        <v>298</v>
      </c>
      <c r="I56" s="28" t="s">
        <v>298</v>
      </c>
      <c r="J56" s="62">
        <f>SUM(J57:J60)</f>
        <v>0</v>
      </c>
      <c r="K56" s="62">
        <f>SUM(K57:K60)</f>
        <v>0</v>
      </c>
      <c r="L56" s="62">
        <f>SUM(L57:L60)</f>
        <v>0</v>
      </c>
      <c r="M56" s="30" t="s">
        <v>224</v>
      </c>
      <c r="AI56" s="15" t="s">
        <v>172</v>
      </c>
      <c r="AS56" s="19">
        <f>SUM(AJ57:AJ60)</f>
        <v>0</v>
      </c>
      <c r="AT56" s="19">
        <f>SUM(AK57:AK60)</f>
        <v>0</v>
      </c>
      <c r="AU56" s="19">
        <f>SUM(AL57:AL60)</f>
        <v>0</v>
      </c>
    </row>
    <row r="57" spans="1:64" ht="15" customHeight="1">
      <c r="A57" s="29" t="s">
        <v>10</v>
      </c>
      <c r="B57" s="2" t="s">
        <v>153</v>
      </c>
      <c r="C57" s="79" t="s">
        <v>94</v>
      </c>
      <c r="D57" s="79"/>
      <c r="E57" s="79"/>
      <c r="F57" s="79"/>
      <c r="G57" s="2" t="s">
        <v>320</v>
      </c>
      <c r="H57" s="51">
        <v>168</v>
      </c>
      <c r="I57" s="51">
        <v>0</v>
      </c>
      <c r="J57" s="51">
        <f>H57*AO57</f>
        <v>0</v>
      </c>
      <c r="K57" s="51">
        <f>H57*AP57</f>
        <v>0</v>
      </c>
      <c r="L57" s="51">
        <f>H57*I57</f>
        <v>0</v>
      </c>
      <c r="M57" s="44" t="s">
        <v>218</v>
      </c>
      <c r="Z57" s="51">
        <f>IF(AQ57="5",BJ57,0)</f>
        <v>0</v>
      </c>
      <c r="AB57" s="51">
        <f>IF(AQ57="1",BH57,0)</f>
        <v>0</v>
      </c>
      <c r="AC57" s="51">
        <f>IF(AQ57="1",BI57,0)</f>
        <v>0</v>
      </c>
      <c r="AD57" s="51">
        <f>IF(AQ57="7",BH57,0)</f>
        <v>0</v>
      </c>
      <c r="AE57" s="51">
        <f>IF(AQ57="7",BI57,0)</f>
        <v>0</v>
      </c>
      <c r="AF57" s="51">
        <f>IF(AQ57="2",BH57,0)</f>
        <v>0</v>
      </c>
      <c r="AG57" s="51">
        <f>IF(AQ57="2",BI57,0)</f>
        <v>0</v>
      </c>
      <c r="AH57" s="51">
        <f>IF(AQ57="0",BJ57,0)</f>
        <v>0</v>
      </c>
      <c r="AI57" s="15" t="s">
        <v>172</v>
      </c>
      <c r="AJ57" s="51">
        <f>IF(AN57=0,L57,0)</f>
        <v>0</v>
      </c>
      <c r="AK57" s="51">
        <f>IF(AN57=15,L57,0)</f>
        <v>0</v>
      </c>
      <c r="AL57" s="51">
        <f>IF(AN57=21,L57,0)</f>
        <v>0</v>
      </c>
      <c r="AN57" s="51">
        <v>21</v>
      </c>
      <c r="AO57" s="51">
        <f>I57*0.590934393638171</f>
        <v>0</v>
      </c>
      <c r="AP57" s="51">
        <f>I57*(1-0.590934393638171)</f>
        <v>0</v>
      </c>
      <c r="AQ57" s="63" t="s">
        <v>328</v>
      </c>
      <c r="AV57" s="51">
        <f>AW57+AX57</f>
        <v>0</v>
      </c>
      <c r="AW57" s="51">
        <f>H57*AO57</f>
        <v>0</v>
      </c>
      <c r="AX57" s="51">
        <f>H57*AP57</f>
        <v>0</v>
      </c>
      <c r="AY57" s="63" t="s">
        <v>121</v>
      </c>
      <c r="AZ57" s="63" t="s">
        <v>345</v>
      </c>
      <c r="BA57" s="15" t="s">
        <v>56</v>
      </c>
      <c r="BC57" s="51">
        <f>AW57+AX57</f>
        <v>0</v>
      </c>
      <c r="BD57" s="51">
        <f>I57/(100-BE57)*100</f>
        <v>0</v>
      </c>
      <c r="BE57" s="51">
        <v>0</v>
      </c>
      <c r="BF57" s="51">
        <f>57</f>
        <v>57</v>
      </c>
      <c r="BH57" s="51">
        <f>H57*AO57</f>
        <v>0</v>
      </c>
      <c r="BI57" s="51">
        <f>H57*AP57</f>
        <v>0</v>
      </c>
      <c r="BJ57" s="51">
        <f>H57*I57</f>
        <v>0</v>
      </c>
      <c r="BK57" s="51"/>
      <c r="BL57" s="51">
        <v>57</v>
      </c>
    </row>
    <row r="58" spans="1:64" ht="13.5" customHeight="1">
      <c r="A58" s="26"/>
      <c r="B58" s="21" t="s">
        <v>159</v>
      </c>
      <c r="C58" s="96" t="s">
        <v>189</v>
      </c>
      <c r="D58" s="97"/>
      <c r="E58" s="97"/>
      <c r="F58" s="97"/>
      <c r="G58" s="97"/>
      <c r="H58" s="97"/>
      <c r="I58" s="97"/>
      <c r="J58" s="97"/>
      <c r="K58" s="97"/>
      <c r="L58" s="97"/>
      <c r="M58" s="98"/>
    </row>
    <row r="59" spans="1:64" ht="15" customHeight="1">
      <c r="A59" s="29" t="s">
        <v>231</v>
      </c>
      <c r="B59" s="2" t="s">
        <v>244</v>
      </c>
      <c r="C59" s="79" t="s">
        <v>88</v>
      </c>
      <c r="D59" s="79"/>
      <c r="E59" s="79"/>
      <c r="F59" s="79"/>
      <c r="G59" s="2" t="s">
        <v>320</v>
      </c>
      <c r="H59" s="51">
        <v>168</v>
      </c>
      <c r="I59" s="51">
        <v>0</v>
      </c>
      <c r="J59" s="51">
        <f>H59*AO59</f>
        <v>0</v>
      </c>
      <c r="K59" s="51">
        <f>H59*AP59</f>
        <v>0</v>
      </c>
      <c r="L59" s="51">
        <f>H59*I59</f>
        <v>0</v>
      </c>
      <c r="M59" s="44" t="s">
        <v>218</v>
      </c>
      <c r="Z59" s="51">
        <f>IF(AQ59="5",BJ59,0)</f>
        <v>0</v>
      </c>
      <c r="AB59" s="51">
        <f>IF(AQ59="1",BH59,0)</f>
        <v>0</v>
      </c>
      <c r="AC59" s="51">
        <f>IF(AQ59="1",BI59,0)</f>
        <v>0</v>
      </c>
      <c r="AD59" s="51">
        <f>IF(AQ59="7",BH59,0)</f>
        <v>0</v>
      </c>
      <c r="AE59" s="51">
        <f>IF(AQ59="7",BI59,0)</f>
        <v>0</v>
      </c>
      <c r="AF59" s="51">
        <f>IF(AQ59="2",BH59,0)</f>
        <v>0</v>
      </c>
      <c r="AG59" s="51">
        <f>IF(AQ59="2",BI59,0)</f>
        <v>0</v>
      </c>
      <c r="AH59" s="51">
        <f>IF(AQ59="0",BJ59,0)</f>
        <v>0</v>
      </c>
      <c r="AI59" s="15" t="s">
        <v>172</v>
      </c>
      <c r="AJ59" s="51">
        <f>IF(AN59=0,L59,0)</f>
        <v>0</v>
      </c>
      <c r="AK59" s="51">
        <f>IF(AN59=15,L59,0)</f>
        <v>0</v>
      </c>
      <c r="AL59" s="51">
        <f>IF(AN59=21,L59,0)</f>
        <v>0</v>
      </c>
      <c r="AN59" s="51">
        <v>21</v>
      </c>
      <c r="AO59" s="51">
        <f>I59*0.886885245901639</f>
        <v>0</v>
      </c>
      <c r="AP59" s="51">
        <f>I59*(1-0.886885245901639)</f>
        <v>0</v>
      </c>
      <c r="AQ59" s="63" t="s">
        <v>328</v>
      </c>
      <c r="AV59" s="51">
        <f>AW59+AX59</f>
        <v>0</v>
      </c>
      <c r="AW59" s="51">
        <f>H59*AO59</f>
        <v>0</v>
      </c>
      <c r="AX59" s="51">
        <f>H59*AP59</f>
        <v>0</v>
      </c>
      <c r="AY59" s="63" t="s">
        <v>121</v>
      </c>
      <c r="AZ59" s="63" t="s">
        <v>345</v>
      </c>
      <c r="BA59" s="15" t="s">
        <v>56</v>
      </c>
      <c r="BC59" s="51">
        <f>AW59+AX59</f>
        <v>0</v>
      </c>
      <c r="BD59" s="51">
        <f>I59/(100-BE59)*100</f>
        <v>0</v>
      </c>
      <c r="BE59" s="51">
        <v>0</v>
      </c>
      <c r="BF59" s="51">
        <f>59</f>
        <v>59</v>
      </c>
      <c r="BH59" s="51">
        <f>H59*AO59</f>
        <v>0</v>
      </c>
      <c r="BI59" s="51">
        <f>H59*AP59</f>
        <v>0</v>
      </c>
      <c r="BJ59" s="51">
        <f>H59*I59</f>
        <v>0</v>
      </c>
      <c r="BK59" s="51"/>
      <c r="BL59" s="51">
        <v>57</v>
      </c>
    </row>
    <row r="60" spans="1:64" ht="15" customHeight="1">
      <c r="A60" s="29" t="s">
        <v>309</v>
      </c>
      <c r="B60" s="2" t="s">
        <v>37</v>
      </c>
      <c r="C60" s="79" t="s">
        <v>205</v>
      </c>
      <c r="D60" s="79"/>
      <c r="E60" s="79"/>
      <c r="F60" s="79"/>
      <c r="G60" s="2" t="s">
        <v>137</v>
      </c>
      <c r="H60" s="51">
        <v>10</v>
      </c>
      <c r="I60" s="51">
        <v>0</v>
      </c>
      <c r="J60" s="51">
        <f>H60*AO60</f>
        <v>0</v>
      </c>
      <c r="K60" s="51">
        <f>H60*AP60</f>
        <v>0</v>
      </c>
      <c r="L60" s="51">
        <f>H60*I60</f>
        <v>0</v>
      </c>
      <c r="M60" s="44" t="s">
        <v>218</v>
      </c>
      <c r="Z60" s="51">
        <f>IF(AQ60="5",BJ60,0)</f>
        <v>0</v>
      </c>
      <c r="AB60" s="51">
        <f>IF(AQ60="1",BH60,0)</f>
        <v>0</v>
      </c>
      <c r="AC60" s="51">
        <f>IF(AQ60="1",BI60,0)</f>
        <v>0</v>
      </c>
      <c r="AD60" s="51">
        <f>IF(AQ60="7",BH60,0)</f>
        <v>0</v>
      </c>
      <c r="AE60" s="51">
        <f>IF(AQ60="7",BI60,0)</f>
        <v>0</v>
      </c>
      <c r="AF60" s="51">
        <f>IF(AQ60="2",BH60,0)</f>
        <v>0</v>
      </c>
      <c r="AG60" s="51">
        <f>IF(AQ60="2",BI60,0)</f>
        <v>0</v>
      </c>
      <c r="AH60" s="51">
        <f>IF(AQ60="0",BJ60,0)</f>
        <v>0</v>
      </c>
      <c r="AI60" s="15" t="s">
        <v>172</v>
      </c>
      <c r="AJ60" s="51">
        <f>IF(AN60=0,L60,0)</f>
        <v>0</v>
      </c>
      <c r="AK60" s="51">
        <f>IF(AN60=15,L60,0)</f>
        <v>0</v>
      </c>
      <c r="AL60" s="51">
        <f>IF(AN60=21,L60,0)</f>
        <v>0</v>
      </c>
      <c r="AN60" s="51">
        <v>21</v>
      </c>
      <c r="AO60" s="51">
        <f>I60*0.515398948165412</f>
        <v>0</v>
      </c>
      <c r="AP60" s="51">
        <f>I60*(1-0.515398948165412)</f>
        <v>0</v>
      </c>
      <c r="AQ60" s="63" t="s">
        <v>328</v>
      </c>
      <c r="AV60" s="51">
        <f>AW60+AX60</f>
        <v>0</v>
      </c>
      <c r="AW60" s="51">
        <f>H60*AO60</f>
        <v>0</v>
      </c>
      <c r="AX60" s="51">
        <f>H60*AP60</f>
        <v>0</v>
      </c>
      <c r="AY60" s="63" t="s">
        <v>121</v>
      </c>
      <c r="AZ60" s="63" t="s">
        <v>345</v>
      </c>
      <c r="BA60" s="15" t="s">
        <v>56</v>
      </c>
      <c r="BC60" s="51">
        <f>AW60+AX60</f>
        <v>0</v>
      </c>
      <c r="BD60" s="51">
        <f>I60/(100-BE60)*100</f>
        <v>0</v>
      </c>
      <c r="BE60" s="51">
        <v>0</v>
      </c>
      <c r="BF60" s="51">
        <f>60</f>
        <v>60</v>
      </c>
      <c r="BH60" s="51">
        <f>H60*AO60</f>
        <v>0</v>
      </c>
      <c r="BI60" s="51">
        <f>H60*AP60</f>
        <v>0</v>
      </c>
      <c r="BJ60" s="51">
        <f>H60*I60</f>
        <v>0</v>
      </c>
      <c r="BK60" s="51"/>
      <c r="BL60" s="51">
        <v>57</v>
      </c>
    </row>
    <row r="61" spans="1:64" ht="15" customHeight="1">
      <c r="A61" s="54" t="s">
        <v>224</v>
      </c>
      <c r="B61" s="53" t="s">
        <v>136</v>
      </c>
      <c r="C61" s="100" t="s">
        <v>301</v>
      </c>
      <c r="D61" s="95"/>
      <c r="E61" s="95"/>
      <c r="F61" s="100"/>
      <c r="G61" s="17" t="s">
        <v>298</v>
      </c>
      <c r="H61" s="17" t="s">
        <v>298</v>
      </c>
      <c r="I61" s="17" t="s">
        <v>298</v>
      </c>
      <c r="J61" s="58">
        <f>SUM(J62:J80)</f>
        <v>0</v>
      </c>
      <c r="K61" s="58">
        <f>SUM(K62:K80)</f>
        <v>0</v>
      </c>
      <c r="L61" s="58">
        <f>SUM(L62:L80)</f>
        <v>0</v>
      </c>
      <c r="M61" s="25" t="s">
        <v>224</v>
      </c>
      <c r="AI61" s="15" t="s">
        <v>172</v>
      </c>
      <c r="AS61" s="19">
        <f>SUM(AJ62:AJ80)</f>
        <v>0</v>
      </c>
      <c r="AT61" s="19">
        <f>SUM(AK62:AK80)</f>
        <v>0</v>
      </c>
      <c r="AU61" s="19">
        <f>SUM(AL62:AL80)</f>
        <v>0</v>
      </c>
    </row>
    <row r="62" spans="1:64" ht="15" customHeight="1">
      <c r="A62" s="67" t="s">
        <v>134</v>
      </c>
      <c r="B62" s="1" t="s">
        <v>119</v>
      </c>
      <c r="C62" s="99" t="s">
        <v>203</v>
      </c>
      <c r="D62" s="79"/>
      <c r="E62" s="79"/>
      <c r="F62" s="99"/>
      <c r="G62" s="1" t="s">
        <v>320</v>
      </c>
      <c r="H62" s="42">
        <v>171</v>
      </c>
      <c r="I62" s="42">
        <v>0</v>
      </c>
      <c r="J62" s="42">
        <f>H62*AO62</f>
        <v>0</v>
      </c>
      <c r="K62" s="42">
        <f>H62*AP62</f>
        <v>0</v>
      </c>
      <c r="L62" s="42">
        <f>H62*I62</f>
        <v>0</v>
      </c>
      <c r="M62" s="71" t="s">
        <v>277</v>
      </c>
      <c r="Z62" s="51">
        <f>IF(AQ62="5",BJ62,0)</f>
        <v>0</v>
      </c>
      <c r="AB62" s="51">
        <f>IF(AQ62="1",BH62,0)</f>
        <v>0</v>
      </c>
      <c r="AC62" s="51">
        <f>IF(AQ62="1",BI62,0)</f>
        <v>0</v>
      </c>
      <c r="AD62" s="51">
        <f>IF(AQ62="7",BH62,0)</f>
        <v>0</v>
      </c>
      <c r="AE62" s="51">
        <f>IF(AQ62="7",BI62,0)</f>
        <v>0</v>
      </c>
      <c r="AF62" s="51">
        <f>IF(AQ62="2",BH62,0)</f>
        <v>0</v>
      </c>
      <c r="AG62" s="51">
        <f>IF(AQ62="2",BI62,0)</f>
        <v>0</v>
      </c>
      <c r="AH62" s="51">
        <f>IF(AQ62="0",BJ62,0)</f>
        <v>0</v>
      </c>
      <c r="AI62" s="15" t="s">
        <v>172</v>
      </c>
      <c r="AJ62" s="51">
        <f>IF(AN62=0,L62,0)</f>
        <v>0</v>
      </c>
      <c r="AK62" s="51">
        <f>IF(AN62=15,L62,0)</f>
        <v>0</v>
      </c>
      <c r="AL62" s="51">
        <f>IF(AN62=21,L62,0)</f>
        <v>0</v>
      </c>
      <c r="AN62" s="51">
        <v>21</v>
      </c>
      <c r="AO62" s="51">
        <f>I62*0.152160278745645</f>
        <v>0</v>
      </c>
      <c r="AP62" s="51">
        <f>I62*(1-0.152160278745645)</f>
        <v>0</v>
      </c>
      <c r="AQ62" s="63" t="s">
        <v>328</v>
      </c>
      <c r="AV62" s="51">
        <f>AW62+AX62</f>
        <v>0</v>
      </c>
      <c r="AW62" s="51">
        <f>H62*AO62</f>
        <v>0</v>
      </c>
      <c r="AX62" s="51">
        <f>H62*AP62</f>
        <v>0</v>
      </c>
      <c r="AY62" s="63" t="s">
        <v>323</v>
      </c>
      <c r="AZ62" s="63" t="s">
        <v>345</v>
      </c>
      <c r="BA62" s="15" t="s">
        <v>56</v>
      </c>
      <c r="BC62" s="51">
        <f>AW62+AX62</f>
        <v>0</v>
      </c>
      <c r="BD62" s="51">
        <f>I62/(100-BE62)*100</f>
        <v>0</v>
      </c>
      <c r="BE62" s="51">
        <v>0</v>
      </c>
      <c r="BF62" s="51">
        <f>62</f>
        <v>62</v>
      </c>
      <c r="BH62" s="51">
        <f>H62*AO62</f>
        <v>0</v>
      </c>
      <c r="BI62" s="51">
        <f>H62*AP62</f>
        <v>0</v>
      </c>
      <c r="BJ62" s="51">
        <f>H62*I62</f>
        <v>0</v>
      </c>
      <c r="BK62" s="51"/>
      <c r="BL62" s="51">
        <v>59</v>
      </c>
    </row>
    <row r="63" spans="1:64" ht="54" customHeight="1">
      <c r="A63" s="26"/>
      <c r="B63" s="21" t="s">
        <v>113</v>
      </c>
      <c r="C63" s="96" t="s">
        <v>281</v>
      </c>
      <c r="D63" s="97"/>
      <c r="E63" s="97"/>
      <c r="F63" s="97"/>
      <c r="G63" s="97"/>
      <c r="H63" s="97"/>
      <c r="I63" s="97"/>
      <c r="J63" s="97"/>
      <c r="K63" s="97"/>
      <c r="L63" s="97"/>
      <c r="M63" s="98"/>
    </row>
    <row r="64" spans="1:64" ht="15" customHeight="1">
      <c r="A64" s="35" t="s">
        <v>29</v>
      </c>
      <c r="B64" s="4" t="s">
        <v>85</v>
      </c>
      <c r="C64" s="99" t="s">
        <v>80</v>
      </c>
      <c r="D64" s="79"/>
      <c r="E64" s="79"/>
      <c r="F64" s="99"/>
      <c r="G64" s="4" t="s">
        <v>320</v>
      </c>
      <c r="H64" s="41">
        <v>171</v>
      </c>
      <c r="I64" s="41">
        <v>0</v>
      </c>
      <c r="J64" s="41">
        <f>H64*AO64</f>
        <v>0</v>
      </c>
      <c r="K64" s="41">
        <f>H64*AP64</f>
        <v>0</v>
      </c>
      <c r="L64" s="41">
        <f>H64*I64</f>
        <v>0</v>
      </c>
      <c r="M64" s="32" t="s">
        <v>277</v>
      </c>
      <c r="Z64" s="51">
        <f>IF(AQ64="5",BJ64,0)</f>
        <v>0</v>
      </c>
      <c r="AB64" s="51">
        <f>IF(AQ64="1",BH64,0)</f>
        <v>0</v>
      </c>
      <c r="AC64" s="51">
        <f>IF(AQ64="1",BI64,0)</f>
        <v>0</v>
      </c>
      <c r="AD64" s="51">
        <f>IF(AQ64="7",BH64,0)</f>
        <v>0</v>
      </c>
      <c r="AE64" s="51">
        <f>IF(AQ64="7",BI64,0)</f>
        <v>0</v>
      </c>
      <c r="AF64" s="51">
        <f>IF(AQ64="2",BH64,0)</f>
        <v>0</v>
      </c>
      <c r="AG64" s="51">
        <f>IF(AQ64="2",BI64,0)</f>
        <v>0</v>
      </c>
      <c r="AH64" s="51">
        <f>IF(AQ64="0",BJ64,0)</f>
        <v>0</v>
      </c>
      <c r="AI64" s="15" t="s">
        <v>172</v>
      </c>
      <c r="AJ64" s="51">
        <f>IF(AN64=0,L64,0)</f>
        <v>0</v>
      </c>
      <c r="AK64" s="51">
        <f>IF(AN64=15,L64,0)</f>
        <v>0</v>
      </c>
      <c r="AL64" s="51">
        <f>IF(AN64=21,L64,0)</f>
        <v>0</v>
      </c>
      <c r="AN64" s="51">
        <v>21</v>
      </c>
      <c r="AO64" s="51">
        <f>I64*1</f>
        <v>0</v>
      </c>
      <c r="AP64" s="51">
        <f>I64*(1-1)</f>
        <v>0</v>
      </c>
      <c r="AQ64" s="63" t="s">
        <v>328</v>
      </c>
      <c r="AV64" s="51">
        <f>AW64+AX64</f>
        <v>0</v>
      </c>
      <c r="AW64" s="51">
        <f>H64*AO64</f>
        <v>0</v>
      </c>
      <c r="AX64" s="51">
        <f>H64*AP64</f>
        <v>0</v>
      </c>
      <c r="AY64" s="63" t="s">
        <v>323</v>
      </c>
      <c r="AZ64" s="63" t="s">
        <v>345</v>
      </c>
      <c r="BA64" s="15" t="s">
        <v>56</v>
      </c>
      <c r="BC64" s="51">
        <f>AW64+AX64</f>
        <v>0</v>
      </c>
      <c r="BD64" s="51">
        <f>I64/(100-BE64)*100</f>
        <v>0</v>
      </c>
      <c r="BE64" s="51">
        <v>0</v>
      </c>
      <c r="BF64" s="51">
        <f>64</f>
        <v>64</v>
      </c>
      <c r="BH64" s="51">
        <f>H64*AO64</f>
        <v>0</v>
      </c>
      <c r="BI64" s="51">
        <f>H64*AP64</f>
        <v>0</v>
      </c>
      <c r="BJ64" s="51">
        <f>H64*I64</f>
        <v>0</v>
      </c>
      <c r="BK64" s="51"/>
      <c r="BL64" s="51">
        <v>59</v>
      </c>
    </row>
    <row r="65" spans="1:64" ht="13.5" customHeight="1">
      <c r="A65" s="26"/>
      <c r="B65" s="21" t="s">
        <v>113</v>
      </c>
      <c r="C65" s="96" t="s">
        <v>207</v>
      </c>
      <c r="D65" s="97"/>
      <c r="E65" s="97"/>
      <c r="F65" s="97"/>
      <c r="G65" s="97"/>
      <c r="H65" s="97"/>
      <c r="I65" s="97"/>
      <c r="J65" s="97"/>
      <c r="K65" s="97"/>
      <c r="L65" s="97"/>
      <c r="M65" s="98"/>
    </row>
    <row r="66" spans="1:64" ht="15" customHeight="1">
      <c r="A66" s="35" t="s">
        <v>70</v>
      </c>
      <c r="B66" s="4" t="s">
        <v>122</v>
      </c>
      <c r="C66" s="99" t="s">
        <v>105</v>
      </c>
      <c r="D66" s="79"/>
      <c r="E66" s="79"/>
      <c r="F66" s="99"/>
      <c r="G66" s="4" t="s">
        <v>320</v>
      </c>
      <c r="H66" s="41">
        <v>311.5</v>
      </c>
      <c r="I66" s="41">
        <v>0</v>
      </c>
      <c r="J66" s="41">
        <f>H66*AO66</f>
        <v>0</v>
      </c>
      <c r="K66" s="41">
        <f>H66*AP66</f>
        <v>0</v>
      </c>
      <c r="L66" s="41">
        <f>H66*I66</f>
        <v>0</v>
      </c>
      <c r="M66" s="32" t="s">
        <v>277</v>
      </c>
      <c r="Z66" s="51">
        <f>IF(AQ66="5",BJ66,0)</f>
        <v>0</v>
      </c>
      <c r="AB66" s="51">
        <f>IF(AQ66="1",BH66,0)</f>
        <v>0</v>
      </c>
      <c r="AC66" s="51">
        <f>IF(AQ66="1",BI66,0)</f>
        <v>0</v>
      </c>
      <c r="AD66" s="51">
        <f>IF(AQ66="7",BH66,0)</f>
        <v>0</v>
      </c>
      <c r="AE66" s="51">
        <f>IF(AQ66="7",BI66,0)</f>
        <v>0</v>
      </c>
      <c r="AF66" s="51">
        <f>IF(AQ66="2",BH66,0)</f>
        <v>0</v>
      </c>
      <c r="AG66" s="51">
        <f>IF(AQ66="2",BI66,0)</f>
        <v>0</v>
      </c>
      <c r="AH66" s="51">
        <f>IF(AQ66="0",BJ66,0)</f>
        <v>0</v>
      </c>
      <c r="AI66" s="15" t="s">
        <v>172</v>
      </c>
      <c r="AJ66" s="51">
        <f>IF(AN66=0,L66,0)</f>
        <v>0</v>
      </c>
      <c r="AK66" s="51">
        <f>IF(AN66=15,L66,0)</f>
        <v>0</v>
      </c>
      <c r="AL66" s="51">
        <f>IF(AN66=21,L66,0)</f>
        <v>0</v>
      </c>
      <c r="AN66" s="51">
        <v>21</v>
      </c>
      <c r="AO66" s="51">
        <f>I66*0.144602649006623</f>
        <v>0</v>
      </c>
      <c r="AP66" s="51">
        <f>I66*(1-0.144602649006623)</f>
        <v>0</v>
      </c>
      <c r="AQ66" s="63" t="s">
        <v>328</v>
      </c>
      <c r="AV66" s="51">
        <f>AW66+AX66</f>
        <v>0</v>
      </c>
      <c r="AW66" s="51">
        <f>H66*AO66</f>
        <v>0</v>
      </c>
      <c r="AX66" s="51">
        <f>H66*AP66</f>
        <v>0</v>
      </c>
      <c r="AY66" s="63" t="s">
        <v>323</v>
      </c>
      <c r="AZ66" s="63" t="s">
        <v>345</v>
      </c>
      <c r="BA66" s="15" t="s">
        <v>56</v>
      </c>
      <c r="BC66" s="51">
        <f>AW66+AX66</f>
        <v>0</v>
      </c>
      <c r="BD66" s="51">
        <f>I66/(100-BE66)*100</f>
        <v>0</v>
      </c>
      <c r="BE66" s="51">
        <v>0</v>
      </c>
      <c r="BF66" s="51">
        <f>66</f>
        <v>66</v>
      </c>
      <c r="BH66" s="51">
        <f>H66*AO66</f>
        <v>0</v>
      </c>
      <c r="BI66" s="51">
        <f>H66*AP66</f>
        <v>0</v>
      </c>
      <c r="BJ66" s="51">
        <f>H66*I66</f>
        <v>0</v>
      </c>
      <c r="BK66" s="51"/>
      <c r="BL66" s="51">
        <v>59</v>
      </c>
    </row>
    <row r="67" spans="1:64" ht="54" customHeight="1">
      <c r="A67" s="26"/>
      <c r="B67" s="21" t="s">
        <v>113</v>
      </c>
      <c r="C67" s="96" t="s">
        <v>102</v>
      </c>
      <c r="D67" s="97"/>
      <c r="E67" s="97"/>
      <c r="F67" s="97"/>
      <c r="G67" s="97"/>
      <c r="H67" s="97"/>
      <c r="I67" s="97"/>
      <c r="J67" s="97"/>
      <c r="K67" s="97"/>
      <c r="L67" s="97"/>
      <c r="M67" s="98"/>
    </row>
    <row r="68" spans="1:64" ht="15" customHeight="1">
      <c r="A68" s="35" t="s">
        <v>41</v>
      </c>
      <c r="B68" s="4" t="s">
        <v>229</v>
      </c>
      <c r="C68" s="99" t="s">
        <v>33</v>
      </c>
      <c r="D68" s="79"/>
      <c r="E68" s="79"/>
      <c r="F68" s="99"/>
      <c r="G68" s="4" t="s">
        <v>320</v>
      </c>
      <c r="H68" s="41">
        <v>42.6</v>
      </c>
      <c r="I68" s="41">
        <v>0</v>
      </c>
      <c r="J68" s="41">
        <f>H68*AO68</f>
        <v>0</v>
      </c>
      <c r="K68" s="41">
        <f>H68*AP68</f>
        <v>0</v>
      </c>
      <c r="L68" s="41">
        <f>H68*I68</f>
        <v>0</v>
      </c>
      <c r="M68" s="32" t="s">
        <v>277</v>
      </c>
      <c r="Z68" s="51">
        <f>IF(AQ68="5",BJ68,0)</f>
        <v>0</v>
      </c>
      <c r="AB68" s="51">
        <f>IF(AQ68="1",BH68,0)</f>
        <v>0</v>
      </c>
      <c r="AC68" s="51">
        <f>IF(AQ68="1",BI68,0)</f>
        <v>0</v>
      </c>
      <c r="AD68" s="51">
        <f>IF(AQ68="7",BH68,0)</f>
        <v>0</v>
      </c>
      <c r="AE68" s="51">
        <f>IF(AQ68="7",BI68,0)</f>
        <v>0</v>
      </c>
      <c r="AF68" s="51">
        <f>IF(AQ68="2",BH68,0)</f>
        <v>0</v>
      </c>
      <c r="AG68" s="51">
        <f>IF(AQ68="2",BI68,0)</f>
        <v>0</v>
      </c>
      <c r="AH68" s="51">
        <f>IF(AQ68="0",BJ68,0)</f>
        <v>0</v>
      </c>
      <c r="AI68" s="15" t="s">
        <v>172</v>
      </c>
      <c r="AJ68" s="51">
        <f>IF(AN68=0,L68,0)</f>
        <v>0</v>
      </c>
      <c r="AK68" s="51">
        <f>IF(AN68=15,L68,0)</f>
        <v>0</v>
      </c>
      <c r="AL68" s="51">
        <f>IF(AN68=21,L68,0)</f>
        <v>0</v>
      </c>
      <c r="AN68" s="51">
        <v>21</v>
      </c>
      <c r="AO68" s="51">
        <f>I68*1</f>
        <v>0</v>
      </c>
      <c r="AP68" s="51">
        <f>I68*(1-1)</f>
        <v>0</v>
      </c>
      <c r="AQ68" s="63" t="s">
        <v>328</v>
      </c>
      <c r="AV68" s="51">
        <f>AW68+AX68</f>
        <v>0</v>
      </c>
      <c r="AW68" s="51">
        <f>H68*AO68</f>
        <v>0</v>
      </c>
      <c r="AX68" s="51">
        <f>H68*AP68</f>
        <v>0</v>
      </c>
      <c r="AY68" s="63" t="s">
        <v>323</v>
      </c>
      <c r="AZ68" s="63" t="s">
        <v>345</v>
      </c>
      <c r="BA68" s="15" t="s">
        <v>56</v>
      </c>
      <c r="BC68" s="51">
        <f>AW68+AX68</f>
        <v>0</v>
      </c>
      <c r="BD68" s="51">
        <f>I68/(100-BE68)*100</f>
        <v>0</v>
      </c>
      <c r="BE68" s="51">
        <v>0</v>
      </c>
      <c r="BF68" s="51">
        <f>68</f>
        <v>68</v>
      </c>
      <c r="BH68" s="51">
        <f>H68*AO68</f>
        <v>0</v>
      </c>
      <c r="BI68" s="51">
        <f>H68*AP68</f>
        <v>0</v>
      </c>
      <c r="BJ68" s="51">
        <f>H68*I68</f>
        <v>0</v>
      </c>
      <c r="BK68" s="51"/>
      <c r="BL68" s="51">
        <v>59</v>
      </c>
    </row>
    <row r="69" spans="1:64" ht="13.5" customHeight="1">
      <c r="A69" s="26"/>
      <c r="B69" s="21" t="s">
        <v>113</v>
      </c>
      <c r="C69" s="96" t="s">
        <v>62</v>
      </c>
      <c r="D69" s="97"/>
      <c r="E69" s="97"/>
      <c r="F69" s="97"/>
      <c r="G69" s="97"/>
      <c r="H69" s="97"/>
      <c r="I69" s="97"/>
      <c r="J69" s="97"/>
      <c r="K69" s="97"/>
      <c r="L69" s="97"/>
      <c r="M69" s="98"/>
    </row>
    <row r="70" spans="1:64" ht="15" customHeight="1">
      <c r="A70" s="35" t="s">
        <v>317</v>
      </c>
      <c r="B70" s="4" t="s">
        <v>311</v>
      </c>
      <c r="C70" s="99" t="s">
        <v>283</v>
      </c>
      <c r="D70" s="79"/>
      <c r="E70" s="79"/>
      <c r="F70" s="99"/>
      <c r="G70" s="4" t="s">
        <v>320</v>
      </c>
      <c r="H70" s="41">
        <v>237.3</v>
      </c>
      <c r="I70" s="41">
        <v>0</v>
      </c>
      <c r="J70" s="41">
        <f>H70*AO70</f>
        <v>0</v>
      </c>
      <c r="K70" s="41">
        <f>H70*AP70</f>
        <v>0</v>
      </c>
      <c r="L70" s="41">
        <f>H70*I70</f>
        <v>0</v>
      </c>
      <c r="M70" s="32" t="s">
        <v>277</v>
      </c>
      <c r="Z70" s="51">
        <f>IF(AQ70="5",BJ70,0)</f>
        <v>0</v>
      </c>
      <c r="AB70" s="51">
        <f>IF(AQ70="1",BH70,0)</f>
        <v>0</v>
      </c>
      <c r="AC70" s="51">
        <f>IF(AQ70="1",BI70,0)</f>
        <v>0</v>
      </c>
      <c r="AD70" s="51">
        <f>IF(AQ70="7",BH70,0)</f>
        <v>0</v>
      </c>
      <c r="AE70" s="51">
        <f>IF(AQ70="7",BI70,0)</f>
        <v>0</v>
      </c>
      <c r="AF70" s="51">
        <f>IF(AQ70="2",BH70,0)</f>
        <v>0</v>
      </c>
      <c r="AG70" s="51">
        <f>IF(AQ70="2",BI70,0)</f>
        <v>0</v>
      </c>
      <c r="AH70" s="51">
        <f>IF(AQ70="0",BJ70,0)</f>
        <v>0</v>
      </c>
      <c r="AI70" s="15" t="s">
        <v>172</v>
      </c>
      <c r="AJ70" s="51">
        <f>IF(AN70=0,L70,0)</f>
        <v>0</v>
      </c>
      <c r="AK70" s="51">
        <f>IF(AN70=15,L70,0)</f>
        <v>0</v>
      </c>
      <c r="AL70" s="51">
        <f>IF(AN70=21,L70,0)</f>
        <v>0</v>
      </c>
      <c r="AN70" s="51">
        <v>21</v>
      </c>
      <c r="AO70" s="51">
        <f>I70*1</f>
        <v>0</v>
      </c>
      <c r="AP70" s="51">
        <f>I70*(1-1)</f>
        <v>0</v>
      </c>
      <c r="AQ70" s="63" t="s">
        <v>328</v>
      </c>
      <c r="AV70" s="51">
        <f>AW70+AX70</f>
        <v>0</v>
      </c>
      <c r="AW70" s="51">
        <f>H70*AO70</f>
        <v>0</v>
      </c>
      <c r="AX70" s="51">
        <f>H70*AP70</f>
        <v>0</v>
      </c>
      <c r="AY70" s="63" t="s">
        <v>323</v>
      </c>
      <c r="AZ70" s="63" t="s">
        <v>345</v>
      </c>
      <c r="BA70" s="15" t="s">
        <v>56</v>
      </c>
      <c r="BC70" s="51">
        <f>AW70+AX70</f>
        <v>0</v>
      </c>
      <c r="BD70" s="51">
        <f>I70/(100-BE70)*100</f>
        <v>0</v>
      </c>
      <c r="BE70" s="51">
        <v>0</v>
      </c>
      <c r="BF70" s="51">
        <f>70</f>
        <v>70</v>
      </c>
      <c r="BH70" s="51">
        <f>H70*AO70</f>
        <v>0</v>
      </c>
      <c r="BI70" s="51">
        <f>H70*AP70</f>
        <v>0</v>
      </c>
      <c r="BJ70" s="51">
        <f>H70*I70</f>
        <v>0</v>
      </c>
      <c r="BK70" s="51"/>
      <c r="BL70" s="51">
        <v>59</v>
      </c>
    </row>
    <row r="71" spans="1:64" ht="13.5" customHeight="1">
      <c r="A71" s="26"/>
      <c r="B71" s="21" t="s">
        <v>113</v>
      </c>
      <c r="C71" s="96" t="s">
        <v>207</v>
      </c>
      <c r="D71" s="97"/>
      <c r="E71" s="97"/>
      <c r="F71" s="97"/>
      <c r="G71" s="97"/>
      <c r="H71" s="97"/>
      <c r="I71" s="97"/>
      <c r="J71" s="97"/>
      <c r="K71" s="97"/>
      <c r="L71" s="97"/>
      <c r="M71" s="98"/>
    </row>
    <row r="72" spans="1:64" ht="15" customHeight="1">
      <c r="A72" s="35" t="s">
        <v>360</v>
      </c>
      <c r="B72" s="4" t="s">
        <v>61</v>
      </c>
      <c r="C72" s="99" t="s">
        <v>353</v>
      </c>
      <c r="D72" s="79"/>
      <c r="E72" s="79"/>
      <c r="F72" s="99"/>
      <c r="G72" s="4" t="s">
        <v>320</v>
      </c>
      <c r="H72" s="41">
        <v>31.6</v>
      </c>
      <c r="I72" s="41">
        <v>0</v>
      </c>
      <c r="J72" s="41">
        <f>H72*AO72</f>
        <v>0</v>
      </c>
      <c r="K72" s="41">
        <f>H72*AP72</f>
        <v>0</v>
      </c>
      <c r="L72" s="41">
        <f>H72*I72</f>
        <v>0</v>
      </c>
      <c r="M72" s="32" t="s">
        <v>277</v>
      </c>
      <c r="Z72" s="51">
        <f>IF(AQ72="5",BJ72,0)</f>
        <v>0</v>
      </c>
      <c r="AB72" s="51">
        <f>IF(AQ72="1",BH72,0)</f>
        <v>0</v>
      </c>
      <c r="AC72" s="51">
        <f>IF(AQ72="1",BI72,0)</f>
        <v>0</v>
      </c>
      <c r="AD72" s="51">
        <f>IF(AQ72="7",BH72,0)</f>
        <v>0</v>
      </c>
      <c r="AE72" s="51">
        <f>IF(AQ72="7",BI72,0)</f>
        <v>0</v>
      </c>
      <c r="AF72" s="51">
        <f>IF(AQ72="2",BH72,0)</f>
        <v>0</v>
      </c>
      <c r="AG72" s="51">
        <f>IF(AQ72="2",BI72,0)</f>
        <v>0</v>
      </c>
      <c r="AH72" s="51">
        <f>IF(AQ72="0",BJ72,0)</f>
        <v>0</v>
      </c>
      <c r="AI72" s="15" t="s">
        <v>172</v>
      </c>
      <c r="AJ72" s="51">
        <f>IF(AN72=0,L72,0)</f>
        <v>0</v>
      </c>
      <c r="AK72" s="51">
        <f>IF(AN72=15,L72,0)</f>
        <v>0</v>
      </c>
      <c r="AL72" s="51">
        <f>IF(AN72=21,L72,0)</f>
        <v>0</v>
      </c>
      <c r="AN72" s="51">
        <v>21</v>
      </c>
      <c r="AO72" s="51">
        <f>I72*1</f>
        <v>0</v>
      </c>
      <c r="AP72" s="51">
        <f>I72*(1-1)</f>
        <v>0</v>
      </c>
      <c r="AQ72" s="63" t="s">
        <v>328</v>
      </c>
      <c r="AV72" s="51">
        <f>AW72+AX72</f>
        <v>0</v>
      </c>
      <c r="AW72" s="51">
        <f>H72*AO72</f>
        <v>0</v>
      </c>
      <c r="AX72" s="51">
        <f>H72*AP72</f>
        <v>0</v>
      </c>
      <c r="AY72" s="63" t="s">
        <v>323</v>
      </c>
      <c r="AZ72" s="63" t="s">
        <v>345</v>
      </c>
      <c r="BA72" s="15" t="s">
        <v>56</v>
      </c>
      <c r="BC72" s="51">
        <f>AW72+AX72</f>
        <v>0</v>
      </c>
      <c r="BD72" s="51">
        <f>I72/(100-BE72)*100</f>
        <v>0</v>
      </c>
      <c r="BE72" s="51">
        <v>0</v>
      </c>
      <c r="BF72" s="51">
        <f>72</f>
        <v>72</v>
      </c>
      <c r="BH72" s="51">
        <f>H72*AO72</f>
        <v>0</v>
      </c>
      <c r="BI72" s="51">
        <f>H72*AP72</f>
        <v>0</v>
      </c>
      <c r="BJ72" s="51">
        <f>H72*I72</f>
        <v>0</v>
      </c>
      <c r="BK72" s="51"/>
      <c r="BL72" s="51">
        <v>59</v>
      </c>
    </row>
    <row r="73" spans="1:64" ht="13.5" customHeight="1">
      <c r="A73" s="26"/>
      <c r="B73" s="21" t="s">
        <v>113</v>
      </c>
      <c r="C73" s="96" t="s">
        <v>234</v>
      </c>
      <c r="D73" s="97"/>
      <c r="E73" s="97"/>
      <c r="F73" s="97"/>
      <c r="G73" s="97"/>
      <c r="H73" s="97"/>
      <c r="I73" s="97"/>
      <c r="J73" s="97"/>
      <c r="K73" s="97"/>
      <c r="L73" s="97"/>
      <c r="M73" s="98"/>
    </row>
    <row r="74" spans="1:64" ht="15" customHeight="1">
      <c r="A74" s="35" t="s">
        <v>19</v>
      </c>
      <c r="B74" s="4" t="s">
        <v>348</v>
      </c>
      <c r="C74" s="99" t="s">
        <v>369</v>
      </c>
      <c r="D74" s="79"/>
      <c r="E74" s="79"/>
      <c r="F74" s="99"/>
      <c r="G74" s="4" t="s">
        <v>71</v>
      </c>
      <c r="H74" s="41">
        <v>2</v>
      </c>
      <c r="I74" s="41">
        <v>0</v>
      </c>
      <c r="J74" s="41">
        <f>H74*AO74</f>
        <v>0</v>
      </c>
      <c r="K74" s="41">
        <f>H74*AP74</f>
        <v>0</v>
      </c>
      <c r="L74" s="41">
        <f>H74*I74</f>
        <v>0</v>
      </c>
      <c r="M74" s="32" t="s">
        <v>218</v>
      </c>
      <c r="Z74" s="51">
        <f>IF(AQ74="5",BJ74,0)</f>
        <v>0</v>
      </c>
      <c r="AB74" s="51">
        <f>IF(AQ74="1",BH74,0)</f>
        <v>0</v>
      </c>
      <c r="AC74" s="51">
        <f>IF(AQ74="1",BI74,0)</f>
        <v>0</v>
      </c>
      <c r="AD74" s="51">
        <f>IF(AQ74="7",BH74,0)</f>
        <v>0</v>
      </c>
      <c r="AE74" s="51">
        <f>IF(AQ74="7",BI74,0)</f>
        <v>0</v>
      </c>
      <c r="AF74" s="51">
        <f>IF(AQ74="2",BH74,0)</f>
        <v>0</v>
      </c>
      <c r="AG74" s="51">
        <f>IF(AQ74="2",BI74,0)</f>
        <v>0</v>
      </c>
      <c r="AH74" s="51">
        <f>IF(AQ74="0",BJ74,0)</f>
        <v>0</v>
      </c>
      <c r="AI74" s="15" t="s">
        <v>172</v>
      </c>
      <c r="AJ74" s="51">
        <f>IF(AN74=0,L74,0)</f>
        <v>0</v>
      </c>
      <c r="AK74" s="51">
        <f>IF(AN74=15,L74,0)</f>
        <v>0</v>
      </c>
      <c r="AL74" s="51">
        <f>IF(AN74=21,L74,0)</f>
        <v>0</v>
      </c>
      <c r="AN74" s="51">
        <v>21</v>
      </c>
      <c r="AO74" s="51">
        <f>I74*0.497685863874345</f>
        <v>0</v>
      </c>
      <c r="AP74" s="51">
        <f>I74*(1-0.497685863874345)</f>
        <v>0</v>
      </c>
      <c r="AQ74" s="63" t="s">
        <v>328</v>
      </c>
      <c r="AV74" s="51">
        <f>AW74+AX74</f>
        <v>0</v>
      </c>
      <c r="AW74" s="51">
        <f>H74*AO74</f>
        <v>0</v>
      </c>
      <c r="AX74" s="51">
        <f>H74*AP74</f>
        <v>0</v>
      </c>
      <c r="AY74" s="63" t="s">
        <v>323</v>
      </c>
      <c r="AZ74" s="63" t="s">
        <v>345</v>
      </c>
      <c r="BA74" s="15" t="s">
        <v>56</v>
      </c>
      <c r="BC74" s="51">
        <f>AW74+AX74</f>
        <v>0</v>
      </c>
      <c r="BD74" s="51">
        <f>I74/(100-BE74)*100</f>
        <v>0</v>
      </c>
      <c r="BE74" s="51">
        <v>0</v>
      </c>
      <c r="BF74" s="51">
        <f>74</f>
        <v>74</v>
      </c>
      <c r="BH74" s="51">
        <f>H74*AO74</f>
        <v>0</v>
      </c>
      <c r="BI74" s="51">
        <f>H74*AP74</f>
        <v>0</v>
      </c>
      <c r="BJ74" s="51">
        <f>H74*I74</f>
        <v>0</v>
      </c>
      <c r="BK74" s="51"/>
      <c r="BL74" s="51">
        <v>59</v>
      </c>
    </row>
    <row r="75" spans="1:64" ht="40.5" customHeight="1">
      <c r="A75" s="26"/>
      <c r="B75" s="21" t="s">
        <v>113</v>
      </c>
      <c r="C75" s="96" t="s">
        <v>46</v>
      </c>
      <c r="D75" s="97"/>
      <c r="E75" s="97"/>
      <c r="F75" s="97"/>
      <c r="G75" s="97"/>
      <c r="H75" s="97"/>
      <c r="I75" s="97"/>
      <c r="J75" s="97"/>
      <c r="K75" s="97"/>
      <c r="L75" s="97"/>
      <c r="M75" s="98"/>
    </row>
    <row r="76" spans="1:64" ht="15" customHeight="1">
      <c r="A76" s="35" t="s">
        <v>198</v>
      </c>
      <c r="B76" s="4" t="s">
        <v>60</v>
      </c>
      <c r="C76" s="99" t="s">
        <v>326</v>
      </c>
      <c r="D76" s="79"/>
      <c r="E76" s="79"/>
      <c r="F76" s="99"/>
      <c r="G76" s="4" t="s">
        <v>71</v>
      </c>
      <c r="H76" s="41">
        <v>2</v>
      </c>
      <c r="I76" s="41">
        <v>0</v>
      </c>
      <c r="J76" s="41">
        <f>H76*AO76</f>
        <v>0</v>
      </c>
      <c r="K76" s="41">
        <f>H76*AP76</f>
        <v>0</v>
      </c>
      <c r="L76" s="41">
        <f>H76*I76</f>
        <v>0</v>
      </c>
      <c r="M76" s="32" t="s">
        <v>218</v>
      </c>
      <c r="Z76" s="51">
        <f>IF(AQ76="5",BJ76,0)</f>
        <v>0</v>
      </c>
      <c r="AB76" s="51">
        <f>IF(AQ76="1",BH76,0)</f>
        <v>0</v>
      </c>
      <c r="AC76" s="51">
        <f>IF(AQ76="1",BI76,0)</f>
        <v>0</v>
      </c>
      <c r="AD76" s="51">
        <f>IF(AQ76="7",BH76,0)</f>
        <v>0</v>
      </c>
      <c r="AE76" s="51">
        <f>IF(AQ76="7",BI76,0)</f>
        <v>0</v>
      </c>
      <c r="AF76" s="51">
        <f>IF(AQ76="2",BH76,0)</f>
        <v>0</v>
      </c>
      <c r="AG76" s="51">
        <f>IF(AQ76="2",BI76,0)</f>
        <v>0</v>
      </c>
      <c r="AH76" s="51">
        <f>IF(AQ76="0",BJ76,0)</f>
        <v>0</v>
      </c>
      <c r="AI76" s="15" t="s">
        <v>172</v>
      </c>
      <c r="AJ76" s="51">
        <f>IF(AN76=0,L76,0)</f>
        <v>0</v>
      </c>
      <c r="AK76" s="51">
        <f>IF(AN76=15,L76,0)</f>
        <v>0</v>
      </c>
      <c r="AL76" s="51">
        <f>IF(AN76=21,L76,0)</f>
        <v>0</v>
      </c>
      <c r="AN76" s="51">
        <v>21</v>
      </c>
      <c r="AO76" s="51">
        <f>I76*1</f>
        <v>0</v>
      </c>
      <c r="AP76" s="51">
        <f>I76*(1-1)</f>
        <v>0</v>
      </c>
      <c r="AQ76" s="63" t="s">
        <v>328</v>
      </c>
      <c r="AV76" s="51">
        <f>AW76+AX76</f>
        <v>0</v>
      </c>
      <c r="AW76" s="51">
        <f>H76*AO76</f>
        <v>0</v>
      </c>
      <c r="AX76" s="51">
        <f>H76*AP76</f>
        <v>0</v>
      </c>
      <c r="AY76" s="63" t="s">
        <v>323</v>
      </c>
      <c r="AZ76" s="63" t="s">
        <v>345</v>
      </c>
      <c r="BA76" s="15" t="s">
        <v>56</v>
      </c>
      <c r="BC76" s="51">
        <f>AW76+AX76</f>
        <v>0</v>
      </c>
      <c r="BD76" s="51">
        <f>I76/(100-BE76)*100</f>
        <v>0</v>
      </c>
      <c r="BE76" s="51">
        <v>0</v>
      </c>
      <c r="BF76" s="51">
        <f>76</f>
        <v>76</v>
      </c>
      <c r="BH76" s="51">
        <f>H76*AO76</f>
        <v>0</v>
      </c>
      <c r="BI76" s="51">
        <f>H76*AP76</f>
        <v>0</v>
      </c>
      <c r="BJ76" s="51">
        <f>H76*I76</f>
        <v>0</v>
      </c>
      <c r="BK76" s="51"/>
      <c r="BL76" s="51">
        <v>59</v>
      </c>
    </row>
    <row r="77" spans="1:64" ht="15" customHeight="1">
      <c r="A77" s="67" t="s">
        <v>181</v>
      </c>
      <c r="B77" s="1" t="s">
        <v>214</v>
      </c>
      <c r="C77" s="99" t="s">
        <v>6</v>
      </c>
      <c r="D77" s="79"/>
      <c r="E77" s="79"/>
      <c r="F77" s="99"/>
      <c r="G77" s="1" t="s">
        <v>320</v>
      </c>
      <c r="H77" s="42">
        <v>3</v>
      </c>
      <c r="I77" s="42">
        <v>0</v>
      </c>
      <c r="J77" s="42">
        <f>H77*AO77</f>
        <v>0</v>
      </c>
      <c r="K77" s="42">
        <f>H77*AP77</f>
        <v>0</v>
      </c>
      <c r="L77" s="42">
        <f>H77*I77</f>
        <v>0</v>
      </c>
      <c r="M77" s="71" t="s">
        <v>218</v>
      </c>
      <c r="Z77" s="51">
        <f>IF(AQ77="5",BJ77,0)</f>
        <v>0</v>
      </c>
      <c r="AB77" s="51">
        <f>IF(AQ77="1",BH77,0)</f>
        <v>0</v>
      </c>
      <c r="AC77" s="51">
        <f>IF(AQ77="1",BI77,0)</f>
        <v>0</v>
      </c>
      <c r="AD77" s="51">
        <f>IF(AQ77="7",BH77,0)</f>
        <v>0</v>
      </c>
      <c r="AE77" s="51">
        <f>IF(AQ77="7",BI77,0)</f>
        <v>0</v>
      </c>
      <c r="AF77" s="51">
        <f>IF(AQ77="2",BH77,0)</f>
        <v>0</v>
      </c>
      <c r="AG77" s="51">
        <f>IF(AQ77="2",BI77,0)</f>
        <v>0</v>
      </c>
      <c r="AH77" s="51">
        <f>IF(AQ77="0",BJ77,0)</f>
        <v>0</v>
      </c>
      <c r="AI77" s="15" t="s">
        <v>172</v>
      </c>
      <c r="AJ77" s="51">
        <f>IF(AN77=0,L77,0)</f>
        <v>0</v>
      </c>
      <c r="AK77" s="51">
        <f>IF(AN77=15,L77,0)</f>
        <v>0</v>
      </c>
      <c r="AL77" s="51">
        <f>IF(AN77=21,L77,0)</f>
        <v>0</v>
      </c>
      <c r="AN77" s="51">
        <v>21</v>
      </c>
      <c r="AO77" s="51">
        <f>I77*0.694053993361357</f>
        <v>0</v>
      </c>
      <c r="AP77" s="51">
        <f>I77*(1-0.694053993361357)</f>
        <v>0</v>
      </c>
      <c r="AQ77" s="63" t="s">
        <v>328</v>
      </c>
      <c r="AV77" s="51">
        <f>AW77+AX77</f>
        <v>0</v>
      </c>
      <c r="AW77" s="51">
        <f>H77*AO77</f>
        <v>0</v>
      </c>
      <c r="AX77" s="51">
        <f>H77*AP77</f>
        <v>0</v>
      </c>
      <c r="AY77" s="63" t="s">
        <v>323</v>
      </c>
      <c r="AZ77" s="63" t="s">
        <v>345</v>
      </c>
      <c r="BA77" s="15" t="s">
        <v>56</v>
      </c>
      <c r="BC77" s="51">
        <f>AW77+AX77</f>
        <v>0</v>
      </c>
      <c r="BD77" s="51">
        <f>I77/(100-BE77)*100</f>
        <v>0</v>
      </c>
      <c r="BE77" s="51">
        <v>0</v>
      </c>
      <c r="BF77" s="51">
        <f>77</f>
        <v>77</v>
      </c>
      <c r="BH77" s="51">
        <f>H77*AO77</f>
        <v>0</v>
      </c>
      <c r="BI77" s="51">
        <f>H77*AP77</f>
        <v>0</v>
      </c>
      <c r="BJ77" s="51">
        <f>H77*I77</f>
        <v>0</v>
      </c>
      <c r="BK77" s="51"/>
      <c r="BL77" s="51">
        <v>59</v>
      </c>
    </row>
    <row r="78" spans="1:64" ht="13.5" customHeight="1">
      <c r="A78" s="26"/>
      <c r="B78" s="21" t="s">
        <v>159</v>
      </c>
      <c r="C78" s="96" t="s">
        <v>237</v>
      </c>
      <c r="D78" s="97"/>
      <c r="E78" s="97"/>
      <c r="F78" s="97"/>
      <c r="G78" s="97"/>
      <c r="H78" s="97"/>
      <c r="I78" s="97"/>
      <c r="J78" s="97"/>
      <c r="K78" s="97"/>
      <c r="L78" s="97"/>
      <c r="M78" s="98"/>
    </row>
    <row r="79" spans="1:64" ht="15" customHeight="1">
      <c r="A79" s="29" t="s">
        <v>279</v>
      </c>
      <c r="B79" s="2" t="s">
        <v>126</v>
      </c>
      <c r="C79" s="79" t="s">
        <v>98</v>
      </c>
      <c r="D79" s="79"/>
      <c r="E79" s="79"/>
      <c r="F79" s="79"/>
      <c r="G79" s="2" t="s">
        <v>270</v>
      </c>
      <c r="H79" s="51">
        <v>110</v>
      </c>
      <c r="I79" s="51">
        <v>0</v>
      </c>
      <c r="J79" s="51">
        <f>H79*AO79</f>
        <v>0</v>
      </c>
      <c r="K79" s="51">
        <f>H79*AP79</f>
        <v>0</v>
      </c>
      <c r="L79" s="51">
        <f>H79*I79</f>
        <v>0</v>
      </c>
      <c r="M79" s="44" t="s">
        <v>218</v>
      </c>
      <c r="Z79" s="51">
        <f>IF(AQ79="5",BJ79,0)</f>
        <v>0</v>
      </c>
      <c r="AB79" s="51">
        <f>IF(AQ79="1",BH79,0)</f>
        <v>0</v>
      </c>
      <c r="AC79" s="51">
        <f>IF(AQ79="1",BI79,0)</f>
        <v>0</v>
      </c>
      <c r="AD79" s="51">
        <f>IF(AQ79="7",BH79,0)</f>
        <v>0</v>
      </c>
      <c r="AE79" s="51">
        <f>IF(AQ79="7",BI79,0)</f>
        <v>0</v>
      </c>
      <c r="AF79" s="51">
        <f>IF(AQ79="2",BH79,0)</f>
        <v>0</v>
      </c>
      <c r="AG79" s="51">
        <f>IF(AQ79="2",BI79,0)</f>
        <v>0</v>
      </c>
      <c r="AH79" s="51">
        <f>IF(AQ79="0",BJ79,0)</f>
        <v>0</v>
      </c>
      <c r="AI79" s="15" t="s">
        <v>172</v>
      </c>
      <c r="AJ79" s="51">
        <f>IF(AN79=0,L79,0)</f>
        <v>0</v>
      </c>
      <c r="AK79" s="51">
        <f>IF(AN79=15,L79,0)</f>
        <v>0</v>
      </c>
      <c r="AL79" s="51">
        <f>IF(AN79=21,L79,0)</f>
        <v>0</v>
      </c>
      <c r="AN79" s="51">
        <v>21</v>
      </c>
      <c r="AO79" s="51">
        <f>I79*0.0631475086334485</f>
        <v>0</v>
      </c>
      <c r="AP79" s="51">
        <f>I79*(1-0.0631475086334485)</f>
        <v>0</v>
      </c>
      <c r="AQ79" s="63" t="s">
        <v>328</v>
      </c>
      <c r="AV79" s="51">
        <f>AW79+AX79</f>
        <v>0</v>
      </c>
      <c r="AW79" s="51">
        <f>H79*AO79</f>
        <v>0</v>
      </c>
      <c r="AX79" s="51">
        <f>H79*AP79</f>
        <v>0</v>
      </c>
      <c r="AY79" s="63" t="s">
        <v>323</v>
      </c>
      <c r="AZ79" s="63" t="s">
        <v>345</v>
      </c>
      <c r="BA79" s="15" t="s">
        <v>56</v>
      </c>
      <c r="BC79" s="51">
        <f>AW79+AX79</f>
        <v>0</v>
      </c>
      <c r="BD79" s="51">
        <f>I79/(100-BE79)*100</f>
        <v>0</v>
      </c>
      <c r="BE79" s="51">
        <v>0</v>
      </c>
      <c r="BF79" s="51">
        <f>79</f>
        <v>79</v>
      </c>
      <c r="BH79" s="51">
        <f>H79*AO79</f>
        <v>0</v>
      </c>
      <c r="BI79" s="51">
        <f>H79*AP79</f>
        <v>0</v>
      </c>
      <c r="BJ79" s="51">
        <f>H79*I79</f>
        <v>0</v>
      </c>
      <c r="BK79" s="51"/>
      <c r="BL79" s="51">
        <v>59</v>
      </c>
    </row>
    <row r="80" spans="1:64" ht="15" customHeight="1">
      <c r="A80" s="29" t="s">
        <v>64</v>
      </c>
      <c r="B80" s="2" t="s">
        <v>274</v>
      </c>
      <c r="C80" s="79" t="s">
        <v>145</v>
      </c>
      <c r="D80" s="79"/>
      <c r="E80" s="79"/>
      <c r="F80" s="79"/>
      <c r="G80" s="2" t="s">
        <v>270</v>
      </c>
      <c r="H80" s="51">
        <v>154</v>
      </c>
      <c r="I80" s="51">
        <v>0</v>
      </c>
      <c r="J80" s="51">
        <f>H80*AO80</f>
        <v>0</v>
      </c>
      <c r="K80" s="51">
        <f>H80*AP80</f>
        <v>0</v>
      </c>
      <c r="L80" s="51">
        <f>H80*I80</f>
        <v>0</v>
      </c>
      <c r="M80" s="44" t="s">
        <v>218</v>
      </c>
      <c r="Z80" s="51">
        <f>IF(AQ80="5",BJ80,0)</f>
        <v>0</v>
      </c>
      <c r="AB80" s="51">
        <f>IF(AQ80="1",BH80,0)</f>
        <v>0</v>
      </c>
      <c r="AC80" s="51">
        <f>IF(AQ80="1",BI80,0)</f>
        <v>0</v>
      </c>
      <c r="AD80" s="51">
        <f>IF(AQ80="7",BH80,0)</f>
        <v>0</v>
      </c>
      <c r="AE80" s="51">
        <f>IF(AQ80="7",BI80,0)</f>
        <v>0</v>
      </c>
      <c r="AF80" s="51">
        <f>IF(AQ80="2",BH80,0)</f>
        <v>0</v>
      </c>
      <c r="AG80" s="51">
        <f>IF(AQ80="2",BI80,0)</f>
        <v>0</v>
      </c>
      <c r="AH80" s="51">
        <f>IF(AQ80="0",BJ80,0)</f>
        <v>0</v>
      </c>
      <c r="AI80" s="15" t="s">
        <v>172</v>
      </c>
      <c r="AJ80" s="51">
        <f>IF(AN80=0,L80,0)</f>
        <v>0</v>
      </c>
      <c r="AK80" s="51">
        <f>IF(AN80=15,L80,0)</f>
        <v>0</v>
      </c>
      <c r="AL80" s="51">
        <f>IF(AN80=21,L80,0)</f>
        <v>0</v>
      </c>
      <c r="AN80" s="51">
        <v>21</v>
      </c>
      <c r="AO80" s="51">
        <f>I80*0.0653933311751376</f>
        <v>0</v>
      </c>
      <c r="AP80" s="51">
        <f>I80*(1-0.0653933311751376)</f>
        <v>0</v>
      </c>
      <c r="AQ80" s="63" t="s">
        <v>328</v>
      </c>
      <c r="AV80" s="51">
        <f>AW80+AX80</f>
        <v>0</v>
      </c>
      <c r="AW80" s="51">
        <f>H80*AO80</f>
        <v>0</v>
      </c>
      <c r="AX80" s="51">
        <f>H80*AP80</f>
        <v>0</v>
      </c>
      <c r="AY80" s="63" t="s">
        <v>323</v>
      </c>
      <c r="AZ80" s="63" t="s">
        <v>345</v>
      </c>
      <c r="BA80" s="15" t="s">
        <v>56</v>
      </c>
      <c r="BC80" s="51">
        <f>AW80+AX80</f>
        <v>0</v>
      </c>
      <c r="BD80" s="51">
        <f>I80/(100-BE80)*100</f>
        <v>0</v>
      </c>
      <c r="BE80" s="51">
        <v>0</v>
      </c>
      <c r="BF80" s="51">
        <f>80</f>
        <v>80</v>
      </c>
      <c r="BH80" s="51">
        <f>H80*AO80</f>
        <v>0</v>
      </c>
      <c r="BI80" s="51">
        <f>H80*AP80</f>
        <v>0</v>
      </c>
      <c r="BJ80" s="51">
        <f>H80*I80</f>
        <v>0</v>
      </c>
      <c r="BK80" s="51"/>
      <c r="BL80" s="51">
        <v>59</v>
      </c>
    </row>
    <row r="81" spans="1:64" ht="15" customHeight="1">
      <c r="A81" s="54" t="s">
        <v>224</v>
      </c>
      <c r="B81" s="53" t="s">
        <v>338</v>
      </c>
      <c r="C81" s="100" t="s">
        <v>232</v>
      </c>
      <c r="D81" s="95"/>
      <c r="E81" s="95"/>
      <c r="F81" s="100"/>
      <c r="G81" s="17" t="s">
        <v>298</v>
      </c>
      <c r="H81" s="17" t="s">
        <v>298</v>
      </c>
      <c r="I81" s="17" t="s">
        <v>298</v>
      </c>
      <c r="J81" s="58">
        <f>SUM(J82:J91)</f>
        <v>0</v>
      </c>
      <c r="K81" s="58">
        <f>SUM(K82:K91)</f>
        <v>0</v>
      </c>
      <c r="L81" s="58">
        <f>SUM(L82:L91)</f>
        <v>0</v>
      </c>
      <c r="M81" s="25" t="s">
        <v>224</v>
      </c>
      <c r="AI81" s="15" t="s">
        <v>172</v>
      </c>
      <c r="AS81" s="19">
        <f>SUM(AJ82:AJ91)</f>
        <v>0</v>
      </c>
      <c r="AT81" s="19">
        <f>SUM(AK82:AK91)</f>
        <v>0</v>
      </c>
      <c r="AU81" s="19">
        <f>SUM(AL82:AL91)</f>
        <v>0</v>
      </c>
    </row>
    <row r="82" spans="1:64" ht="15" customHeight="1">
      <c r="A82" s="67" t="s">
        <v>364</v>
      </c>
      <c r="B82" s="1" t="s">
        <v>74</v>
      </c>
      <c r="C82" s="99" t="s">
        <v>302</v>
      </c>
      <c r="D82" s="79"/>
      <c r="E82" s="79"/>
      <c r="F82" s="99"/>
      <c r="G82" s="1" t="s">
        <v>270</v>
      </c>
      <c r="H82" s="42">
        <v>95</v>
      </c>
      <c r="I82" s="42">
        <v>0</v>
      </c>
      <c r="J82" s="42">
        <f>H82*AO82</f>
        <v>0</v>
      </c>
      <c r="K82" s="42">
        <f>H82*AP82</f>
        <v>0</v>
      </c>
      <c r="L82" s="42">
        <f>H82*I82</f>
        <v>0</v>
      </c>
      <c r="M82" s="71" t="s">
        <v>277</v>
      </c>
      <c r="Z82" s="51">
        <f>IF(AQ82="5",BJ82,0)</f>
        <v>0</v>
      </c>
      <c r="AB82" s="51">
        <f>IF(AQ82="1",BH82,0)</f>
        <v>0</v>
      </c>
      <c r="AC82" s="51">
        <f>IF(AQ82="1",BI82,0)</f>
        <v>0</v>
      </c>
      <c r="AD82" s="51">
        <f>IF(AQ82="7",BH82,0)</f>
        <v>0</v>
      </c>
      <c r="AE82" s="51">
        <f>IF(AQ82="7",BI82,0)</f>
        <v>0</v>
      </c>
      <c r="AF82" s="51">
        <f>IF(AQ82="2",BH82,0)</f>
        <v>0</v>
      </c>
      <c r="AG82" s="51">
        <f>IF(AQ82="2",BI82,0)</f>
        <v>0</v>
      </c>
      <c r="AH82" s="51">
        <f>IF(AQ82="0",BJ82,0)</f>
        <v>0</v>
      </c>
      <c r="AI82" s="15" t="s">
        <v>172</v>
      </c>
      <c r="AJ82" s="51">
        <f>IF(AN82=0,L82,0)</f>
        <v>0</v>
      </c>
      <c r="AK82" s="51">
        <f>IF(AN82=15,L82,0)</f>
        <v>0</v>
      </c>
      <c r="AL82" s="51">
        <f>IF(AN82=21,L82,0)</f>
        <v>0</v>
      </c>
      <c r="AN82" s="51">
        <v>21</v>
      </c>
      <c r="AO82" s="51">
        <f>I82*0.472149660361712</f>
        <v>0</v>
      </c>
      <c r="AP82" s="51">
        <f>I82*(1-0.472149660361712)</f>
        <v>0</v>
      </c>
      <c r="AQ82" s="63" t="s">
        <v>328</v>
      </c>
      <c r="AV82" s="51">
        <f>AW82+AX82</f>
        <v>0</v>
      </c>
      <c r="AW82" s="51">
        <f>H82*AO82</f>
        <v>0</v>
      </c>
      <c r="AX82" s="51">
        <f>H82*AP82</f>
        <v>0</v>
      </c>
      <c r="AY82" s="63" t="s">
        <v>192</v>
      </c>
      <c r="AZ82" s="63" t="s">
        <v>367</v>
      </c>
      <c r="BA82" s="15" t="s">
        <v>56</v>
      </c>
      <c r="BC82" s="51">
        <f>AW82+AX82</f>
        <v>0</v>
      </c>
      <c r="BD82" s="51">
        <f>I82/(100-BE82)*100</f>
        <v>0</v>
      </c>
      <c r="BE82" s="51">
        <v>0</v>
      </c>
      <c r="BF82" s="51">
        <f>82</f>
        <v>82</v>
      </c>
      <c r="BH82" s="51">
        <f>H82*AO82</f>
        <v>0</v>
      </c>
      <c r="BI82" s="51">
        <f>H82*AP82</f>
        <v>0</v>
      </c>
      <c r="BJ82" s="51">
        <f>H82*I82</f>
        <v>0</v>
      </c>
      <c r="BK82" s="51"/>
      <c r="BL82" s="51">
        <v>83</v>
      </c>
    </row>
    <row r="83" spans="1:64" ht="13.5" customHeight="1">
      <c r="A83" s="26"/>
      <c r="B83" s="21" t="s">
        <v>159</v>
      </c>
      <c r="C83" s="96" t="s">
        <v>318</v>
      </c>
      <c r="D83" s="97"/>
      <c r="E83" s="97"/>
      <c r="F83" s="97"/>
      <c r="G83" s="97"/>
      <c r="H83" s="97"/>
      <c r="I83" s="97"/>
      <c r="J83" s="97"/>
      <c r="K83" s="97"/>
      <c r="L83" s="97"/>
      <c r="M83" s="98"/>
    </row>
    <row r="84" spans="1:64" ht="81" customHeight="1">
      <c r="A84" s="26"/>
      <c r="B84" s="21" t="s">
        <v>113</v>
      </c>
      <c r="C84" s="96" t="s">
        <v>343</v>
      </c>
      <c r="D84" s="97"/>
      <c r="E84" s="97"/>
      <c r="F84" s="97"/>
      <c r="G84" s="97"/>
      <c r="H84" s="97"/>
      <c r="I84" s="97"/>
      <c r="J84" s="97"/>
      <c r="K84" s="97"/>
      <c r="L84" s="97"/>
      <c r="M84" s="98"/>
    </row>
    <row r="85" spans="1:64" ht="15" customHeight="1">
      <c r="A85" s="35" t="s">
        <v>287</v>
      </c>
      <c r="B85" s="4" t="s">
        <v>182</v>
      </c>
      <c r="C85" s="99" t="s">
        <v>167</v>
      </c>
      <c r="D85" s="79"/>
      <c r="E85" s="79"/>
      <c r="F85" s="99"/>
      <c r="G85" s="4" t="s">
        <v>270</v>
      </c>
      <c r="H85" s="41">
        <v>8</v>
      </c>
      <c r="I85" s="41">
        <v>0</v>
      </c>
      <c r="J85" s="41">
        <f>H85*AO85</f>
        <v>0</v>
      </c>
      <c r="K85" s="41">
        <f>H85*AP85</f>
        <v>0</v>
      </c>
      <c r="L85" s="41">
        <f>H85*I85</f>
        <v>0</v>
      </c>
      <c r="M85" s="32" t="s">
        <v>218</v>
      </c>
      <c r="Z85" s="51">
        <f>IF(AQ85="5",BJ85,0)</f>
        <v>0</v>
      </c>
      <c r="AB85" s="51">
        <f>IF(AQ85="1",BH85,0)</f>
        <v>0</v>
      </c>
      <c r="AC85" s="51">
        <f>IF(AQ85="1",BI85,0)</f>
        <v>0</v>
      </c>
      <c r="AD85" s="51">
        <f>IF(AQ85="7",BH85,0)</f>
        <v>0</v>
      </c>
      <c r="AE85" s="51">
        <f>IF(AQ85="7",BI85,0)</f>
        <v>0</v>
      </c>
      <c r="AF85" s="51">
        <f>IF(AQ85="2",BH85,0)</f>
        <v>0</v>
      </c>
      <c r="AG85" s="51">
        <f>IF(AQ85="2",BI85,0)</f>
        <v>0</v>
      </c>
      <c r="AH85" s="51">
        <f>IF(AQ85="0",BJ85,0)</f>
        <v>0</v>
      </c>
      <c r="AI85" s="15" t="s">
        <v>172</v>
      </c>
      <c r="AJ85" s="51">
        <f>IF(AN85=0,L85,0)</f>
        <v>0</v>
      </c>
      <c r="AK85" s="51">
        <f>IF(AN85=15,L85,0)</f>
        <v>0</v>
      </c>
      <c r="AL85" s="51">
        <f>IF(AN85=21,L85,0)</f>
        <v>0</v>
      </c>
      <c r="AN85" s="51">
        <v>21</v>
      </c>
      <c r="AO85" s="51">
        <f>I85*0.342292307497563</f>
        <v>0</v>
      </c>
      <c r="AP85" s="51">
        <f>I85*(1-0.342292307497563)</f>
        <v>0</v>
      </c>
      <c r="AQ85" s="63" t="s">
        <v>328</v>
      </c>
      <c r="AV85" s="51">
        <f>AW85+AX85</f>
        <v>0</v>
      </c>
      <c r="AW85" s="51">
        <f>H85*AO85</f>
        <v>0</v>
      </c>
      <c r="AX85" s="51">
        <f>H85*AP85</f>
        <v>0</v>
      </c>
      <c r="AY85" s="63" t="s">
        <v>192</v>
      </c>
      <c r="AZ85" s="63" t="s">
        <v>367</v>
      </c>
      <c r="BA85" s="15" t="s">
        <v>56</v>
      </c>
      <c r="BC85" s="51">
        <f>AW85+AX85</f>
        <v>0</v>
      </c>
      <c r="BD85" s="51">
        <f>I85/(100-BE85)*100</f>
        <v>0</v>
      </c>
      <c r="BE85" s="51">
        <v>0</v>
      </c>
      <c r="BF85" s="51">
        <f>85</f>
        <v>85</v>
      </c>
      <c r="BH85" s="51">
        <f>H85*AO85</f>
        <v>0</v>
      </c>
      <c r="BI85" s="51">
        <f>H85*AP85</f>
        <v>0</v>
      </c>
      <c r="BJ85" s="51">
        <f>H85*I85</f>
        <v>0</v>
      </c>
      <c r="BK85" s="51"/>
      <c r="BL85" s="51">
        <v>83</v>
      </c>
    </row>
    <row r="86" spans="1:64" ht="13.5" customHeight="1">
      <c r="A86" s="26"/>
      <c r="B86" s="21" t="s">
        <v>159</v>
      </c>
      <c r="C86" s="96" t="s">
        <v>245</v>
      </c>
      <c r="D86" s="97"/>
      <c r="E86" s="97"/>
      <c r="F86" s="97"/>
      <c r="G86" s="97"/>
      <c r="H86" s="97"/>
      <c r="I86" s="97"/>
      <c r="J86" s="97"/>
      <c r="K86" s="97"/>
      <c r="L86" s="97"/>
      <c r="M86" s="98"/>
    </row>
    <row r="87" spans="1:64" ht="54" customHeight="1">
      <c r="A87" s="26"/>
      <c r="B87" s="21" t="s">
        <v>113</v>
      </c>
      <c r="C87" s="96" t="s">
        <v>331</v>
      </c>
      <c r="D87" s="97"/>
      <c r="E87" s="97"/>
      <c r="F87" s="97"/>
      <c r="G87" s="97"/>
      <c r="H87" s="97"/>
      <c r="I87" s="97"/>
      <c r="J87" s="97"/>
      <c r="K87" s="97"/>
      <c r="L87" s="97"/>
      <c r="M87" s="98"/>
    </row>
    <row r="88" spans="1:64" ht="15" customHeight="1">
      <c r="A88" s="29" t="s">
        <v>178</v>
      </c>
      <c r="B88" s="2" t="s">
        <v>315</v>
      </c>
      <c r="C88" s="79" t="s">
        <v>226</v>
      </c>
      <c r="D88" s="79"/>
      <c r="E88" s="79"/>
      <c r="F88" s="79"/>
      <c r="G88" s="2" t="s">
        <v>270</v>
      </c>
      <c r="H88" s="51">
        <v>43.5</v>
      </c>
      <c r="I88" s="51">
        <v>0</v>
      </c>
      <c r="J88" s="51">
        <f>H88*AO88</f>
        <v>0</v>
      </c>
      <c r="K88" s="51">
        <f>H88*AP88</f>
        <v>0</v>
      </c>
      <c r="L88" s="51">
        <f>H88*I88</f>
        <v>0</v>
      </c>
      <c r="M88" s="44" t="s">
        <v>218</v>
      </c>
      <c r="Z88" s="51">
        <f>IF(AQ88="5",BJ88,0)</f>
        <v>0</v>
      </c>
      <c r="AB88" s="51">
        <f>IF(AQ88="1",BH88,0)</f>
        <v>0</v>
      </c>
      <c r="AC88" s="51">
        <f>IF(AQ88="1",BI88,0)</f>
        <v>0</v>
      </c>
      <c r="AD88" s="51">
        <f>IF(AQ88="7",BH88,0)</f>
        <v>0</v>
      </c>
      <c r="AE88" s="51">
        <f>IF(AQ88="7",BI88,0)</f>
        <v>0</v>
      </c>
      <c r="AF88" s="51">
        <f>IF(AQ88="2",BH88,0)</f>
        <v>0</v>
      </c>
      <c r="AG88" s="51">
        <f>IF(AQ88="2",BI88,0)</f>
        <v>0</v>
      </c>
      <c r="AH88" s="51">
        <f>IF(AQ88="0",BJ88,0)</f>
        <v>0</v>
      </c>
      <c r="AI88" s="15" t="s">
        <v>172</v>
      </c>
      <c r="AJ88" s="51">
        <f>IF(AN88=0,L88,0)</f>
        <v>0</v>
      </c>
      <c r="AK88" s="51">
        <f>IF(AN88=15,L88,0)</f>
        <v>0</v>
      </c>
      <c r="AL88" s="51">
        <f>IF(AN88=21,L88,0)</f>
        <v>0</v>
      </c>
      <c r="AN88" s="51">
        <v>21</v>
      </c>
      <c r="AO88" s="51">
        <f>I88*0.370359772945352</f>
        <v>0</v>
      </c>
      <c r="AP88" s="51">
        <f>I88*(1-0.370359772945352)</f>
        <v>0</v>
      </c>
      <c r="AQ88" s="63" t="s">
        <v>328</v>
      </c>
      <c r="AV88" s="51">
        <f>AW88+AX88</f>
        <v>0</v>
      </c>
      <c r="AW88" s="51">
        <f>H88*AO88</f>
        <v>0</v>
      </c>
      <c r="AX88" s="51">
        <f>H88*AP88</f>
        <v>0</v>
      </c>
      <c r="AY88" s="63" t="s">
        <v>192</v>
      </c>
      <c r="AZ88" s="63" t="s">
        <v>367</v>
      </c>
      <c r="BA88" s="15" t="s">
        <v>56</v>
      </c>
      <c r="BC88" s="51">
        <f>AW88+AX88</f>
        <v>0</v>
      </c>
      <c r="BD88" s="51">
        <f>I88/(100-BE88)*100</f>
        <v>0</v>
      </c>
      <c r="BE88" s="51">
        <v>0</v>
      </c>
      <c r="BF88" s="51">
        <f>88</f>
        <v>88</v>
      </c>
      <c r="BH88" s="51">
        <f>H88*AO88</f>
        <v>0</v>
      </c>
      <c r="BI88" s="51">
        <f>H88*AP88</f>
        <v>0</v>
      </c>
      <c r="BJ88" s="51">
        <f>H88*I88</f>
        <v>0</v>
      </c>
      <c r="BK88" s="51"/>
      <c r="BL88" s="51">
        <v>83</v>
      </c>
    </row>
    <row r="89" spans="1:64" ht="13.5" customHeight="1">
      <c r="A89" s="26"/>
      <c r="B89" s="21" t="s">
        <v>159</v>
      </c>
      <c r="C89" s="96" t="s">
        <v>318</v>
      </c>
      <c r="D89" s="97"/>
      <c r="E89" s="97"/>
      <c r="F89" s="97"/>
      <c r="G89" s="97"/>
      <c r="H89" s="97"/>
      <c r="I89" s="97"/>
      <c r="J89" s="97"/>
      <c r="K89" s="97"/>
      <c r="L89" s="97"/>
      <c r="M89" s="98"/>
    </row>
    <row r="90" spans="1:64" ht="81" customHeight="1">
      <c r="A90" s="26"/>
      <c r="B90" s="21" t="s">
        <v>113</v>
      </c>
      <c r="C90" s="96" t="s">
        <v>170</v>
      </c>
      <c r="D90" s="97"/>
      <c r="E90" s="97"/>
      <c r="F90" s="97"/>
      <c r="G90" s="97"/>
      <c r="H90" s="97"/>
      <c r="I90" s="97"/>
      <c r="J90" s="97"/>
      <c r="K90" s="97"/>
      <c r="L90" s="97"/>
      <c r="M90" s="98"/>
    </row>
    <row r="91" spans="1:64" ht="15" customHeight="1">
      <c r="A91" s="29" t="s">
        <v>319</v>
      </c>
      <c r="B91" s="2" t="s">
        <v>285</v>
      </c>
      <c r="C91" s="79" t="s">
        <v>215</v>
      </c>
      <c r="D91" s="79"/>
      <c r="E91" s="79"/>
      <c r="F91" s="79"/>
      <c r="G91" s="2" t="s">
        <v>137</v>
      </c>
      <c r="H91" s="51">
        <v>182.59616</v>
      </c>
      <c r="I91" s="51">
        <v>0</v>
      </c>
      <c r="J91" s="51">
        <f>H91*AO91</f>
        <v>0</v>
      </c>
      <c r="K91" s="51">
        <f>H91*AP91</f>
        <v>0</v>
      </c>
      <c r="L91" s="51">
        <f>H91*I91</f>
        <v>0</v>
      </c>
      <c r="M91" s="44" t="s">
        <v>218</v>
      </c>
      <c r="Z91" s="51">
        <f>IF(AQ91="5",BJ91,0)</f>
        <v>0</v>
      </c>
      <c r="AB91" s="51">
        <f>IF(AQ91="1",BH91,0)</f>
        <v>0</v>
      </c>
      <c r="AC91" s="51">
        <f>IF(AQ91="1",BI91,0)</f>
        <v>0</v>
      </c>
      <c r="AD91" s="51">
        <f>IF(AQ91="7",BH91,0)</f>
        <v>0</v>
      </c>
      <c r="AE91" s="51">
        <f>IF(AQ91="7",BI91,0)</f>
        <v>0</v>
      </c>
      <c r="AF91" s="51">
        <f>IF(AQ91="2",BH91,0)</f>
        <v>0</v>
      </c>
      <c r="AG91" s="51">
        <f>IF(AQ91="2",BI91,0)</f>
        <v>0</v>
      </c>
      <c r="AH91" s="51">
        <f>IF(AQ91="0",BJ91,0)</f>
        <v>0</v>
      </c>
      <c r="AI91" s="15" t="s">
        <v>172</v>
      </c>
      <c r="AJ91" s="51">
        <f>IF(AN91=0,L91,0)</f>
        <v>0</v>
      </c>
      <c r="AK91" s="51">
        <f>IF(AN91=15,L91,0)</f>
        <v>0</v>
      </c>
      <c r="AL91" s="51">
        <f>IF(AN91=21,L91,0)</f>
        <v>0</v>
      </c>
      <c r="AN91" s="51">
        <v>21</v>
      </c>
      <c r="AO91" s="51">
        <f>I91*0</f>
        <v>0</v>
      </c>
      <c r="AP91" s="51">
        <f>I91*(1-0)</f>
        <v>0</v>
      </c>
      <c r="AQ91" s="63" t="s">
        <v>164</v>
      </c>
      <c r="AV91" s="51">
        <f>AW91+AX91</f>
        <v>0</v>
      </c>
      <c r="AW91" s="51">
        <f>H91*AO91</f>
        <v>0</v>
      </c>
      <c r="AX91" s="51">
        <f>H91*AP91</f>
        <v>0</v>
      </c>
      <c r="AY91" s="63" t="s">
        <v>192</v>
      </c>
      <c r="AZ91" s="63" t="s">
        <v>367</v>
      </c>
      <c r="BA91" s="15" t="s">
        <v>56</v>
      </c>
      <c r="BC91" s="51">
        <f>AW91+AX91</f>
        <v>0</v>
      </c>
      <c r="BD91" s="51">
        <f>I91/(100-BE91)*100</f>
        <v>0</v>
      </c>
      <c r="BE91" s="51">
        <v>0</v>
      </c>
      <c r="BF91" s="51">
        <f>91</f>
        <v>91</v>
      </c>
      <c r="BH91" s="51">
        <f>H91*AO91</f>
        <v>0</v>
      </c>
      <c r="BI91" s="51">
        <f>H91*AP91</f>
        <v>0</v>
      </c>
      <c r="BJ91" s="51">
        <f>H91*I91</f>
        <v>0</v>
      </c>
      <c r="BK91" s="51"/>
      <c r="BL91" s="51">
        <v>83</v>
      </c>
    </row>
    <row r="92" spans="1:64" ht="54" customHeight="1">
      <c r="A92" s="26"/>
      <c r="B92" s="21" t="s">
        <v>113</v>
      </c>
      <c r="C92" s="96" t="s">
        <v>165</v>
      </c>
      <c r="D92" s="97"/>
      <c r="E92" s="97"/>
      <c r="F92" s="97"/>
      <c r="G92" s="97"/>
      <c r="H92" s="97"/>
      <c r="I92" s="97"/>
      <c r="J92" s="97"/>
      <c r="K92" s="97"/>
      <c r="L92" s="97"/>
      <c r="M92" s="98"/>
    </row>
    <row r="93" spans="1:64" ht="15" customHeight="1">
      <c r="A93" s="54" t="s">
        <v>224</v>
      </c>
      <c r="B93" s="53" t="s">
        <v>354</v>
      </c>
      <c r="C93" s="100" t="s">
        <v>199</v>
      </c>
      <c r="D93" s="95"/>
      <c r="E93" s="95"/>
      <c r="F93" s="100"/>
      <c r="G93" s="17" t="s">
        <v>298</v>
      </c>
      <c r="H93" s="17" t="s">
        <v>298</v>
      </c>
      <c r="I93" s="17" t="s">
        <v>298</v>
      </c>
      <c r="J93" s="58">
        <f>SUM(J94:J97)</f>
        <v>0</v>
      </c>
      <c r="K93" s="58">
        <f>SUM(K94:K97)</f>
        <v>0</v>
      </c>
      <c r="L93" s="58">
        <f>SUM(L94:L97)</f>
        <v>0</v>
      </c>
      <c r="M93" s="25" t="s">
        <v>224</v>
      </c>
      <c r="AI93" s="15" t="s">
        <v>172</v>
      </c>
      <c r="AS93" s="19">
        <f>SUM(AJ94:AJ97)</f>
        <v>0</v>
      </c>
      <c r="AT93" s="19">
        <f>SUM(AK94:AK97)</f>
        <v>0</v>
      </c>
      <c r="AU93" s="19">
        <f>SUM(AL94:AL97)</f>
        <v>0</v>
      </c>
    </row>
    <row r="94" spans="1:64" ht="15" customHeight="1">
      <c r="A94" s="67" t="s">
        <v>184</v>
      </c>
      <c r="B94" s="1" t="s">
        <v>87</v>
      </c>
      <c r="C94" s="99" t="s">
        <v>269</v>
      </c>
      <c r="D94" s="79"/>
      <c r="E94" s="79"/>
      <c r="F94" s="99"/>
      <c r="G94" s="1" t="s">
        <v>71</v>
      </c>
      <c r="H94" s="42">
        <v>4</v>
      </c>
      <c r="I94" s="42">
        <v>0</v>
      </c>
      <c r="J94" s="42">
        <f>H94*AO94</f>
        <v>0</v>
      </c>
      <c r="K94" s="42">
        <f>H94*AP94</f>
        <v>0</v>
      </c>
      <c r="L94" s="42">
        <f>H94*I94</f>
        <v>0</v>
      </c>
      <c r="M94" s="71" t="s">
        <v>277</v>
      </c>
      <c r="Z94" s="51">
        <f>IF(AQ94="5",BJ94,0)</f>
        <v>0</v>
      </c>
      <c r="AB94" s="51">
        <f>IF(AQ94="1",BH94,0)</f>
        <v>0</v>
      </c>
      <c r="AC94" s="51">
        <f>IF(AQ94="1",BI94,0)</f>
        <v>0</v>
      </c>
      <c r="AD94" s="51">
        <f>IF(AQ94="7",BH94,0)</f>
        <v>0</v>
      </c>
      <c r="AE94" s="51">
        <f>IF(AQ94="7",BI94,0)</f>
        <v>0</v>
      </c>
      <c r="AF94" s="51">
        <f>IF(AQ94="2",BH94,0)</f>
        <v>0</v>
      </c>
      <c r="AG94" s="51">
        <f>IF(AQ94="2",BI94,0)</f>
        <v>0</v>
      </c>
      <c r="AH94" s="51">
        <f>IF(AQ94="0",BJ94,0)</f>
        <v>0</v>
      </c>
      <c r="AI94" s="15" t="s">
        <v>172</v>
      </c>
      <c r="AJ94" s="51">
        <f>IF(AN94=0,L94,0)</f>
        <v>0</v>
      </c>
      <c r="AK94" s="51">
        <f>IF(AN94=15,L94,0)</f>
        <v>0</v>
      </c>
      <c r="AL94" s="51">
        <f>IF(AN94=21,L94,0)</f>
        <v>0</v>
      </c>
      <c r="AN94" s="51">
        <v>21</v>
      </c>
      <c r="AO94" s="51">
        <f>I94*0.707405349794239</f>
        <v>0</v>
      </c>
      <c r="AP94" s="51">
        <f>I94*(1-0.707405349794239)</f>
        <v>0</v>
      </c>
      <c r="AQ94" s="63" t="s">
        <v>328</v>
      </c>
      <c r="AV94" s="51">
        <f>AW94+AX94</f>
        <v>0</v>
      </c>
      <c r="AW94" s="51">
        <f>H94*AO94</f>
        <v>0</v>
      </c>
      <c r="AX94" s="51">
        <f>H94*AP94</f>
        <v>0</v>
      </c>
      <c r="AY94" s="63" t="s">
        <v>21</v>
      </c>
      <c r="AZ94" s="63" t="s">
        <v>367</v>
      </c>
      <c r="BA94" s="15" t="s">
        <v>56</v>
      </c>
      <c r="BC94" s="51">
        <f>AW94+AX94</f>
        <v>0</v>
      </c>
      <c r="BD94" s="51">
        <f>I94/(100-BE94)*100</f>
        <v>0</v>
      </c>
      <c r="BE94" s="51">
        <v>0</v>
      </c>
      <c r="BF94" s="51">
        <f>94</f>
        <v>94</v>
      </c>
      <c r="BH94" s="51">
        <f>H94*AO94</f>
        <v>0</v>
      </c>
      <c r="BI94" s="51">
        <f>H94*AP94</f>
        <v>0</v>
      </c>
      <c r="BJ94" s="51">
        <f>H94*I94</f>
        <v>0</v>
      </c>
      <c r="BK94" s="51"/>
      <c r="BL94" s="51">
        <v>89</v>
      </c>
    </row>
    <row r="95" spans="1:64" ht="13.5" customHeight="1">
      <c r="A95" s="26"/>
      <c r="B95" s="21" t="s">
        <v>159</v>
      </c>
      <c r="C95" s="96" t="s">
        <v>366</v>
      </c>
      <c r="D95" s="97"/>
      <c r="E95" s="97"/>
      <c r="F95" s="97"/>
      <c r="G95" s="97"/>
      <c r="H95" s="97"/>
      <c r="I95" s="97"/>
      <c r="J95" s="97"/>
      <c r="K95" s="97"/>
      <c r="L95" s="97"/>
      <c r="M95" s="98"/>
    </row>
    <row r="96" spans="1:64" ht="40.5" customHeight="1">
      <c r="A96" s="26"/>
      <c r="B96" s="21" t="s">
        <v>113</v>
      </c>
      <c r="C96" s="96" t="s">
        <v>321</v>
      </c>
      <c r="D96" s="97"/>
      <c r="E96" s="97"/>
      <c r="F96" s="97"/>
      <c r="G96" s="97"/>
      <c r="H96" s="97"/>
      <c r="I96" s="97"/>
      <c r="J96" s="97"/>
      <c r="K96" s="97"/>
      <c r="L96" s="97"/>
      <c r="M96" s="98"/>
    </row>
    <row r="97" spans="1:64" ht="15" customHeight="1">
      <c r="A97" s="35" t="s">
        <v>197</v>
      </c>
      <c r="B97" s="4" t="s">
        <v>133</v>
      </c>
      <c r="C97" s="99" t="s">
        <v>357</v>
      </c>
      <c r="D97" s="79"/>
      <c r="E97" s="79"/>
      <c r="F97" s="99"/>
      <c r="G97" s="4" t="s">
        <v>71</v>
      </c>
      <c r="H97" s="41">
        <v>7</v>
      </c>
      <c r="I97" s="41">
        <v>0</v>
      </c>
      <c r="J97" s="41">
        <f>H97*AO97</f>
        <v>0</v>
      </c>
      <c r="K97" s="41">
        <f>H97*AP97</f>
        <v>0</v>
      </c>
      <c r="L97" s="41">
        <f>H97*I97</f>
        <v>0</v>
      </c>
      <c r="M97" s="32" t="s">
        <v>277</v>
      </c>
      <c r="Z97" s="51">
        <f>IF(AQ97="5",BJ97,0)</f>
        <v>0</v>
      </c>
      <c r="AB97" s="51">
        <f>IF(AQ97="1",BH97,0)</f>
        <v>0</v>
      </c>
      <c r="AC97" s="51">
        <f>IF(AQ97="1",BI97,0)</f>
        <v>0</v>
      </c>
      <c r="AD97" s="51">
        <f>IF(AQ97="7",BH97,0)</f>
        <v>0</v>
      </c>
      <c r="AE97" s="51">
        <f>IF(AQ97="7",BI97,0)</f>
        <v>0</v>
      </c>
      <c r="AF97" s="51">
        <f>IF(AQ97="2",BH97,0)</f>
        <v>0</v>
      </c>
      <c r="AG97" s="51">
        <f>IF(AQ97="2",BI97,0)</f>
        <v>0</v>
      </c>
      <c r="AH97" s="51">
        <f>IF(AQ97="0",BJ97,0)</f>
        <v>0</v>
      </c>
      <c r="AI97" s="15" t="s">
        <v>172</v>
      </c>
      <c r="AJ97" s="51">
        <f>IF(AN97=0,L97,0)</f>
        <v>0</v>
      </c>
      <c r="AK97" s="51">
        <f>IF(AN97=15,L97,0)</f>
        <v>0</v>
      </c>
      <c r="AL97" s="51">
        <f>IF(AN97=21,L97,0)</f>
        <v>0</v>
      </c>
      <c r="AN97" s="51">
        <v>21</v>
      </c>
      <c r="AO97" s="51">
        <f>I97*0.806332205625779</f>
        <v>0</v>
      </c>
      <c r="AP97" s="51">
        <f>I97*(1-0.806332205625779)</f>
        <v>0</v>
      </c>
      <c r="AQ97" s="63" t="s">
        <v>328</v>
      </c>
      <c r="AV97" s="51">
        <f>AW97+AX97</f>
        <v>0</v>
      </c>
      <c r="AW97" s="51">
        <f>H97*AO97</f>
        <v>0</v>
      </c>
      <c r="AX97" s="51">
        <f>H97*AP97</f>
        <v>0</v>
      </c>
      <c r="AY97" s="63" t="s">
        <v>21</v>
      </c>
      <c r="AZ97" s="63" t="s">
        <v>367</v>
      </c>
      <c r="BA97" s="15" t="s">
        <v>56</v>
      </c>
      <c r="BC97" s="51">
        <f>AW97+AX97</f>
        <v>0</v>
      </c>
      <c r="BD97" s="51">
        <f>I97/(100-BE97)*100</f>
        <v>0</v>
      </c>
      <c r="BE97" s="51">
        <v>0</v>
      </c>
      <c r="BF97" s="51">
        <f>97</f>
        <v>97</v>
      </c>
      <c r="BH97" s="51">
        <f>H97*AO97</f>
        <v>0</v>
      </c>
      <c r="BI97" s="51">
        <f>H97*AP97</f>
        <v>0</v>
      </c>
      <c r="BJ97" s="51">
        <f>H97*I97</f>
        <v>0</v>
      </c>
      <c r="BK97" s="51"/>
      <c r="BL97" s="51">
        <v>89</v>
      </c>
    </row>
    <row r="98" spans="1:64" ht="13.5" customHeight="1">
      <c r="A98" s="26"/>
      <c r="B98" s="21" t="s">
        <v>159</v>
      </c>
      <c r="C98" s="96" t="s">
        <v>248</v>
      </c>
      <c r="D98" s="97"/>
      <c r="E98" s="97"/>
      <c r="F98" s="97"/>
      <c r="G98" s="97"/>
      <c r="H98" s="97"/>
      <c r="I98" s="97"/>
      <c r="J98" s="97"/>
      <c r="K98" s="97"/>
      <c r="L98" s="97"/>
      <c r="M98" s="98"/>
    </row>
    <row r="99" spans="1:64" ht="27" customHeight="1">
      <c r="A99" s="26"/>
      <c r="B99" s="21" t="s">
        <v>113</v>
      </c>
      <c r="C99" s="96" t="s">
        <v>176</v>
      </c>
      <c r="D99" s="97"/>
      <c r="E99" s="97"/>
      <c r="F99" s="97"/>
      <c r="G99" s="97"/>
      <c r="H99" s="97"/>
      <c r="I99" s="97"/>
      <c r="J99" s="97"/>
      <c r="K99" s="97"/>
      <c r="L99" s="97"/>
      <c r="M99" s="98"/>
    </row>
    <row r="100" spans="1:64" ht="15" customHeight="1">
      <c r="A100" s="54" t="s">
        <v>224</v>
      </c>
      <c r="B100" s="53" t="s">
        <v>7</v>
      </c>
      <c r="C100" s="100" t="s">
        <v>111</v>
      </c>
      <c r="D100" s="95"/>
      <c r="E100" s="95"/>
      <c r="F100" s="100"/>
      <c r="G100" s="17" t="s">
        <v>298</v>
      </c>
      <c r="H100" s="17" t="s">
        <v>298</v>
      </c>
      <c r="I100" s="17" t="s">
        <v>298</v>
      </c>
      <c r="J100" s="58">
        <f>SUM(J101:J116)</f>
        <v>0</v>
      </c>
      <c r="K100" s="58">
        <f>SUM(K101:K116)</f>
        <v>0</v>
      </c>
      <c r="L100" s="58">
        <f>SUM(L101:L116)</f>
        <v>0</v>
      </c>
      <c r="M100" s="25" t="s">
        <v>224</v>
      </c>
      <c r="AI100" s="15" t="s">
        <v>172</v>
      </c>
      <c r="AS100" s="19">
        <f>SUM(AJ101:AJ116)</f>
        <v>0</v>
      </c>
      <c r="AT100" s="19">
        <f>SUM(AK101:AK116)</f>
        <v>0</v>
      </c>
      <c r="AU100" s="19">
        <f>SUM(AL101:AL116)</f>
        <v>0</v>
      </c>
    </row>
    <row r="101" spans="1:64" ht="15" customHeight="1">
      <c r="A101" s="67" t="s">
        <v>109</v>
      </c>
      <c r="B101" s="1" t="s">
        <v>40</v>
      </c>
      <c r="C101" s="99" t="s">
        <v>84</v>
      </c>
      <c r="D101" s="79"/>
      <c r="E101" s="79"/>
      <c r="F101" s="99"/>
      <c r="G101" s="1" t="s">
        <v>270</v>
      </c>
      <c r="H101" s="42">
        <v>276</v>
      </c>
      <c r="I101" s="42">
        <v>0</v>
      </c>
      <c r="J101" s="42">
        <f>H101*AO101</f>
        <v>0</v>
      </c>
      <c r="K101" s="42">
        <f>H101*AP101</f>
        <v>0</v>
      </c>
      <c r="L101" s="42">
        <f>H101*I101</f>
        <v>0</v>
      </c>
      <c r="M101" s="71" t="s">
        <v>277</v>
      </c>
      <c r="Z101" s="51">
        <f>IF(AQ101="5",BJ101,0)</f>
        <v>0</v>
      </c>
      <c r="AB101" s="51">
        <f>IF(AQ101="1",BH101,0)</f>
        <v>0</v>
      </c>
      <c r="AC101" s="51">
        <f>IF(AQ101="1",BI101,0)</f>
        <v>0</v>
      </c>
      <c r="AD101" s="51">
        <f>IF(AQ101="7",BH101,0)</f>
        <v>0</v>
      </c>
      <c r="AE101" s="51">
        <f>IF(AQ101="7",BI101,0)</f>
        <v>0</v>
      </c>
      <c r="AF101" s="51">
        <f>IF(AQ101="2",BH101,0)</f>
        <v>0</v>
      </c>
      <c r="AG101" s="51">
        <f>IF(AQ101="2",BI101,0)</f>
        <v>0</v>
      </c>
      <c r="AH101" s="51">
        <f>IF(AQ101="0",BJ101,0)</f>
        <v>0</v>
      </c>
      <c r="AI101" s="15" t="s">
        <v>172</v>
      </c>
      <c r="AJ101" s="51">
        <f>IF(AN101=0,L101,0)</f>
        <v>0</v>
      </c>
      <c r="AK101" s="51">
        <f>IF(AN101=15,L101,0)</f>
        <v>0</v>
      </c>
      <c r="AL101" s="51">
        <f>IF(AN101=21,L101,0)</f>
        <v>0</v>
      </c>
      <c r="AN101" s="51">
        <v>21</v>
      </c>
      <c r="AO101" s="51">
        <f>I101*0.779255813953488</f>
        <v>0</v>
      </c>
      <c r="AP101" s="51">
        <f>I101*(1-0.779255813953488)</f>
        <v>0</v>
      </c>
      <c r="AQ101" s="63" t="s">
        <v>328</v>
      </c>
      <c r="AV101" s="51">
        <f>AW101+AX101</f>
        <v>0</v>
      </c>
      <c r="AW101" s="51">
        <f>H101*AO101</f>
        <v>0</v>
      </c>
      <c r="AX101" s="51">
        <f>H101*AP101</f>
        <v>0</v>
      </c>
      <c r="AY101" s="63" t="s">
        <v>314</v>
      </c>
      <c r="AZ101" s="63" t="s">
        <v>185</v>
      </c>
      <c r="BA101" s="15" t="s">
        <v>56</v>
      </c>
      <c r="BC101" s="51">
        <f>AW101+AX101</f>
        <v>0</v>
      </c>
      <c r="BD101" s="51">
        <f>I101/(100-BE101)*100</f>
        <v>0</v>
      </c>
      <c r="BE101" s="51">
        <v>0</v>
      </c>
      <c r="BF101" s="51">
        <f>101</f>
        <v>101</v>
      </c>
      <c r="BH101" s="51">
        <f>H101*AO101</f>
        <v>0</v>
      </c>
      <c r="BI101" s="51">
        <f>H101*AP101</f>
        <v>0</v>
      </c>
      <c r="BJ101" s="51">
        <f>H101*I101</f>
        <v>0</v>
      </c>
      <c r="BK101" s="51"/>
      <c r="BL101" s="51">
        <v>91</v>
      </c>
    </row>
    <row r="102" spans="1:64" ht="13.5" customHeight="1">
      <c r="A102" s="26"/>
      <c r="B102" s="21" t="s">
        <v>159</v>
      </c>
      <c r="C102" s="96" t="s">
        <v>89</v>
      </c>
      <c r="D102" s="97"/>
      <c r="E102" s="97"/>
      <c r="F102" s="97"/>
      <c r="G102" s="97"/>
      <c r="H102" s="97"/>
      <c r="I102" s="97"/>
      <c r="J102" s="97"/>
      <c r="K102" s="97"/>
      <c r="L102" s="97"/>
      <c r="M102" s="98"/>
    </row>
    <row r="103" spans="1:64" ht="15" customHeight="1">
      <c r="A103" s="35" t="s">
        <v>322</v>
      </c>
      <c r="B103" s="4" t="s">
        <v>103</v>
      </c>
      <c r="C103" s="99" t="s">
        <v>2</v>
      </c>
      <c r="D103" s="79"/>
      <c r="E103" s="79"/>
      <c r="F103" s="99"/>
      <c r="G103" s="4" t="s">
        <v>270</v>
      </c>
      <c r="H103" s="41">
        <v>109.77</v>
      </c>
      <c r="I103" s="41">
        <v>0</v>
      </c>
      <c r="J103" s="41">
        <f>H103*AO103</f>
        <v>0</v>
      </c>
      <c r="K103" s="41">
        <f>H103*AP103</f>
        <v>0</v>
      </c>
      <c r="L103" s="41">
        <f>H103*I103</f>
        <v>0</v>
      </c>
      <c r="M103" s="32" t="s">
        <v>218</v>
      </c>
      <c r="Z103" s="51">
        <f>IF(AQ103="5",BJ103,0)</f>
        <v>0</v>
      </c>
      <c r="AB103" s="51">
        <f>IF(AQ103="1",BH103,0)</f>
        <v>0</v>
      </c>
      <c r="AC103" s="51">
        <f>IF(AQ103="1",BI103,0)</f>
        <v>0</v>
      </c>
      <c r="AD103" s="51">
        <f>IF(AQ103="7",BH103,0)</f>
        <v>0</v>
      </c>
      <c r="AE103" s="51">
        <f>IF(AQ103="7",BI103,0)</f>
        <v>0</v>
      </c>
      <c r="AF103" s="51">
        <f>IF(AQ103="2",BH103,0)</f>
        <v>0</v>
      </c>
      <c r="AG103" s="51">
        <f>IF(AQ103="2",BI103,0)</f>
        <v>0</v>
      </c>
      <c r="AH103" s="51">
        <f>IF(AQ103="0",BJ103,0)</f>
        <v>0</v>
      </c>
      <c r="AI103" s="15" t="s">
        <v>172</v>
      </c>
      <c r="AJ103" s="51">
        <f>IF(AN103=0,L103,0)</f>
        <v>0</v>
      </c>
      <c r="AK103" s="51">
        <f>IF(AN103=15,L103,0)</f>
        <v>0</v>
      </c>
      <c r="AL103" s="51">
        <f>IF(AN103=21,L103,0)</f>
        <v>0</v>
      </c>
      <c r="AN103" s="51">
        <v>21</v>
      </c>
      <c r="AO103" s="51">
        <f>I103*0.747001053497559</f>
        <v>0</v>
      </c>
      <c r="AP103" s="51">
        <f>I103*(1-0.747001053497559)</f>
        <v>0</v>
      </c>
      <c r="AQ103" s="63" t="s">
        <v>328</v>
      </c>
      <c r="AV103" s="51">
        <f>AW103+AX103</f>
        <v>0</v>
      </c>
      <c r="AW103" s="51">
        <f>H103*AO103</f>
        <v>0</v>
      </c>
      <c r="AX103" s="51">
        <f>H103*AP103</f>
        <v>0</v>
      </c>
      <c r="AY103" s="63" t="s">
        <v>314</v>
      </c>
      <c r="AZ103" s="63" t="s">
        <v>185</v>
      </c>
      <c r="BA103" s="15" t="s">
        <v>56</v>
      </c>
      <c r="BC103" s="51">
        <f>AW103+AX103</f>
        <v>0</v>
      </c>
      <c r="BD103" s="51">
        <f>I103/(100-BE103)*100</f>
        <v>0</v>
      </c>
      <c r="BE103" s="51">
        <v>0</v>
      </c>
      <c r="BF103" s="51">
        <f>103</f>
        <v>103</v>
      </c>
      <c r="BH103" s="51">
        <f>H103*AO103</f>
        <v>0</v>
      </c>
      <c r="BI103" s="51">
        <f>H103*AP103</f>
        <v>0</v>
      </c>
      <c r="BJ103" s="51">
        <f>H103*I103</f>
        <v>0</v>
      </c>
      <c r="BK103" s="51"/>
      <c r="BL103" s="51">
        <v>91</v>
      </c>
    </row>
    <row r="104" spans="1:64" ht="13.5" customHeight="1">
      <c r="A104" s="26"/>
      <c r="B104" s="21" t="s">
        <v>159</v>
      </c>
      <c r="C104" s="96" t="s">
        <v>264</v>
      </c>
      <c r="D104" s="97"/>
      <c r="E104" s="97"/>
      <c r="F104" s="97"/>
      <c r="G104" s="97"/>
      <c r="H104" s="97"/>
      <c r="I104" s="97"/>
      <c r="J104" s="97"/>
      <c r="K104" s="97"/>
      <c r="L104" s="97"/>
      <c r="M104" s="98"/>
    </row>
    <row r="105" spans="1:64" ht="15" customHeight="1">
      <c r="A105" s="35" t="s">
        <v>51</v>
      </c>
      <c r="B105" s="4" t="s">
        <v>135</v>
      </c>
      <c r="C105" s="99" t="s">
        <v>23</v>
      </c>
      <c r="D105" s="79"/>
      <c r="E105" s="79"/>
      <c r="F105" s="99"/>
      <c r="G105" s="4" t="s">
        <v>270</v>
      </c>
      <c r="H105" s="41">
        <v>154.22999999999999</v>
      </c>
      <c r="I105" s="41">
        <v>0</v>
      </c>
      <c r="J105" s="41">
        <f>H105*AO105</f>
        <v>0</v>
      </c>
      <c r="K105" s="41">
        <f>H105*AP105</f>
        <v>0</v>
      </c>
      <c r="L105" s="41">
        <f>H105*I105</f>
        <v>0</v>
      </c>
      <c r="M105" s="32" t="s">
        <v>277</v>
      </c>
      <c r="Z105" s="51">
        <f>IF(AQ105="5",BJ105,0)</f>
        <v>0</v>
      </c>
      <c r="AB105" s="51">
        <f>IF(AQ105="1",BH105,0)</f>
        <v>0</v>
      </c>
      <c r="AC105" s="51">
        <f>IF(AQ105="1",BI105,0)</f>
        <v>0</v>
      </c>
      <c r="AD105" s="51">
        <f>IF(AQ105="7",BH105,0)</f>
        <v>0</v>
      </c>
      <c r="AE105" s="51">
        <f>IF(AQ105="7",BI105,0)</f>
        <v>0</v>
      </c>
      <c r="AF105" s="51">
        <f>IF(AQ105="2",BH105,0)</f>
        <v>0</v>
      </c>
      <c r="AG105" s="51">
        <f>IF(AQ105="2",BI105,0)</f>
        <v>0</v>
      </c>
      <c r="AH105" s="51">
        <f>IF(AQ105="0",BJ105,0)</f>
        <v>0</v>
      </c>
      <c r="AI105" s="15" t="s">
        <v>172</v>
      </c>
      <c r="AJ105" s="51">
        <f>IF(AN105=0,L105,0)</f>
        <v>0</v>
      </c>
      <c r="AK105" s="51">
        <f>IF(AN105=15,L105,0)</f>
        <v>0</v>
      </c>
      <c r="AL105" s="51">
        <f>IF(AN105=21,L105,0)</f>
        <v>0</v>
      </c>
      <c r="AN105" s="51">
        <v>21</v>
      </c>
      <c r="AO105" s="51">
        <f>I105*0.697523469826817</f>
        <v>0</v>
      </c>
      <c r="AP105" s="51">
        <f>I105*(1-0.697523469826817)</f>
        <v>0</v>
      </c>
      <c r="AQ105" s="63" t="s">
        <v>328</v>
      </c>
      <c r="AV105" s="51">
        <f>AW105+AX105</f>
        <v>0</v>
      </c>
      <c r="AW105" s="51">
        <f>H105*AO105</f>
        <v>0</v>
      </c>
      <c r="AX105" s="51">
        <f>H105*AP105</f>
        <v>0</v>
      </c>
      <c r="AY105" s="63" t="s">
        <v>314</v>
      </c>
      <c r="AZ105" s="63" t="s">
        <v>185</v>
      </c>
      <c r="BA105" s="15" t="s">
        <v>56</v>
      </c>
      <c r="BC105" s="51">
        <f>AW105+AX105</f>
        <v>0</v>
      </c>
      <c r="BD105" s="51">
        <f>I105/(100-BE105)*100</f>
        <v>0</v>
      </c>
      <c r="BE105" s="51">
        <v>0</v>
      </c>
      <c r="BF105" s="51">
        <f>105</f>
        <v>105</v>
      </c>
      <c r="BH105" s="51">
        <f>H105*AO105</f>
        <v>0</v>
      </c>
      <c r="BI105" s="51">
        <f>H105*AP105</f>
        <v>0</v>
      </c>
      <c r="BJ105" s="51">
        <f>H105*I105</f>
        <v>0</v>
      </c>
      <c r="BK105" s="51"/>
      <c r="BL105" s="51">
        <v>91</v>
      </c>
    </row>
    <row r="106" spans="1:64" ht="13.5" customHeight="1">
      <c r="A106" s="26"/>
      <c r="B106" s="21" t="s">
        <v>159</v>
      </c>
      <c r="C106" s="96" t="s">
        <v>26</v>
      </c>
      <c r="D106" s="97"/>
      <c r="E106" s="97"/>
      <c r="F106" s="97"/>
      <c r="G106" s="97"/>
      <c r="H106" s="97"/>
      <c r="I106" s="97"/>
      <c r="J106" s="97"/>
      <c r="K106" s="97"/>
      <c r="L106" s="97"/>
      <c r="M106" s="98"/>
    </row>
    <row r="107" spans="1:64" ht="13.5" customHeight="1">
      <c r="A107" s="26"/>
      <c r="B107" s="21" t="s">
        <v>113</v>
      </c>
      <c r="C107" s="96" t="s">
        <v>363</v>
      </c>
      <c r="D107" s="97"/>
      <c r="E107" s="97"/>
      <c r="F107" s="97"/>
      <c r="G107" s="97"/>
      <c r="H107" s="97"/>
      <c r="I107" s="97"/>
      <c r="J107" s="97"/>
      <c r="K107" s="97"/>
      <c r="L107" s="97"/>
      <c r="M107" s="98"/>
    </row>
    <row r="108" spans="1:64" ht="15" customHeight="1">
      <c r="A108" s="35" t="s">
        <v>97</v>
      </c>
      <c r="B108" s="4" t="s">
        <v>154</v>
      </c>
      <c r="C108" s="99" t="s">
        <v>23</v>
      </c>
      <c r="D108" s="79"/>
      <c r="E108" s="79"/>
      <c r="F108" s="99"/>
      <c r="G108" s="4" t="s">
        <v>270</v>
      </c>
      <c r="H108" s="41">
        <v>12</v>
      </c>
      <c r="I108" s="41">
        <v>0</v>
      </c>
      <c r="J108" s="41">
        <f>H108*AO108</f>
        <v>0</v>
      </c>
      <c r="K108" s="41">
        <f>H108*AP108</f>
        <v>0</v>
      </c>
      <c r="L108" s="41">
        <f>H108*I108</f>
        <v>0</v>
      </c>
      <c r="M108" s="32" t="s">
        <v>218</v>
      </c>
      <c r="Z108" s="51">
        <f>IF(AQ108="5",BJ108,0)</f>
        <v>0</v>
      </c>
      <c r="AB108" s="51">
        <f>IF(AQ108="1",BH108,0)</f>
        <v>0</v>
      </c>
      <c r="AC108" s="51">
        <f>IF(AQ108="1",BI108,0)</f>
        <v>0</v>
      </c>
      <c r="AD108" s="51">
        <f>IF(AQ108="7",BH108,0)</f>
        <v>0</v>
      </c>
      <c r="AE108" s="51">
        <f>IF(AQ108="7",BI108,0)</f>
        <v>0</v>
      </c>
      <c r="AF108" s="51">
        <f>IF(AQ108="2",BH108,0)</f>
        <v>0</v>
      </c>
      <c r="AG108" s="51">
        <f>IF(AQ108="2",BI108,0)</f>
        <v>0</v>
      </c>
      <c r="AH108" s="51">
        <f>IF(AQ108="0",BJ108,0)</f>
        <v>0</v>
      </c>
      <c r="AI108" s="15" t="s">
        <v>172</v>
      </c>
      <c r="AJ108" s="51">
        <f>IF(AN108=0,L108,0)</f>
        <v>0</v>
      </c>
      <c r="AK108" s="51">
        <f>IF(AN108=15,L108,0)</f>
        <v>0</v>
      </c>
      <c r="AL108" s="51">
        <f>IF(AN108=21,L108,0)</f>
        <v>0</v>
      </c>
      <c r="AN108" s="51">
        <v>21</v>
      </c>
      <c r="AO108" s="51">
        <f>I108*0.816943005181347</f>
        <v>0</v>
      </c>
      <c r="AP108" s="51">
        <f>I108*(1-0.816943005181347)</f>
        <v>0</v>
      </c>
      <c r="AQ108" s="63" t="s">
        <v>328</v>
      </c>
      <c r="AV108" s="51">
        <f>AW108+AX108</f>
        <v>0</v>
      </c>
      <c r="AW108" s="51">
        <f>H108*AO108</f>
        <v>0</v>
      </c>
      <c r="AX108" s="51">
        <f>H108*AP108</f>
        <v>0</v>
      </c>
      <c r="AY108" s="63" t="s">
        <v>314</v>
      </c>
      <c r="AZ108" s="63" t="s">
        <v>185</v>
      </c>
      <c r="BA108" s="15" t="s">
        <v>56</v>
      </c>
      <c r="BC108" s="51">
        <f>AW108+AX108</f>
        <v>0</v>
      </c>
      <c r="BD108" s="51">
        <f>I108/(100-BE108)*100</f>
        <v>0</v>
      </c>
      <c r="BE108" s="51">
        <v>0</v>
      </c>
      <c r="BF108" s="51">
        <f>108</f>
        <v>108</v>
      </c>
      <c r="BH108" s="51">
        <f>H108*AO108</f>
        <v>0</v>
      </c>
      <c r="BI108" s="51">
        <f>H108*AP108</f>
        <v>0</v>
      </c>
      <c r="BJ108" s="51">
        <f>H108*I108</f>
        <v>0</v>
      </c>
      <c r="BK108" s="51"/>
      <c r="BL108" s="51">
        <v>91</v>
      </c>
    </row>
    <row r="109" spans="1:64" ht="13.5" customHeight="1">
      <c r="A109" s="26"/>
      <c r="B109" s="21" t="s">
        <v>159</v>
      </c>
      <c r="C109" s="96" t="s">
        <v>359</v>
      </c>
      <c r="D109" s="97"/>
      <c r="E109" s="97"/>
      <c r="F109" s="97"/>
      <c r="G109" s="97"/>
      <c r="H109" s="97"/>
      <c r="I109" s="97"/>
      <c r="J109" s="97"/>
      <c r="K109" s="97"/>
      <c r="L109" s="97"/>
      <c r="M109" s="98"/>
    </row>
    <row r="110" spans="1:64" ht="13.5" customHeight="1">
      <c r="A110" s="26"/>
      <c r="B110" s="21" t="s">
        <v>113</v>
      </c>
      <c r="C110" s="96" t="s">
        <v>363</v>
      </c>
      <c r="D110" s="97"/>
      <c r="E110" s="97"/>
      <c r="F110" s="97"/>
      <c r="G110" s="97"/>
      <c r="H110" s="97"/>
      <c r="I110" s="97"/>
      <c r="J110" s="97"/>
      <c r="K110" s="97"/>
      <c r="L110" s="97"/>
      <c r="M110" s="98"/>
    </row>
    <row r="111" spans="1:64" ht="15" customHeight="1">
      <c r="A111" s="35" t="s">
        <v>132</v>
      </c>
      <c r="B111" s="4" t="s">
        <v>4</v>
      </c>
      <c r="C111" s="99" t="s">
        <v>340</v>
      </c>
      <c r="D111" s="79"/>
      <c r="E111" s="79"/>
      <c r="F111" s="99"/>
      <c r="G111" s="4" t="s">
        <v>270</v>
      </c>
      <c r="H111" s="41">
        <v>280</v>
      </c>
      <c r="I111" s="41">
        <v>0</v>
      </c>
      <c r="J111" s="41">
        <f>H111*AO111</f>
        <v>0</v>
      </c>
      <c r="K111" s="41">
        <f>H111*AP111</f>
        <v>0</v>
      </c>
      <c r="L111" s="41">
        <f>H111*I111</f>
        <v>0</v>
      </c>
      <c r="M111" s="32" t="s">
        <v>218</v>
      </c>
      <c r="Z111" s="51">
        <f>IF(AQ111="5",BJ111,0)</f>
        <v>0</v>
      </c>
      <c r="AB111" s="51">
        <f>IF(AQ111="1",BH111,0)</f>
        <v>0</v>
      </c>
      <c r="AC111" s="51">
        <f>IF(AQ111="1",BI111,0)</f>
        <v>0</v>
      </c>
      <c r="AD111" s="51">
        <f>IF(AQ111="7",BH111,0)</f>
        <v>0</v>
      </c>
      <c r="AE111" s="51">
        <f>IF(AQ111="7",BI111,0)</f>
        <v>0</v>
      </c>
      <c r="AF111" s="51">
        <f>IF(AQ111="2",BH111,0)</f>
        <v>0</v>
      </c>
      <c r="AG111" s="51">
        <f>IF(AQ111="2",BI111,0)</f>
        <v>0</v>
      </c>
      <c r="AH111" s="51">
        <f>IF(AQ111="0",BJ111,0)</f>
        <v>0</v>
      </c>
      <c r="AI111" s="15" t="s">
        <v>172</v>
      </c>
      <c r="AJ111" s="51">
        <f>IF(AN111=0,L111,0)</f>
        <v>0</v>
      </c>
      <c r="AK111" s="51">
        <f>IF(AN111=15,L111,0)</f>
        <v>0</v>
      </c>
      <c r="AL111" s="51">
        <f>IF(AN111=21,L111,0)</f>
        <v>0</v>
      </c>
      <c r="AN111" s="51">
        <v>21</v>
      </c>
      <c r="AO111" s="51">
        <f>I111*0.563818166540627</f>
        <v>0</v>
      </c>
      <c r="AP111" s="51">
        <f>I111*(1-0.563818166540627)</f>
        <v>0</v>
      </c>
      <c r="AQ111" s="63" t="s">
        <v>328</v>
      </c>
      <c r="AV111" s="51">
        <f>AW111+AX111</f>
        <v>0</v>
      </c>
      <c r="AW111" s="51">
        <f>H111*AO111</f>
        <v>0</v>
      </c>
      <c r="AX111" s="51">
        <f>H111*AP111</f>
        <v>0</v>
      </c>
      <c r="AY111" s="63" t="s">
        <v>314</v>
      </c>
      <c r="AZ111" s="63" t="s">
        <v>185</v>
      </c>
      <c r="BA111" s="15" t="s">
        <v>56</v>
      </c>
      <c r="BC111" s="51">
        <f>AW111+AX111</f>
        <v>0</v>
      </c>
      <c r="BD111" s="51">
        <f>I111/(100-BE111)*100</f>
        <v>0</v>
      </c>
      <c r="BE111" s="51">
        <v>0</v>
      </c>
      <c r="BF111" s="51">
        <f>111</f>
        <v>111</v>
      </c>
      <c r="BH111" s="51">
        <f>H111*AO111</f>
        <v>0</v>
      </c>
      <c r="BI111" s="51">
        <f>H111*AP111</f>
        <v>0</v>
      </c>
      <c r="BJ111" s="51">
        <f>H111*I111</f>
        <v>0</v>
      </c>
      <c r="BK111" s="51"/>
      <c r="BL111" s="51">
        <v>91</v>
      </c>
    </row>
    <row r="112" spans="1:64" ht="13.5" customHeight="1">
      <c r="A112" s="26"/>
      <c r="B112" s="21" t="s">
        <v>113</v>
      </c>
      <c r="C112" s="96" t="s">
        <v>225</v>
      </c>
      <c r="D112" s="97"/>
      <c r="E112" s="97"/>
      <c r="F112" s="97"/>
      <c r="G112" s="97"/>
      <c r="H112" s="97"/>
      <c r="I112" s="97"/>
      <c r="J112" s="97"/>
      <c r="K112" s="97"/>
      <c r="L112" s="97"/>
      <c r="M112" s="98"/>
    </row>
    <row r="113" spans="1:64" ht="15" customHeight="1">
      <c r="A113" s="29" t="s">
        <v>108</v>
      </c>
      <c r="B113" s="2" t="s">
        <v>8</v>
      </c>
      <c r="C113" s="79" t="s">
        <v>219</v>
      </c>
      <c r="D113" s="79"/>
      <c r="E113" s="79"/>
      <c r="F113" s="79"/>
      <c r="G113" s="2" t="s">
        <v>270</v>
      </c>
      <c r="H113" s="51">
        <v>280</v>
      </c>
      <c r="I113" s="51">
        <v>0</v>
      </c>
      <c r="J113" s="51">
        <f>H113*AO113</f>
        <v>0</v>
      </c>
      <c r="K113" s="51">
        <f>H113*AP113</f>
        <v>0</v>
      </c>
      <c r="L113" s="51">
        <f>H113*I113</f>
        <v>0</v>
      </c>
      <c r="M113" s="44" t="s">
        <v>218</v>
      </c>
      <c r="Z113" s="51">
        <f>IF(AQ113="5",BJ113,0)</f>
        <v>0</v>
      </c>
      <c r="AB113" s="51">
        <f>IF(AQ113="1",BH113,0)</f>
        <v>0</v>
      </c>
      <c r="AC113" s="51">
        <f>IF(AQ113="1",BI113,0)</f>
        <v>0</v>
      </c>
      <c r="AD113" s="51">
        <f>IF(AQ113="7",BH113,0)</f>
        <v>0</v>
      </c>
      <c r="AE113" s="51">
        <f>IF(AQ113="7",BI113,0)</f>
        <v>0</v>
      </c>
      <c r="AF113" s="51">
        <f>IF(AQ113="2",BH113,0)</f>
        <v>0</v>
      </c>
      <c r="AG113" s="51">
        <f>IF(AQ113="2",BI113,0)</f>
        <v>0</v>
      </c>
      <c r="AH113" s="51">
        <f>IF(AQ113="0",BJ113,0)</f>
        <v>0</v>
      </c>
      <c r="AI113" s="15" t="s">
        <v>172</v>
      </c>
      <c r="AJ113" s="51">
        <f>IF(AN113=0,L113,0)</f>
        <v>0</v>
      </c>
      <c r="AK113" s="51">
        <f>IF(AN113=15,L113,0)</f>
        <v>0</v>
      </c>
      <c r="AL113" s="51">
        <f>IF(AN113=21,L113,0)</f>
        <v>0</v>
      </c>
      <c r="AN113" s="51">
        <v>21</v>
      </c>
      <c r="AO113" s="51">
        <f>I113*0.555802469135802</f>
        <v>0</v>
      </c>
      <c r="AP113" s="51">
        <f>I113*(1-0.555802469135802)</f>
        <v>0</v>
      </c>
      <c r="AQ113" s="63" t="s">
        <v>328</v>
      </c>
      <c r="AV113" s="51">
        <f>AW113+AX113</f>
        <v>0</v>
      </c>
      <c r="AW113" s="51">
        <f>H113*AO113</f>
        <v>0</v>
      </c>
      <c r="AX113" s="51">
        <f>H113*AP113</f>
        <v>0</v>
      </c>
      <c r="AY113" s="63" t="s">
        <v>314</v>
      </c>
      <c r="AZ113" s="63" t="s">
        <v>185</v>
      </c>
      <c r="BA113" s="15" t="s">
        <v>56</v>
      </c>
      <c r="BC113" s="51">
        <f>AW113+AX113</f>
        <v>0</v>
      </c>
      <c r="BD113" s="51">
        <f>I113/(100-BE113)*100</f>
        <v>0</v>
      </c>
      <c r="BE113" s="51">
        <v>0</v>
      </c>
      <c r="BF113" s="51">
        <f>113</f>
        <v>113</v>
      </c>
      <c r="BH113" s="51">
        <f>H113*AO113</f>
        <v>0</v>
      </c>
      <c r="BI113" s="51">
        <f>H113*AP113</f>
        <v>0</v>
      </c>
      <c r="BJ113" s="51">
        <f>H113*I113</f>
        <v>0</v>
      </c>
      <c r="BK113" s="51"/>
      <c r="BL113" s="51">
        <v>91</v>
      </c>
    </row>
    <row r="114" spans="1:64" ht="13.5" customHeight="1">
      <c r="A114" s="26"/>
      <c r="B114" s="21" t="s">
        <v>113</v>
      </c>
      <c r="C114" s="96" t="s">
        <v>247</v>
      </c>
      <c r="D114" s="97"/>
      <c r="E114" s="97"/>
      <c r="F114" s="97"/>
      <c r="G114" s="97"/>
      <c r="H114" s="97"/>
      <c r="I114" s="97"/>
      <c r="J114" s="97"/>
      <c r="K114" s="97"/>
      <c r="L114" s="97"/>
      <c r="M114" s="98"/>
    </row>
    <row r="115" spans="1:64" ht="15" customHeight="1">
      <c r="A115" s="29" t="s">
        <v>266</v>
      </c>
      <c r="B115" s="2" t="s">
        <v>209</v>
      </c>
      <c r="C115" s="79" t="s">
        <v>230</v>
      </c>
      <c r="D115" s="79"/>
      <c r="E115" s="79"/>
      <c r="F115" s="79"/>
      <c r="G115" s="2" t="s">
        <v>270</v>
      </c>
      <c r="H115" s="51">
        <v>280</v>
      </c>
      <c r="I115" s="51">
        <v>0</v>
      </c>
      <c r="J115" s="51">
        <f>H115*AO115</f>
        <v>0</v>
      </c>
      <c r="K115" s="51">
        <f>H115*AP115</f>
        <v>0</v>
      </c>
      <c r="L115" s="51">
        <f>H115*I115</f>
        <v>0</v>
      </c>
      <c r="M115" s="44" t="s">
        <v>218</v>
      </c>
      <c r="Z115" s="51">
        <f>IF(AQ115="5",BJ115,0)</f>
        <v>0</v>
      </c>
      <c r="AB115" s="51">
        <f>IF(AQ115="1",BH115,0)</f>
        <v>0</v>
      </c>
      <c r="AC115" s="51">
        <f>IF(AQ115="1",BI115,0)</f>
        <v>0</v>
      </c>
      <c r="AD115" s="51">
        <f>IF(AQ115="7",BH115,0)</f>
        <v>0</v>
      </c>
      <c r="AE115" s="51">
        <f>IF(AQ115="7",BI115,0)</f>
        <v>0</v>
      </c>
      <c r="AF115" s="51">
        <f>IF(AQ115="2",BH115,0)</f>
        <v>0</v>
      </c>
      <c r="AG115" s="51">
        <f>IF(AQ115="2",BI115,0)</f>
        <v>0</v>
      </c>
      <c r="AH115" s="51">
        <f>IF(AQ115="0",BJ115,0)</f>
        <v>0</v>
      </c>
      <c r="AI115" s="15" t="s">
        <v>172</v>
      </c>
      <c r="AJ115" s="51">
        <f>IF(AN115=0,L115,0)</f>
        <v>0</v>
      </c>
      <c r="AK115" s="51">
        <f>IF(AN115=15,L115,0)</f>
        <v>0</v>
      </c>
      <c r="AL115" s="51">
        <f>IF(AN115=21,L115,0)</f>
        <v>0</v>
      </c>
      <c r="AN115" s="51">
        <v>21</v>
      </c>
      <c r="AO115" s="51">
        <f>I115*0</f>
        <v>0</v>
      </c>
      <c r="AP115" s="51">
        <f>I115*(1-0)</f>
        <v>0</v>
      </c>
      <c r="AQ115" s="63" t="s">
        <v>328</v>
      </c>
      <c r="AV115" s="51">
        <f>AW115+AX115</f>
        <v>0</v>
      </c>
      <c r="AW115" s="51">
        <f>H115*AO115</f>
        <v>0</v>
      </c>
      <c r="AX115" s="51">
        <f>H115*AP115</f>
        <v>0</v>
      </c>
      <c r="AY115" s="63" t="s">
        <v>314</v>
      </c>
      <c r="AZ115" s="63" t="s">
        <v>185</v>
      </c>
      <c r="BA115" s="15" t="s">
        <v>56</v>
      </c>
      <c r="BC115" s="51">
        <f>AW115+AX115</f>
        <v>0</v>
      </c>
      <c r="BD115" s="51">
        <f>I115/(100-BE115)*100</f>
        <v>0</v>
      </c>
      <c r="BE115" s="51">
        <v>0</v>
      </c>
      <c r="BF115" s="51">
        <f>115</f>
        <v>115</v>
      </c>
      <c r="BH115" s="51">
        <f>H115*AO115</f>
        <v>0</v>
      </c>
      <c r="BI115" s="51">
        <f>H115*AP115</f>
        <v>0</v>
      </c>
      <c r="BJ115" s="51">
        <f>H115*I115</f>
        <v>0</v>
      </c>
      <c r="BK115" s="51"/>
      <c r="BL115" s="51">
        <v>91</v>
      </c>
    </row>
    <row r="116" spans="1:64" ht="15" customHeight="1">
      <c r="A116" s="29" t="s">
        <v>344</v>
      </c>
      <c r="B116" s="2" t="s">
        <v>327</v>
      </c>
      <c r="C116" s="79" t="s">
        <v>12</v>
      </c>
      <c r="D116" s="79"/>
      <c r="E116" s="79"/>
      <c r="F116" s="79"/>
      <c r="G116" s="2" t="s">
        <v>137</v>
      </c>
      <c r="H116" s="51">
        <v>32.7774</v>
      </c>
      <c r="I116" s="51">
        <v>0</v>
      </c>
      <c r="J116" s="51">
        <f>H116*AO116</f>
        <v>0</v>
      </c>
      <c r="K116" s="51">
        <f>H116*AP116</f>
        <v>0</v>
      </c>
      <c r="L116" s="51">
        <f>H116*I116</f>
        <v>0</v>
      </c>
      <c r="M116" s="44" t="s">
        <v>218</v>
      </c>
      <c r="Z116" s="51">
        <f>IF(AQ116="5",BJ116,0)</f>
        <v>0</v>
      </c>
      <c r="AB116" s="51">
        <f>IF(AQ116="1",BH116,0)</f>
        <v>0</v>
      </c>
      <c r="AC116" s="51">
        <f>IF(AQ116="1",BI116,0)</f>
        <v>0</v>
      </c>
      <c r="AD116" s="51">
        <f>IF(AQ116="7",BH116,0)</f>
        <v>0</v>
      </c>
      <c r="AE116" s="51">
        <f>IF(AQ116="7",BI116,0)</f>
        <v>0</v>
      </c>
      <c r="AF116" s="51">
        <f>IF(AQ116="2",BH116,0)</f>
        <v>0</v>
      </c>
      <c r="AG116" s="51">
        <f>IF(AQ116="2",BI116,0)</f>
        <v>0</v>
      </c>
      <c r="AH116" s="51">
        <f>IF(AQ116="0",BJ116,0)</f>
        <v>0</v>
      </c>
      <c r="AI116" s="15" t="s">
        <v>172</v>
      </c>
      <c r="AJ116" s="51">
        <f>IF(AN116=0,L116,0)</f>
        <v>0</v>
      </c>
      <c r="AK116" s="51">
        <f>IF(AN116=15,L116,0)</f>
        <v>0</v>
      </c>
      <c r="AL116" s="51">
        <f>IF(AN116=21,L116,0)</f>
        <v>0</v>
      </c>
      <c r="AN116" s="51">
        <v>21</v>
      </c>
      <c r="AO116" s="51">
        <f>I116*0</f>
        <v>0</v>
      </c>
      <c r="AP116" s="51">
        <f>I116*(1-0)</f>
        <v>0</v>
      </c>
      <c r="AQ116" s="63" t="s">
        <v>164</v>
      </c>
      <c r="AV116" s="51">
        <f>AW116+AX116</f>
        <v>0</v>
      </c>
      <c r="AW116" s="51">
        <f>H116*AO116</f>
        <v>0</v>
      </c>
      <c r="AX116" s="51">
        <f>H116*AP116</f>
        <v>0</v>
      </c>
      <c r="AY116" s="63" t="s">
        <v>314</v>
      </c>
      <c r="AZ116" s="63" t="s">
        <v>185</v>
      </c>
      <c r="BA116" s="15" t="s">
        <v>56</v>
      </c>
      <c r="BC116" s="51">
        <f>AW116+AX116</f>
        <v>0</v>
      </c>
      <c r="BD116" s="51">
        <f>I116/(100-BE116)*100</f>
        <v>0</v>
      </c>
      <c r="BE116" s="51">
        <v>0</v>
      </c>
      <c r="BF116" s="51">
        <f>116</f>
        <v>116</v>
      </c>
      <c r="BH116" s="51">
        <f>H116*AO116</f>
        <v>0</v>
      </c>
      <c r="BI116" s="51">
        <f>H116*AP116</f>
        <v>0</v>
      </c>
      <c r="BJ116" s="51">
        <f>H116*I116</f>
        <v>0</v>
      </c>
      <c r="BK116" s="51"/>
      <c r="BL116" s="51">
        <v>91</v>
      </c>
    </row>
    <row r="117" spans="1:64" ht="15" customHeight="1">
      <c r="A117" s="54" t="s">
        <v>224</v>
      </c>
      <c r="B117" s="53" t="s">
        <v>295</v>
      </c>
      <c r="C117" s="100" t="s">
        <v>117</v>
      </c>
      <c r="D117" s="95"/>
      <c r="E117" s="95"/>
      <c r="F117" s="100"/>
      <c r="G117" s="17" t="s">
        <v>298</v>
      </c>
      <c r="H117" s="17" t="s">
        <v>298</v>
      </c>
      <c r="I117" s="17" t="s">
        <v>298</v>
      </c>
      <c r="J117" s="58">
        <f>SUM(J118:J121)</f>
        <v>0</v>
      </c>
      <c r="K117" s="58">
        <f>SUM(K118:K121)</f>
        <v>0</v>
      </c>
      <c r="L117" s="58">
        <f>SUM(L118:L121)</f>
        <v>0</v>
      </c>
      <c r="M117" s="25" t="s">
        <v>224</v>
      </c>
      <c r="AI117" s="15" t="s">
        <v>172</v>
      </c>
      <c r="AS117" s="19">
        <f>SUM(AJ118:AJ121)</f>
        <v>0</v>
      </c>
      <c r="AT117" s="19">
        <f>SUM(AK118:AK121)</f>
        <v>0</v>
      </c>
      <c r="AU117" s="19">
        <f>SUM(AL118:AL121)</f>
        <v>0</v>
      </c>
    </row>
    <row r="118" spans="1:64" ht="15" customHeight="1">
      <c r="A118" s="67" t="s">
        <v>18</v>
      </c>
      <c r="B118" s="1" t="s">
        <v>278</v>
      </c>
      <c r="C118" s="99" t="s">
        <v>128</v>
      </c>
      <c r="D118" s="79"/>
      <c r="E118" s="79"/>
      <c r="F118" s="99"/>
      <c r="G118" s="1" t="s">
        <v>270</v>
      </c>
      <c r="H118" s="42">
        <v>19</v>
      </c>
      <c r="I118" s="42">
        <v>0</v>
      </c>
      <c r="J118" s="42">
        <f>H118*AO118</f>
        <v>0</v>
      </c>
      <c r="K118" s="42">
        <f>H118*AP118</f>
        <v>0</v>
      </c>
      <c r="L118" s="42">
        <f>H118*I118</f>
        <v>0</v>
      </c>
      <c r="M118" s="71" t="s">
        <v>218</v>
      </c>
      <c r="Z118" s="51">
        <f>IF(AQ118="5",BJ118,0)</f>
        <v>0</v>
      </c>
      <c r="AB118" s="51">
        <f>IF(AQ118="1",BH118,0)</f>
        <v>0</v>
      </c>
      <c r="AC118" s="51">
        <f>IF(AQ118="1",BI118,0)</f>
        <v>0</v>
      </c>
      <c r="AD118" s="51">
        <f>IF(AQ118="7",BH118,0)</f>
        <v>0</v>
      </c>
      <c r="AE118" s="51">
        <f>IF(AQ118="7",BI118,0)</f>
        <v>0</v>
      </c>
      <c r="AF118" s="51">
        <f>IF(AQ118="2",BH118,0)</f>
        <v>0</v>
      </c>
      <c r="AG118" s="51">
        <f>IF(AQ118="2",BI118,0)</f>
        <v>0</v>
      </c>
      <c r="AH118" s="51">
        <f>IF(AQ118="0",BJ118,0)</f>
        <v>0</v>
      </c>
      <c r="AI118" s="15" t="s">
        <v>172</v>
      </c>
      <c r="AJ118" s="51">
        <f>IF(AN118=0,L118,0)</f>
        <v>0</v>
      </c>
      <c r="AK118" s="51">
        <f>IF(AN118=15,L118,0)</f>
        <v>0</v>
      </c>
      <c r="AL118" s="51">
        <f>IF(AN118=21,L118,0)</f>
        <v>0</v>
      </c>
      <c r="AN118" s="51">
        <v>21</v>
      </c>
      <c r="AO118" s="51">
        <f>I118*0.617528075342244</f>
        <v>0</v>
      </c>
      <c r="AP118" s="51">
        <f>I118*(1-0.617528075342244)</f>
        <v>0</v>
      </c>
      <c r="AQ118" s="63" t="s">
        <v>328</v>
      </c>
      <c r="AV118" s="51">
        <f>AW118+AX118</f>
        <v>0</v>
      </c>
      <c r="AW118" s="51">
        <f>H118*AO118</f>
        <v>0</v>
      </c>
      <c r="AX118" s="51">
        <f>H118*AP118</f>
        <v>0</v>
      </c>
      <c r="AY118" s="63" t="s">
        <v>342</v>
      </c>
      <c r="AZ118" s="63" t="s">
        <v>185</v>
      </c>
      <c r="BA118" s="15" t="s">
        <v>56</v>
      </c>
      <c r="BC118" s="51">
        <f>AW118+AX118</f>
        <v>0</v>
      </c>
      <c r="BD118" s="51">
        <f>I118/(100-BE118)*100</f>
        <v>0</v>
      </c>
      <c r="BE118" s="51">
        <v>0</v>
      </c>
      <c r="BF118" s="51">
        <f>118</f>
        <v>118</v>
      </c>
      <c r="BH118" s="51">
        <f>H118*AO118</f>
        <v>0</v>
      </c>
      <c r="BI118" s="51">
        <f>H118*AP118</f>
        <v>0</v>
      </c>
      <c r="BJ118" s="51">
        <f>H118*I118</f>
        <v>0</v>
      </c>
      <c r="BK118" s="51"/>
      <c r="BL118" s="51">
        <v>93</v>
      </c>
    </row>
    <row r="119" spans="1:64" ht="15" customHeight="1">
      <c r="A119" s="67" t="s">
        <v>255</v>
      </c>
      <c r="B119" s="1" t="s">
        <v>300</v>
      </c>
      <c r="C119" s="99" t="s">
        <v>368</v>
      </c>
      <c r="D119" s="79"/>
      <c r="E119" s="79"/>
      <c r="F119" s="99"/>
      <c r="G119" s="1" t="s">
        <v>71</v>
      </c>
      <c r="H119" s="42">
        <v>58</v>
      </c>
      <c r="I119" s="42">
        <v>0</v>
      </c>
      <c r="J119" s="42">
        <f>H119*AO119</f>
        <v>0</v>
      </c>
      <c r="K119" s="42">
        <f>H119*AP119</f>
        <v>0</v>
      </c>
      <c r="L119" s="42">
        <f>H119*I119</f>
        <v>0</v>
      </c>
      <c r="M119" s="71" t="s">
        <v>218</v>
      </c>
      <c r="Z119" s="51">
        <f>IF(AQ119="5",BJ119,0)</f>
        <v>0</v>
      </c>
      <c r="AB119" s="51">
        <f>IF(AQ119="1",BH119,0)</f>
        <v>0</v>
      </c>
      <c r="AC119" s="51">
        <f>IF(AQ119="1",BI119,0)</f>
        <v>0</v>
      </c>
      <c r="AD119" s="51">
        <f>IF(AQ119="7",BH119,0)</f>
        <v>0</v>
      </c>
      <c r="AE119" s="51">
        <f>IF(AQ119="7",BI119,0)</f>
        <v>0</v>
      </c>
      <c r="AF119" s="51">
        <f>IF(AQ119="2",BH119,0)</f>
        <v>0</v>
      </c>
      <c r="AG119" s="51">
        <f>IF(AQ119="2",BI119,0)</f>
        <v>0</v>
      </c>
      <c r="AH119" s="51">
        <f>IF(AQ119="0",BJ119,0)</f>
        <v>0</v>
      </c>
      <c r="AI119" s="15" t="s">
        <v>172</v>
      </c>
      <c r="AJ119" s="51">
        <f>IF(AN119=0,L119,0)</f>
        <v>0</v>
      </c>
      <c r="AK119" s="51">
        <f>IF(AN119=15,L119,0)</f>
        <v>0</v>
      </c>
      <c r="AL119" s="51">
        <f>IF(AN119=21,L119,0)</f>
        <v>0</v>
      </c>
      <c r="AN119" s="51">
        <v>21</v>
      </c>
      <c r="AO119" s="51">
        <f>I119*1</f>
        <v>0</v>
      </c>
      <c r="AP119" s="51">
        <f>I119*(1-1)</f>
        <v>0</v>
      </c>
      <c r="AQ119" s="63" t="s">
        <v>328</v>
      </c>
      <c r="AV119" s="51">
        <f>AW119+AX119</f>
        <v>0</v>
      </c>
      <c r="AW119" s="51">
        <f>H119*AO119</f>
        <v>0</v>
      </c>
      <c r="AX119" s="51">
        <f>H119*AP119</f>
        <v>0</v>
      </c>
      <c r="AY119" s="63" t="s">
        <v>342</v>
      </c>
      <c r="AZ119" s="63" t="s">
        <v>185</v>
      </c>
      <c r="BA119" s="15" t="s">
        <v>56</v>
      </c>
      <c r="BC119" s="51">
        <f>AW119+AX119</f>
        <v>0</v>
      </c>
      <c r="BD119" s="51">
        <f>I119/(100-BE119)*100</f>
        <v>0</v>
      </c>
      <c r="BE119" s="51">
        <v>0</v>
      </c>
      <c r="BF119" s="51">
        <f>119</f>
        <v>119</v>
      </c>
      <c r="BH119" s="51">
        <f>H119*AO119</f>
        <v>0</v>
      </c>
      <c r="BI119" s="51">
        <f>H119*AP119</f>
        <v>0</v>
      </c>
      <c r="BJ119" s="51">
        <f>H119*I119</f>
        <v>0</v>
      </c>
      <c r="BK119" s="51"/>
      <c r="BL119" s="51">
        <v>93</v>
      </c>
    </row>
    <row r="120" spans="1:64" ht="13.5" customHeight="1">
      <c r="A120" s="26"/>
      <c r="B120" s="21" t="s">
        <v>113</v>
      </c>
      <c r="C120" s="96" t="s">
        <v>69</v>
      </c>
      <c r="D120" s="97"/>
      <c r="E120" s="97"/>
      <c r="F120" s="97"/>
      <c r="G120" s="97"/>
      <c r="H120" s="97"/>
      <c r="I120" s="97"/>
      <c r="J120" s="97"/>
      <c r="K120" s="97"/>
      <c r="L120" s="97"/>
      <c r="M120" s="98"/>
    </row>
    <row r="121" spans="1:64" ht="15" customHeight="1">
      <c r="A121" s="29" t="s">
        <v>268</v>
      </c>
      <c r="B121" s="2" t="s">
        <v>45</v>
      </c>
      <c r="C121" s="79" t="s">
        <v>107</v>
      </c>
      <c r="D121" s="79"/>
      <c r="E121" s="79"/>
      <c r="F121" s="79"/>
      <c r="G121" s="2" t="s">
        <v>137</v>
      </c>
      <c r="H121" s="51">
        <v>659.21780000000001</v>
      </c>
      <c r="I121" s="51">
        <v>0</v>
      </c>
      <c r="J121" s="51">
        <f>H121*AO121</f>
        <v>0</v>
      </c>
      <c r="K121" s="51">
        <f>H121*AP121</f>
        <v>0</v>
      </c>
      <c r="L121" s="51">
        <f>H121*I121</f>
        <v>0</v>
      </c>
      <c r="M121" s="44" t="s">
        <v>277</v>
      </c>
      <c r="Z121" s="51">
        <f>IF(AQ121="5",BJ121,0)</f>
        <v>0</v>
      </c>
      <c r="AB121" s="51">
        <f>IF(AQ121="1",BH121,0)</f>
        <v>0</v>
      </c>
      <c r="AC121" s="51">
        <f>IF(AQ121="1",BI121,0)</f>
        <v>0</v>
      </c>
      <c r="AD121" s="51">
        <f>IF(AQ121="7",BH121,0)</f>
        <v>0</v>
      </c>
      <c r="AE121" s="51">
        <f>IF(AQ121="7",BI121,0)</f>
        <v>0</v>
      </c>
      <c r="AF121" s="51">
        <f>IF(AQ121="2",BH121,0)</f>
        <v>0</v>
      </c>
      <c r="AG121" s="51">
        <f>IF(AQ121="2",BI121,0)</f>
        <v>0</v>
      </c>
      <c r="AH121" s="51">
        <f>IF(AQ121="0",BJ121,0)</f>
        <v>0</v>
      </c>
      <c r="AI121" s="15" t="s">
        <v>172</v>
      </c>
      <c r="AJ121" s="51">
        <f>IF(AN121=0,L121,0)</f>
        <v>0</v>
      </c>
      <c r="AK121" s="51">
        <f>IF(AN121=15,L121,0)</f>
        <v>0</v>
      </c>
      <c r="AL121" s="51">
        <f>IF(AN121=21,L121,0)</f>
        <v>0</v>
      </c>
      <c r="AN121" s="51">
        <v>21</v>
      </c>
      <c r="AO121" s="51">
        <f>I121*0</f>
        <v>0</v>
      </c>
      <c r="AP121" s="51">
        <f>I121*(1-0)</f>
        <v>0</v>
      </c>
      <c r="AQ121" s="63" t="s">
        <v>164</v>
      </c>
      <c r="AV121" s="51">
        <f>AW121+AX121</f>
        <v>0</v>
      </c>
      <c r="AW121" s="51">
        <f>H121*AO121</f>
        <v>0</v>
      </c>
      <c r="AX121" s="51">
        <f>H121*AP121</f>
        <v>0</v>
      </c>
      <c r="AY121" s="63" t="s">
        <v>342</v>
      </c>
      <c r="AZ121" s="63" t="s">
        <v>185</v>
      </c>
      <c r="BA121" s="15" t="s">
        <v>56</v>
      </c>
      <c r="BC121" s="51">
        <f>AW121+AX121</f>
        <v>0</v>
      </c>
      <c r="BD121" s="51">
        <f>I121/(100-BE121)*100</f>
        <v>0</v>
      </c>
      <c r="BE121" s="51">
        <v>0</v>
      </c>
      <c r="BF121" s="51">
        <f>121</f>
        <v>121</v>
      </c>
      <c r="BH121" s="51">
        <f>H121*AO121</f>
        <v>0</v>
      </c>
      <c r="BI121" s="51">
        <f>H121*AP121</f>
        <v>0</v>
      </c>
      <c r="BJ121" s="51">
        <f>H121*I121</f>
        <v>0</v>
      </c>
      <c r="BK121" s="51"/>
      <c r="BL121" s="51">
        <v>93</v>
      </c>
    </row>
    <row r="122" spans="1:64" ht="15" customHeight="1">
      <c r="A122" s="16" t="s">
        <v>224</v>
      </c>
      <c r="B122" s="47" t="s">
        <v>224</v>
      </c>
      <c r="C122" s="95" t="s">
        <v>99</v>
      </c>
      <c r="D122" s="95"/>
      <c r="E122" s="95"/>
      <c r="F122" s="95"/>
      <c r="G122" s="22" t="s">
        <v>298</v>
      </c>
      <c r="H122" s="22" t="s">
        <v>298</v>
      </c>
      <c r="I122" s="22" t="s">
        <v>298</v>
      </c>
      <c r="J122" s="19">
        <f>J123+J126+J128+J131+J133</f>
        <v>0</v>
      </c>
      <c r="K122" s="19">
        <f>K123+K126+K128+K131+K133</f>
        <v>0</v>
      </c>
      <c r="L122" s="19">
        <f>L123+L126+L128+L131+L133</f>
        <v>0</v>
      </c>
      <c r="M122" s="31" t="s">
        <v>224</v>
      </c>
    </row>
    <row r="123" spans="1:64" ht="15" customHeight="1">
      <c r="A123" s="16" t="s">
        <v>224</v>
      </c>
      <c r="B123" s="47" t="s">
        <v>83</v>
      </c>
      <c r="C123" s="95" t="s">
        <v>1</v>
      </c>
      <c r="D123" s="95"/>
      <c r="E123" s="95"/>
      <c r="F123" s="95"/>
      <c r="G123" s="22" t="s">
        <v>298</v>
      </c>
      <c r="H123" s="22" t="s">
        <v>298</v>
      </c>
      <c r="I123" s="22" t="s">
        <v>298</v>
      </c>
      <c r="J123" s="19">
        <f>SUM(J124:J124)</f>
        <v>0</v>
      </c>
      <c r="K123" s="19">
        <f>SUM(K124:K124)</f>
        <v>0</v>
      </c>
      <c r="L123" s="19">
        <f>SUM(L124:L124)</f>
        <v>0</v>
      </c>
      <c r="M123" s="31" t="s">
        <v>224</v>
      </c>
      <c r="AI123" s="15" t="s">
        <v>72</v>
      </c>
      <c r="AS123" s="19">
        <f>SUM(AJ124:AJ124)</f>
        <v>0</v>
      </c>
      <c r="AT123" s="19">
        <f>SUM(AK124:AK124)</f>
        <v>0</v>
      </c>
      <c r="AU123" s="19">
        <f>SUM(AL124:AL124)</f>
        <v>0</v>
      </c>
    </row>
    <row r="124" spans="1:64" ht="15" customHeight="1">
      <c r="A124" s="29" t="s">
        <v>127</v>
      </c>
      <c r="B124" s="2" t="s">
        <v>216</v>
      </c>
      <c r="C124" s="79" t="s">
        <v>190</v>
      </c>
      <c r="D124" s="79"/>
      <c r="E124" s="79"/>
      <c r="F124" s="79"/>
      <c r="G124" s="2" t="s">
        <v>312</v>
      </c>
      <c r="H124" s="51">
        <v>585</v>
      </c>
      <c r="I124" s="51">
        <v>0</v>
      </c>
      <c r="J124" s="51">
        <f>H124*AO124</f>
        <v>0</v>
      </c>
      <c r="K124" s="51">
        <f>H124*AP124</f>
        <v>0</v>
      </c>
      <c r="L124" s="51">
        <f>H124*I124</f>
        <v>0</v>
      </c>
      <c r="M124" s="44" t="s">
        <v>277</v>
      </c>
      <c r="Z124" s="51">
        <f>IF(AQ124="5",BJ124,0)</f>
        <v>0</v>
      </c>
      <c r="AB124" s="51">
        <f>IF(AQ124="1",BH124,0)</f>
        <v>0</v>
      </c>
      <c r="AC124" s="51">
        <f>IF(AQ124="1",BI124,0)</f>
        <v>0</v>
      </c>
      <c r="AD124" s="51">
        <f>IF(AQ124="7",BH124,0)</f>
        <v>0</v>
      </c>
      <c r="AE124" s="51">
        <f>IF(AQ124="7",BI124,0)</f>
        <v>0</v>
      </c>
      <c r="AF124" s="51">
        <f>IF(AQ124="2",BH124,0)</f>
        <v>0</v>
      </c>
      <c r="AG124" s="51">
        <f>IF(AQ124="2",BI124,0)</f>
        <v>0</v>
      </c>
      <c r="AH124" s="51">
        <f>IF(AQ124="0",BJ124,0)</f>
        <v>0</v>
      </c>
      <c r="AI124" s="15" t="s">
        <v>72</v>
      </c>
      <c r="AJ124" s="51">
        <f>IF(AN124=0,L124,0)</f>
        <v>0</v>
      </c>
      <c r="AK124" s="51">
        <f>IF(AN124=15,L124,0)</f>
        <v>0</v>
      </c>
      <c r="AL124" s="51">
        <f>IF(AN124=21,L124,0)</f>
        <v>0</v>
      </c>
      <c r="AN124" s="51">
        <v>21</v>
      </c>
      <c r="AO124" s="51">
        <f>I124*0.0413857288541698</f>
        <v>0</v>
      </c>
      <c r="AP124" s="51">
        <f>I124*(1-0.0413857288541698)</f>
        <v>0</v>
      </c>
      <c r="AQ124" s="63" t="s">
        <v>328</v>
      </c>
      <c r="AV124" s="51">
        <f>AW124+AX124</f>
        <v>0</v>
      </c>
      <c r="AW124" s="51">
        <f>H124*AO124</f>
        <v>0</v>
      </c>
      <c r="AX124" s="51">
        <f>H124*AP124</f>
        <v>0</v>
      </c>
      <c r="AY124" s="63" t="s">
        <v>292</v>
      </c>
      <c r="AZ124" s="63" t="s">
        <v>236</v>
      </c>
      <c r="BA124" s="15" t="s">
        <v>349</v>
      </c>
      <c r="BC124" s="51">
        <f>AW124+AX124</f>
        <v>0</v>
      </c>
      <c r="BD124" s="51">
        <f>I124/(100-BE124)*100</f>
        <v>0</v>
      </c>
      <c r="BE124" s="51">
        <v>0</v>
      </c>
      <c r="BF124" s="51">
        <f>124</f>
        <v>124</v>
      </c>
      <c r="BH124" s="51">
        <f>H124*AO124</f>
        <v>0</v>
      </c>
      <c r="BI124" s="51">
        <f>H124*AP124</f>
        <v>0</v>
      </c>
      <c r="BJ124" s="51">
        <f>H124*I124</f>
        <v>0</v>
      </c>
      <c r="BK124" s="51"/>
      <c r="BL124" s="51">
        <v>13</v>
      </c>
    </row>
    <row r="125" spans="1:64" ht="13.5" customHeight="1">
      <c r="A125" s="26"/>
      <c r="B125" s="21" t="s">
        <v>24</v>
      </c>
      <c r="C125" s="96" t="s">
        <v>36</v>
      </c>
      <c r="D125" s="97"/>
      <c r="E125" s="97"/>
      <c r="F125" s="97"/>
      <c r="G125" s="97"/>
      <c r="H125" s="97"/>
      <c r="I125" s="97"/>
      <c r="J125" s="97"/>
      <c r="K125" s="97"/>
      <c r="L125" s="97"/>
      <c r="M125" s="98"/>
    </row>
    <row r="126" spans="1:64" ht="15" customHeight="1">
      <c r="A126" s="16" t="s">
        <v>224</v>
      </c>
      <c r="B126" s="47" t="s">
        <v>27</v>
      </c>
      <c r="C126" s="95" t="s">
        <v>275</v>
      </c>
      <c r="D126" s="95"/>
      <c r="E126" s="95"/>
      <c r="F126" s="95"/>
      <c r="G126" s="22" t="s">
        <v>298</v>
      </c>
      <c r="H126" s="22" t="s">
        <v>298</v>
      </c>
      <c r="I126" s="22" t="s">
        <v>298</v>
      </c>
      <c r="J126" s="19">
        <f>SUM(J127:J127)</f>
        <v>0</v>
      </c>
      <c r="K126" s="19">
        <f>SUM(K127:K127)</f>
        <v>0</v>
      </c>
      <c r="L126" s="19">
        <f>SUM(L127:L127)</f>
        <v>0</v>
      </c>
      <c r="M126" s="31" t="s">
        <v>224</v>
      </c>
      <c r="AI126" s="15" t="s">
        <v>72</v>
      </c>
      <c r="AS126" s="19">
        <f>SUM(AJ127:AJ127)</f>
        <v>0</v>
      </c>
      <c r="AT126" s="19">
        <f>SUM(AK127:AK127)</f>
        <v>0</v>
      </c>
      <c r="AU126" s="19">
        <f>SUM(AL127:AL127)</f>
        <v>0</v>
      </c>
    </row>
    <row r="127" spans="1:64" ht="15" customHeight="1">
      <c r="A127" s="29" t="s">
        <v>125</v>
      </c>
      <c r="B127" s="2" t="s">
        <v>82</v>
      </c>
      <c r="C127" s="79" t="s">
        <v>339</v>
      </c>
      <c r="D127" s="79"/>
      <c r="E127" s="79"/>
      <c r="F127" s="79"/>
      <c r="G127" s="2" t="s">
        <v>312</v>
      </c>
      <c r="H127" s="51">
        <v>585</v>
      </c>
      <c r="I127" s="51">
        <v>0</v>
      </c>
      <c r="J127" s="51">
        <f>H127*AO127</f>
        <v>0</v>
      </c>
      <c r="K127" s="51">
        <f>H127*AP127</f>
        <v>0</v>
      </c>
      <c r="L127" s="51">
        <f>H127*I127</f>
        <v>0</v>
      </c>
      <c r="M127" s="44" t="s">
        <v>277</v>
      </c>
      <c r="Z127" s="51">
        <f>IF(AQ127="5",BJ127,0)</f>
        <v>0</v>
      </c>
      <c r="AB127" s="51">
        <f>IF(AQ127="1",BH127,0)</f>
        <v>0</v>
      </c>
      <c r="AC127" s="51">
        <f>IF(AQ127="1",BI127,0)</f>
        <v>0</v>
      </c>
      <c r="AD127" s="51">
        <f>IF(AQ127="7",BH127,0)</f>
        <v>0</v>
      </c>
      <c r="AE127" s="51">
        <f>IF(AQ127="7",BI127,0)</f>
        <v>0</v>
      </c>
      <c r="AF127" s="51">
        <f>IF(AQ127="2",BH127,0)</f>
        <v>0</v>
      </c>
      <c r="AG127" s="51">
        <f>IF(AQ127="2",BI127,0)</f>
        <v>0</v>
      </c>
      <c r="AH127" s="51">
        <f>IF(AQ127="0",BJ127,0)</f>
        <v>0</v>
      </c>
      <c r="AI127" s="15" t="s">
        <v>72</v>
      </c>
      <c r="AJ127" s="51">
        <f>IF(AN127=0,L127,0)</f>
        <v>0</v>
      </c>
      <c r="AK127" s="51">
        <f>IF(AN127=15,L127,0)</f>
        <v>0</v>
      </c>
      <c r="AL127" s="51">
        <f>IF(AN127=21,L127,0)</f>
        <v>0</v>
      </c>
      <c r="AN127" s="51">
        <v>21</v>
      </c>
      <c r="AO127" s="51">
        <f>I127*0</f>
        <v>0</v>
      </c>
      <c r="AP127" s="51">
        <f>I127*(1-0)</f>
        <v>0</v>
      </c>
      <c r="AQ127" s="63" t="s">
        <v>328</v>
      </c>
      <c r="AV127" s="51">
        <f>AW127+AX127</f>
        <v>0</v>
      </c>
      <c r="AW127" s="51">
        <f>H127*AO127</f>
        <v>0</v>
      </c>
      <c r="AX127" s="51">
        <f>H127*AP127</f>
        <v>0</v>
      </c>
      <c r="AY127" s="63" t="s">
        <v>299</v>
      </c>
      <c r="AZ127" s="63" t="s">
        <v>236</v>
      </c>
      <c r="BA127" s="15" t="s">
        <v>349</v>
      </c>
      <c r="BC127" s="51">
        <f>AW127+AX127</f>
        <v>0</v>
      </c>
      <c r="BD127" s="51">
        <f>I127/(100-BE127)*100</f>
        <v>0</v>
      </c>
      <c r="BE127" s="51">
        <v>0</v>
      </c>
      <c r="BF127" s="51">
        <f>127</f>
        <v>127</v>
      </c>
      <c r="BH127" s="51">
        <f>H127*AO127</f>
        <v>0</v>
      </c>
      <c r="BI127" s="51">
        <f>H127*AP127</f>
        <v>0</v>
      </c>
      <c r="BJ127" s="51">
        <f>H127*I127</f>
        <v>0</v>
      </c>
      <c r="BK127" s="51"/>
      <c r="BL127" s="51">
        <v>16</v>
      </c>
    </row>
    <row r="128" spans="1:64" ht="15" customHeight="1">
      <c r="A128" s="16" t="s">
        <v>224</v>
      </c>
      <c r="B128" s="47" t="s">
        <v>227</v>
      </c>
      <c r="C128" s="95" t="s">
        <v>42</v>
      </c>
      <c r="D128" s="95"/>
      <c r="E128" s="95"/>
      <c r="F128" s="95"/>
      <c r="G128" s="22" t="s">
        <v>298</v>
      </c>
      <c r="H128" s="22" t="s">
        <v>298</v>
      </c>
      <c r="I128" s="22" t="s">
        <v>298</v>
      </c>
      <c r="J128" s="19">
        <f>SUM(J129:J129)</f>
        <v>0</v>
      </c>
      <c r="K128" s="19">
        <f>SUM(K129:K129)</f>
        <v>0</v>
      </c>
      <c r="L128" s="19">
        <f>SUM(L129:L129)</f>
        <v>0</v>
      </c>
      <c r="M128" s="31" t="s">
        <v>224</v>
      </c>
      <c r="AI128" s="15" t="s">
        <v>72</v>
      </c>
      <c r="AS128" s="19">
        <f>SUM(AJ129:AJ129)</f>
        <v>0</v>
      </c>
      <c r="AT128" s="19">
        <f>SUM(AK129:AK129)</f>
        <v>0</v>
      </c>
      <c r="AU128" s="19">
        <f>SUM(AL129:AL129)</f>
        <v>0</v>
      </c>
    </row>
    <row r="129" spans="1:64" ht="15" customHeight="1">
      <c r="A129" s="29" t="s">
        <v>139</v>
      </c>
      <c r="B129" s="2" t="s">
        <v>341</v>
      </c>
      <c r="C129" s="79" t="s">
        <v>15</v>
      </c>
      <c r="D129" s="79"/>
      <c r="E129" s="79"/>
      <c r="F129" s="79"/>
      <c r="G129" s="2" t="s">
        <v>312</v>
      </c>
      <c r="H129" s="51">
        <v>585</v>
      </c>
      <c r="I129" s="51">
        <v>0</v>
      </c>
      <c r="J129" s="51">
        <f>H129*AO129</f>
        <v>0</v>
      </c>
      <c r="K129" s="51">
        <f>H129*AP129</f>
        <v>0</v>
      </c>
      <c r="L129" s="51">
        <f>H129*I129</f>
        <v>0</v>
      </c>
      <c r="M129" s="44" t="s">
        <v>277</v>
      </c>
      <c r="Z129" s="51">
        <f>IF(AQ129="5",BJ129,0)</f>
        <v>0</v>
      </c>
      <c r="AB129" s="51">
        <f>IF(AQ129="1",BH129,0)</f>
        <v>0</v>
      </c>
      <c r="AC129" s="51">
        <f>IF(AQ129="1",BI129,0)</f>
        <v>0</v>
      </c>
      <c r="AD129" s="51">
        <f>IF(AQ129="7",BH129,0)</f>
        <v>0</v>
      </c>
      <c r="AE129" s="51">
        <f>IF(AQ129="7",BI129,0)</f>
        <v>0</v>
      </c>
      <c r="AF129" s="51">
        <f>IF(AQ129="2",BH129,0)</f>
        <v>0</v>
      </c>
      <c r="AG129" s="51">
        <f>IF(AQ129="2",BI129,0)</f>
        <v>0</v>
      </c>
      <c r="AH129" s="51">
        <f>IF(AQ129="0",BJ129,0)</f>
        <v>0</v>
      </c>
      <c r="AI129" s="15" t="s">
        <v>72</v>
      </c>
      <c r="AJ129" s="51">
        <f>IF(AN129=0,L129,0)</f>
        <v>0</v>
      </c>
      <c r="AK129" s="51">
        <f>IF(AN129=15,L129,0)</f>
        <v>0</v>
      </c>
      <c r="AL129" s="51">
        <f>IF(AN129=21,L129,0)</f>
        <v>0</v>
      </c>
      <c r="AN129" s="51">
        <v>21</v>
      </c>
      <c r="AO129" s="51">
        <f>I129*0</f>
        <v>0</v>
      </c>
      <c r="AP129" s="51">
        <f>I129*(1-0)</f>
        <v>0</v>
      </c>
      <c r="AQ129" s="63" t="s">
        <v>328</v>
      </c>
      <c r="AV129" s="51">
        <f>AW129+AX129</f>
        <v>0</v>
      </c>
      <c r="AW129" s="51">
        <f>H129*AO129</f>
        <v>0</v>
      </c>
      <c r="AX129" s="51">
        <f>H129*AP129</f>
        <v>0</v>
      </c>
      <c r="AY129" s="63" t="s">
        <v>58</v>
      </c>
      <c r="AZ129" s="63" t="s">
        <v>236</v>
      </c>
      <c r="BA129" s="15" t="s">
        <v>349</v>
      </c>
      <c r="BC129" s="51">
        <f>AW129+AX129</f>
        <v>0</v>
      </c>
      <c r="BD129" s="51">
        <f>I129/(100-BE129)*100</f>
        <v>0</v>
      </c>
      <c r="BE129" s="51">
        <v>0</v>
      </c>
      <c r="BF129" s="51">
        <f>129</f>
        <v>129</v>
      </c>
      <c r="BH129" s="51">
        <f>H129*AO129</f>
        <v>0</v>
      </c>
      <c r="BI129" s="51">
        <f>H129*AP129</f>
        <v>0</v>
      </c>
      <c r="BJ129" s="51">
        <f>H129*I129</f>
        <v>0</v>
      </c>
      <c r="BK129" s="51"/>
      <c r="BL129" s="51">
        <v>17</v>
      </c>
    </row>
    <row r="130" spans="1:64" ht="13.5" customHeight="1">
      <c r="A130" s="26"/>
      <c r="B130" s="21" t="s">
        <v>113</v>
      </c>
      <c r="C130" s="96" t="s">
        <v>210</v>
      </c>
      <c r="D130" s="97"/>
      <c r="E130" s="97"/>
      <c r="F130" s="97"/>
      <c r="G130" s="97"/>
      <c r="H130" s="97"/>
      <c r="I130" s="97"/>
      <c r="J130" s="97"/>
      <c r="K130" s="97"/>
      <c r="L130" s="97"/>
      <c r="M130" s="98"/>
    </row>
    <row r="131" spans="1:64" ht="15" customHeight="1">
      <c r="A131" s="16" t="s">
        <v>224</v>
      </c>
      <c r="B131" s="47" t="s">
        <v>194</v>
      </c>
      <c r="C131" s="95" t="s">
        <v>104</v>
      </c>
      <c r="D131" s="95"/>
      <c r="E131" s="95"/>
      <c r="F131" s="95"/>
      <c r="G131" s="22" t="s">
        <v>298</v>
      </c>
      <c r="H131" s="22" t="s">
        <v>298</v>
      </c>
      <c r="I131" s="22" t="s">
        <v>298</v>
      </c>
      <c r="J131" s="19">
        <f>SUM(J132:J132)</f>
        <v>0</v>
      </c>
      <c r="K131" s="19">
        <f>SUM(K132:K132)</f>
        <v>0</v>
      </c>
      <c r="L131" s="19">
        <f>SUM(L132:L132)</f>
        <v>0</v>
      </c>
      <c r="M131" s="31" t="s">
        <v>224</v>
      </c>
      <c r="AI131" s="15" t="s">
        <v>72</v>
      </c>
      <c r="AS131" s="19">
        <f>SUM(AJ132:AJ132)</f>
        <v>0</v>
      </c>
      <c r="AT131" s="19">
        <f>SUM(AK132:AK132)</f>
        <v>0</v>
      </c>
      <c r="AU131" s="19">
        <f>SUM(AL132:AL132)</f>
        <v>0</v>
      </c>
    </row>
    <row r="132" spans="1:64" ht="15" customHeight="1">
      <c r="A132" s="29" t="s">
        <v>296</v>
      </c>
      <c r="B132" s="2" t="s">
        <v>293</v>
      </c>
      <c r="C132" s="79" t="s">
        <v>249</v>
      </c>
      <c r="D132" s="79"/>
      <c r="E132" s="79"/>
      <c r="F132" s="79"/>
      <c r="G132" s="2" t="s">
        <v>312</v>
      </c>
      <c r="H132" s="51">
        <v>585</v>
      </c>
      <c r="I132" s="51">
        <v>0</v>
      </c>
      <c r="J132" s="51">
        <f>H132*AO132</f>
        <v>0</v>
      </c>
      <c r="K132" s="51">
        <f>H132*AP132</f>
        <v>0</v>
      </c>
      <c r="L132" s="51">
        <f>H132*I132</f>
        <v>0</v>
      </c>
      <c r="M132" s="44" t="s">
        <v>277</v>
      </c>
      <c r="Z132" s="51">
        <f>IF(AQ132="5",BJ132,0)</f>
        <v>0</v>
      </c>
      <c r="AB132" s="51">
        <f>IF(AQ132="1",BH132,0)</f>
        <v>0</v>
      </c>
      <c r="AC132" s="51">
        <f>IF(AQ132="1",BI132,0)</f>
        <v>0</v>
      </c>
      <c r="AD132" s="51">
        <f>IF(AQ132="7",BH132,0)</f>
        <v>0</v>
      </c>
      <c r="AE132" s="51">
        <f>IF(AQ132="7",BI132,0)</f>
        <v>0</v>
      </c>
      <c r="AF132" s="51">
        <f>IF(AQ132="2",BH132,0)</f>
        <v>0</v>
      </c>
      <c r="AG132" s="51">
        <f>IF(AQ132="2",BI132,0)</f>
        <v>0</v>
      </c>
      <c r="AH132" s="51">
        <f>IF(AQ132="0",BJ132,0)</f>
        <v>0</v>
      </c>
      <c r="AI132" s="15" t="s">
        <v>72</v>
      </c>
      <c r="AJ132" s="51">
        <f>IF(AN132=0,L132,0)</f>
        <v>0</v>
      </c>
      <c r="AK132" s="51">
        <f>IF(AN132=15,L132,0)</f>
        <v>0</v>
      </c>
      <c r="AL132" s="51">
        <f>IF(AN132=21,L132,0)</f>
        <v>0</v>
      </c>
      <c r="AN132" s="51">
        <v>21</v>
      </c>
      <c r="AO132" s="51">
        <f>I132*0</f>
        <v>0</v>
      </c>
      <c r="AP132" s="51">
        <f>I132*(1-0)</f>
        <v>0</v>
      </c>
      <c r="AQ132" s="63" t="s">
        <v>328</v>
      </c>
      <c r="AV132" s="51">
        <f>AW132+AX132</f>
        <v>0</v>
      </c>
      <c r="AW132" s="51">
        <f>H132*AO132</f>
        <v>0</v>
      </c>
      <c r="AX132" s="51">
        <f>H132*AP132</f>
        <v>0</v>
      </c>
      <c r="AY132" s="63" t="s">
        <v>256</v>
      </c>
      <c r="AZ132" s="63" t="s">
        <v>236</v>
      </c>
      <c r="BA132" s="15" t="s">
        <v>349</v>
      </c>
      <c r="BC132" s="51">
        <f>AW132+AX132</f>
        <v>0</v>
      </c>
      <c r="BD132" s="51">
        <f>I132/(100-BE132)*100</f>
        <v>0</v>
      </c>
      <c r="BE132" s="51">
        <v>0</v>
      </c>
      <c r="BF132" s="51">
        <f>132</f>
        <v>132</v>
      </c>
      <c r="BH132" s="51">
        <f>H132*AO132</f>
        <v>0</v>
      </c>
      <c r="BI132" s="51">
        <f>H132*AP132</f>
        <v>0</v>
      </c>
      <c r="BJ132" s="51">
        <f>H132*I132</f>
        <v>0</v>
      </c>
      <c r="BK132" s="51"/>
      <c r="BL132" s="51">
        <v>19</v>
      </c>
    </row>
    <row r="133" spans="1:64" ht="15" customHeight="1">
      <c r="A133" s="16" t="s">
        <v>224</v>
      </c>
      <c r="B133" s="47" t="s">
        <v>108</v>
      </c>
      <c r="C133" s="95" t="s">
        <v>253</v>
      </c>
      <c r="D133" s="95"/>
      <c r="E133" s="95"/>
      <c r="F133" s="95"/>
      <c r="G133" s="22" t="s">
        <v>298</v>
      </c>
      <c r="H133" s="22" t="s">
        <v>298</v>
      </c>
      <c r="I133" s="22" t="s">
        <v>298</v>
      </c>
      <c r="J133" s="19">
        <f>SUM(J134:J135)</f>
        <v>0</v>
      </c>
      <c r="K133" s="19">
        <f>SUM(K134:K135)</f>
        <v>0</v>
      </c>
      <c r="L133" s="19">
        <f>SUM(L134:L135)</f>
        <v>0</v>
      </c>
      <c r="M133" s="31" t="s">
        <v>224</v>
      </c>
      <c r="AI133" s="15" t="s">
        <v>72</v>
      </c>
      <c r="AS133" s="19">
        <f>SUM(AJ134:AJ135)</f>
        <v>0</v>
      </c>
      <c r="AT133" s="19">
        <f>SUM(AK134:AK135)</f>
        <v>0</v>
      </c>
      <c r="AU133" s="19">
        <f>SUM(AL134:AL135)</f>
        <v>0</v>
      </c>
    </row>
    <row r="134" spans="1:64" ht="15" customHeight="1">
      <c r="A134" s="29" t="s">
        <v>204</v>
      </c>
      <c r="B134" s="2" t="s">
        <v>265</v>
      </c>
      <c r="C134" s="79" t="s">
        <v>59</v>
      </c>
      <c r="D134" s="79"/>
      <c r="E134" s="79"/>
      <c r="F134" s="79"/>
      <c r="G134" s="2" t="s">
        <v>312</v>
      </c>
      <c r="H134" s="51">
        <v>585</v>
      </c>
      <c r="I134" s="51">
        <v>0</v>
      </c>
      <c r="J134" s="51">
        <f>H134*AO134</f>
        <v>0</v>
      </c>
      <c r="K134" s="51">
        <f>H134*AP134</f>
        <v>0</v>
      </c>
      <c r="L134" s="51">
        <f>H134*I134</f>
        <v>0</v>
      </c>
      <c r="M134" s="44" t="s">
        <v>277</v>
      </c>
      <c r="Z134" s="51">
        <f>IF(AQ134="5",BJ134,0)</f>
        <v>0</v>
      </c>
      <c r="AB134" s="51">
        <f>IF(AQ134="1",BH134,0)</f>
        <v>0</v>
      </c>
      <c r="AC134" s="51">
        <f>IF(AQ134="1",BI134,0)</f>
        <v>0</v>
      </c>
      <c r="AD134" s="51">
        <f>IF(AQ134="7",BH134,0)</f>
        <v>0</v>
      </c>
      <c r="AE134" s="51">
        <f>IF(AQ134="7",BI134,0)</f>
        <v>0</v>
      </c>
      <c r="AF134" s="51">
        <f>IF(AQ134="2",BH134,0)</f>
        <v>0</v>
      </c>
      <c r="AG134" s="51">
        <f>IF(AQ134="2",BI134,0)</f>
        <v>0</v>
      </c>
      <c r="AH134" s="51">
        <f>IF(AQ134="0",BJ134,0)</f>
        <v>0</v>
      </c>
      <c r="AI134" s="15" t="s">
        <v>72</v>
      </c>
      <c r="AJ134" s="51">
        <f>IF(AN134=0,L134,0)</f>
        <v>0</v>
      </c>
      <c r="AK134" s="51">
        <f>IF(AN134=15,L134,0)</f>
        <v>0</v>
      </c>
      <c r="AL134" s="51">
        <f>IF(AN134=21,L134,0)</f>
        <v>0</v>
      </c>
      <c r="AN134" s="51">
        <v>21</v>
      </c>
      <c r="AO134" s="51">
        <f>I134*0.896465621230398</f>
        <v>0</v>
      </c>
      <c r="AP134" s="51">
        <f>I134*(1-0.896465621230398)</f>
        <v>0</v>
      </c>
      <c r="AQ134" s="63" t="s">
        <v>328</v>
      </c>
      <c r="AV134" s="51">
        <f>AW134+AX134</f>
        <v>0</v>
      </c>
      <c r="AW134" s="51">
        <f>H134*AO134</f>
        <v>0</v>
      </c>
      <c r="AX134" s="51">
        <f>H134*AP134</f>
        <v>0</v>
      </c>
      <c r="AY134" s="63" t="s">
        <v>150</v>
      </c>
      <c r="AZ134" s="63" t="s">
        <v>148</v>
      </c>
      <c r="BA134" s="15" t="s">
        <v>349</v>
      </c>
      <c r="BC134" s="51">
        <f>AW134+AX134</f>
        <v>0</v>
      </c>
      <c r="BD134" s="51">
        <f>I134/(100-BE134)*100</f>
        <v>0</v>
      </c>
      <c r="BE134" s="51">
        <v>0</v>
      </c>
      <c r="BF134" s="51">
        <f>134</f>
        <v>134</v>
      </c>
      <c r="BH134" s="51">
        <f>H134*AO134</f>
        <v>0</v>
      </c>
      <c r="BI134" s="51">
        <f>H134*AP134</f>
        <v>0</v>
      </c>
      <c r="BJ134" s="51">
        <f>H134*I134</f>
        <v>0</v>
      </c>
      <c r="BK134" s="51"/>
      <c r="BL134" s="51">
        <v>45</v>
      </c>
    </row>
    <row r="135" spans="1:64" ht="15" customHeight="1">
      <c r="A135" s="29" t="s">
        <v>193</v>
      </c>
      <c r="B135" s="2" t="s">
        <v>130</v>
      </c>
      <c r="C135" s="79" t="s">
        <v>289</v>
      </c>
      <c r="D135" s="79"/>
      <c r="E135" s="79"/>
      <c r="F135" s="79"/>
      <c r="G135" s="2" t="s">
        <v>137</v>
      </c>
      <c r="H135" s="51">
        <v>1105.6500000000001</v>
      </c>
      <c r="I135" s="51">
        <v>0</v>
      </c>
      <c r="J135" s="51">
        <f>H135*AO135</f>
        <v>0</v>
      </c>
      <c r="K135" s="51">
        <f>H135*AP135</f>
        <v>0</v>
      </c>
      <c r="L135" s="51">
        <f>H135*I135</f>
        <v>0</v>
      </c>
      <c r="M135" s="44" t="s">
        <v>218</v>
      </c>
      <c r="Z135" s="51">
        <f>IF(AQ135="5",BJ135,0)</f>
        <v>0</v>
      </c>
      <c r="AB135" s="51">
        <f>IF(AQ135="1",BH135,0)</f>
        <v>0</v>
      </c>
      <c r="AC135" s="51">
        <f>IF(AQ135="1",BI135,0)</f>
        <v>0</v>
      </c>
      <c r="AD135" s="51">
        <f>IF(AQ135="7",BH135,0)</f>
        <v>0</v>
      </c>
      <c r="AE135" s="51">
        <f>IF(AQ135="7",BI135,0)</f>
        <v>0</v>
      </c>
      <c r="AF135" s="51">
        <f>IF(AQ135="2",BH135,0)</f>
        <v>0</v>
      </c>
      <c r="AG135" s="51">
        <f>IF(AQ135="2",BI135,0)</f>
        <v>0</v>
      </c>
      <c r="AH135" s="51">
        <f>IF(AQ135="0",BJ135,0)</f>
        <v>0</v>
      </c>
      <c r="AI135" s="15" t="s">
        <v>72</v>
      </c>
      <c r="AJ135" s="51">
        <f>IF(AN135=0,L135,0)</f>
        <v>0</v>
      </c>
      <c r="AK135" s="51">
        <f>IF(AN135=15,L135,0)</f>
        <v>0</v>
      </c>
      <c r="AL135" s="51">
        <f>IF(AN135=21,L135,0)</f>
        <v>0</v>
      </c>
      <c r="AN135" s="51">
        <v>21</v>
      </c>
      <c r="AO135" s="51">
        <f>I135*0</f>
        <v>0</v>
      </c>
      <c r="AP135" s="51">
        <f>I135*(1-0)</f>
        <v>0</v>
      </c>
      <c r="AQ135" s="63" t="s">
        <v>164</v>
      </c>
      <c r="AV135" s="51">
        <f>AW135+AX135</f>
        <v>0</v>
      </c>
      <c r="AW135" s="51">
        <f>H135*AO135</f>
        <v>0</v>
      </c>
      <c r="AX135" s="51">
        <f>H135*AP135</f>
        <v>0</v>
      </c>
      <c r="AY135" s="63" t="s">
        <v>150</v>
      </c>
      <c r="AZ135" s="63" t="s">
        <v>148</v>
      </c>
      <c r="BA135" s="15" t="s">
        <v>349</v>
      </c>
      <c r="BC135" s="51">
        <f>AW135+AX135</f>
        <v>0</v>
      </c>
      <c r="BD135" s="51">
        <f>I135/(100-BE135)*100</f>
        <v>0</v>
      </c>
      <c r="BE135" s="51">
        <v>0</v>
      </c>
      <c r="BF135" s="51">
        <f>135</f>
        <v>135</v>
      </c>
      <c r="BH135" s="51">
        <f>H135*AO135</f>
        <v>0</v>
      </c>
      <c r="BI135" s="51">
        <f>H135*AP135</f>
        <v>0</v>
      </c>
      <c r="BJ135" s="51">
        <f>H135*I135</f>
        <v>0</v>
      </c>
      <c r="BK135" s="51"/>
      <c r="BL135" s="51">
        <v>45</v>
      </c>
    </row>
    <row r="136" spans="1:64" ht="27" customHeight="1">
      <c r="A136" s="59"/>
      <c r="B136" s="57" t="s">
        <v>113</v>
      </c>
      <c r="C136" s="101" t="s">
        <v>44</v>
      </c>
      <c r="D136" s="102"/>
      <c r="E136" s="102"/>
      <c r="F136" s="102"/>
      <c r="G136" s="102"/>
      <c r="H136" s="102"/>
      <c r="I136" s="102"/>
      <c r="J136" s="102"/>
      <c r="K136" s="102"/>
      <c r="L136" s="102"/>
      <c r="M136" s="103"/>
    </row>
    <row r="137" spans="1:64" ht="15" customHeight="1">
      <c r="J137" s="85" t="s">
        <v>260</v>
      </c>
      <c r="K137" s="85"/>
      <c r="L137" s="70">
        <f>L14+L17+L19+L21+L26+L28+L30+L35+L37+L40+L43+L45+L52+L56+L61+L81+L93+L100+L117+L123+L126+L128+L131+L133</f>
        <v>0</v>
      </c>
    </row>
    <row r="138" spans="1:64" ht="15" customHeight="1">
      <c r="A138" s="14" t="s">
        <v>24</v>
      </c>
    </row>
    <row r="139" spans="1:64" ht="12.75" customHeight="1">
      <c r="A139" s="82" t="s">
        <v>224</v>
      </c>
      <c r="B139" s="79"/>
      <c r="C139" s="79"/>
      <c r="D139" s="79"/>
      <c r="E139" s="79"/>
      <c r="F139" s="79"/>
      <c r="G139" s="79"/>
      <c r="H139" s="79"/>
      <c r="I139" s="79"/>
      <c r="J139" s="79"/>
      <c r="K139" s="79"/>
      <c r="L139" s="79"/>
      <c r="M139" s="79"/>
    </row>
  </sheetData>
  <mergeCells count="155">
    <mergeCell ref="C136:M136"/>
    <mergeCell ref="J137:K137"/>
    <mergeCell ref="A139:M139"/>
    <mergeCell ref="C130:M130"/>
    <mergeCell ref="C131:F131"/>
    <mergeCell ref="C132:F132"/>
    <mergeCell ref="C133:F133"/>
    <mergeCell ref="C134:F134"/>
    <mergeCell ref="C135:F135"/>
    <mergeCell ref="C124:F124"/>
    <mergeCell ref="C125:M125"/>
    <mergeCell ref="C126:F126"/>
    <mergeCell ref="C127:F127"/>
    <mergeCell ref="C128:F128"/>
    <mergeCell ref="C129:F129"/>
    <mergeCell ref="C118:F118"/>
    <mergeCell ref="C119:F119"/>
    <mergeCell ref="C120:M120"/>
    <mergeCell ref="C121:F121"/>
    <mergeCell ref="C122:F122"/>
    <mergeCell ref="C123:F123"/>
    <mergeCell ref="C112:M112"/>
    <mergeCell ref="C113:F113"/>
    <mergeCell ref="C114:M114"/>
    <mergeCell ref="C115:F115"/>
    <mergeCell ref="C116:F116"/>
    <mergeCell ref="C117:F117"/>
    <mergeCell ref="C106:M106"/>
    <mergeCell ref="C107:M107"/>
    <mergeCell ref="C108:F108"/>
    <mergeCell ref="C109:M109"/>
    <mergeCell ref="C110:M110"/>
    <mergeCell ref="C111:F111"/>
    <mergeCell ref="C100:F100"/>
    <mergeCell ref="C101:F101"/>
    <mergeCell ref="C102:M102"/>
    <mergeCell ref="C103:F103"/>
    <mergeCell ref="C104:M104"/>
    <mergeCell ref="C105:F105"/>
    <mergeCell ref="C94:F94"/>
    <mergeCell ref="C95:M95"/>
    <mergeCell ref="C96:M96"/>
    <mergeCell ref="C97:F97"/>
    <mergeCell ref="C98:M98"/>
    <mergeCell ref="C99:M99"/>
    <mergeCell ref="C88:F88"/>
    <mergeCell ref="C89:M89"/>
    <mergeCell ref="C90:M90"/>
    <mergeCell ref="C91:F91"/>
    <mergeCell ref="C92:M92"/>
    <mergeCell ref="C93:F93"/>
    <mergeCell ref="C82:F82"/>
    <mergeCell ref="C83:M83"/>
    <mergeCell ref="C84:M84"/>
    <mergeCell ref="C85:F85"/>
    <mergeCell ref="C86:M86"/>
    <mergeCell ref="C87:M87"/>
    <mergeCell ref="C76:F76"/>
    <mergeCell ref="C77:F77"/>
    <mergeCell ref="C78:M78"/>
    <mergeCell ref="C79:F79"/>
    <mergeCell ref="C80:F80"/>
    <mergeCell ref="C81:F81"/>
    <mergeCell ref="C70:F70"/>
    <mergeCell ref="C71:M71"/>
    <mergeCell ref="C72:F72"/>
    <mergeCell ref="C73:M73"/>
    <mergeCell ref="C74:F74"/>
    <mergeCell ref="C75:M75"/>
    <mergeCell ref="C64:F64"/>
    <mergeCell ref="C65:M65"/>
    <mergeCell ref="C66:F66"/>
    <mergeCell ref="C67:M67"/>
    <mergeCell ref="C68:F68"/>
    <mergeCell ref="C69:M69"/>
    <mergeCell ref="C58:M58"/>
    <mergeCell ref="C59:F59"/>
    <mergeCell ref="C60:F60"/>
    <mergeCell ref="C61:F61"/>
    <mergeCell ref="C62:F62"/>
    <mergeCell ref="C63:M63"/>
    <mergeCell ref="C52:F52"/>
    <mergeCell ref="C53:F53"/>
    <mergeCell ref="C54:M54"/>
    <mergeCell ref="C55:F55"/>
    <mergeCell ref="C56:F56"/>
    <mergeCell ref="C57:F57"/>
    <mergeCell ref="C46:F46"/>
    <mergeCell ref="C47:M47"/>
    <mergeCell ref="C48:M48"/>
    <mergeCell ref="C49:F49"/>
    <mergeCell ref="C50:F50"/>
    <mergeCell ref="C51:M51"/>
    <mergeCell ref="C40:F40"/>
    <mergeCell ref="C41:F41"/>
    <mergeCell ref="C42:M42"/>
    <mergeCell ref="C43:F43"/>
    <mergeCell ref="C44:F44"/>
    <mergeCell ref="C45:F45"/>
    <mergeCell ref="C34:M34"/>
    <mergeCell ref="C35:F35"/>
    <mergeCell ref="C36:F36"/>
    <mergeCell ref="C37:F37"/>
    <mergeCell ref="C38:F38"/>
    <mergeCell ref="C39:M39"/>
    <mergeCell ref="C28:F28"/>
    <mergeCell ref="C29:F29"/>
    <mergeCell ref="C30:F30"/>
    <mergeCell ref="C31:F31"/>
    <mergeCell ref="C32:M32"/>
    <mergeCell ref="C33:F33"/>
    <mergeCell ref="C22:F22"/>
    <mergeCell ref="C23:M23"/>
    <mergeCell ref="C24:F24"/>
    <mergeCell ref="C25:F25"/>
    <mergeCell ref="C26:F26"/>
    <mergeCell ref="C27:F27"/>
    <mergeCell ref="C16:F16"/>
    <mergeCell ref="C17:F17"/>
    <mergeCell ref="C18:F18"/>
    <mergeCell ref="C19:F19"/>
    <mergeCell ref="C20:F20"/>
    <mergeCell ref="C21:F21"/>
    <mergeCell ref="C11:F11"/>
    <mergeCell ref="J10:L10"/>
    <mergeCell ref="C12:F12"/>
    <mergeCell ref="C13:F13"/>
    <mergeCell ref="C14:F14"/>
    <mergeCell ref="C15:F15"/>
    <mergeCell ref="G8:H9"/>
    <mergeCell ref="J2:M3"/>
    <mergeCell ref="J4:M5"/>
    <mergeCell ref="J6:M7"/>
    <mergeCell ref="J8:M9"/>
    <mergeCell ref="C10:F10"/>
    <mergeCell ref="I4:I5"/>
    <mergeCell ref="I6:I7"/>
    <mergeCell ref="I8:I9"/>
    <mergeCell ref="C2:D3"/>
    <mergeCell ref="C4:D5"/>
    <mergeCell ref="C6:D7"/>
    <mergeCell ref="C8:D9"/>
    <mergeCell ref="G2:H3"/>
    <mergeCell ref="G4:H5"/>
    <mergeCell ref="G6:H7"/>
    <mergeCell ref="A1:M1"/>
    <mergeCell ref="A2:B3"/>
    <mergeCell ref="A4:B5"/>
    <mergeCell ref="A6:B7"/>
    <mergeCell ref="A8:B9"/>
    <mergeCell ref="E2:F3"/>
    <mergeCell ref="E4:F5"/>
    <mergeCell ref="E6:F7"/>
    <mergeCell ref="E8:F9"/>
    <mergeCell ref="I2:I3"/>
  </mergeCells>
  <pageMargins left="0.39400000000000002" right="0.39400000000000002" top="0.59099999999999997" bottom="0.59099999999999997" header="0" footer="0"/>
  <pageSetup paperSize="0" firstPageNumber="0" fitToHeight="0" orientation="landscape" useFirstPageNumber="1" horizontalDpi="0" verticalDpi="0" copies="0"/>
  <headerFooter alignWithMargins="0"/>
  <drawing r:id="rId1"/>
  <legacyDrawing r:id="rId2"/>
</worksheet>
</file>

<file path=xl/worksheets/sheet2.xml><?xml version="1.0" encoding="utf-8"?>
<worksheet xmlns="http://schemas.openxmlformats.org/spreadsheetml/2006/main" xmlns:r="http://schemas.openxmlformats.org/officeDocument/2006/relationships">
  <sheetPr>
    <pageSetUpPr autoPageBreaks="0" fitToPage="1"/>
  </sheetPr>
  <dimension ref="A1:I37"/>
  <sheetViews>
    <sheetView showOutlineSymbols="0" workbookViewId="0">
      <selection activeCell="A37" sqref="A37:I37"/>
    </sheetView>
  </sheetViews>
  <sheetFormatPr defaultColWidth="14.1640625" defaultRowHeight="15" customHeight="1"/>
  <cols>
    <col min="1" max="1" width="10.6640625"/>
    <col min="2" max="2" width="15"/>
    <col min="3" max="3" width="31.6640625"/>
    <col min="4" max="4" width="11.6640625"/>
    <col min="5" max="5" width="16.33203125"/>
    <col min="6" max="6" width="31.6640625"/>
    <col min="7" max="7" width="10.6640625"/>
    <col min="8" max="8" width="15"/>
    <col min="9" max="9" width="31.6640625"/>
  </cols>
  <sheetData>
    <row r="1" spans="1:9" ht="54.75" customHeight="1">
      <c r="A1" s="104" t="s">
        <v>66</v>
      </c>
      <c r="B1" s="75"/>
      <c r="C1" s="75"/>
      <c r="D1" s="75"/>
      <c r="E1" s="75"/>
      <c r="F1" s="75"/>
      <c r="G1" s="75"/>
      <c r="H1" s="75"/>
      <c r="I1" s="75"/>
    </row>
    <row r="2" spans="1:9" ht="15" customHeight="1">
      <c r="A2" s="76" t="s">
        <v>16</v>
      </c>
      <c r="B2" s="77"/>
      <c r="C2" s="83" t="str">
        <f>'Stavební rozpočet'!C2</f>
        <v>Chodník na ul. Hradištská - ZNOJMO</v>
      </c>
      <c r="D2" s="84"/>
      <c r="E2" s="81" t="s">
        <v>280</v>
      </c>
      <c r="F2" s="81" t="str">
        <f>'Stavební rozpočet'!J2</f>
        <v> </v>
      </c>
      <c r="G2" s="77"/>
      <c r="H2" s="81" t="s">
        <v>200</v>
      </c>
      <c r="I2" s="86" t="s">
        <v>224</v>
      </c>
    </row>
    <row r="3" spans="1:9" ht="15" customHeight="1">
      <c r="A3" s="78"/>
      <c r="B3" s="79"/>
      <c r="C3" s="85"/>
      <c r="D3" s="85"/>
      <c r="E3" s="79"/>
      <c r="F3" s="79"/>
      <c r="G3" s="79"/>
      <c r="H3" s="79"/>
      <c r="I3" s="87"/>
    </row>
    <row r="4" spans="1:9" ht="15" customHeight="1">
      <c r="A4" s="80" t="s">
        <v>168</v>
      </c>
      <c r="B4" s="79"/>
      <c r="C4" s="82" t="str">
        <f>'Stavební rozpočet'!C4</f>
        <v xml:space="preserve"> </v>
      </c>
      <c r="D4" s="79"/>
      <c r="E4" s="82" t="s">
        <v>221</v>
      </c>
      <c r="F4" s="82" t="str">
        <f>'Stavební rozpočet'!J4</f>
        <v> </v>
      </c>
      <c r="G4" s="79"/>
      <c r="H4" s="82" t="s">
        <v>200</v>
      </c>
      <c r="I4" s="87" t="s">
        <v>224</v>
      </c>
    </row>
    <row r="5" spans="1:9" ht="15" customHeight="1">
      <c r="A5" s="78"/>
      <c r="B5" s="79"/>
      <c r="C5" s="79"/>
      <c r="D5" s="79"/>
      <c r="E5" s="79"/>
      <c r="F5" s="79"/>
      <c r="G5" s="79"/>
      <c r="H5" s="79"/>
      <c r="I5" s="87"/>
    </row>
    <row r="6" spans="1:9" ht="15" customHeight="1">
      <c r="A6" s="80" t="s">
        <v>25</v>
      </c>
      <c r="B6" s="79"/>
      <c r="C6" s="82" t="str">
        <f>'Stavební rozpočet'!C6</f>
        <v xml:space="preserve"> </v>
      </c>
      <c r="D6" s="79"/>
      <c r="E6" s="82" t="s">
        <v>286</v>
      </c>
      <c r="F6" s="82" t="str">
        <f>'Stavební rozpočet'!J6</f>
        <v> </v>
      </c>
      <c r="G6" s="79"/>
      <c r="H6" s="82" t="s">
        <v>200</v>
      </c>
      <c r="I6" s="87" t="s">
        <v>224</v>
      </c>
    </row>
    <row r="7" spans="1:9" ht="15" customHeight="1">
      <c r="A7" s="78"/>
      <c r="B7" s="79"/>
      <c r="C7" s="79"/>
      <c r="D7" s="79"/>
      <c r="E7" s="79"/>
      <c r="F7" s="79"/>
      <c r="G7" s="79"/>
      <c r="H7" s="79"/>
      <c r="I7" s="87"/>
    </row>
    <row r="8" spans="1:9" ht="15" customHeight="1">
      <c r="A8" s="80" t="s">
        <v>288</v>
      </c>
      <c r="B8" s="79"/>
      <c r="C8" s="82" t="str">
        <f>'Stavební rozpočet'!G4</f>
        <v>13.08.2021</v>
      </c>
      <c r="D8" s="79"/>
      <c r="E8" s="82" t="s">
        <v>93</v>
      </c>
      <c r="F8" s="82" t="str">
        <f>'Stavební rozpočet'!G6</f>
        <v xml:space="preserve"> </v>
      </c>
      <c r="G8" s="79"/>
      <c r="H8" s="79" t="s">
        <v>332</v>
      </c>
      <c r="I8" s="107">
        <v>56</v>
      </c>
    </row>
    <row r="9" spans="1:9" ht="15" customHeight="1">
      <c r="A9" s="78"/>
      <c r="B9" s="79"/>
      <c r="C9" s="79"/>
      <c r="D9" s="79"/>
      <c r="E9" s="79"/>
      <c r="F9" s="79"/>
      <c r="G9" s="79"/>
      <c r="H9" s="79"/>
      <c r="I9" s="87"/>
    </row>
    <row r="10" spans="1:9" ht="15" customHeight="1">
      <c r="A10" s="80" t="s">
        <v>149</v>
      </c>
      <c r="B10" s="79"/>
      <c r="C10" s="82" t="str">
        <f>'Stavební rozpočet'!C8</f>
        <v xml:space="preserve"> </v>
      </c>
      <c r="D10" s="79"/>
      <c r="E10" s="82" t="s">
        <v>206</v>
      </c>
      <c r="F10" s="82" t="str">
        <f>'Stavební rozpočet'!J8</f>
        <v> </v>
      </c>
      <c r="G10" s="79"/>
      <c r="H10" s="79" t="s">
        <v>313</v>
      </c>
      <c r="I10" s="108" t="str">
        <f>'Stavební rozpočet'!G8</f>
        <v>13.08.2021</v>
      </c>
    </row>
    <row r="11" spans="1:9" ht="15" customHeight="1">
      <c r="A11" s="105"/>
      <c r="B11" s="106"/>
      <c r="C11" s="106"/>
      <c r="D11" s="106"/>
      <c r="E11" s="106"/>
      <c r="F11" s="106"/>
      <c r="G11" s="106"/>
      <c r="H11" s="106"/>
      <c r="I11" s="109"/>
    </row>
    <row r="12" spans="1:9" ht="22.5" customHeight="1">
      <c r="A12" s="110" t="s">
        <v>48</v>
      </c>
      <c r="B12" s="110"/>
      <c r="C12" s="110"/>
      <c r="D12" s="110"/>
      <c r="E12" s="110"/>
      <c r="F12" s="110"/>
      <c r="G12" s="110"/>
      <c r="H12" s="110"/>
      <c r="I12" s="110"/>
    </row>
    <row r="13" spans="1:9" ht="26.25" customHeight="1">
      <c r="A13" s="46" t="s">
        <v>290</v>
      </c>
      <c r="B13" s="111" t="s">
        <v>39</v>
      </c>
      <c r="C13" s="112"/>
      <c r="D13" s="34" t="s">
        <v>49</v>
      </c>
      <c r="E13" s="111" t="s">
        <v>112</v>
      </c>
      <c r="F13" s="112"/>
      <c r="G13" s="34" t="s">
        <v>195</v>
      </c>
      <c r="H13" s="111" t="s">
        <v>50</v>
      </c>
      <c r="I13" s="112"/>
    </row>
    <row r="14" spans="1:9" ht="15" customHeight="1">
      <c r="A14" s="24" t="s">
        <v>115</v>
      </c>
      <c r="B14" s="56" t="s">
        <v>75</v>
      </c>
      <c r="C14" s="10">
        <f>SUM('Stavební rozpočet'!AB12:AB136)</f>
        <v>0</v>
      </c>
      <c r="D14" s="119" t="s">
        <v>233</v>
      </c>
      <c r="E14" s="120"/>
      <c r="F14" s="10">
        <v>0</v>
      </c>
      <c r="G14" s="119" t="s">
        <v>32</v>
      </c>
      <c r="H14" s="120"/>
      <c r="I14" s="40" t="s">
        <v>162</v>
      </c>
    </row>
    <row r="15" spans="1:9" ht="15" customHeight="1">
      <c r="A15" s="60" t="s">
        <v>224</v>
      </c>
      <c r="B15" s="56" t="s">
        <v>54</v>
      </c>
      <c r="C15" s="10">
        <f>SUM('Stavební rozpočet'!AC12:AC136)</f>
        <v>0</v>
      </c>
      <c r="D15" s="119" t="s">
        <v>30</v>
      </c>
      <c r="E15" s="120"/>
      <c r="F15" s="10">
        <v>0</v>
      </c>
      <c r="G15" s="119" t="s">
        <v>261</v>
      </c>
      <c r="H15" s="120"/>
      <c r="I15" s="40" t="s">
        <v>162</v>
      </c>
    </row>
    <row r="16" spans="1:9" ht="15" customHeight="1">
      <c r="A16" s="24" t="s">
        <v>28</v>
      </c>
      <c r="B16" s="56" t="s">
        <v>75</v>
      </c>
      <c r="C16" s="10">
        <f>SUM('Stavební rozpočet'!AD12:AD136)</f>
        <v>0</v>
      </c>
      <c r="D16" s="119" t="s">
        <v>241</v>
      </c>
      <c r="E16" s="120"/>
      <c r="F16" s="10">
        <v>0</v>
      </c>
      <c r="G16" s="119" t="s">
        <v>310</v>
      </c>
      <c r="H16" s="120"/>
      <c r="I16" s="40" t="s">
        <v>162</v>
      </c>
    </row>
    <row r="17" spans="1:9" ht="15" customHeight="1">
      <c r="A17" s="60" t="s">
        <v>224</v>
      </c>
      <c r="B17" s="56" t="s">
        <v>54</v>
      </c>
      <c r="C17" s="10">
        <f>SUM('Stavební rozpočet'!AE12:AE136)</f>
        <v>0</v>
      </c>
      <c r="D17" s="119" t="s">
        <v>224</v>
      </c>
      <c r="E17" s="120"/>
      <c r="F17" s="40" t="s">
        <v>224</v>
      </c>
      <c r="G17" s="119" t="s">
        <v>163</v>
      </c>
      <c r="H17" s="120"/>
      <c r="I17" s="40" t="s">
        <v>162</v>
      </c>
    </row>
    <row r="18" spans="1:9" ht="15" customHeight="1">
      <c r="A18" s="24" t="s">
        <v>86</v>
      </c>
      <c r="B18" s="56" t="s">
        <v>75</v>
      </c>
      <c r="C18" s="10">
        <f>SUM('Stavební rozpočet'!AF12:AF136)</f>
        <v>0</v>
      </c>
      <c r="D18" s="119" t="s">
        <v>224</v>
      </c>
      <c r="E18" s="120"/>
      <c r="F18" s="40" t="s">
        <v>224</v>
      </c>
      <c r="G18" s="119" t="s">
        <v>201</v>
      </c>
      <c r="H18" s="120"/>
      <c r="I18" s="40" t="s">
        <v>162</v>
      </c>
    </row>
    <row r="19" spans="1:9" ht="15" customHeight="1">
      <c r="A19" s="60" t="s">
        <v>224</v>
      </c>
      <c r="B19" s="56" t="s">
        <v>54</v>
      </c>
      <c r="C19" s="10">
        <f>SUM('Stavební rozpočet'!AG12:AG136)</f>
        <v>0</v>
      </c>
      <c r="D19" s="119" t="s">
        <v>224</v>
      </c>
      <c r="E19" s="120"/>
      <c r="F19" s="40" t="s">
        <v>224</v>
      </c>
      <c r="G19" s="119" t="s">
        <v>325</v>
      </c>
      <c r="H19" s="120"/>
      <c r="I19" s="40" t="s">
        <v>162</v>
      </c>
    </row>
    <row r="20" spans="1:9" ht="15" customHeight="1">
      <c r="A20" s="113" t="s">
        <v>17</v>
      </c>
      <c r="B20" s="114"/>
      <c r="C20" s="10">
        <f>SUM('Stavební rozpočet'!AH12:AH136)</f>
        <v>0</v>
      </c>
      <c r="D20" s="119" t="s">
        <v>224</v>
      </c>
      <c r="E20" s="120"/>
      <c r="F20" s="40" t="s">
        <v>224</v>
      </c>
      <c r="G20" s="119" t="s">
        <v>224</v>
      </c>
      <c r="H20" s="120"/>
      <c r="I20" s="40" t="s">
        <v>224</v>
      </c>
    </row>
    <row r="21" spans="1:9" ht="15" customHeight="1">
      <c r="A21" s="115" t="s">
        <v>324</v>
      </c>
      <c r="B21" s="116"/>
      <c r="C21" s="69">
        <f>SUM('Stavební rozpočet'!Z12:Z136)</f>
        <v>0</v>
      </c>
      <c r="D21" s="121" t="s">
        <v>224</v>
      </c>
      <c r="E21" s="122"/>
      <c r="F21" s="7" t="s">
        <v>224</v>
      </c>
      <c r="G21" s="121" t="s">
        <v>224</v>
      </c>
      <c r="H21" s="122"/>
      <c r="I21" s="7" t="s">
        <v>224</v>
      </c>
    </row>
    <row r="22" spans="1:9" ht="16.5" customHeight="1">
      <c r="A22" s="117" t="s">
        <v>57</v>
      </c>
      <c r="B22" s="118"/>
      <c r="C22" s="18">
        <f>SUM(C14:C21)</f>
        <v>0</v>
      </c>
      <c r="D22" s="123" t="s">
        <v>160</v>
      </c>
      <c r="E22" s="118"/>
      <c r="F22" s="18">
        <f>SUM(F14:F21)</f>
        <v>0</v>
      </c>
      <c r="G22" s="123" t="s">
        <v>333</v>
      </c>
      <c r="H22" s="118"/>
      <c r="I22" s="18">
        <f>SUM(I14:I21)</f>
        <v>0</v>
      </c>
    </row>
    <row r="23" spans="1:9" ht="15" customHeight="1">
      <c r="D23" s="113" t="s">
        <v>263</v>
      </c>
      <c r="E23" s="114"/>
      <c r="F23" s="52">
        <v>0</v>
      </c>
      <c r="G23" s="124" t="s">
        <v>14</v>
      </c>
      <c r="H23" s="114"/>
      <c r="I23" s="10">
        <v>0</v>
      </c>
    </row>
    <row r="24" spans="1:9" ht="15" customHeight="1">
      <c r="G24" s="113" t="s">
        <v>222</v>
      </c>
      <c r="H24" s="114"/>
    </row>
    <row r="25" spans="1:9" ht="15" customHeight="1">
      <c r="G25" s="113" t="s">
        <v>251</v>
      </c>
      <c r="H25" s="114"/>
      <c r="I25" s="18">
        <v>0</v>
      </c>
    </row>
    <row r="27" spans="1:9" ht="15" customHeight="1">
      <c r="A27" s="125" t="s">
        <v>124</v>
      </c>
      <c r="B27" s="126"/>
      <c r="C27" s="5">
        <f>SUM('Stavební rozpočet'!AJ12:AJ136)</f>
        <v>0</v>
      </c>
    </row>
    <row r="28" spans="1:9" ht="15" customHeight="1">
      <c r="A28" s="127" t="s">
        <v>5</v>
      </c>
      <c r="B28" s="128"/>
      <c r="C28" s="61">
        <f>SUM('Stavební rozpočet'!AK12:AK136)</f>
        <v>0</v>
      </c>
      <c r="D28" s="126" t="s">
        <v>65</v>
      </c>
      <c r="E28" s="126"/>
      <c r="F28" s="5">
        <f>ROUND(C28*(15/100),2)</f>
        <v>0</v>
      </c>
      <c r="G28" s="126" t="s">
        <v>43</v>
      </c>
      <c r="H28" s="126"/>
      <c r="I28" s="5">
        <f>SUM(C27:C29)</f>
        <v>0</v>
      </c>
    </row>
    <row r="29" spans="1:9" ht="15" customHeight="1">
      <c r="A29" s="127" t="s">
        <v>9</v>
      </c>
      <c r="B29" s="128"/>
      <c r="C29" s="61">
        <f>SUM('Stavební rozpočet'!AL12:AL136)</f>
        <v>0</v>
      </c>
      <c r="D29" s="128" t="s">
        <v>243</v>
      </c>
      <c r="E29" s="128"/>
      <c r="F29" s="61">
        <f>ROUND(C29*(21/100),2)</f>
        <v>0</v>
      </c>
      <c r="G29" s="128" t="s">
        <v>123</v>
      </c>
      <c r="H29" s="128"/>
      <c r="I29" s="61">
        <f>SUM(F28:F29)+I28</f>
        <v>0</v>
      </c>
    </row>
    <row r="31" spans="1:9" ht="15" customHeight="1">
      <c r="A31" s="129" t="s">
        <v>3</v>
      </c>
      <c r="B31" s="130"/>
      <c r="C31" s="131"/>
      <c r="D31" s="130" t="s">
        <v>303</v>
      </c>
      <c r="E31" s="130"/>
      <c r="F31" s="131"/>
      <c r="G31" s="130" t="s">
        <v>217</v>
      </c>
      <c r="H31" s="130"/>
      <c r="I31" s="131"/>
    </row>
    <row r="32" spans="1:9" ht="15" customHeight="1">
      <c r="A32" s="132" t="s">
        <v>224</v>
      </c>
      <c r="B32" s="121"/>
      <c r="C32" s="133"/>
      <c r="D32" s="121" t="s">
        <v>224</v>
      </c>
      <c r="E32" s="121"/>
      <c r="F32" s="133"/>
      <c r="G32" s="121" t="s">
        <v>224</v>
      </c>
      <c r="H32" s="121"/>
      <c r="I32" s="133"/>
    </row>
    <row r="33" spans="1:9" ht="15" customHeight="1">
      <c r="A33" s="132" t="s">
        <v>224</v>
      </c>
      <c r="B33" s="121"/>
      <c r="C33" s="133"/>
      <c r="D33" s="121" t="s">
        <v>224</v>
      </c>
      <c r="E33" s="121"/>
      <c r="F33" s="133"/>
      <c r="G33" s="121" t="s">
        <v>224</v>
      </c>
      <c r="H33" s="121"/>
      <c r="I33" s="133"/>
    </row>
    <row r="34" spans="1:9" ht="15" customHeight="1">
      <c r="A34" s="132" t="s">
        <v>224</v>
      </c>
      <c r="B34" s="121"/>
      <c r="C34" s="133"/>
      <c r="D34" s="121" t="s">
        <v>224</v>
      </c>
      <c r="E34" s="121"/>
      <c r="F34" s="133"/>
      <c r="G34" s="121" t="s">
        <v>224</v>
      </c>
      <c r="H34" s="121"/>
      <c r="I34" s="133"/>
    </row>
    <row r="35" spans="1:9" ht="15" customHeight="1">
      <c r="A35" s="134" t="s">
        <v>55</v>
      </c>
      <c r="B35" s="135"/>
      <c r="C35" s="136"/>
      <c r="D35" s="135" t="s">
        <v>55</v>
      </c>
      <c r="E35" s="135"/>
      <c r="F35" s="136"/>
      <c r="G35" s="135" t="s">
        <v>55</v>
      </c>
      <c r="H35" s="135"/>
      <c r="I35" s="136"/>
    </row>
    <row r="36" spans="1:9" ht="15" customHeight="1">
      <c r="A36" s="14" t="s">
        <v>24</v>
      </c>
    </row>
    <row r="37" spans="1:9" ht="12.75" customHeight="1">
      <c r="A37" s="82" t="s">
        <v>224</v>
      </c>
      <c r="B37" s="79"/>
      <c r="C37" s="79"/>
      <c r="D37" s="79"/>
      <c r="E37" s="79"/>
      <c r="F37" s="79"/>
      <c r="G37" s="79"/>
      <c r="H37" s="79"/>
      <c r="I37" s="79"/>
    </row>
  </sheetData>
  <mergeCells count="83">
    <mergeCell ref="G31:I31"/>
    <mergeCell ref="G32:I32"/>
    <mergeCell ref="G33:I33"/>
    <mergeCell ref="G34:I34"/>
    <mergeCell ref="G35:I35"/>
    <mergeCell ref="A37:I37"/>
    <mergeCell ref="A31:C31"/>
    <mergeCell ref="A32:C32"/>
    <mergeCell ref="A33:C33"/>
    <mergeCell ref="A34:C34"/>
    <mergeCell ref="A35:C35"/>
    <mergeCell ref="D31:F31"/>
    <mergeCell ref="D32:F32"/>
    <mergeCell ref="D33:F33"/>
    <mergeCell ref="D34:F34"/>
    <mergeCell ref="D35:F35"/>
    <mergeCell ref="A27:B27"/>
    <mergeCell ref="A28:B28"/>
    <mergeCell ref="A29:B29"/>
    <mergeCell ref="D28:E28"/>
    <mergeCell ref="D29:E29"/>
    <mergeCell ref="G28:H28"/>
    <mergeCell ref="G29:H29"/>
    <mergeCell ref="G20:H20"/>
    <mergeCell ref="G21:H21"/>
    <mergeCell ref="G22:H22"/>
    <mergeCell ref="G23:H23"/>
    <mergeCell ref="G24:H24"/>
    <mergeCell ref="G25:H25"/>
    <mergeCell ref="G14:H14"/>
    <mergeCell ref="G15:H15"/>
    <mergeCell ref="G16:H16"/>
    <mergeCell ref="G17:H17"/>
    <mergeCell ref="G18:H18"/>
    <mergeCell ref="G19:H19"/>
    <mergeCell ref="D18:E18"/>
    <mergeCell ref="D19:E19"/>
    <mergeCell ref="D20:E20"/>
    <mergeCell ref="D21:E21"/>
    <mergeCell ref="D22:E22"/>
    <mergeCell ref="D23:E23"/>
    <mergeCell ref="B13:C13"/>
    <mergeCell ref="E13:F13"/>
    <mergeCell ref="H13:I13"/>
    <mergeCell ref="A20:B20"/>
    <mergeCell ref="A21:B21"/>
    <mergeCell ref="A22:B22"/>
    <mergeCell ref="D14:E14"/>
    <mergeCell ref="D15:E15"/>
    <mergeCell ref="D16:E16"/>
    <mergeCell ref="D17:E17"/>
    <mergeCell ref="I2:I3"/>
    <mergeCell ref="I4:I5"/>
    <mergeCell ref="I6:I7"/>
    <mergeCell ref="I8:I9"/>
    <mergeCell ref="I10:I11"/>
    <mergeCell ref="A12:I12"/>
    <mergeCell ref="F2:G3"/>
    <mergeCell ref="F4:G5"/>
    <mergeCell ref="F6:G7"/>
    <mergeCell ref="F8:G9"/>
    <mergeCell ref="F10:G11"/>
    <mergeCell ref="H2:H3"/>
    <mergeCell ref="H4:H5"/>
    <mergeCell ref="H6:H7"/>
    <mergeCell ref="H8:H9"/>
    <mergeCell ref="H10:H11"/>
    <mergeCell ref="E10:E11"/>
    <mergeCell ref="C2:D3"/>
    <mergeCell ref="C4:D5"/>
    <mergeCell ref="C6:D7"/>
    <mergeCell ref="C8:D9"/>
    <mergeCell ref="C10:D11"/>
    <mergeCell ref="A1:I1"/>
    <mergeCell ref="A2:B3"/>
    <mergeCell ref="A4:B5"/>
    <mergeCell ref="A6:B7"/>
    <mergeCell ref="A8:B9"/>
    <mergeCell ref="A10:B11"/>
    <mergeCell ref="E2:E3"/>
    <mergeCell ref="E4:E5"/>
    <mergeCell ref="E6:E7"/>
    <mergeCell ref="E8:E9"/>
  </mergeCells>
  <pageMargins left="0.39400000000000002" right="0.39400000000000002" top="0.59099999999999997" bottom="0.59099999999999997" header="0" footer="0"/>
  <pageSetup paperSize="0" firstPageNumber="0" orientation="landscape" useFirstPageNumber="1" horizontalDpi="0" verticalDpi="0" copies="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listy</vt:lpstr>
      </vt:variant>
      <vt:variant>
        <vt:i4>2</vt:i4>
      </vt:variant>
    </vt:vector>
  </HeadingPairs>
  <TitlesOfParts>
    <vt:vector size="2" baseType="lpstr">
      <vt:lpstr>Stavební rozpočet</vt:lpstr>
      <vt:lpstr>Krycí list rozpočtu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kucer</cp:lastModifiedBy>
  <dcterms:created xsi:type="dcterms:W3CDTF">2021-06-10T20:06:38Z</dcterms:created>
  <dcterms:modified xsi:type="dcterms:W3CDTF">2023-08-15T15:11:42Z</dcterms:modified>
</cp:coreProperties>
</file>