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8780" windowHeight="12470" activeTab="0"/>
  </bookViews>
  <sheets>
    <sheet name="RekapitulaciaStavby" sheetId="1" r:id="rId1"/>
    <sheet name="SupisPrac" sheetId="2" r:id="rId2"/>
    <sheet name="CastiStavby" sheetId="3" r:id="rId3"/>
    <sheet name="001-00" sheetId="4" r:id="rId4"/>
    <sheet name="101-00" sheetId="5" r:id="rId5"/>
    <sheet name="201-00" sheetId="6" r:id="rId6"/>
    <sheet name="PopisPoloziek" sheetId="7" state="veryHidden" r:id="rId7"/>
  </sheets>
  <definedNames/>
  <calcPr fullCalcOnLoad="1" fullPrecision="0"/>
</workbook>
</file>

<file path=xl/sharedStrings.xml><?xml version="1.0" encoding="utf-8"?>
<sst xmlns="http://schemas.openxmlformats.org/spreadsheetml/2006/main" count="3606" uniqueCount="1379">
  <si>
    <t>Číslo časti stavby</t>
  </si>
  <si>
    <t>Klasifikácia stavieb</t>
  </si>
  <si>
    <t>Názov časti stavby</t>
  </si>
  <si>
    <t>Cena bez DPH</t>
  </si>
  <si>
    <t>DPH 20%</t>
  </si>
  <si>
    <t>Cena s DPH</t>
  </si>
  <si>
    <t>001-00</t>
  </si>
  <si>
    <t/>
  </si>
  <si>
    <t>Všeobecné položky</t>
  </si>
  <si>
    <t>101-00</t>
  </si>
  <si>
    <t>2111</t>
  </si>
  <si>
    <t>Úprava cesty R1</t>
  </si>
  <si>
    <t>201-00</t>
  </si>
  <si>
    <t>Oprava mosta ev. č. R1-018</t>
  </si>
  <si>
    <t>Celkový súčet</t>
  </si>
  <si>
    <t>Klasifikácia produkcie</t>
  </si>
  <si>
    <t>Číslo položky</t>
  </si>
  <si>
    <t>Názov položky</t>
  </si>
  <si>
    <t>M.j.</t>
  </si>
  <si>
    <t>Množstvo</t>
  </si>
  <si>
    <t>Jedn. cena s DPH</t>
  </si>
  <si>
    <t>00000106</t>
  </si>
  <si>
    <t>Dokumentácia na vykonanie prác (DVP)</t>
  </si>
  <si>
    <t>sub.</t>
  </si>
  <si>
    <t>45.00.00</t>
  </si>
  <si>
    <t>00000107</t>
  </si>
  <si>
    <t>Dokumentácia skutočného realizovania stavby (DSRS)</t>
  </si>
  <si>
    <t>00010401</t>
  </si>
  <si>
    <t>t</t>
  </si>
  <si>
    <t>00010403</t>
  </si>
  <si>
    <t>m3</t>
  </si>
  <si>
    <t>00010404</t>
  </si>
  <si>
    <t>00020605</t>
  </si>
  <si>
    <t>Požiadavky objednávateľa pomocné práce zhotovovacie alebo zaisťovacie lešenia</t>
  </si>
  <si>
    <t>00020661</t>
  </si>
  <si>
    <t>Prieskumné práce, stavebný prieskum, stavebno - statického stavu</t>
  </si>
  <si>
    <t>00020705</t>
  </si>
  <si>
    <t>Požiadavky objednávateľa prieskumné práce diagnostický prieskum  konštrukcií</t>
  </si>
  <si>
    <t>m2</t>
  </si>
  <si>
    <t>00020801</t>
  </si>
  <si>
    <t>Požiadavky objednávateľa ostatné požiadavky geodetické zabezpečenie</t>
  </si>
  <si>
    <t>00030705</t>
  </si>
  <si>
    <t>Staveniskové náklady zhotoviteľa pomocné práce zhotovovacie alebo zaisťovacie lešenia</t>
  </si>
  <si>
    <t>00060121</t>
  </si>
  <si>
    <t>Zariadenie staveniska, prevádzkové, oplotenie staveniska</t>
  </si>
  <si>
    <t>m</t>
  </si>
  <si>
    <t>00120100</t>
  </si>
  <si>
    <t>Monitoring, monitoring</t>
  </si>
  <si>
    <t>45.11.11 - Demolačné práce</t>
  </si>
  <si>
    <t>45.11.11</t>
  </si>
  <si>
    <t>05010304</t>
  </si>
  <si>
    <t>Búranie konštrukcií stropov, klenieb, schodov betónových</t>
  </si>
  <si>
    <t>05010305</t>
  </si>
  <si>
    <t>Búranie konštrukcií stropov, klenieb, schodov železobetónových</t>
  </si>
  <si>
    <t>05010405</t>
  </si>
  <si>
    <t>Búranie konštrukcií trámov, nosníkov, prievlakov, konzolových prvkov železobetónových</t>
  </si>
  <si>
    <t>05020131</t>
  </si>
  <si>
    <t>Vybúranie, odstránenie konštrukcií - izolácie povlakovej</t>
  </si>
  <si>
    <t>05020885</t>
  </si>
  <si>
    <t>Vybúranie konštrukcií a demontáže, rezanie výstuže</t>
  </si>
  <si>
    <t>ks</t>
  </si>
  <si>
    <t>05020907</t>
  </si>
  <si>
    <t>Vybúranie, odstránenie konštrukcií, rôznych predmetov kovových</t>
  </si>
  <si>
    <t>05020910</t>
  </si>
  <si>
    <t>Vybúranie, odstránenie konštrukcií, rôznych predmetov z plastov</t>
  </si>
  <si>
    <t>05030162</t>
  </si>
  <si>
    <t>Odstránenie spevnených plôch a vozoviek, krytov bitúmenových</t>
  </si>
  <si>
    <t>05030166</t>
  </si>
  <si>
    <t>Odstránenie spevnených plôch vozoviek a doplňujúcich konštrukcií krytov dláždených</t>
  </si>
  <si>
    <t>05030261</t>
  </si>
  <si>
    <t>Odstránenie spevnených plôch a vozoviek, podkladov z betónu prostého</t>
  </si>
  <si>
    <t>05030262</t>
  </si>
  <si>
    <t>Odstránenie spevnených plôch a vozoviek, podkladov bitúmenových</t>
  </si>
  <si>
    <t>05030264</t>
  </si>
  <si>
    <t>Odstránenie spevnených plôch a vozoviek, podkladov z kameniva hrubého drveného</t>
  </si>
  <si>
    <t>05030407</t>
  </si>
  <si>
    <t>Odstránenie spevnených plôch a vozoviek, zvodidiel, zábradlia,stien, oplotenia kovových</t>
  </si>
  <si>
    <t>05030507</t>
  </si>
  <si>
    <t>Odstránenie spevnených plôch a vozoviek, zvislého dopravného značenia, kovových</t>
  </si>
  <si>
    <t>05080200</t>
  </si>
  <si>
    <t>Doprava vybúraných hmôt vodorovná</t>
  </si>
  <si>
    <t>05090205</t>
  </si>
  <si>
    <t>Doplňujúce práce, úprava stavebných konštrukcií vysokotlakým vodným lúčom železobetónových</t>
  </si>
  <si>
    <t>05090206</t>
  </si>
  <si>
    <t>Doplňujúce práce, búranie stavebných konštrukcií vysokotlakým vodným lúčom železobetónových</t>
  </si>
  <si>
    <t>05090361</t>
  </si>
  <si>
    <t>Doplňujúce práce, frézovanie betónového krytu, podkladu</t>
  </si>
  <si>
    <t>05090362</t>
  </si>
  <si>
    <t>Doplňujúce práce, frézovanie bitúmenového krytu, podkladu</t>
  </si>
  <si>
    <t>05090461</t>
  </si>
  <si>
    <t>Doplňujúce práce, diamantové rezanie betónového krytu, podkladu</t>
  </si>
  <si>
    <t>05090462</t>
  </si>
  <si>
    <t>Doplňujúce práce, diamantové rezanie bitúmenového krytu, podkladu</t>
  </si>
  <si>
    <t>05090500</t>
  </si>
  <si>
    <t>Jadrové vŕtanie</t>
  </si>
  <si>
    <t>05090503</t>
  </si>
  <si>
    <t>Doplňujúce práce, vŕtanie do železobetónu</t>
  </si>
  <si>
    <t>45.11.12 - Úprava staveniska a vyčisťovacie práce</t>
  </si>
  <si>
    <t>45.11.12</t>
  </si>
  <si>
    <t>01010001</t>
  </si>
  <si>
    <t>Pripravné práce, všeobecné vypratanie zastavaných území</t>
  </si>
  <si>
    <t>01010104</t>
  </si>
  <si>
    <t>Pripravné práce, odstránenie porastov mačiny</t>
  </si>
  <si>
    <t>01010201</t>
  </si>
  <si>
    <t>Pripravné práce, rúbanie stromov</t>
  </si>
  <si>
    <t>01010202</t>
  </si>
  <si>
    <t>Pripravné práce, rúbanie odstránenie pňov</t>
  </si>
  <si>
    <t>01060204</t>
  </si>
  <si>
    <t>Premiestnenie  vodorovné nad 3 000 m</t>
  </si>
  <si>
    <t>02010101</t>
  </si>
  <si>
    <t>Zlepšovanie základovej pôdy, výplň odvodňovacích rebier alebo trativodov kamenivom, štrkopieskom</t>
  </si>
  <si>
    <t>45.11.23 - Vyplňovanie a rekultivačné práce</t>
  </si>
  <si>
    <t>45.11.23</t>
  </si>
  <si>
    <t>01060202</t>
  </si>
  <si>
    <t>Premiestnenie  , vodorovné do 1 000 m</t>
  </si>
  <si>
    <t>01060700</t>
  </si>
  <si>
    <t>Premiestnenie  - nakladanie, prekladanie, vykladanie</t>
  </si>
  <si>
    <t>01080501</t>
  </si>
  <si>
    <t>Povrchové úpravy terénu, úpravy povrchov rozprestretím ornice</t>
  </si>
  <si>
    <t>01080503</t>
  </si>
  <si>
    <t>Povrchové úpravy terénu, úpravy povrchov založením trávnika hydroosevom</t>
  </si>
  <si>
    <t>01080811</t>
  </si>
  <si>
    <t>Povrchové úpravy terénu, sadenie, presádzanie, ošetrovanie, ochrana trávnika</t>
  </si>
  <si>
    <t>45.11.24 - Výkopové práce</t>
  </si>
  <si>
    <t>45.11.24</t>
  </si>
  <si>
    <t>01020200</t>
  </si>
  <si>
    <t>Odkopávky a prekopávky nezapažené</t>
  </si>
  <si>
    <t>01030102</t>
  </si>
  <si>
    <t>Hĺbené vykopávky jám nezapažených</t>
  </si>
  <si>
    <t>01030201</t>
  </si>
  <si>
    <t>Hĺbené vykopávky rýh š. do 600 mm</t>
  </si>
  <si>
    <t>01030302</t>
  </si>
  <si>
    <t>Hĺbené vykopávky šachiet nezapažených</t>
  </si>
  <si>
    <t>01080300</t>
  </si>
  <si>
    <t>Povrchové úpravy terénu, úprava podložia</t>
  </si>
  <si>
    <t>01080402</t>
  </si>
  <si>
    <t>Povrchové úpravy terénu, svahovanie v násypoch</t>
  </si>
  <si>
    <t>45.11.25 - Presun zemín</t>
  </si>
  <si>
    <t>45.11.25</t>
  </si>
  <si>
    <t>Premiestnenie  vodorovné nad 5 000 m</t>
  </si>
  <si>
    <t>45.22.11 - Stavebné práce na mostoch</t>
  </si>
  <si>
    <t>45.22.11</t>
  </si>
  <si>
    <t>11010101</t>
  </si>
  <si>
    <t>Základy, pásy z betónu prostého</t>
  </si>
  <si>
    <t>11010201</t>
  </si>
  <si>
    <t>Základy, pätky z betónu prostého</t>
  </si>
  <si>
    <t>11050602</t>
  </si>
  <si>
    <t>Zvislé konštrukcie inžinierskych stavieb, rímsy z betónu železového</t>
  </si>
  <si>
    <t>11050612</t>
  </si>
  <si>
    <t>Zvislé konštrukcie inžinierskych stavieb, rímsy, debnenie z dielcov</t>
  </si>
  <si>
    <t>11050613</t>
  </si>
  <si>
    <t>Zvislé konštrukcie inžinierskych stavieb, rímsy, debnenie zabudované</t>
  </si>
  <si>
    <t>11050621</t>
  </si>
  <si>
    <t>Zvislé konštrukcie inžinierskych stavieb, rímsy, výstuž z betonárskej ocele</t>
  </si>
  <si>
    <t>11080102</t>
  </si>
  <si>
    <t>Vodorovné nosné konštrukcie inžinierskych stavieb, prechodové dosky z betónu železového</t>
  </si>
  <si>
    <t>11080121</t>
  </si>
  <si>
    <t>Vodorovné nosné konštrukcie inžinierskych stavieb, prechodové dosky, výstuž z betonárskej ocele</t>
  </si>
  <si>
    <t>11080202</t>
  </si>
  <si>
    <t>Vodorovné nosné konštrukcie inžinierskych stavieb, mostné dosky, klenby z betónu železového</t>
  </si>
  <si>
    <t>11080211</t>
  </si>
  <si>
    <t>Vodorovné nosné konštrukcie inžinierskych stavieb, mostné dosky, klenby, debnenie tradičné</t>
  </si>
  <si>
    <t>11080221</t>
  </si>
  <si>
    <t>Vodorovné nosné konštrukcie inžinierskych stavieb, mostné dosky, klenby, výstuž z betonárskej ocele</t>
  </si>
  <si>
    <t>11080302</t>
  </si>
  <si>
    <t>Vodorovné nosné konštrukcie inžinierskych stavieb, mostné trámy z betónu železového</t>
  </si>
  <si>
    <t>11080502</t>
  </si>
  <si>
    <t>Vodorovné nosné konštrukcie inžinierskych stavieb, mostné komorové z betónu železováho</t>
  </si>
  <si>
    <t>11080503</t>
  </si>
  <si>
    <t>Vodorovné nosné konštrukcie inžinierskych stavieb, mostné komorové z betónu predpätého</t>
  </si>
  <si>
    <t>11080511</t>
  </si>
  <si>
    <t>Vodorovné nosné konštrukcie inžinierskych stavieb, mostné komorové, debnenie tradičné</t>
  </si>
  <si>
    <t>11080521</t>
  </si>
  <si>
    <t>Vodorovné nosné konštrukcie inžinierskych stavieb, mostné komorové, výstuž z betonárskej ocele</t>
  </si>
  <si>
    <t>11080522</t>
  </si>
  <si>
    <t>Vodorovné nosné konštrukcie inžinierskych stavieb, mostné komorové, výstuž z predpínacej ocele</t>
  </si>
  <si>
    <t>15020404</t>
  </si>
  <si>
    <t>Múry, rímsy z dielcov polymércementových</t>
  </si>
  <si>
    <t>21030106</t>
  </si>
  <si>
    <t>Stĺpy, piliere, mostné podpery z ocele</t>
  </si>
  <si>
    <t>21200242</t>
  </si>
  <si>
    <t>Podkladné a vedľajšie konštrukcie pod mostnými ložiskami, modifikovaná malta</t>
  </si>
  <si>
    <t>21250106</t>
  </si>
  <si>
    <t>Doplňujúce konštrukcie, zvodidlá oceľové</t>
  </si>
  <si>
    <t>21250206</t>
  </si>
  <si>
    <t>Doplňujúce konštrukcie, zábradlia oceľové</t>
  </si>
  <si>
    <t>21250320</t>
  </si>
  <si>
    <t>Doplňujúce konštrukcie, odvodnenie mostov, odvodňovače</t>
  </si>
  <si>
    <t>21250321</t>
  </si>
  <si>
    <t>Doplňujúce konštrukcie, odvodnenie mostov, odvodňovacie potrubie</t>
  </si>
  <si>
    <t>21250422</t>
  </si>
  <si>
    <t>Doplňujúce konštrukcie, dilatačné zariadenia, výplň dilatačných škár</t>
  </si>
  <si>
    <t>21250424</t>
  </si>
  <si>
    <t>Doplňujúce konštrukcie, dilatačné zariadenia, tesnenie dilatačných škár</t>
  </si>
  <si>
    <t>21250426</t>
  </si>
  <si>
    <t xml:space="preserve">Doplňujúce konštrukcie, dilatačné zariadenia, mostné závery povrchové posun  </t>
  </si>
  <si>
    <t>21250528</t>
  </si>
  <si>
    <t>Doplňujúce konštrukcie, mostné zábrany a ochrany, protidotykové zábrany</t>
  </si>
  <si>
    <t>21250833</t>
  </si>
  <si>
    <t>Doplňujúce konštrukcie, zaťažovacie skúšky statické</t>
  </si>
  <si>
    <t>21250834</t>
  </si>
  <si>
    <t>Doplňujúce konštrukcie, zaťažovacie skúšky dynamické</t>
  </si>
  <si>
    <t>21250906</t>
  </si>
  <si>
    <t>Doplňujúce konštrukcie, drobné zariadenia oceľové</t>
  </si>
  <si>
    <t>21250907</t>
  </si>
  <si>
    <t>Doplňujúce konštrukcie, dodatočné vlepovanie výstuže</t>
  </si>
  <si>
    <t>21250908</t>
  </si>
  <si>
    <t>Doplňujúce konštrukcie, drobné zariadenia oceľové, chemické kotvy ríms</t>
  </si>
  <si>
    <t>21251001</t>
  </si>
  <si>
    <t>Doplňujúce konštrukcie, podperné konštrukcie mostov z dreva</t>
  </si>
  <si>
    <t>21251161</t>
  </si>
  <si>
    <t>Doplňujúce konštrukcie, špeciálne pomocné, ošetrenie betonárskej výstuže</t>
  </si>
  <si>
    <t>45.22.38 - Kompletovanie a montáž prefabrikovaných konštrukcií</t>
  </si>
  <si>
    <t>45.22.38</t>
  </si>
  <si>
    <t>15090102</t>
  </si>
  <si>
    <t>Schodiskové konštrukcie plošné, z dielcov železobetónových</t>
  </si>
  <si>
    <t>45.23.13 - Práce na stavbe miestnych potrubných vedení vody a kanalizácie</t>
  </si>
  <si>
    <t>45.23.13</t>
  </si>
  <si>
    <t>27020421</t>
  </si>
  <si>
    <t>Vodovody, rúry plastové PE, PP</t>
  </si>
  <si>
    <t>27030422</t>
  </si>
  <si>
    <t>Kanalizácie, rúry plastové, PVC</t>
  </si>
  <si>
    <t>45.23.32 - Práce na vrchnej stavbe diaľníc, ciest, ulíc, chodníkov a nekrytých parkovísk</t>
  </si>
  <si>
    <t>45.23.32</t>
  </si>
  <si>
    <t>22020417</t>
  </si>
  <si>
    <t>Podkladné a krycie vrstvy s hydraulickým spojivom, cementobetónové jednovrstvové, beton prostý</t>
  </si>
  <si>
    <t>22030330</t>
  </si>
  <si>
    <t>Podkladné a krycie vrstvy z asfaltových zmesí, bitúmenové postreky, nátery,posypy spojovací postrek</t>
  </si>
  <si>
    <t>22030640</t>
  </si>
  <si>
    <t>Podkladné a krycie vrstvy z asfaltových zmesí, bitúmenové vrstvy, asfaltový betón</t>
  </si>
  <si>
    <t>22030641</t>
  </si>
  <si>
    <t>Podkladné a krycie vrstvy z asfaltových zmesí, bitúmenové vrstvy, asfaltový koberec mastixový</t>
  </si>
  <si>
    <t>22030643</t>
  </si>
  <si>
    <t>Podkladné a krycie vrstvy z asfaltových zmesí, bitúmenové vrstvy, asfaltový koberec drenážny</t>
  </si>
  <si>
    <t>22030744</t>
  </si>
  <si>
    <t>Podkladné a krycie vrstvy z asfaltových zmesí, liaty asfalt, cestný</t>
  </si>
  <si>
    <t>22030952</t>
  </si>
  <si>
    <t>Podkladné a krycie vrstvy z asfaltových zmesí úprava škár pri opravách, elastická zálievka</t>
  </si>
  <si>
    <t>22040752</t>
  </si>
  <si>
    <t>Kryty dláždené,chodníkov komunikácií,rigolov - vyplnenie škár elastickou zálievkou</t>
  </si>
  <si>
    <t>22040854</t>
  </si>
  <si>
    <t>Kryty dláždené,chodníkov komunikácií,rigolov - úprava škár pri opravách a vyplnenie škár maltou</t>
  </si>
  <si>
    <t>22250162</t>
  </si>
  <si>
    <t>Doplňujúce konštrukcie,  zábradlie kovové</t>
  </si>
  <si>
    <t>22250382</t>
  </si>
  <si>
    <t>Doplňujúce konštrukcie, zvodidlá oceľové , jednostranné, úroveň zachytenia min H1</t>
  </si>
  <si>
    <t>22250383</t>
  </si>
  <si>
    <t>Doplňujúce konštrukcie, zvodidlá oceľové , jednostranné, úroveň zachytenia min H2</t>
  </si>
  <si>
    <t>22250398</t>
  </si>
  <si>
    <t>Doplňujúce konštrukcie, zvodidlá oceľové , jednostranné, úroveň zachytenia min H2, prechodová zvodni</t>
  </si>
  <si>
    <t>22250464</t>
  </si>
  <si>
    <t>Doplňujúce konštrukcie,  ochranné zariadenia, smerové stĺpiky, nádstavce na zvodidlá</t>
  </si>
  <si>
    <t>22250570</t>
  </si>
  <si>
    <t>Doplňujúce konštrukcie,  značky staničenia, nivelačné značky</t>
  </si>
  <si>
    <t>22250671</t>
  </si>
  <si>
    <t>Doplňujúce konštrukcie,  zvislé dopravné značky, normálny rozmer</t>
  </si>
  <si>
    <t>22250674</t>
  </si>
  <si>
    <t>Doplňujúce konštrukcie,  zvislé dopravné značky, stĺpiky</t>
  </si>
  <si>
    <t>22250980</t>
  </si>
  <si>
    <t>Doplňujúce konštrukcie,  obrubníky chodníkové</t>
  </si>
  <si>
    <t>22251161</t>
  </si>
  <si>
    <t>Doplňujúce konštrukcie,  otvorené žľaby z betónových tvárnic</t>
  </si>
  <si>
    <t>22251489</t>
  </si>
  <si>
    <t>Doplňujúce konštrukcie,  pri stavbe krytov komunikácií, brúsenie,zdrsnenie</t>
  </si>
  <si>
    <t>45.23.33 - Práce spodnej stavby spodnej stavby diaľnic, ciest, ulíc a chodníkov</t>
  </si>
  <si>
    <t>45.23.33</t>
  </si>
  <si>
    <t>22010104</t>
  </si>
  <si>
    <t>Podkladné a krycie vrstvy bez spojiva nestmelené, štrkodrva</t>
  </si>
  <si>
    <t>22010201</t>
  </si>
  <si>
    <t>Podkladné a krycie vrstvy bez spojiva, spevnenie krajníc zo zeminy</t>
  </si>
  <si>
    <t>22010204</t>
  </si>
  <si>
    <t>Podkladné a krycie vrstvy bez spojiva, spevnenie krajníc, štrkodrva</t>
  </si>
  <si>
    <t>22020421</t>
  </si>
  <si>
    <t xml:space="preserve">Podkladné a krycie vrstvy s hydraulickým spojivom, cementobetónové jednovrstvové, kamenivo spevnené </t>
  </si>
  <si>
    <t>22030329</t>
  </si>
  <si>
    <t>Podkladné a krycie vrstvy z asfaltových zmesí, bitúmenové postreky, nátery,posypy infiltračný postre</t>
  </si>
  <si>
    <t>45.24.70 - Práce na hrubej stavbe úprav tokov, hrádzí, zavlažovacích kanálov a akvaduktov</t>
  </si>
  <si>
    <t>45.24.70</t>
  </si>
  <si>
    <t>11200101</t>
  </si>
  <si>
    <t>Podkladné konštrukcie, podkladné vrstvy, z betónu prostého</t>
  </si>
  <si>
    <t>12210105</t>
  </si>
  <si>
    <t>Spevnené plochy pätky, opevnenie z lomového kameňa</t>
  </si>
  <si>
    <t>45.26.14 - Izolačné práce proti vode</t>
  </si>
  <si>
    <t>45.26.14</t>
  </si>
  <si>
    <t>61010101</t>
  </si>
  <si>
    <t>Izolácie proti vode a zemnej vlhkosti, bežných konštrukcií náterivami a tmelmi</t>
  </si>
  <si>
    <t>61010501</t>
  </si>
  <si>
    <t>Izolácie proti vode a zemnej vlhkosti, mostoviek náterivami a tmelmi</t>
  </si>
  <si>
    <t>61010502</t>
  </si>
  <si>
    <t>Izolácie proti vode a zemnej vlhkosti, mostoviek pásmi</t>
  </si>
  <si>
    <t>61010503</t>
  </si>
  <si>
    <t>Izolácie proti vode a zemnej vlhkosti, mostoviek fóliami</t>
  </si>
  <si>
    <t>61010602</t>
  </si>
  <si>
    <t>Izolácie proti vode a zemnej vlhkosti, zhotovenie detailov pásmi</t>
  </si>
  <si>
    <t>45.26.22 - Základové práce a vŕtanie vodných studní</t>
  </si>
  <si>
    <t>45.26.22</t>
  </si>
  <si>
    <t>02010553</t>
  </si>
  <si>
    <t>Zlepšovanie základovej pôdy, drenážne vrstvy z geosyntetického materiálu</t>
  </si>
  <si>
    <t>02061090</t>
  </si>
  <si>
    <t>Čistenie muriva podpier, pilierov, krídiel od machu a inej vegetácie</t>
  </si>
  <si>
    <t>02061129</t>
  </si>
  <si>
    <t>Spevňovanie hornín a konštrukcií, škárovanie, zamurovanie aktivovanou maltou, suspenziou</t>
  </si>
  <si>
    <t>02061219</t>
  </si>
  <si>
    <t>Spevňovanie hornín a konštrukcií, zalievanie epoxidovou živicou</t>
  </si>
  <si>
    <t>45.26.23 - Betonárske práce</t>
  </si>
  <si>
    <t>45.26.23</t>
  </si>
  <si>
    <t>11010302</t>
  </si>
  <si>
    <t>Základy, dosky z betónu železového</t>
  </si>
  <si>
    <t>11010321</t>
  </si>
  <si>
    <t>Základy, dosky, výstuž z betonárskej ocele</t>
  </si>
  <si>
    <t>11190201</t>
  </si>
  <si>
    <t>Kompletné konštrukcie, kompletné čistiace a zachytávacie objekty, z betónu prostého</t>
  </si>
  <si>
    <t>45.26.25 - Murovanie a murárske práce</t>
  </si>
  <si>
    <t>45.26.25</t>
  </si>
  <si>
    <t>12260123</t>
  </si>
  <si>
    <t>Dokončovacie práce, dilatačné škáry a zariadenia z izolačných dosiek</t>
  </si>
  <si>
    <t xml:space="preserve">45.32.12 </t>
  </si>
  <si>
    <t>61050505</t>
  </si>
  <si>
    <t>Izolácie proti chemickým vplyvom, technologických zariadení, ochrannými a podkladnými textíliami</t>
  </si>
  <si>
    <t>45.34.20 - Montáž oplotenia</t>
  </si>
  <si>
    <t>45.34.20</t>
  </si>
  <si>
    <t>67110108</t>
  </si>
  <si>
    <t>Oplotenie  z drôteného pletiva pozinkovaného</t>
  </si>
  <si>
    <t>45.41.10</t>
  </si>
  <si>
    <t>13071513</t>
  </si>
  <si>
    <t>Vonkajšie povrchy podhľadov, reprofilácia podhľadov maltou sanačnou</t>
  </si>
  <si>
    <t>13071613</t>
  </si>
  <si>
    <t>Vonkajšie povrchy podhľadov, reprofilácia vodor. plôch maltou sanačnou</t>
  </si>
  <si>
    <t>13091513</t>
  </si>
  <si>
    <t>Vonkajšie povrchy stien, reprofilácia zvislých a šikmých plôch maltou sanačnou</t>
  </si>
  <si>
    <t>13101513</t>
  </si>
  <si>
    <t>Vonkajšie povrchy stĺpov a pilierov, reprofilácia zvislých a šikmých plôch maltou sanačnou</t>
  </si>
  <si>
    <t>45.44.20 - Nanášanie ochranných vrstiev - maliarske a natieračské práce</t>
  </si>
  <si>
    <t>45.44.20</t>
  </si>
  <si>
    <t>84010207</t>
  </si>
  <si>
    <t>Náter kovových doplnkových konštr., farba epoxidová</t>
  </si>
  <si>
    <t>84010210</t>
  </si>
  <si>
    <t>Náter kovových doplnkových konštr., farba polyuretanová</t>
  </si>
  <si>
    <t>84010214</t>
  </si>
  <si>
    <t>Náter kovových doplnkových konštr., lak asfaltový</t>
  </si>
  <si>
    <t>84010807</t>
  </si>
  <si>
    <t>Náter omietok a betónových povrchov, farba epoxidová</t>
  </si>
  <si>
    <t>84010810</t>
  </si>
  <si>
    <t>Náter omietok a betónových povrchov, impregnačný polyuretánový náter</t>
  </si>
  <si>
    <t>84010815</t>
  </si>
  <si>
    <t>Náter omietok a betónových povrchov, farba riediteľná vodou (akrylátová)</t>
  </si>
  <si>
    <t>84010951</t>
  </si>
  <si>
    <t xml:space="preserve">Náter povrchov strojov a zariadení, otryskanie </t>
  </si>
  <si>
    <t>84010952</t>
  </si>
  <si>
    <t xml:space="preserve">Náter povrchov strojov a zariadení, metalizácia </t>
  </si>
  <si>
    <t>Časť stavby</t>
  </si>
  <si>
    <t>001-00 - Všeobecné položky</t>
  </si>
  <si>
    <t>Celkom za 001-00 - Všeobecné položky</t>
  </si>
  <si>
    <t>101-00 - Úprava cesty R1</t>
  </si>
  <si>
    <t>Celkom za 101-00 - Úprava cesty R1</t>
  </si>
  <si>
    <t>201-00 - Oprava mosta ev. č. R1-018</t>
  </si>
  <si>
    <t>Doplňujúce konštrukcie,  zvislé dopravné značky, normálny alebo zväčšený rozmer</t>
  </si>
  <si>
    <t>Celkom za 201-00 - Oprava mosta ev. č. R1-018</t>
  </si>
  <si>
    <t>Jednotková cena v € bez DPH</t>
  </si>
  <si>
    <t>45.00.00 - Všeobecné položky v procese obstarávania</t>
  </si>
  <si>
    <t>45.41.10 - Omietkárske práce</t>
  </si>
  <si>
    <t xml:space="preserve">45.32.12 - Ostatné izolačné práce </t>
  </si>
  <si>
    <t>Stavba:</t>
  </si>
  <si>
    <t xml:space="preserve">Rekonštrukcia mosta ev. č. R1- 018 Váhovce, pravý most </t>
  </si>
  <si>
    <t>Objekt:</t>
  </si>
  <si>
    <t>C.P.</t>
  </si>
  <si>
    <t>POLOŽKA</t>
  </si>
  <si>
    <t>VÝKAZ VÝMER</t>
  </si>
  <si>
    <t>M. J.</t>
  </si>
  <si>
    <t>MNOŽSTVO</t>
  </si>
  <si>
    <t>KÓD KP</t>
  </si>
  <si>
    <t>KÓD PP</t>
  </si>
  <si>
    <t xml:space="preserve">VŠEOBECNÉ POLOŽKY V PROCESE OBSTARÁVANIA STAVIEB  </t>
  </si>
  <si>
    <t>3x tlačená forma, 1x digitálna forma</t>
  </si>
  <si>
    <t>3x Mostný zošit</t>
  </si>
  <si>
    <t>pohyblivá plošina pre prístup pod NK DC1</t>
  </si>
  <si>
    <t>pohyblivá plošina pre prístup pod NK DC2</t>
  </si>
  <si>
    <t>spolu</t>
  </si>
  <si>
    <t>dokumentácia DVP pre monitorovanie napätí v kábloch</t>
  </si>
  <si>
    <t>diagnostika trhlín na povrchu nosnej konštrukcie DC1</t>
  </si>
  <si>
    <t>letmá betonáž DC1 vnútorný povrch</t>
  </si>
  <si>
    <t>letmá betonáž DC1 vonkajší povrch</t>
  </si>
  <si>
    <t>medzisúčet</t>
  </si>
  <si>
    <t>diagnostika polohy výstuže vo vnútri komôrky DC1, výpočet viď TAB. 1</t>
  </si>
  <si>
    <t>diagnostika polohy výstuže NK v okolí vrtov</t>
  </si>
  <si>
    <t>priemer vrtu 52 mm, 852 vrtov</t>
  </si>
  <si>
    <t>priemer vrtu 102 mm, 60 vrtov</t>
  </si>
  <si>
    <t>priemer vrtu 122 mm, 26 vrtov</t>
  </si>
  <si>
    <t>priemer vrtu 250 mm. 52 vrtov</t>
  </si>
  <si>
    <t>zameranie vnútorných priestorov nosnej konštrukcie DC1, výpočet viď TAB.2</t>
  </si>
  <si>
    <t>meranie bodov v oceľových šachtičkých ríms, 38 bodov:     0,75*630,0=</t>
  </si>
  <si>
    <t>zameranie mosta pred búraním:    850,0*13,0=</t>
  </si>
  <si>
    <t>zameranie mosta po búraní:    850,0*13,0=</t>
  </si>
  <si>
    <t>zameranie mostovky po vybúraní</t>
  </si>
  <si>
    <t xml:space="preserve">ochranná konštrukcia po oboch stranách proti padaniu sutiny pri búraní ríms </t>
  </si>
  <si>
    <t>vytvorenie zásteny po celej dĺžke mosta počas trvania stavby 24/7</t>
  </si>
  <si>
    <t>snímače externého predpätia v predpínacích kábloch</t>
  </si>
  <si>
    <t>počet snímačov 24 kusov, počet meraní 3</t>
  </si>
  <si>
    <t>kabeláž, káblové skrinky, meracia jednotka, ostatné príslušenstvo, dodanie a inštalácia vrátane kotviaceho a spojovacieho materiálu, 1kpl</t>
  </si>
  <si>
    <t xml:space="preserve"> </t>
  </si>
  <si>
    <t>ÚPRAVA CESTY R1</t>
  </si>
  <si>
    <t>Všeobecné položky v procese obstarávania stavieb</t>
  </si>
  <si>
    <t>Demolačné práce</t>
  </si>
  <si>
    <t>demontáž smerových stĺpikov:    61+61=</t>
  </si>
  <si>
    <t>0503016603</t>
  </si>
  <si>
    <t>Odstránenie spevnených plôch vozoviek a doplňujúcich konštrukcií krytov dlaždených hr. nad 200 do 300 mm</t>
  </si>
  <si>
    <t>vybúranie betónového žľabu na dĺžke 7 m:     7*0,2=</t>
  </si>
  <si>
    <t>0503026102</t>
  </si>
  <si>
    <t>Odstránenie spevnených plôch vozoviek a doplňujúcich konštrukcií podkladov z betónu prostého hr. nad 100 do 200 mm</t>
  </si>
  <si>
    <t>typ vozovky A:</t>
  </si>
  <si>
    <t>podklad vozovky z cementovej stabilizácie</t>
  </si>
  <si>
    <t>0503026403</t>
  </si>
  <si>
    <t>Odstránenie spevnených plôch a vozoviek, podkladov z kameniva hrubého drveného hr. nad 200 do 300 mm</t>
  </si>
  <si>
    <t xml:space="preserve">podklad vozovky zo ŠD hr 220 mm   </t>
  </si>
  <si>
    <t xml:space="preserve">zvodidlo oceľové </t>
  </si>
  <si>
    <t>jednostr. oceľ. zvod N2 a H1 (krajnica):    46+35,7+18=</t>
  </si>
  <si>
    <t>jednostr. oceľ. zvod H2 (SDP), zvodnice budú spätne osadené, stĺpiky odovzdané správcovi:     38,3+21=</t>
  </si>
  <si>
    <t>Spolu</t>
  </si>
  <si>
    <t>zvislé dopravné značenie - spätne sa použije</t>
  </si>
  <si>
    <t>0508020003</t>
  </si>
  <si>
    <t>Doprava vybúraných hmôt vodorovná, nad 1 km</t>
  </si>
  <si>
    <t>odvoz do vzd. 40 km s naložením a vykládkou</t>
  </si>
  <si>
    <t>kamenivo na skládku odpadu:     124,0*0,4=</t>
  </si>
  <si>
    <t>bet. žľab:     1,4*0,505=</t>
  </si>
  <si>
    <t>smerové stĺpiky:    122,0*0,0002=</t>
  </si>
  <si>
    <t>Odvoz na skládku odpadu spolu</t>
  </si>
  <si>
    <t>asfalt do najbližšej obaľovačky</t>
  </si>
  <si>
    <t>1197,5*0,102+568,0*0,153+138,7*0,229+329,5*0,254=</t>
  </si>
  <si>
    <t>zvodidlá budú odovzdané správcovi</t>
  </si>
  <si>
    <t>zvodidlá:     99,7*0,042=</t>
  </si>
  <si>
    <t>odvoz stĺpikov zvodidiel:     31*0,01=</t>
  </si>
  <si>
    <t>Odvoz celkom</t>
  </si>
  <si>
    <t>0509036203</t>
  </si>
  <si>
    <t>Doplňujúce práce, frézovanie bitúmenového krytu, podkladu hr. 40 mm</t>
  </si>
  <si>
    <t xml:space="preserve">typ vozovky A:   73+72= </t>
  </si>
  <si>
    <t>typ vozovky B:     211+212=</t>
  </si>
  <si>
    <t>typ vozovky C:     54+246=</t>
  </si>
  <si>
    <t>po ukončení rekonštrukcie mosta:     153,5+4*44=</t>
  </si>
  <si>
    <t>0509036205</t>
  </si>
  <si>
    <t>Doplňujúce práce, frézovanie bitúmenového krytu, podkladu hr. 60 mm</t>
  </si>
  <si>
    <t>0509036208</t>
  </si>
  <si>
    <t>Doplňujúce práce, frézovanie bitúmenového krytu, podkladu hr. 90 mm</t>
  </si>
  <si>
    <t>typ vozovky A:     73+72+7*4*0,15-10,5*0,5*2=</t>
  </si>
  <si>
    <t>0509036209</t>
  </si>
  <si>
    <t>Doplňujúce práce, frézovanie bitúmenového krytu, podkladu hr. 100 mm</t>
  </si>
  <si>
    <t>typ vozovky D, oprava povrchu prejazdov stredným deliacim pásom:   153,5+4*44=</t>
  </si>
  <si>
    <t>0509046104</t>
  </si>
  <si>
    <t>Doplňujúce práce, diamantové rezanie betónového krytu, podkladu hr. nad 200 do 250 mm</t>
  </si>
  <si>
    <t>zapílenie cementovej stabilizácie hr. 200 mm</t>
  </si>
  <si>
    <t>zapílenie jestvujúceho betónového žľabu (hrúbka 0,25 m)</t>
  </si>
  <si>
    <t>zapílenie nového betónového žľabu (1x priečne a pozdĺž obrubníka)</t>
  </si>
  <si>
    <t>0509046201</t>
  </si>
  <si>
    <t>Doplňujúce práce, diamantové rezanie bitúmenového krytu, podkladu hr. do 50 mm</t>
  </si>
  <si>
    <t>zapílenie vozovky 40 mm - napojenie na jestvujúcu vozovku, oprava povrchu prejazdov SDP</t>
  </si>
  <si>
    <t>zapílenie vozovky 40 mm - napojenie na jestvujúcu vozovku, po ukončení rekonštrukcie mosta</t>
  </si>
  <si>
    <t>zapílenie vozovky 40 mm - priečne na obrus v miestach napojenia na jestvujúcu vozovku - typ C</t>
  </si>
  <si>
    <t>0509046202</t>
  </si>
  <si>
    <t>Doplňujúce práce, diamantové rezanie bitúmenového krytu, podkladu hr nad 50 do 100 mm</t>
  </si>
  <si>
    <t>zapílenie vozovky 60 mm  - priečne na ložnú vrstvu vozovky B</t>
  </si>
  <si>
    <t>zapílenie vozovky 90 mm  - priečne na ložnú vrstvu vozovky A</t>
  </si>
  <si>
    <t>Vyplňovanie a rekultivačné práce</t>
  </si>
  <si>
    <t>0106020201</t>
  </si>
  <si>
    <t>Premiestnenie  výkopku resp. rúbaniny, vodorovné do 1 000 m, tr. horniny 1-4</t>
  </si>
  <si>
    <t>dovoz ornice:     0,15*96,0=</t>
  </si>
  <si>
    <t>0106070007</t>
  </si>
  <si>
    <t>Premiestnenie  výkopku resp. rúbaniny - nakladanie, prekladanie, vykladanie,  tr. horniny 1-4</t>
  </si>
  <si>
    <t>0108050102</t>
  </si>
  <si>
    <t>Povrchové úpravy terénu, úpravy povrchov rozprestretím ornice na svahu</t>
  </si>
  <si>
    <t>zahumusovanie&gt;     54+42=</t>
  </si>
  <si>
    <t>0108050301</t>
  </si>
  <si>
    <t>Povrchové úpravy terénu, úpravy povrchov založením trávnika hydroosevom na ornicu</t>
  </si>
  <si>
    <t>0108081102</t>
  </si>
  <si>
    <t>Povrchové úpravy terénu, sadenie, presádzanie, ošetrovanie, ochrana trávnika na svahu</t>
  </si>
  <si>
    <t>Výkopové práce</t>
  </si>
  <si>
    <t>0102020007</t>
  </si>
  <si>
    <t>Odkopávky a prekopávky nezapažené, tr. horniny 1-4</t>
  </si>
  <si>
    <t>výkop nespevnenej krajnice v strednom deliacom páse v mieste výmeny zvodidiel:     0,5*206,5=</t>
  </si>
  <si>
    <t>výkop nespevnenej krajnice na okrajoch R1 v mieste výmeny zvodidiel:     (150+91)*0,5=</t>
  </si>
  <si>
    <t>0108030001</t>
  </si>
  <si>
    <t>Povrchové úpravy terénu, úprava podložia,  tr.horniny 1-4</t>
  </si>
  <si>
    <t>zhutnenie podložia pod vozovkou - nová vozovka typ A:     73+72=</t>
  </si>
  <si>
    <t>zhutnenie pláne pod dosypávkou v  SDP:     79,5+127=</t>
  </si>
  <si>
    <t>zhutnenie pláne pod dosypávkou nespevnenej krajnice na okraji R1:     150+91=</t>
  </si>
  <si>
    <t>zhutnenie podložia pod žľabom:     7*0,2=</t>
  </si>
  <si>
    <t>PRESUN ZEMÍN</t>
  </si>
  <si>
    <t>0106020401</t>
  </si>
  <si>
    <t>Premiestnenie  výkopku resp. rúbaniny, vodorovné nad 5 000 m, tr. horniny 1-4</t>
  </si>
  <si>
    <t>výkop nespevnenej krajnice v strednom deliacom páse v mieste výmeny zvodidiel</t>
  </si>
  <si>
    <t>výkop nespevnenej krajnice na okrajoch R1 v mieste výmeny zvodidiel</t>
  </si>
  <si>
    <t>Práce na stavbe miestnych potrubných vedení vody a kanalizácie</t>
  </si>
  <si>
    <t>2703042203</t>
  </si>
  <si>
    <t>Kanalizácie, rúry plastové, PVC DN 160</t>
  </si>
  <si>
    <t>PVC rúra DN160 - osadí sa pre vytvorenie otvorov na baranenie zvodidla v SDP</t>
  </si>
  <si>
    <t>Práce na vrchnej stavbe diaľníc, ciest, ulíc, chodníkov a nekrytých parkovísk</t>
  </si>
  <si>
    <t>2202041705</t>
  </si>
  <si>
    <t>Podkladné a krycie vrstvy s hydraulickým spojivom, cementobetónové jednovrstvové, beton prostý tr. III C 25/30 (B 30)</t>
  </si>
  <si>
    <t>betónový monolitický žľab, BETÓN C25/30 - XF4 (SK) (STN EN 206-1):     7,0*0,7=</t>
  </si>
  <si>
    <t>2203033001</t>
  </si>
  <si>
    <t>Podkladné a krycie vrstvy z asfaltových zmesí, bitúmenové postreky, nátery,posypy spojovací postrek z asfaltu</t>
  </si>
  <si>
    <t>spojovací postrek 0,5 kg/m2</t>
  </si>
  <si>
    <t>typ vozovky A:     145,0+145,0=</t>
  </si>
  <si>
    <t>typ vozovky B:     423,0+413,0=</t>
  </si>
  <si>
    <t xml:space="preserve">typ vozovky C:    </t>
  </si>
  <si>
    <t>typ vozovky D:    329,5*2=</t>
  </si>
  <si>
    <t>po ukončení rekonštrukcie mosta</t>
  </si>
  <si>
    <t>2203064001</t>
  </si>
  <si>
    <t>Podkladné a krycie vrstvy z asfaltových zmesí, bitúmenové vrstvy, asfaltový betón  triedy I</t>
  </si>
  <si>
    <t xml:space="preserve">asfaltový betón AC 22P, I, hr. 90 mm:     </t>
  </si>
  <si>
    <t>typ vozovky A:     149,2*0,09=</t>
  </si>
  <si>
    <t>2203064004</t>
  </si>
  <si>
    <t>Podkladné a krycie vrstvy z asfaltových zmesí, bitúmenové vrstvy, asfaltový betón  triedy I modifikovaný</t>
  </si>
  <si>
    <t xml:space="preserve">asfaltový betón AC 22 L, I, PMB, hr. 60 alebo 90 mm:    </t>
  </si>
  <si>
    <t>typ vozovky A:     (73+72)*0,06=</t>
  </si>
  <si>
    <t>typ vozovky B:    413*0,09=</t>
  </si>
  <si>
    <t>typ vozovky D:    329,5*0,06=</t>
  </si>
  <si>
    <t>2203064101</t>
  </si>
  <si>
    <t>Podkladné a krycie vrstvy z asfaltových zmesí, bitúmenové vrstvy, asfaltový koberec mastixový triedy I</t>
  </si>
  <si>
    <t xml:space="preserve">SMA 11 O,I, PMB:    </t>
  </si>
  <si>
    <t>typ vozovky A:     (73+72)*0,04=</t>
  </si>
  <si>
    <t>typ vozovky B:     (211+212)*0,04=</t>
  </si>
  <si>
    <t>typ vozovky C:     (54+246)*0,04=</t>
  </si>
  <si>
    <t>typ vozovky D:    329,5*0,04=</t>
  </si>
  <si>
    <t>po ukončení rekonštrukcie mosta:     329,5*0,04=</t>
  </si>
  <si>
    <t>2203095202</t>
  </si>
  <si>
    <t>Podkladné a krycie vrstvy z asfaltových zmesí úprava škár pri opravách, elastická zálievka bez predtesnenia</t>
  </si>
  <si>
    <t>Jednostr. oceľ. zvod H1 (krajnica)</t>
  </si>
  <si>
    <t>jednostr. oceľ. zvodidlo H2 (krajnica)</t>
  </si>
  <si>
    <t>spätné osadenie demontovaného oceľového zvodidla KB2 RH2 C,  použijú sa pôvodné zvodnice a nové stĺpiky a nový spojovací materiál</t>
  </si>
  <si>
    <t>nové stĺpiky pre zvodidlo KB1 RH2 C - 31 ks</t>
  </si>
  <si>
    <t xml:space="preserve">Doplňujúce konštrukcie, zvodidlá oceľové , jednostranné, úroveň zachytenia min H2, prechodová zvodnica </t>
  </si>
  <si>
    <t>Doplňujúce konštrukcie, zvodidlá oceľové , jednostranné, úroveň zachytenia min H2, prechodová zvodnica</t>
  </si>
  <si>
    <t>prechodová zvodnica medzi cestným a mostným zvodidlom</t>
  </si>
  <si>
    <t>prechodová zvodnica medzi novým cestným oceľovým zvodidlom a jestvujúcim zvodidlom (na krajniciach)</t>
  </si>
  <si>
    <t>nadstavce biele [ks]</t>
  </si>
  <si>
    <t>nadstavce modré [ks]</t>
  </si>
  <si>
    <t>Spolu [ks]</t>
  </si>
  <si>
    <t>2225067101</t>
  </si>
  <si>
    <t>Doplňujúce konštrukcie,  zvislé dopravné značky, normálny alebo zväčšený rozmer oceľové</t>
  </si>
  <si>
    <t>identifikačné číslo mosta vrátane uchytenia na zvodidlo</t>
  </si>
  <si>
    <t>2225067106</t>
  </si>
  <si>
    <t>Doplňujúce konštrukcie,  zvislé dopravné značky, normálny rozmer hliníkové reflexné</t>
  </si>
  <si>
    <t>2225067401</t>
  </si>
  <si>
    <t>Doplňujúce konštrukcie,  zvislé dopravné značky, stĺpiky oceľové</t>
  </si>
  <si>
    <t>nové stĺpiky DZ, kotvenie na zvodidlo</t>
  </si>
  <si>
    <t>nové stĺpiky DZ, kotvenie do betónu, alebo na zábradlie</t>
  </si>
  <si>
    <t>Práce na spodnej stavby diaľnic, ciest, ulíc a chodníkov a nekrytých parkovísk</t>
  </si>
  <si>
    <t>štrkodrvina ŠD 31,5 Gc</t>
  </si>
  <si>
    <t>typ vozovky A:      201*0,22=</t>
  </si>
  <si>
    <t>2201020101</t>
  </si>
  <si>
    <t>Podkladné a krycie vrstvy bez spojiva, spevnenie krajníc zo zeminy so zhutnením</t>
  </si>
  <si>
    <t>dosypávka po výkope v SDP v mieste výmeny zvodidiel + zhutnenie:     (79,5+127)*0,4=</t>
  </si>
  <si>
    <t>dosypávka krajnice na okraji R1 + zhutnenie:     (150+91)*0,4=</t>
  </si>
  <si>
    <t>spevnenie v SDP:    (79,5+127)*0,1=</t>
  </si>
  <si>
    <t>spevnenie na okraji R1:     (150+91)*0,1=</t>
  </si>
  <si>
    <t>Podkladné a krycie vrstvy s hydraulickým spojivom, cementobetónové jednovrstvové, kamenivo spevnené cementom</t>
  </si>
  <si>
    <t>2202042101</t>
  </si>
  <si>
    <t>Podkladné a krycie vrstvy s hydraulickým spojivom, cementobetónové jednovrstvové, kamenivo spevnené cementom KZC I</t>
  </si>
  <si>
    <t>typ vozovky A, cementom stmelená zmes CBGM hr. 200 mm :     161,8*0,2=</t>
  </si>
  <si>
    <t>Podkladné a krycie vrstvy z asfaltových zmesí, bitúmenové postreky, nátery,posypy infiltračný postrek</t>
  </si>
  <si>
    <t>2203032901</t>
  </si>
  <si>
    <t>Podkladné a krycie vrstvy z asfaltových zmesí, bitúmenové postreky, nátery,posypy infiltračný postrek z asfaltu</t>
  </si>
  <si>
    <t>infiltračný postrek</t>
  </si>
  <si>
    <t>Základové práce a vŕtanie vodných studní</t>
  </si>
  <si>
    <t>0201055301</t>
  </si>
  <si>
    <t>Zlepšovanie základovej pôdy, drenážne vrstvy z geosyntetického materiálu - geotextílií</t>
  </si>
  <si>
    <t>spevnenie v SDP</t>
  </si>
  <si>
    <t>spevnenie na okraji R1</t>
  </si>
  <si>
    <t>201- 00</t>
  </si>
  <si>
    <t>OPRAVA MOSTA ev. č. R1- 018</t>
  </si>
  <si>
    <t>86,04*0,1=</t>
  </si>
  <si>
    <t>búranie podkladového betónu pod prechodovými doskami</t>
  </si>
  <si>
    <t>6,0*0,1*10,62+6,0*0,1*10,15=</t>
  </si>
  <si>
    <t>búranie poklesnutých a poškodených dosiek, opora O1</t>
  </si>
  <si>
    <t>odhad 100%:      0,2*57,5*1,215=</t>
  </si>
  <si>
    <t>búranie, betónové dosky na svahu pod mostom, opora O1</t>
  </si>
  <si>
    <t>odhad 20% 0,2*(63,04+104,04+131,85)*1,08*0,20=</t>
  </si>
  <si>
    <t>búranie, betónové dosky na svahu pod mostom, opora O17</t>
  </si>
  <si>
    <t>odhad 20% 0,2*81,3*1,08*0,2=</t>
  </si>
  <si>
    <t>búranie prechodových dosiek</t>
  </si>
  <si>
    <t>6,0*0,1*10,62+6,0*0,271*10,15=</t>
  </si>
  <si>
    <t>búranie otvorov v hornej doske nosnej konštrukcie DC1</t>
  </si>
  <si>
    <t>1,5*1,0*0,22*12*1,2=</t>
  </si>
  <si>
    <t>búranie horných povrchov krídiel opôr kvôli novým rímsam</t>
  </si>
  <si>
    <t>(1,9*0,25-0,03*0,03*0,5-0,03*0,125*0,5)*0,6+0,57*0,1*4,1+0,4*0,25*3,5+(1,9*0,25-0,03*0,03*0,5-0,03*0,125*0,5)*0,6+0,57*0,1*4,3+0,4*0,25*3,7+(1,0*0,25*0,7+1,0*0,1*0,7)*2=</t>
  </si>
  <si>
    <t>búranie priečnik nosnej konštrukcie opora O17 vodným lúčom</t>
  </si>
  <si>
    <t>8*1,38*0,65+9*0,35*0,5*(0,404+0,154)+9*0,282*0,054=</t>
  </si>
  <si>
    <t>búranie okolo odvodňovačov v dolných prírubách nosníkov</t>
  </si>
  <si>
    <t>24*0,12*(0,288*0,4-3,14*0,08*0,08)+0,288*0,4*0,12=</t>
  </si>
  <si>
    <t>búranie záverného múrika opora O17</t>
  </si>
  <si>
    <t>0,325*0,6*12,95=</t>
  </si>
  <si>
    <t>bezdilatačné styky</t>
  </si>
  <si>
    <t>(1,04*0,15*(1,15+2*0,288)+4*0,22*0,21*0,075)*50=</t>
  </si>
  <si>
    <t>búranie rímsových prefabrikátov</t>
  </si>
  <si>
    <t>ĽR 631,42*0,7*0,1=</t>
  </si>
  <si>
    <t>PR 641,73*0,7*0,1=</t>
  </si>
  <si>
    <t>ľavá rímsa 0,15*(635,84-1,5-1,25-1,5)=</t>
  </si>
  <si>
    <t>pravá rímsa 0,42*(641,73-1,5-1,25-1,5)=</t>
  </si>
  <si>
    <t>rezanie a odstránenie nenataveného presahu ochrany novej izolácie na nosnej konštrukcii</t>
  </si>
  <si>
    <t>pozdĺžny rez (631,59-1,25)+(631,42-1,25)=1260,51 m</t>
  </si>
  <si>
    <t>t.j. plocha 1260,51*0,2=</t>
  </si>
  <si>
    <t>izolácia mostovky proti vode- Mastix 10 mm</t>
  </si>
  <si>
    <t>dc1</t>
  </si>
  <si>
    <t>dc2</t>
  </si>
  <si>
    <t>rezanie pozdĺžnej výstuže v dilatačných škárach</t>
  </si>
  <si>
    <t>d12: 2*22*(67+19)=</t>
  </si>
  <si>
    <t>d16: 2*22*(2+6)=</t>
  </si>
  <si>
    <t>mostné odvodňovače s odpadovými rúrami</t>
  </si>
  <si>
    <t>vybúranie oceľových šachiet na pravej rímse, 1,0*1,0 m</t>
  </si>
  <si>
    <t>odstránenie oceľových poklopov na vstupoch do n.k.</t>
  </si>
  <si>
    <t>odstránenie oceľových sietí na bočných škárach medzi nosnou konštrukciou a závernými múrikm</t>
  </si>
  <si>
    <t>mostný záver povrchový opora O17, dĺžka 12,95 m</t>
  </si>
  <si>
    <t>0503016201</t>
  </si>
  <si>
    <t>Odstránenie spevnených plôch a vozoviek, krytov bitúmenových hr.do 100 mm</t>
  </si>
  <si>
    <t>kryt vozovky z liateho asfaltu hr. 40 mm</t>
  </si>
  <si>
    <t xml:space="preserve">DC1  </t>
  </si>
  <si>
    <t xml:space="preserve">DC2 </t>
  </si>
  <si>
    <t>vyrovnávacia vrstva vozovky z asfaltobetónu min. hr. 40 mm na nosnej konštrukcii</t>
  </si>
  <si>
    <t>DC1 12,19*271,096=</t>
  </si>
  <si>
    <t>DC2 12,65*359,093=</t>
  </si>
  <si>
    <t>vrstva vozovky z asfaltobetónu hr. 50 mm</t>
  </si>
  <si>
    <t>0503026103</t>
  </si>
  <si>
    <t>Odstránenie spevnených plôch a vozoviek, podkladov z betónu prostého hr. nad 200 do 300 mm</t>
  </si>
  <si>
    <t>betónové plochy za rímsami hr. 200- 300 mm</t>
  </si>
  <si>
    <t>opora O1 10,432+3,578=</t>
  </si>
  <si>
    <t xml:space="preserve">opora O17 </t>
  </si>
  <si>
    <t>0503026201</t>
  </si>
  <si>
    <t>Odstránenie spevnených plôch a vozoviek, podkladov bitúmenových hr.do 100 mm</t>
  </si>
  <si>
    <t>vrstva vozovky z liateho asfaltu, ochrana izolácie hr. 25 mm</t>
  </si>
  <si>
    <t>DC1</t>
  </si>
  <si>
    <t>DC2</t>
  </si>
  <si>
    <t>ľavá rímsa, šetrná demontáž a uskladnenie, zábradľové zvodidlo oceľové mostné</t>
  </si>
  <si>
    <t>pravá rímsa, šetrná demontáž a uskladnenie, zvodidlo jednoduché oceľové mostné</t>
  </si>
  <si>
    <t>oplotenie komunikácie pletivom</t>
  </si>
  <si>
    <t>odstránenie pletiva 4,85+4,3+14,5=</t>
  </si>
  <si>
    <t xml:space="preserve">zábradlie oceľové mostné </t>
  </si>
  <si>
    <t xml:space="preserve">spolu </t>
  </si>
  <si>
    <t>demontáž šetrná dopravných značiek ľavého mosta</t>
  </si>
  <si>
    <t>evidenčné číslo mosta , šetrná demontáź</t>
  </si>
  <si>
    <t>odvoz do vzdialenosti 15 km (predpoklad skládka Pusté Sady):</t>
  </si>
  <si>
    <t>betón:     42,86*2,3=</t>
  </si>
  <si>
    <t>železobetón:     (29,88+476,76)*2,5=</t>
  </si>
  <si>
    <t>podkladný betón:     17,6*0,66=</t>
  </si>
  <si>
    <t>frézovaný betón:     2009,02*0,056=</t>
  </si>
  <si>
    <t xml:space="preserve">povlaková izolácia:     8288,17*0,0074=  </t>
  </si>
  <si>
    <t>bitúmeny na recykláciu:     (6460,28+7847,19)*0,102+6460,28*0,127=</t>
  </si>
  <si>
    <t>odvoz do zberných surovín</t>
  </si>
  <si>
    <t>mostné odvodňovače: 46*0,1=</t>
  </si>
  <si>
    <t>oceľové poklopy na vstupoch do n.k.:12*0,02=</t>
  </si>
  <si>
    <t>oceľové siete na bočných škárach medzi nosnou konštrukciou a závernými múrikm, 1,6*0,5 m: 4*0,01</t>
  </si>
  <si>
    <t>pletivový nadstavec zábradľového zvodidla: 635,8*0,01=</t>
  </si>
  <si>
    <t>zábradlie: 641,5*0.075=</t>
  </si>
  <si>
    <t>oceľové šachty: 38*0,050=</t>
  </si>
  <si>
    <t>mostné závery: 12,95*0,2=</t>
  </si>
  <si>
    <t>odvoz k správcovi, predpoklad obec Nebojsa</t>
  </si>
  <si>
    <t>doprava na uskladnenie a späť, 2*10,0 km</t>
  </si>
  <si>
    <t>zábradľové zvodidlo vľavo: 636,5*0,15=</t>
  </si>
  <si>
    <t>zvodidlo vpravo: 641,8*0,10=</t>
  </si>
  <si>
    <t>odvoz oceľových dielcov spolu</t>
  </si>
  <si>
    <t>odvoz sute a vybúraných hmôt spolu</t>
  </si>
  <si>
    <t>0509020501</t>
  </si>
  <si>
    <t>Doplňujúce práce, úprava stavebných konštrukcií vysokotlakým vodným lúčom železobetónových, čistenie</t>
  </si>
  <si>
    <t xml:space="preserve">dočistenie tlakovou vodou 20 MPa </t>
  </si>
  <si>
    <t>vnútorné priestory komôrky DC1</t>
  </si>
  <si>
    <t>zvislé plochy 2*93,809+2*184,85+2*180,507+2*86,346+2*5,47+6*(19,04-1,28)=</t>
  </si>
  <si>
    <t>spodné plochy (43,786+87,578+87,775+43,858)*(5,35+4,95)*0,5=</t>
  </si>
  <si>
    <t>horné plochy (43,665+87,306+87,496+43,721)*(5,35+4,95)*0,5=</t>
  </si>
  <si>
    <t>sanácie povrchov nosnej konštrukcie a spodnej stavby : 8249,704+8292,726+36,65+970,906=</t>
  </si>
  <si>
    <t xml:space="preserve">čistenie tlakovou vodou 100 MPa </t>
  </si>
  <si>
    <t>sanácie povrchov nosnej konštrukcie a spodnej stavby: 8249,704+8292,726+36,65+970,906=</t>
  </si>
  <si>
    <t>0509020601</t>
  </si>
  <si>
    <t>búranie betónu vysokotlakým vodným lúčom 100-300 MPa, priečnik nosnej konštrukcie</t>
  </si>
  <si>
    <t>kapsy mostného záveru, opora O17</t>
  </si>
  <si>
    <t xml:space="preserve"> 0,3*0,4*12,75*2=</t>
  </si>
  <si>
    <t>0509036101</t>
  </si>
  <si>
    <t>Doplňujúce práce, frézovanie betónového krytu, podkladu hr. 20 mm</t>
  </si>
  <si>
    <t xml:space="preserve">spádový betón - vyrovnanie nerovností povrchu (odhad 25%) a obrokovanie </t>
  </si>
  <si>
    <t>DC1 0,25*3457,63=</t>
  </si>
  <si>
    <t>DC2 0,25*4578,44=</t>
  </si>
  <si>
    <t>0509036102</t>
  </si>
  <si>
    <t>Doplňujúce práce, frézovanie betónového krytu, podkladu hr. 30 mm</t>
  </si>
  <si>
    <t>brúsenie krycej vrstvy betónu pod kotvy tyčí hrúbky do 30 mm</t>
  </si>
  <si>
    <t>KB typ 1:     0,05434*16=</t>
  </si>
  <si>
    <t>KB typ 2:    0,0543*108=</t>
  </si>
  <si>
    <t>KB typ 4:     0,0543*64=</t>
  </si>
  <si>
    <t>kotvy pozdĺžnych tyč:     0,0543*96=</t>
  </si>
  <si>
    <t>0509046101</t>
  </si>
  <si>
    <t>Doplňujúce práce, diamantové rezanie betónového krytu, podkladu hr. do 100 mm</t>
  </si>
  <si>
    <t>zmrašťovacie škáry ríms, 20*5 mm, rez diamantovou pílou</t>
  </si>
  <si>
    <t>(42+48)*(0,952+3,42)=</t>
  </si>
  <si>
    <t>0509046102</t>
  </si>
  <si>
    <t>Doplňujúce práce, diamantové rezanie betónového krytu, podkladu hr. nad 100 mm do 150 mm</t>
  </si>
  <si>
    <t>rezanie obvodu montážnych otvorov v hornej doske n.k. (na 2x celá výška dosky):     1,5*1,0*12*2=</t>
  </si>
  <si>
    <t>rezanie bet. spevnenia svahov pod mostom, hr. 150 mm</t>
  </si>
  <si>
    <t>odhad pre poklesnuté betónové dosky</t>
  </si>
  <si>
    <t>zarezanie hrany medzi obrubníkmi hr. 100 mm a spevnením svahu, opora O1, h= 0,1m</t>
  </si>
  <si>
    <t>0509050001</t>
  </si>
  <si>
    <t>Jadrové vŕtanie do 50 mm</t>
  </si>
  <si>
    <t>jadrové vrty d 16 mm pre vlepovanie výstuže</t>
  </si>
  <si>
    <t>0509050002</t>
  </si>
  <si>
    <t>Jadrové vŕtanie od 50 mm do 100 mm</t>
  </si>
  <si>
    <t>jadrové vrty d 52 mm pre tyče</t>
  </si>
  <si>
    <t>vrty pre odvodňovacie rúrky d 72 mm</t>
  </si>
  <si>
    <t>letmá betonáž 22*0,45=</t>
  </si>
  <si>
    <t>prefabrikované nosníky 24*0,37=</t>
  </si>
  <si>
    <t>jadrové vrty pre odvodnenie v 1. pravej dobetonávke 12*0,12=</t>
  </si>
  <si>
    <t>0509050003</t>
  </si>
  <si>
    <t>Jadrové vŕtanie od 100 mm do 150 mm</t>
  </si>
  <si>
    <t>jadrové vrty d 102 mm pre odvzdušnenie</t>
  </si>
  <si>
    <t>jadrové vrty d 122 mm pre voľné káble</t>
  </si>
  <si>
    <t>0509050005</t>
  </si>
  <si>
    <t>Jadrové vŕtanie od 200 mm do 250 mm</t>
  </si>
  <si>
    <t>jadrové vrty pre rúry nových odvodňovačov d 200 mm</t>
  </si>
  <si>
    <t>letmá betonáž 21*0,395=</t>
  </si>
  <si>
    <t>prefabrikované nosníky 24*(0,43+0,12)=</t>
  </si>
  <si>
    <t>0509050006</t>
  </si>
  <si>
    <t>Jadrové vŕtanie od 250 mm do 300 mm</t>
  </si>
  <si>
    <t>jadrové vrty d 250 mm pre betonáž</t>
  </si>
  <si>
    <t>0509050302</t>
  </si>
  <si>
    <t>Doplňujúce práce, vŕtanie do železobetónu stropov</t>
  </si>
  <si>
    <t xml:space="preserve">vrty D30 na lepenie výstuže d25 mm pre vlepovanie kotvenia prechodových dosiek </t>
  </si>
  <si>
    <t>(22+21)*0,25=</t>
  </si>
  <si>
    <t>vrty D14 na lepenie výstuže d12mm pre vlepovanie výstuže pravej rímsy, B500 B</t>
  </si>
  <si>
    <t>2230*0,16=</t>
  </si>
  <si>
    <t>vrty D14 na lepenie kompozitného zábradlia d=12 mm, L=150 mm, 16*0,12=</t>
  </si>
  <si>
    <t>vrty pre kotvy zábradlia d14 mm, L= 120 mm, 1296 ks</t>
  </si>
  <si>
    <t>1296*0,12=</t>
  </si>
  <si>
    <t>vŕtanie D12 na lepenie rámov vstupných poklopov, L=100 mm</t>
  </si>
  <si>
    <t>12*6*0,1=</t>
  </si>
  <si>
    <t>záverný múrik vrty d=20 mm, L= 0,3 m, 128 ks</t>
  </si>
  <si>
    <t>128*0,3=</t>
  </si>
  <si>
    <t>vrty D12 na lepenie kotiev úchytov zvislého potrubia odvodňovačov DC1, L=110 mm, 21*4*0,11=</t>
  </si>
  <si>
    <t>vrty d=20 mm na lepenie výstuže v otvoroch hornej dosky DC1, L=150 mm, 0,15*144=</t>
  </si>
  <si>
    <t>vrty d=25 mm na lepenie výstuže v otvoroch hornej dosky DC1, L=150 mm, 0,15*72=</t>
  </si>
  <si>
    <t>vrty pre meračské značky d= 14 mm s lepidlom, 74*0,091=</t>
  </si>
  <si>
    <t>Úprava staveniska a vyčisťovacie práce</t>
  </si>
  <si>
    <t>vyčistenie okolia mosta po dokončení opravy (okolie opôr)</t>
  </si>
  <si>
    <t>70*40+40*30=</t>
  </si>
  <si>
    <t>0101010401</t>
  </si>
  <si>
    <t>Pripravné práce, odstránenie porastov mačiny hr. do 100 mm</t>
  </si>
  <si>
    <t xml:space="preserve">opora O17  pod žľab, schodisko, spevnenie kužeľa, betónové plochy  </t>
  </si>
  <si>
    <t>(5,55+5,5*0,5+71,37)*1,08=</t>
  </si>
  <si>
    <t>0101020101</t>
  </si>
  <si>
    <t>Pripravné práce, rúbanie stromov priemer do 50 cm</t>
  </si>
  <si>
    <t>pri podpere P16</t>
  </si>
  <si>
    <t>0101020201</t>
  </si>
  <si>
    <t>Pripravné práce, rúbanie odstránenie pňov priemer do 50 cm</t>
  </si>
  <si>
    <t>0106020405</t>
  </si>
  <si>
    <t>Premiestnenie  vodorovné nad 3 000 m, konárov</t>
  </si>
  <si>
    <t>0,76*3=</t>
  </si>
  <si>
    <t>0106020406</t>
  </si>
  <si>
    <t>Premiestnenie  vodorovné nad 3 000 m, kmeňov</t>
  </si>
  <si>
    <t>1,5*3=</t>
  </si>
  <si>
    <t>0106020407</t>
  </si>
  <si>
    <t>Premiestnenie  vodorovné nad 3 000 m, pňov</t>
  </si>
  <si>
    <t>1,0*3=</t>
  </si>
  <si>
    <t>0106020408</t>
  </si>
  <si>
    <t>Premiestnenie   vodorovné nad 3 000 m, mačiny</t>
  </si>
  <si>
    <t>(5,55+5,5*0,5+71,37)*1,08*0,1=</t>
  </si>
  <si>
    <t>0201010101</t>
  </si>
  <si>
    <t>Zlepšovanie základovej pôdy, výplň odvodňovacích rebier alebo trativodov kamenivom, štrkopieskom triedeným</t>
  </si>
  <si>
    <t>výplň šachty štrkom fr.32/64</t>
  </si>
  <si>
    <t>1,0*2,0*0,5=</t>
  </si>
  <si>
    <t>výkop pre základy pod ľavými rímsami</t>
  </si>
  <si>
    <t>1*0,76*1*2=</t>
  </si>
  <si>
    <t>výkop pre základy pod pravými rímsami</t>
  </si>
  <si>
    <t>1,0*1,347*(3,5+4,1)=</t>
  </si>
  <si>
    <t>0103010207</t>
  </si>
  <si>
    <t>Hĺbené vykopávky jám nezapažených, tr. horniny 1-4</t>
  </si>
  <si>
    <t>výkop pre stĺpiky oplotenia (8+2+3)*(0,25*0,25*0,5)=</t>
  </si>
  <si>
    <t>0103020107</t>
  </si>
  <si>
    <t>Hĺbené vykopávky rýh š. do 600 mm, tr. horniny 1-4</t>
  </si>
  <si>
    <t>výkop pre základový pás pod násypom, opora O17 17,1*0,8*0,5=</t>
  </si>
  <si>
    <t>0103030207</t>
  </si>
  <si>
    <t>Hĺbené vykopávky šachiet nezapažených, tr. horniny 1-4</t>
  </si>
  <si>
    <t>výkop pre rozptylovú šachtu:     1,6*2,6*1,25=</t>
  </si>
  <si>
    <t>0108040201</t>
  </si>
  <si>
    <t>Povrchové úpravy terénu, svahovanie v násypoch, tr.horniny 1-4</t>
  </si>
  <si>
    <t>prisypanie svahu za oporou O17, priemerná hr. 0,5 m, nakupovaný materiál</t>
  </si>
  <si>
    <t>Presun zemín</t>
  </si>
  <si>
    <t>Premiestnenie  výkopku resp. rúbaniny, vodorovné nad 3 000 m, tr. horniny 1-4</t>
  </si>
  <si>
    <t>odvoz nevhodnej zeminy zo stavby:     11,76+0,41+6,84+5,2=</t>
  </si>
  <si>
    <t>Stavebné práce na mostoch</t>
  </si>
  <si>
    <t>1101010104</t>
  </si>
  <si>
    <t>Základy, pásy z betónu prostého, tr. C 16/20 (B 20)</t>
  </si>
  <si>
    <t>O1 obetónovanie obrubníkov 7,2*0,3*0,3=</t>
  </si>
  <si>
    <t>O1 obetónovanie obrubníkov 11,2*0,3*0,3=</t>
  </si>
  <si>
    <t>O17 obetónovanie obrubníkov 3,9*0,3*0,3=</t>
  </si>
  <si>
    <t>O17 obetónovanie obrubníkov (5,6+2*2,75)*0,3*0,3=</t>
  </si>
  <si>
    <t>1101010106</t>
  </si>
  <si>
    <t>Základy, pásy z betónu prostého, tr. C 25/30 (B 30)</t>
  </si>
  <si>
    <t>základový pás pod násypom C25/30 pod mostom, opora O17</t>
  </si>
  <si>
    <t>17,1*0,8*0,5*=</t>
  </si>
  <si>
    <t>1101020104</t>
  </si>
  <si>
    <t>Základy, pätky z betónu prostého, tr. C 16/20 (B 20)</t>
  </si>
  <si>
    <t>základové pätky okolo stĺpikov oplotenia</t>
  </si>
  <si>
    <t>(8+2+3)*(0,25*0,25*0,5)=</t>
  </si>
  <si>
    <t>1101020106</t>
  </si>
  <si>
    <t>Základy, pätky z betónu prostého, tr. C 25/30 (B 30)</t>
  </si>
  <si>
    <t>základy pod ľavými rímsami: 2*0,76*1,0*1,0=</t>
  </si>
  <si>
    <t xml:space="preserve">základy pod pravými rímsami: 3,5*1,0*1,347+1,0*1,347*4,2=   </t>
  </si>
  <si>
    <t>1105060208</t>
  </si>
  <si>
    <t>Zvislé konštrukcie inžinierskych stavieb, rímsy z betónu železového, tr. C 35/45 (B 45)</t>
  </si>
  <si>
    <t>rímsy monolitické</t>
  </si>
  <si>
    <t>ľavá rímsa, DC1:        0,230*273,8=</t>
  </si>
  <si>
    <t>ľavá rímsa, DC2:        0,187*362,1=</t>
  </si>
  <si>
    <t>pravá rímsa, DC1:     0,631*277,3=</t>
  </si>
  <si>
    <t>pravá rímsa, DC2:     0,582*364,5=</t>
  </si>
  <si>
    <t>1105061201</t>
  </si>
  <si>
    <t>Zvislé konštrukcie inžinierskych stavieb, rímsy, debnenie z dielcov drevených</t>
  </si>
  <si>
    <t>ľavá rímsa, DC1:        0,262*273,8+0,23*4=</t>
  </si>
  <si>
    <t>ľavá rímsa, DC2:        0,187*4+0,242*362,1=</t>
  </si>
  <si>
    <t>pravá rímsa, DC1:     0,631*4+277,3*1,51=</t>
  </si>
  <si>
    <t>pravá rímsa, DC2:     0,582*4+364,5*1,559=</t>
  </si>
  <si>
    <t>debnenie drenážnych kanálikov</t>
  </si>
  <si>
    <t>(21,02+9,8+255,686+358,01+10+10)*0,045*2=</t>
  </si>
  <si>
    <t>debnenie pre škáry pri rímsach, v kryte vozovky a ochrane izolácie</t>
  </si>
  <si>
    <t>debnenie v kryte hr. 20 mm, vložená lišta medzi kryt a monolitickú betónovú rímsu (na vytvorenie škáry pre tesnenie pri zhotovovaní krytu vozovky):    0,04*((641,69-1,0-1,25-1,25)+(637,42-1,0-1,25-1,25))=</t>
  </si>
  <si>
    <t>debnenie v ochrane izolácie hr. 20 mm, 0,045*((641,69-1,0-1,25-1,25)+(637,42-1,0-1,25-1,25))=</t>
  </si>
  <si>
    <t>debnenie pracovných škár ríms</t>
  </si>
  <si>
    <t>ľavá rímsa 9*0,174=</t>
  </si>
  <si>
    <t>pravá rímsa 9*0,576=</t>
  </si>
  <si>
    <t>debnenie základov pod pravé rímsy za oporami</t>
  </si>
  <si>
    <t xml:space="preserve">3,5*1,0+1,347*1,0+1,0*4,2+1,347*1,0=   </t>
  </si>
  <si>
    <t xml:space="preserve">debnenie základov pod ľavé rímsy za oporami </t>
  </si>
  <si>
    <t>(2*1,0*1,0+1,0*0,76)*2=</t>
  </si>
  <si>
    <t>1105061303</t>
  </si>
  <si>
    <t>Zvislé konštrukcie inžinierskych stavieb, rímsy, debnenie zabudované betónové</t>
  </si>
  <si>
    <t>debnenie na ľavej rímse, cementovláknité dosky hr. 16 mm</t>
  </si>
  <si>
    <t xml:space="preserve">PM ľavá:      631,2*0,25= </t>
  </si>
  <si>
    <t>1105062106</t>
  </si>
  <si>
    <t>Zvislé konštrukcie inžinierskych stavieb, rímsy, výstuž z betonárskej ocele 10505</t>
  </si>
  <si>
    <t>výstuž B500 B</t>
  </si>
  <si>
    <t>ľavá rímsa</t>
  </si>
  <si>
    <t>pravá rímsa letmá betonáž</t>
  </si>
  <si>
    <t>pravá rímsa prefabrikované nosníky</t>
  </si>
  <si>
    <t>1108010203</t>
  </si>
  <si>
    <t>Vodorovné nosné konštrukcie inžinierskych stavieb, prechodové dosky  z betónu železového, tr. C 12/15 (B 15)</t>
  </si>
  <si>
    <t>podkladný betón pod PD, opora O1</t>
  </si>
  <si>
    <t>10,72*6,1*0,1=</t>
  </si>
  <si>
    <t>podkladný betón pod PD, opora O17</t>
  </si>
  <si>
    <t>10,25*6,1*0,1=</t>
  </si>
  <si>
    <t>1108010207</t>
  </si>
  <si>
    <t>Vodorovné nosné konštrukcie inžinierskych stavieb, prechodové dosky  z betónu železového, tr. C 25/30 (B 30)</t>
  </si>
  <si>
    <t>nová prechodová doska opora O1, C30/37</t>
  </si>
  <si>
    <t>10,62*6,0*0,3=</t>
  </si>
  <si>
    <t>nová prechodová doska opora O17, C30/37</t>
  </si>
  <si>
    <t>10,15*6,0*0,3=</t>
  </si>
  <si>
    <t>1108012106</t>
  </si>
  <si>
    <t>Vodorovné nosné konštrukcie inžinierskych stavieb, prechodové dosky, výstuž z betonárskej ocele 10505</t>
  </si>
  <si>
    <t>nová prechodová doska opora O1, B 500B</t>
  </si>
  <si>
    <t>nová prechodová doska opora O17, B 500B</t>
  </si>
  <si>
    <t>1108020207</t>
  </si>
  <si>
    <t>Vodorovné nosné konštrukcie inžinierskych stavieb, mostné dosky, klenby z betónu železového, tr. C 30/37 (B 35)</t>
  </si>
  <si>
    <t>spádový betón C30/37</t>
  </si>
  <si>
    <t>DC1 0,924*271,096*1,2=</t>
  </si>
  <si>
    <t>DC2 9010/25,0*1,25=</t>
  </si>
  <si>
    <t>dobetónovanie okolo nových odvodňovačov v dolných prírubách nosníkov</t>
  </si>
  <si>
    <t>1108020208</t>
  </si>
  <si>
    <t>Vodorovné nosné konštrukcie inžinierskych stavieb, mostné dosky, klenby z betónu železového, tr. C 35/45 (B 45)</t>
  </si>
  <si>
    <t>dobetónovanie káps pre mostný záver</t>
  </si>
  <si>
    <t>dobetonávky otvorov v hornej doske nosnej konštrukcie DC1:     12*1,5*1,0*0,22*1,2=</t>
  </si>
  <si>
    <t>1108021101</t>
  </si>
  <si>
    <t>Vodorovné nosné konštrukcie inžinierskych stavieb, mostné dosky, klenby, debnenie tradičné drevené</t>
  </si>
  <si>
    <t>debnenie pre dobetónovanie okolo odvodňovačov na spodných prírubách nosníkov</t>
  </si>
  <si>
    <t>24*(0,288*0,4-3,14*0,08*0,08)+0,288*0,4=</t>
  </si>
  <si>
    <t>debnenie priečnika nosnej konštrukcie, opora O17</t>
  </si>
  <si>
    <t>16,735+1,312*8+2*0,271=</t>
  </si>
  <si>
    <t>debnenie záverného múrika opora O17</t>
  </si>
  <si>
    <t>0,325*0,68*2+0,325*12,75*2=</t>
  </si>
  <si>
    <t>debnenie otvorov v hornej doske nosnej konštrukcie DC1</t>
  </si>
  <si>
    <t>12*1,5*1,0=</t>
  </si>
  <si>
    <t>debnenie spádového betónu</t>
  </si>
  <si>
    <t>(2*0,2*271,1+2*0,2*359,1+0,15*12,75)*1,1=</t>
  </si>
  <si>
    <t>debnenie prechodových dosiek 2*0,3*10,62+2*0,3*10,15+2*2*2*0,3=</t>
  </si>
  <si>
    <t>1108022106</t>
  </si>
  <si>
    <t>Vodorovné nosné konštrukcie inžinierskych stavieb, mostné dosky, klenby, výstuž z betonárskej ocele 10505</t>
  </si>
  <si>
    <t>B500 B okrem zváraných sietí</t>
  </si>
  <si>
    <t>B500 B, bezdilatačné styky 0,0487*50=</t>
  </si>
  <si>
    <t>B500 B, výstuž otvorov v hornej doske DC1</t>
  </si>
  <si>
    <t>B500 B, betonárska výstuž, priečnik nosnej konštrukcie opora O17</t>
  </si>
  <si>
    <t>B500 B, výstuž lôžka pre mostný záver O17</t>
  </si>
  <si>
    <t>B500 B, betonárska výstuž, záverný múrik opora O17</t>
  </si>
  <si>
    <t>1108022107</t>
  </si>
  <si>
    <t>Vodorovné nosné konštrukcie inžinierskych stavieb, mostné dosky, výstuž z betonárskej ocele zo zváraných sietí</t>
  </si>
  <si>
    <t xml:space="preserve">DC1+DC2, spádový betón siete KY14 </t>
  </si>
  <si>
    <t>1108030207</t>
  </si>
  <si>
    <t>Vodorovné nosné konštrukcie inžinierskych stavieb, mostné trámy  z betónu železového, tr. C 30/37 (B 35)</t>
  </si>
  <si>
    <t>opora O17, nový betón záverného múrika 0,202*12,95=</t>
  </si>
  <si>
    <t>1108030208</t>
  </si>
  <si>
    <t>Vodorovné nosné konštrukcie inžinierskych stavieb, mostné trámy  z betónu železového, tr. C 35/45 (B 45)</t>
  </si>
  <si>
    <t>nový priečnik opora O17, betón B35/45</t>
  </si>
  <si>
    <t>1108050208</t>
  </si>
  <si>
    <t>Vodorovné nosné konštrukcie inžinierskych stavieb, mostné komorové  z betónu železového, tr. C 35/45 (B 45)</t>
  </si>
  <si>
    <t>úchyty VK, výpočet viď TAB. 4</t>
  </si>
  <si>
    <t>typ 1:     1*1,52=</t>
  </si>
  <si>
    <t>typ 2:     4*1,386=</t>
  </si>
  <si>
    <t>typ 3:     4*1,155=</t>
  </si>
  <si>
    <t>typ 4:     1*11,66=</t>
  </si>
  <si>
    <t>1108050309</t>
  </si>
  <si>
    <t>Vodorovné nosné konštrukcie inžinierskych stavieb, mostné komorové z betónu predpätého, tr. C 40/50 (B 50)</t>
  </si>
  <si>
    <t>kotevné bloky a deviátory VK, výpočet viď TAB. 5</t>
  </si>
  <si>
    <t>KB typ 1:     2*4,62=</t>
  </si>
  <si>
    <t>KB typ 2:     2*10,34=</t>
  </si>
  <si>
    <t>KB typ 3:     4*15,18=</t>
  </si>
  <si>
    <t>KB typ 4:     4*9,68=</t>
  </si>
  <si>
    <t>deviátor:     2*13,31=</t>
  </si>
  <si>
    <t>1108051101</t>
  </si>
  <si>
    <t>Vodorovné nosné konštrukcie inžinierskych stavieb, mostné komorové, debnenie tradičné drevené</t>
  </si>
  <si>
    <t>úchyty VK, výpočet viď TAB. 6</t>
  </si>
  <si>
    <t>typ 1:     1*11,66=</t>
  </si>
  <si>
    <t>typ 2:     4*10,12=</t>
  </si>
  <si>
    <t>typ 3:     4*8,25=</t>
  </si>
  <si>
    <t>typ 4:     1*11,33=</t>
  </si>
  <si>
    <t>kotevné bloky a deviátory VK</t>
  </si>
  <si>
    <t>KB typ 1:     2*10,12=</t>
  </si>
  <si>
    <t>KB typ 2:     2*21,12=</t>
  </si>
  <si>
    <t>KB typ 3:     4*24,31=</t>
  </si>
  <si>
    <t>KB typ 4:     4*23,87=</t>
  </si>
  <si>
    <t>deviátor:     2*22,33=</t>
  </si>
  <si>
    <t xml:space="preserve">debniaci blok v tvare kónického nátrubku zo silonu </t>
  </si>
  <si>
    <t>priemer 200 mm, dĺžka 600 mm</t>
  </si>
  <si>
    <t xml:space="preserve">KB typ 1, 4 ks, 0,087 t    </t>
  </si>
  <si>
    <t>KB typ 2, 8+4 ks:     0,173+0,087=0,26 t</t>
  </si>
  <si>
    <t>KB typ 3, 8+12 ks:     0,173+0,26=0,433 t</t>
  </si>
  <si>
    <t>KB typ 4, 8+48 ks:     0,173+1,04=1,213 t</t>
  </si>
  <si>
    <t>deviátory, 12 ks:     0,26 t</t>
  </si>
  <si>
    <t>spolu 104 ks debniacich blokov, hmotnosľ 2,254 t</t>
  </si>
  <si>
    <t>1108052106</t>
  </si>
  <si>
    <t>Vodorovné nosné konštrukcie inžinierskych stavieb, mostné komorové, výstuž z betonárskej ocele 10505</t>
  </si>
  <si>
    <t>úchyty VK</t>
  </si>
  <si>
    <t>typ 1:     1*0,24=</t>
  </si>
  <si>
    <t>typ 2:     4*0,207=</t>
  </si>
  <si>
    <t>typ 3:     4*0,193=</t>
  </si>
  <si>
    <t>typ 4:     1*0,23=</t>
  </si>
  <si>
    <t>KB typ 1:     2*0,725=</t>
  </si>
  <si>
    <t>KB typ 2:     2*1,12=</t>
  </si>
  <si>
    <t>KB typ 3:     4*2,415=</t>
  </si>
  <si>
    <t>KB typ 4:     4*1,447=</t>
  </si>
  <si>
    <t>deviátor:     2*1,32=</t>
  </si>
  <si>
    <t>1108052203</t>
  </si>
  <si>
    <t>Vodorovné nosné konštrukcie inžinierskych stavieb, mostné komorové, výstuž z predpínacej ocele, tyčí</t>
  </si>
  <si>
    <t>tyče priemeru 36 mm</t>
  </si>
  <si>
    <t>pozdĺžne predpätie</t>
  </si>
  <si>
    <t>KB typ 1:     2*0,375=</t>
  </si>
  <si>
    <t>KB typ 2:     2*0,48=</t>
  </si>
  <si>
    <t>KB typ 3:     2*2,575=</t>
  </si>
  <si>
    <t>KB typ 4:     4*0,535=</t>
  </si>
  <si>
    <t>deviátor:     1*0,52=</t>
  </si>
  <si>
    <t>kotevný materiál</t>
  </si>
  <si>
    <t>kotevné dosky štandardné:     96+96+320+224+24=568 ks</t>
  </si>
  <si>
    <t>kotevné dosky atypické klinovité:     8*2*2=32 ks</t>
  </si>
  <si>
    <t>spojky tyčí:     8+8=16 ks</t>
  </si>
  <si>
    <t>matice polguľové:     568+32=600 ks</t>
  </si>
  <si>
    <t>hrnce na kotevné dosky s gumovým tesnením:     568+32=600 ks</t>
  </si>
  <si>
    <t>tyče priemeru 32 mm</t>
  </si>
  <si>
    <t>pozdĺžne predpätie - kozlíky:     2*0,737=</t>
  </si>
  <si>
    <t>KB typ 1:     2*0,13=</t>
  </si>
  <si>
    <t>KB typ 2:     2*0,905=</t>
  </si>
  <si>
    <t>KB typ 4:     4*0,345=</t>
  </si>
  <si>
    <t>kotevné dosky štandardné:     108+16+108+64=296 ks</t>
  </si>
  <si>
    <t>kotevné dosky atypické klinovité:     108+16+108+64=296 ks</t>
  </si>
  <si>
    <t>matice polguľové:     296+296=592 ks</t>
  </si>
  <si>
    <t>hrnce na kotevné dosky s gumovým tesnením:     108+16+108+64=296 ks</t>
  </si>
  <si>
    <t>1108052204</t>
  </si>
  <si>
    <t>Vodorovné nosné konštrukcie inžinierskych stavieb, mostné komorové, výstuž z predpínacej ocele, voľné káble</t>
  </si>
  <si>
    <t>kotevné dosky + prechody - úprava pre VK:     68 ks</t>
  </si>
  <si>
    <t xml:space="preserve">hrnce na kotevné dosky:     68 ks </t>
  </si>
  <si>
    <t>polymérbetónové rímsové prefabrikáty na ľavej rímse</t>
  </si>
  <si>
    <t xml:space="preserve">631,2*0,7*0,04=  </t>
  </si>
  <si>
    <t>oceľové sedlá káblov - rúra 133x4 mm žiarovo zinkovaná</t>
  </si>
  <si>
    <t>prechodky na kotvy tyčí - rúra 51x2.5 mm žiarovo zinkovaná, 876 ks</t>
  </si>
  <si>
    <t>kotevné kozlíky zvárané oceľové konštrukcie  - oceľ S355</t>
  </si>
  <si>
    <t>opora O17, vysokopevnostná malta, min. pevnosť v tlaku 45 MPa pod mostným záverom, hr.30 mm</t>
  </si>
  <si>
    <t>(0,5+0,5)*12,65=</t>
  </si>
  <si>
    <t>plastmalta pod kotvami zábradlia,odhad hr. 8 mm</t>
  </si>
  <si>
    <t>646*0,11*0,17=</t>
  </si>
  <si>
    <t>plastmalta pod kotvami zvodidiel, odhad hr. 10 mm</t>
  </si>
  <si>
    <t>ĽR 336*0,099=</t>
  </si>
  <si>
    <t>PR 508*0,084=</t>
  </si>
  <si>
    <t>pod príložné kotvy hr.do 10 mm:     (0,16*0,185*(192+2*(16+12+64))+0,24*0,17*(48+48+112+112))*1,2=</t>
  </si>
  <si>
    <t>pod kotevné kozlíky hr.do 20 mm:     2*8*2*(0,44*0,8)*1,2=</t>
  </si>
  <si>
    <t>nové zábradlie pravá rímsa</t>
  </si>
  <si>
    <t>oceľové mostné odvodňovače</t>
  </si>
  <si>
    <t>ľavá strana vozovky</t>
  </si>
  <si>
    <t>pravá strana vozovky</t>
  </si>
  <si>
    <t>odvodňovacie zvislé nerezové rúrky dn 50 mm</t>
  </si>
  <si>
    <t>22*0,6+24*(1,34+0,46)+12*0,28=</t>
  </si>
  <si>
    <t>zvislé potrubie dn= 150 mm k odvodňovačom</t>
  </si>
  <si>
    <t>letmá betonáž 21*1,5=</t>
  </si>
  <si>
    <t>prefabrikované nosníky 24*(1,47+0,24+0,024)=</t>
  </si>
  <si>
    <t>2125042204</t>
  </si>
  <si>
    <t>Doplňujúce konštrukcie, dilatačné zariadenia, výplň dilatačných škár z polystyrénu</t>
  </si>
  <si>
    <t>škára medzi prechodovými doskami a oporami, EPS polystyrén hr. 20 mm</t>
  </si>
  <si>
    <t>(0,1+0,1+0,3)*(10,62+10,15)=</t>
  </si>
  <si>
    <t>škára, bezdilatačné styky EPS polystyrén hr. 30 mm</t>
  </si>
  <si>
    <t>(1,04+2*0,288)*0,945*50=</t>
  </si>
  <si>
    <t>2125042401</t>
  </si>
  <si>
    <t>Doplňujúce konštrukcie, dilatačné zariadenia, tesnenie dilatačných škár asfaltovou zálievkou</t>
  </si>
  <si>
    <t>penetračný náter v pracovných škárach ríms</t>
  </si>
  <si>
    <t>ľavá rímsa (0+9)*0,952=</t>
  </si>
  <si>
    <t>pravá rímsa (0+9)*3,420=</t>
  </si>
  <si>
    <t>2125042403</t>
  </si>
  <si>
    <t>Doplňujúce konštrukcie, dilatačné zariadenia, tesnenie dilatačných škár polyuretánovým tmelom</t>
  </si>
  <si>
    <t>dilatačné škáry ríms, trvale pružný tmel 5*15 mm</t>
  </si>
  <si>
    <t>22*0,972+22*3,48=</t>
  </si>
  <si>
    <t>pracovné škáry ríms, polyuretánový tesniaci tmel</t>
  </si>
  <si>
    <t>tesnenie pozdĺžnej škáry medzi ľavou monolitickou rímsou a rímsovými prefabrikátmi 20*20 mm</t>
  </si>
  <si>
    <t>tesnenie škár medzi debnením pravej rímsy a nosnou konštrukciou</t>
  </si>
  <si>
    <t>predtesnenie dilatačných škár ríms neoprénom</t>
  </si>
  <si>
    <t>zmrašťovacie škáry ríms, 20*5 mm, trvale pružný tmel</t>
  </si>
  <si>
    <t>ľavá rímsa (42+48)*0,952=</t>
  </si>
  <si>
    <t>pravá rímsa (42+48)*3,420=</t>
  </si>
  <si>
    <t>2125042405</t>
  </si>
  <si>
    <t>Doplňujúce konštrukcie, dilatačné zariadenia, tesnenie dilatačných škár gumovým pásikom</t>
  </si>
  <si>
    <t>výplň škár medzi rímsovými prefabrikátmi, predtesnenie z mikroporéznej gumy pod polyuretánový tmel</t>
  </si>
  <si>
    <t>vodorovne: 630*0,04=</t>
  </si>
  <si>
    <t>zvisle: 630*0,25=</t>
  </si>
  <si>
    <t>2125042605</t>
  </si>
  <si>
    <t>Doplňujúce konštrukcie, dilatačné zariadenia, mostné závery povrchové posun do 400 mm</t>
  </si>
  <si>
    <t xml:space="preserve">opora O17, mostný záver gumokovový s nízkou hladinou hluku </t>
  </si>
  <si>
    <t>2125083302</t>
  </si>
  <si>
    <t>Doplňujúce konštrukcie, zaťažovacie skúšky statické, 1.pole do 500 m2</t>
  </si>
  <si>
    <t>DC1, pole č.1</t>
  </si>
  <si>
    <t>2125083304</t>
  </si>
  <si>
    <t>Doplňujúce konštrukcie, zaťažovacie skúšky statické, 1.pole nad 800 m2</t>
  </si>
  <si>
    <t>DC1, pole č.2</t>
  </si>
  <si>
    <t>2125083306</t>
  </si>
  <si>
    <t>Doplňujúce konštrukcie, zaťažovacie skúšky statické, 2. a ďalšie pole do 500 m2</t>
  </si>
  <si>
    <t>DC1, pole č.4</t>
  </si>
  <si>
    <t>2125083308</t>
  </si>
  <si>
    <t>Doplňujúce konštrukcie, zaťažovacie skúšky statické, 2. a ďalšie pole nad 800 m2</t>
  </si>
  <si>
    <t>DC1, pole č.3</t>
  </si>
  <si>
    <t>2125083402</t>
  </si>
  <si>
    <t>Doplňujúce konštrukcie, zaťažovacie skúšky dynamické, 1.pole do 500 m2</t>
  </si>
  <si>
    <t>2125083404</t>
  </si>
  <si>
    <t>Doplňujúce konštrukcie, zaťažovacie skúšky dynamické, 1.pole nad 800 m2</t>
  </si>
  <si>
    <t>2125083406</t>
  </si>
  <si>
    <t>Doplňujúce konštrukcie, zaťažovacie skúšky dynamické, 2. a ďalšie pole do 500 m2</t>
  </si>
  <si>
    <t>2125083408</t>
  </si>
  <si>
    <t>Doplňujúce konštrukcie, zaťažovacie skúšky dynamické, 2. a ďalšie pole nad 800 m2</t>
  </si>
  <si>
    <t>mostné odvodňovacie tvarovky dn 50 mm</t>
  </si>
  <si>
    <t>uzamykateľné vstupné poklopy do n. k.</t>
  </si>
  <si>
    <t>bezdilatačný styk - pásy 60x10x1170 mm, S235 JRG</t>
  </si>
  <si>
    <t>lepenie výstuže  d=16 mm do vrtov v otvoroch hornej dosky DC1, L=150 mm, 0,15*144=</t>
  </si>
  <si>
    <t>lepenie výstuže d=20 mm do vrtov v otvoroch hornej dosky DC1, L=150 mm, 0,15*72=</t>
  </si>
  <si>
    <t xml:space="preserve">lepenie výstuže d25 mm pre vlepovanie kotvenia prechodových dosiek </t>
  </si>
  <si>
    <t xml:space="preserve">  </t>
  </si>
  <si>
    <t>lepenie výstuže d12mm pre vlepovanie výstuže pravej rímsy, B500 B</t>
  </si>
  <si>
    <t>lepenie kotiev d10 mm, rámy vstupných poklopov, L=100 mm</t>
  </si>
  <si>
    <t>chemické kotvy kompozitného zábradlia d=12 mm, L=150 mm</t>
  </si>
  <si>
    <t>lepenie  pre kotvy zábradlia d12 mm, L= 120 mm, 1296 ks</t>
  </si>
  <si>
    <t>lepenie kotiev pre úchyty zvislých potrubí odvodňovačov DC1, 21*4*0,1=</t>
  </si>
  <si>
    <t>lepenie záverný múrik, L= 0,3 m, 128 ks</t>
  </si>
  <si>
    <t>lepenie meračské značky d= 14 mm, 74*0,091=</t>
  </si>
  <si>
    <t>výpočet viď TAB. 11</t>
  </si>
  <si>
    <t>vlepovanie výstuže d 12 mm prvky UCH14, UCH23-26, UCH33-36, UCH42:     12,32+24,08+22,96+24,08+22,96+12,04=</t>
  </si>
  <si>
    <t xml:space="preserve">Doplňujúce konštrukcie, drobné zariadenia oceľové, chemické kotvy ríms  </t>
  </si>
  <si>
    <t>súbor lepených kotiev ríms, vrátane vŕtania, lepenia a ostatných potrebných činností pre kotvenie časti rímsy v dĺžke 1 m</t>
  </si>
  <si>
    <t xml:space="preserve">ĽR </t>
  </si>
  <si>
    <t>PR</t>
  </si>
  <si>
    <t>2125010601</t>
  </si>
  <si>
    <t>Doplňujúce konštrukcie, zvodidlá oceľové jednoduché</t>
  </si>
  <si>
    <t>pravá rímsa, spätná montáž pôvodného zvodidla KB2 RH2</t>
  </si>
  <si>
    <t>náhrada 20,0% naviac za poškodené stĺpiky a zvodnice</t>
  </si>
  <si>
    <t>0,20*641,8=</t>
  </si>
  <si>
    <t>náhrada 100,0% naviac za poškodený spojovací materiál</t>
  </si>
  <si>
    <t>náhrada 100,0% naviac za nové kotvenie zvodidla</t>
  </si>
  <si>
    <t>2125010602</t>
  </si>
  <si>
    <t>Doplňujúce konštrukcie, zvodidlá oceľové zábradeľné</t>
  </si>
  <si>
    <t>ľavá rímsa, spätná montáž pôvodného zábradľ. zvodidla KB1 RH2 K</t>
  </si>
  <si>
    <t>0,20*636,0=</t>
  </si>
  <si>
    <t>náhrada 100,0% naviac za nové kotvenie zábradľového zvodidla</t>
  </si>
  <si>
    <t>2125052802</t>
  </si>
  <si>
    <t>Doplňujúce konštrukcie, mostné zábrany a ochrany, protidotykové zábrany, sieť</t>
  </si>
  <si>
    <t>plotový sieťový nadstavec na zábradľovom zvodidle vľavo, vrátane nových oceľových úchytov:      636*0,5=</t>
  </si>
  <si>
    <t>podperná skruž drevená pod debnenie otvorov v hornej doske DC1</t>
  </si>
  <si>
    <t>2*1,5*(1,31+3,98+3,94+2,24+1,09+2,31+2,21+1,05+2,21+3,88+3,86+1,12)=</t>
  </si>
  <si>
    <t xml:space="preserve">odhad 1 promile celkovej sanovanej plochy betónu </t>
  </si>
  <si>
    <t>(8249,704+8292,726+36,650+970,906)*0,001=</t>
  </si>
  <si>
    <t>Kompletovanie a montáž prefabrikovaných konštrukcií</t>
  </si>
  <si>
    <t xml:space="preserve">prefabrikované stupne obslužného schodiska </t>
  </si>
  <si>
    <t>C35/45 750*600*162 mm, 16 ks</t>
  </si>
  <si>
    <t>16*0,75*0,6*0,162=</t>
  </si>
  <si>
    <t>2702042103</t>
  </si>
  <si>
    <t>Vodovody, rúry plastové PE, PP nad D 50 mm do D 110 mm</t>
  </si>
  <si>
    <t>hdpe rúry pre voľné káble</t>
  </si>
  <si>
    <t>d   110x6,6 mm PE100</t>
  </si>
  <si>
    <t>d   63x5,8 mm PE100</t>
  </si>
  <si>
    <t>2203033002</t>
  </si>
  <si>
    <t>Podkladné a krycie vrstvy z asfaltových zmesí, bitúmenové postreky, nátery,posypy spojovací postrek z modifikovaného asfaltu</t>
  </si>
  <si>
    <t>spojovací postrek 2 vrstvy na nosnej konštrukcii</t>
  </si>
  <si>
    <t xml:space="preserve">PS, CBP 0,3 kg/m2    </t>
  </si>
  <si>
    <t>DC1 2779,496*2=</t>
  </si>
  <si>
    <t>DC2 3680,783*2=</t>
  </si>
  <si>
    <t>zaklinenie, drva 4/8 - 2,0 kg/m2</t>
  </si>
  <si>
    <t>DC1 10,25*1,0*2=</t>
  </si>
  <si>
    <t>DC2 10,25*1,0*2=</t>
  </si>
  <si>
    <t>celkom</t>
  </si>
  <si>
    <t>Podkladné a krycie vrstvy z asfaltových zmesí, bitúmenové vrstvy, asfaltový koberec mastixový triedy I.</t>
  </si>
  <si>
    <t>asfaltový koberec mastixový SMA 11,  PMB modifik.</t>
  </si>
  <si>
    <t>kryt vozovky na nosnej konštrukcii 40 mm</t>
  </si>
  <si>
    <t>DC1 (2779,496-271,096*0,02*2-10,25*1,0*2)*0,04=</t>
  </si>
  <si>
    <t>DC2 (3680,783-359,093*0,02*2-10,25*1,0*2)*0,04=</t>
  </si>
  <si>
    <t>2203064302</t>
  </si>
  <si>
    <t>Podkladné a krycie vrstvy z asfaltových zmesí, bitúmenové vrstvy, asfaltový koberec drenážny z plastbetónu</t>
  </si>
  <si>
    <t>drenážne kanáliky, š= 100 mm, h= 45 mm a okolie 45 odvodňovačov a 46 odvodňovacích rúrok,</t>
  </si>
  <si>
    <t>drenážny plastbetón 8/16 mm z ťaženého kameniva</t>
  </si>
  <si>
    <t>0,1*0,045*(9,8+10,0+10,0+21,02+255,69+358,01)+0,43*0,43*0,06*46+0,06*(0,53+2*0,165+2*0,33)*45=</t>
  </si>
  <si>
    <t>2203074405</t>
  </si>
  <si>
    <t>Podkladné a krycie vrstvy z asfaltových zmesí, liaty asfalt cestný strednozrnný modifikovaný</t>
  </si>
  <si>
    <t>liaty asfalt MA16 PMB modifik.</t>
  </si>
  <si>
    <t>ochranná vrstva AC11, 45 mm</t>
  </si>
  <si>
    <t>DC1 (2779.496-271,096*0,04-10,25*1,0*2)*0,045=</t>
  </si>
  <si>
    <t>DC2 (3680,783-359,093*0,04-10,25*1,0*2)*0,045=</t>
  </si>
  <si>
    <t>ochrana izolácie 45 mm na nosnej konštrukcii</t>
  </si>
  <si>
    <t>DC1 10,25*1,0*2*0,045=</t>
  </si>
  <si>
    <t>DC2 10,25*1,0*2*0,045=</t>
  </si>
  <si>
    <t>kryt vozovky MA16 PMB 40 mm</t>
  </si>
  <si>
    <t>DC1 10,25*1,0*2*0,04=</t>
  </si>
  <si>
    <t>DC2 10,25*1,0*2*0,04=</t>
  </si>
  <si>
    <t>2204075201</t>
  </si>
  <si>
    <t>Kryty dláždené,chodníkov komunikácií,rigolov - vyplnenie škár elastickou zálievkou s predtesnením</t>
  </si>
  <si>
    <t>styk krytu vozovky a monolitická časť rímsy 40*20 mm:     635,822+641,772=</t>
  </si>
  <si>
    <t xml:space="preserve">predtesnenie d=30 mm medzi prechodovými doskami, závernými múrikmi a krídlami:     10,62+10,15+4,0*2=  </t>
  </si>
  <si>
    <t>zálievky krytu vozovky okolo odvodňovačov 40*20 mm:     45*(2*0,53+2*0,33)=</t>
  </si>
  <si>
    <t>2204075202</t>
  </si>
  <si>
    <t>Kryty dláždené,chodníkov komunikácií,rigolov - vyplnenie škár elastickou zálievkou bez predtesnenia</t>
  </si>
  <si>
    <t>styk krytu vozovky a mostného záveru 40*20 mm:     3*2*10,25=</t>
  </si>
  <si>
    <t>pružný tmel na styku krídla opory 17, obslužného schodiska a kamenného obkladu 20*20 mm: 2*5,4=</t>
  </si>
  <si>
    <t xml:space="preserve">pružná zálievka 20*20 mm medzi prechodovými doskami, závernými múrikmi a krídlami:     10,62+10,15+4,0*2=  </t>
  </si>
  <si>
    <t>styk ochrany izolácie a mostného záveru 45*20 mm:     3*2*10,25=</t>
  </si>
  <si>
    <t>pružná vodotesná výplň vrtov v dobetonávke medzi nosníkmi okolo odvodňovacích rúrok, 120*15 mm</t>
  </si>
  <si>
    <t>12*3,14*0,08=</t>
  </si>
  <si>
    <t>separácia na dne v pracovných škárach ríms, š=10 mm,  9*(0,952+3,420)=</t>
  </si>
  <si>
    <t>styk ochrany izolácie a monolitickej časti rímsy 45*20 mm:     635,8+641,8=</t>
  </si>
  <si>
    <t xml:space="preserve">pružná zálievka pozdĺž prefabrikátov polymérbetónových, 20*20 mm:     </t>
  </si>
  <si>
    <t>pružná zálievka- polymérová samolepiaca páska 40*8 mm v priečnych rezaných škárach na stykoch krytov vozovky 3*2*10,25=</t>
  </si>
  <si>
    <t>nové škárovanie, cementová malta MC25, opora O1</t>
  </si>
  <si>
    <t xml:space="preserve"> 57,5*1,215=</t>
  </si>
  <si>
    <t>2225016202</t>
  </si>
  <si>
    <t>Doplňujúce konštrukcie,  zábradlie kovové, cestné</t>
  </si>
  <si>
    <t>kompozitné zábradlie na schodisku, opora O17</t>
  </si>
  <si>
    <t>5,1+1,9=</t>
  </si>
  <si>
    <t>2225057001</t>
  </si>
  <si>
    <t>Doplňujúce konštrukcie,  značky staničenia, nivelačné značky osadené na objekte</t>
  </si>
  <si>
    <t>pozorované body - klincové značky s povrchovou úpravou</t>
  </si>
  <si>
    <t>klincové meračské značky 2*37=</t>
  </si>
  <si>
    <t>montáž dopravných značiek ľavého mosta</t>
  </si>
  <si>
    <t>evidentné číslo mosta, montáź</t>
  </si>
  <si>
    <t>2225098001</t>
  </si>
  <si>
    <t>Doplňujúce konštrukcie,  obrubníky chodníkové betónové</t>
  </si>
  <si>
    <t>opora O1, betónové obrubníky okolo spevnených plôch š=150 mm</t>
  </si>
  <si>
    <t>opora O1, betónové obrubníky okolo spevnených plôch š=100 mm</t>
  </si>
  <si>
    <t>opora O17, betónové obrubníky okolo spevnených plôch š=150 mm</t>
  </si>
  <si>
    <t>opora O17, betónové obrubníky okolo spevnených plôch š= 100 mm</t>
  </si>
  <si>
    <t>5,6+2*2,75=</t>
  </si>
  <si>
    <t>2225116102</t>
  </si>
  <si>
    <t>Doplňujúce konštrukcie,  otvorené žľaby z betónových tvárnic š. nad 500 mm</t>
  </si>
  <si>
    <t>bet. žľabovky š 600 mm, svah opora O17</t>
  </si>
  <si>
    <t>2225148901</t>
  </si>
  <si>
    <t>Doplňujúce konštrukcie,  pri stavbe krytov komunikácií, brúsenie,zdrsnenie cementobetónového krytu</t>
  </si>
  <si>
    <t>zdrsnenie povrchu betónu NK na styku s kotevnými blokmi a deviátormi VK</t>
  </si>
  <si>
    <t>Práce na hrubej stavbe úprav tokov, hrádzí, zavlažovacích kanálov a akvaduktov</t>
  </si>
  <si>
    <t>1120010104</t>
  </si>
  <si>
    <t>Podkladné konštrukcie, podkladné vrstvy z betónu prostého, tr. C 16/20 (B 20)</t>
  </si>
  <si>
    <t>podkladový betón pod nové dosky O1, C15/20, hr.100 mm</t>
  </si>
  <si>
    <t>odhad 20% 0,2*(63,04+104,04+131,85)*1,08*0,10=</t>
  </si>
  <si>
    <t>podkladový betón pod nové dosky O17, C15/20, hr.100 mm</t>
  </si>
  <si>
    <t>odhad 20% 0,2*81,3*1,08*0,10=</t>
  </si>
  <si>
    <t>1120010106</t>
  </si>
  <si>
    <t>Podkladné konštrukcie, podkladné vrstvy z betónu prostého, tr. C 25/30 (B 30)</t>
  </si>
  <si>
    <t>podklad pod odvodňovacie žľaby z tvaroviek</t>
  </si>
  <si>
    <t>bet. B25/30 opora O17:     0,272*18,5=</t>
  </si>
  <si>
    <t>podklad pod kamenný obklad svahu</t>
  </si>
  <si>
    <t>(5,55+5,5*0,5+71,37)*0,1*1,08=</t>
  </si>
  <si>
    <t xml:space="preserve">opora O17, kamenný žľab </t>
  </si>
  <si>
    <t>betónový podklad C25/30 0,7*2,9*0,1=</t>
  </si>
  <si>
    <t>podklad pod obslužným schodiskom C25/30</t>
  </si>
  <si>
    <t>2,171*1,05+1,05*0,9*1,05+2,976*0,15*2=</t>
  </si>
  <si>
    <t>1221010501</t>
  </si>
  <si>
    <t>Spevnené plochy pätky, opevnenie z lomového kameňa nelícovaného</t>
  </si>
  <si>
    <t>lomový kameň 100- 150 mm na svah, opora O17</t>
  </si>
  <si>
    <t>(5,55+5,5*0,5+71,37)*0,15*1,08=</t>
  </si>
  <si>
    <t>Izolačné práce proti vode</t>
  </si>
  <si>
    <t>6101010102</t>
  </si>
  <si>
    <t>Izolácie proti vode a zemnej vlhkosti, bežných konštrukcií náterivami a tmelmi na ploche zvislej</t>
  </si>
  <si>
    <t>penetračný náter medzi krídlom opory O17, obslužným schodiskom a lomovým kameňom:     2*5,4*0,15=</t>
  </si>
  <si>
    <t>penetračný náter pod izoláciu na prechodových doskách:     10,62*1,0+10,15*1,0=</t>
  </si>
  <si>
    <t>6101050201</t>
  </si>
  <si>
    <t>Izolácie proti vode a zemnej vlhkosti, mostoviek pásmi na ploche vodorovnej</t>
  </si>
  <si>
    <t xml:space="preserve">izolácia nosnej konštrukcie </t>
  </si>
  <si>
    <t xml:space="preserve">DC2  </t>
  </si>
  <si>
    <t>izolácia prechodové dosky a záverné múriky</t>
  </si>
  <si>
    <t>2*1,3*(10,62+10,15)=</t>
  </si>
  <si>
    <t>ochrana izolácie pod rímsami</t>
  </si>
  <si>
    <t>DC1 271,096*(0,3+0,8-0,04-0,05)+271,096*(0,3+2,0-0,25)=</t>
  </si>
  <si>
    <t>DC2 359,093*(0,3+0,8-0,04-0,05)+359,093*(0,3+2,0-0,25)=</t>
  </si>
  <si>
    <t>6101050101</t>
  </si>
  <si>
    <t>Izolácie proti vode a zemnej vlhkosti, mostoviek náterivami a tmelmi na ploche vodorovnej</t>
  </si>
  <si>
    <t xml:space="preserve">izolačný náter: 2x asfaltový+1x penetraćný za studena </t>
  </si>
  <si>
    <t>rozptylová jama (2*2,6+2*1,6)*1,4*=</t>
  </si>
  <si>
    <t>prechodové dosky, 1x penetračný náter+ 2x asfaltový náter za studena</t>
  </si>
  <si>
    <t>O1 5,0*10,62+0,3*10,62+3*2*0,3=</t>
  </si>
  <si>
    <t>O17 5,0*10,15+0,3*10,15+3*2*0,3=</t>
  </si>
  <si>
    <t>6101050302</t>
  </si>
  <si>
    <t>Izolácie proti vode a zemnej vlhkosti, mostoviek fóliami na ploche zvislej</t>
  </si>
  <si>
    <t>pružné vložky v dilatačných škárach ríms, š= 5 mm</t>
  </si>
  <si>
    <t>0,475*22+0,147*22=</t>
  </si>
  <si>
    <t>bezdilatačné styky - neoprén:     DC2 2*(0,12+0,05)*(1,15+0,288*2)*50=</t>
  </si>
  <si>
    <t>6101060206</t>
  </si>
  <si>
    <t>Izolácie proti vode a zemnej vlhkosti, zhotovenie detailov pásmi hydroizolačná prepážka</t>
  </si>
  <si>
    <t>separácia káblov v úchytoch - tvrdá guma hr. do 5 mm</t>
  </si>
  <si>
    <t>UCH14, UCH23-26, UCH33-36, UCH42:     1,08+4,31+4,31+4,31+4,31+1,08=</t>
  </si>
  <si>
    <t>fólia separačná na dne rozptylovej šachty:     (1,0+2*0,3)*(2,0+2*0,3)=</t>
  </si>
  <si>
    <t>spevnený svah opora O1, vyčistenie</t>
  </si>
  <si>
    <t>57,5*1,215=</t>
  </si>
  <si>
    <t>očistenie prístupovej rampy, opora O1</t>
  </si>
  <si>
    <t>205,9*1,05=</t>
  </si>
  <si>
    <t>očistenie spevnenia pod mostom, opora O1 so škárovaním</t>
  </si>
  <si>
    <t>(63,04+104,04+131,85)*1,08=</t>
  </si>
  <si>
    <t>očistenie spevnenia a škárovania pod mostom, opora O17</t>
  </si>
  <si>
    <t>81,3*1,08=</t>
  </si>
  <si>
    <t>pôvodne položka č. 100</t>
  </si>
  <si>
    <t>0206112901</t>
  </si>
  <si>
    <t>Spevňovanie hornín a konštrukcií, škárovanie, zamurovanie aktivovanou maltou, suspenziou skalnej steny, kamenného muriva</t>
  </si>
  <si>
    <t>injektáž trhlín epoxidovou živicou</t>
  </si>
  <si>
    <t>injektáž zistených trhlín epoxidovou živicou po diagnostike, odhad 1024,27*0,2=</t>
  </si>
  <si>
    <t>injektáž priestoru   nad kotevnými blokmi po zmrašťovaní betónu epoxidovou živicou</t>
  </si>
  <si>
    <t>výpočet viď TAB. 14</t>
  </si>
  <si>
    <t>KB typ 1:     2*0,015=</t>
  </si>
  <si>
    <t>KB typ 2:     2*0,025=</t>
  </si>
  <si>
    <t>KB typ 4:     4*0,0175=</t>
  </si>
  <si>
    <t>Betonárske práce</t>
  </si>
  <si>
    <t>1101030207</t>
  </si>
  <si>
    <t xml:space="preserve">Základy, dosky z betónu železového, tr. C 30/37 </t>
  </si>
  <si>
    <t>nové betónové plochy za oporami C30/37</t>
  </si>
  <si>
    <t>nové betónové dosky na svahu pod mostom, opora O1</t>
  </si>
  <si>
    <t>odhad 20% 0,2*(63,04+104,04+131,85)*1,08*0,15=</t>
  </si>
  <si>
    <t>nové betónové dosky na svahu pod mostom, opora O17</t>
  </si>
  <si>
    <t>odhad 20% 0,2*81,3*1,08*0,15=</t>
  </si>
  <si>
    <t>nové betónové dosky na spevnenom svahu, opora O1 hr.150 mm</t>
  </si>
  <si>
    <t>100% 0,2*57,5*1,215*0,15=</t>
  </si>
  <si>
    <t>1101030208</t>
  </si>
  <si>
    <t>Základy, dosky z betónu železového, tr. C 35/45 (B 45)</t>
  </si>
  <si>
    <r>
      <t>m</t>
    </r>
    <r>
      <rPr>
        <vertAlign val="superscript"/>
        <sz val="10"/>
        <rFont val="Arial CE"/>
        <family val="2"/>
      </rPr>
      <t>3</t>
    </r>
  </si>
  <si>
    <t>nové betónové plochy za oporami C35/45</t>
  </si>
  <si>
    <t>opora O1 12,46*0,15=</t>
  </si>
  <si>
    <t>opora O17 3,04*0,15+2,4*0,15=</t>
  </si>
  <si>
    <t>1101032106</t>
  </si>
  <si>
    <t>Základy, dosky, výstuž z betonárskej ocele 10505</t>
  </si>
  <si>
    <t>nové betónové plochy za oporami výstuž B500 B</t>
  </si>
  <si>
    <t>opora O1 11,59*12,34</t>
  </si>
  <si>
    <t>opora O17 (2,05+2,85)*12,34=</t>
  </si>
  <si>
    <t>výstuž betónových dosiek, opora O1, B500 B</t>
  </si>
  <si>
    <t>odhad 20% 0,2*(63,04+104,04+131,85)*1,08=</t>
  </si>
  <si>
    <t>64,57*12,34=</t>
  </si>
  <si>
    <t>výstuž betónových dosiek, opora O17, B500 B</t>
  </si>
  <si>
    <t>odhad 20% 0,2*81,3*1,08=</t>
  </si>
  <si>
    <t>17,56*12,34=</t>
  </si>
  <si>
    <t>doplnková výstuž betónové dosky, opora O1, B500 B</t>
  </si>
  <si>
    <t>doplnková výstuž betónové dosky, opora O17, B500 B</t>
  </si>
  <si>
    <t>1119020106</t>
  </si>
  <si>
    <t>Kompletné konštrukcie, kompletné čistiace a zachytávacie objekty z betónu prostého, tr. C 25/30 (B 30)</t>
  </si>
  <si>
    <t>betón C25/30 rozptylovej šachty</t>
  </si>
  <si>
    <t>2,0*1,6*0,3*1,4+2*2,0*0,3*1,4-0,15*0,3=</t>
  </si>
  <si>
    <t>Murovanie a murárske práce</t>
  </si>
  <si>
    <t>heraklit v škárach betónových dosiek opora O1, O17, h= 105 mm, š= 25 mm</t>
  </si>
  <si>
    <t>odhad 0,105*0,025*75,0=</t>
  </si>
  <si>
    <t xml:space="preserve">Ostatné izolačné práce </t>
  </si>
  <si>
    <t>separačná vrstva z jutovej tkaniny - tiahla bezdilatačných stykov</t>
  </si>
  <si>
    <t>DC2  (0,06*2+0,01*2)*1,04*2*50=</t>
  </si>
  <si>
    <t>Montáž oplotenia</t>
  </si>
  <si>
    <t>6711010802</t>
  </si>
  <si>
    <t>Oplotenie  z drôteného pletiva pozinkovaného, na stĺpiky oceľové</t>
  </si>
  <si>
    <t>uzamykateľné bránky 1,0*1,80 m v oplotení, 2 ks</t>
  </si>
  <si>
    <t>nové pletivo a stĺpiky, H=1,80 m</t>
  </si>
  <si>
    <t>O1 1,8*(6,0+2,6)=</t>
  </si>
  <si>
    <t>O17 1,8*14,5=</t>
  </si>
  <si>
    <t>Omietkárske práce</t>
  </si>
  <si>
    <t>DC1 1789,087+1611,717=</t>
  </si>
  <si>
    <t>DC2 302,063+203,646+2829,474+1959,245+44,415=</t>
  </si>
  <si>
    <t>letmá betonáž DC1</t>
  </si>
  <si>
    <t>prefabrikovaná konštrukcia DC2</t>
  </si>
  <si>
    <t>úložné prahy podpier P2 a P16 23,424+289,17=</t>
  </si>
  <si>
    <t>DC1 56,931+56,931+1,701+1,701+7,802+1,491+1,239+6,815+1241,5=</t>
  </si>
  <si>
    <t>DC2 45,423+45,423+363,384+334,616+159,738+90,846=</t>
  </si>
  <si>
    <t>podpery P2 a P5- P16 89,397+56,549+219,492+40,824+129,73+59,168+18,728=</t>
  </si>
  <si>
    <t>opory O1 a O17 3,545+9,764+3,999+2,186+12,491+0,608+4,057=</t>
  </si>
  <si>
    <t>Nanášanie ochranných vrstiev - maliarske a natieračské práce</t>
  </si>
  <si>
    <t>8401010701</t>
  </si>
  <si>
    <t>Náter oceľových konštrukcií, farba epoxidová, základný</t>
  </si>
  <si>
    <t>hrnce na kotvy tyčí:     0,045*600+0,03*296=</t>
  </si>
  <si>
    <t>kotvy tyčí na styku so vzduchom:     (0,106+0,42*0,35-0,22*0,15)*568+0,106*1,25*32+(0,42*0,35-0,22*0,15)*32+(0,067+0,34*0,365-0,14*0,165)*296+0,067*1,25*296+(0,34*0,365-0,14*0,165)*296=</t>
  </si>
  <si>
    <t>kotevné kozlíky:     2*8*(1,7-0,71*0,38)*1,1*2=</t>
  </si>
  <si>
    <t>sedlá káblov:     2,5*(4+4+4+8)+1,2*(8+12)+0,95*(24+12)*1,05*(3,14*0,125)=</t>
  </si>
  <si>
    <t>8401020702</t>
  </si>
  <si>
    <t>Náter kovových doplnkových konštr., farba epoxidová, jednonásobný</t>
  </si>
  <si>
    <t>zmrašťovacie a pracovné škáry ríms, epoxidový náter 80 mikrónov</t>
  </si>
  <si>
    <t>ľavá rímsa (9+0+42+48)*(19*3,14*0,012*0,1+2*3,14*0,016*0,1)=</t>
  </si>
  <si>
    <t>pravá rímsa (9+0+42+48)*(67*3,14*0,012*0,1+6*3,14*0,016*0,1)=</t>
  </si>
  <si>
    <t>Antikorózny náter- tiahla bezdilatačných stykov</t>
  </si>
  <si>
    <t>DC2    (0,06*2+0,01*2)*1,17*2*50=</t>
  </si>
  <si>
    <t>zábradlie:     ((0,08+0,08+0,074+0,074+2*0,006)*1,0+0,08*0,006+0,006*0,074+7*0,905*(2*0,01+2*0,025+2*0,01*0,025)+0,11*0,17*2+0,014*(2*0,11+2*0,17)+(0,08+0,08+0,074+0,074+2*0,006)*1,0+1,08*(0,08*2+2*0,012)-0,08*0,012*2-0,08*0,006-0,006*0,074-0,074*0,012)*1,15*641,5=</t>
  </si>
  <si>
    <t>epoxidový náter poklopov na vstupoch:     }0,05*4*0,86*4+(2*0,05+2*0,005)*0,92*3+(2*0,02+2*0,005)*0,92+0,829*0,829*2+(2*0,07+2*0,005)*0,1*2|*12=</t>
  </si>
  <si>
    <t>kotvenie prechodových dosiek</t>
  </si>
  <si>
    <t>(3,14*0,025*0,50+0,000491*2)*(21+22)=</t>
  </si>
  <si>
    <t>8401010703</t>
  </si>
  <si>
    <t>Náter oceľových konštrukcií, farba epoxidová, dvojnásobný</t>
  </si>
  <si>
    <t>náter epoxidovou živicou  2 vrstvy</t>
  </si>
  <si>
    <t>kotvenie tyčí pod hrncom:      (0,22*0,15*600+0,14*0,165*296)*2=</t>
  </si>
  <si>
    <t>kotvenie tyčí v spádovom betóne:     ((0,14*0,165)+2*(0,14+0,165)*0,035)*1,2*296*2=</t>
  </si>
  <si>
    <t>kotvenie káblov pozdĺžneho predpätia:     (0,3*0,3+0,283)*68=</t>
  </si>
  <si>
    <t>8401021002</t>
  </si>
  <si>
    <t>Náter kovových doplnkových konštr., farba polyuretanová, jednonásobný</t>
  </si>
  <si>
    <t>polyuretánový náter poklopov na vstupoch:     (0,05*4*0,86*4+(2*0,05+2*0,005)*0,92*3+(2*0,02+2*0,005)*0,92+0,829*0,829*2+(2*0,07+2*0,005)*0,1*2)*12=</t>
  </si>
  <si>
    <t>8401021405</t>
  </si>
  <si>
    <t>Náter kovových doplnkových konštr., lak asfaltový. štvornásobný</t>
  </si>
  <si>
    <t>separačný náter- tiahla bezdilatačných stykov</t>
  </si>
  <si>
    <t>DC2     (0,06*2+0,01*2)*1,17*2*50=</t>
  </si>
  <si>
    <t>8401080703</t>
  </si>
  <si>
    <t>Náter omietok a betónových povrchov, farba epoxidová, mostoviek</t>
  </si>
  <si>
    <t>pečatenie nosnej konštrukcie pod izoláciou</t>
  </si>
  <si>
    <t>kotviaci impregnačný náter medzi rímsami a vozovkami:     0,04*(635,822+641,772)+0,045*(635,822+641,772)=</t>
  </si>
  <si>
    <t>kotevno- impregnačný náter ríms pri vozovke</t>
  </si>
  <si>
    <t>641,772*0,069+635,822*0,080=</t>
  </si>
  <si>
    <t>8401081003</t>
  </si>
  <si>
    <t>Náter omietok a betónových povrchov, impregnačný polyuretánový náter mostoviek</t>
  </si>
  <si>
    <t>náter na zlepšenie priľnavosti zálievky medzi mostnými závermi a vozovkami</t>
  </si>
  <si>
    <t>0,04*2*2*3*10,25+0,045*2*2*3=</t>
  </si>
  <si>
    <t>8401081501</t>
  </si>
  <si>
    <t>Náter omietok a betónových povrchov, farba riediteľná vodou (akrylátová), stropov</t>
  </si>
  <si>
    <t>DC2 302,063+203,646+2829,474+1959,245=</t>
  </si>
  <si>
    <t>úložné prahy podpier P2 a P5- P16 23,424+289,17=</t>
  </si>
  <si>
    <t>8401081502</t>
  </si>
  <si>
    <t>Náter omietok a betónových povrchov, farba riediteľná vodou (akrylátová), stien</t>
  </si>
  <si>
    <t>DC1 56,931+1,701+1,701+7,802+1,491+1,239+6,815+1241,5=</t>
  </si>
  <si>
    <t>DC2 45,423+363,384+334,616+159,738+90,846=</t>
  </si>
  <si>
    <t>podpery P2 a P16 89,397+56,549+219,492+40,824+44,415+129,73+59,168+18,728=</t>
  </si>
  <si>
    <t>8401095101</t>
  </si>
  <si>
    <t>Náter povrchov strojov a zariadení, otryskanie kremičitým pieskom</t>
  </si>
  <si>
    <t>poklopy na vstupoch do n.k.</t>
  </si>
  <si>
    <t>(0,05*4*0,86*4+(2*0,05+2*0,005)*0,92*3+(2*0,02+2*0,005)*0,92+0,829*0,829*2+(2*0,07+2*0,005)*0,1*2)*12=</t>
  </si>
  <si>
    <t>mechanické očistenie povrchu ložísk</t>
  </si>
  <si>
    <t>(9+11*2*9+9+5*2)*0,2=</t>
  </si>
  <si>
    <t>opieskovanie prvkov zosilnenia</t>
  </si>
  <si>
    <t>sedlá káblov</t>
  </si>
  <si>
    <t>kotevné kozlíky</t>
  </si>
  <si>
    <t>kotvy tyčí</t>
  </si>
  <si>
    <t>prechodky na kotvy tyčí:     876,0*0,016=</t>
  </si>
  <si>
    <t>hrnce na kotvy tyčí</t>
  </si>
  <si>
    <t>hrnce na kotvy káblov</t>
  </si>
  <si>
    <t>'8401095202</t>
  </si>
  <si>
    <t>Náter povrchov strojov a zariadení, metalizácia zinkom</t>
  </si>
  <si>
    <t>metalizácia poklopov na vstupoch</t>
  </si>
  <si>
    <t>2.5*(4+4+4+8)+1.2*(8+12)+0.95*(24+12)*1.05*(3.14*0.133+3.14*0.125)=</t>
  </si>
  <si>
    <t>2*8*1,7*1,2*2=</t>
  </si>
  <si>
    <t>0,106*568+0,106*1,25*32+0,067*296+0,067*1,25*296=</t>
  </si>
  <si>
    <t>prechodky na kotvy tyčí</t>
  </si>
  <si>
    <t>0,085*600+0,06*296=</t>
  </si>
  <si>
    <t>0,283*68=</t>
  </si>
  <si>
    <t>pozdĺžne predpäté voľné káble vrátane zainjektovania</t>
  </si>
  <si>
    <t>V ....................... dňa: ...............</t>
  </si>
  <si>
    <t>...........................................................</t>
  </si>
  <si>
    <t>meno, priezvisko a podpis osoby</t>
  </si>
  <si>
    <t>oprávnenej konať v mene uchádzača</t>
  </si>
  <si>
    <t>Rekapitulácia Stavby</t>
  </si>
  <si>
    <t>Súpis prác</t>
  </si>
  <si>
    <t>Časti stavby</t>
  </si>
  <si>
    <t xml:space="preserve">Zmluvné požiadavky poplatky za skládky vybúraných hmôt a sutí, poplatok za recykláciu </t>
  </si>
  <si>
    <t xml:space="preserve">Zmluvné požiadavky poplatky za skládky zeminy, poplatok za recykláciu </t>
  </si>
  <si>
    <t xml:space="preserve">Zmluvné požiadavky poplatky za skládky travín, krovia, mačiny, lesnej hrabanky, poplatok za recykláciu </t>
  </si>
  <si>
    <r>
      <t xml:space="preserve">Zmluvné požiadavky poplatky za skládky vybúraných hmôt a sutí, </t>
    </r>
    <r>
      <rPr>
        <b/>
        <sz val="10"/>
        <color indexed="8"/>
        <rFont val="Arial CE"/>
        <family val="2"/>
      </rPr>
      <t>poplatok za recykláciu</t>
    </r>
    <r>
      <rPr>
        <b/>
        <sz val="10"/>
        <color indexed="10"/>
        <rFont val="Arial CE"/>
        <family val="0"/>
      </rPr>
      <t xml:space="preserve"> </t>
    </r>
  </si>
  <si>
    <r>
      <t xml:space="preserve">Zmluvné požiadavky poplatky za skládky zeminy, </t>
    </r>
    <r>
      <rPr>
        <b/>
        <sz val="10"/>
        <color indexed="8"/>
        <rFont val="Arial CE"/>
        <family val="2"/>
      </rPr>
      <t xml:space="preserve">poplatok za recykláciu </t>
    </r>
  </si>
  <si>
    <r>
      <t>Zmluvné požiadavky poplatky za skládky zeminy,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poplatok za recykláciu </t>
    </r>
  </si>
  <si>
    <r>
      <t xml:space="preserve">betón na skládku odpadu, </t>
    </r>
    <r>
      <rPr>
        <i/>
        <sz val="10"/>
        <color indexed="12"/>
        <rFont val="Arial"/>
        <family val="2"/>
      </rPr>
      <t xml:space="preserve">recykláciu: </t>
    </r>
    <r>
      <rPr>
        <i/>
        <sz val="10"/>
        <color indexed="12"/>
        <rFont val="Arial"/>
        <family val="2"/>
      </rPr>
      <t xml:space="preserve">    124,0*0,44=</t>
    </r>
  </si>
  <si>
    <r>
      <t xml:space="preserve">Zmluvné požiadavky poplatky za skládky vybúraných hmôt a sutí, </t>
    </r>
    <r>
      <rPr>
        <b/>
        <sz val="10"/>
        <color indexed="8"/>
        <rFont val="Arial CE"/>
        <family val="2"/>
      </rPr>
      <t xml:space="preserve">poplatok za recykláciu </t>
    </r>
  </si>
  <si>
    <r>
      <t>Zmluvné požiadavky poplatky za skládky zeminy,</t>
    </r>
    <r>
      <rPr>
        <b/>
        <sz val="10"/>
        <color indexed="8"/>
        <rFont val="Arial CE"/>
        <family val="2"/>
      </rPr>
      <t xml:space="preserve"> poplatok za recykláciu </t>
    </r>
  </si>
  <si>
    <r>
      <t xml:space="preserve">Zmluvné požiadavky poplatky za skládky travín, krovia, mačiny, lesnej hrabanky, </t>
    </r>
    <r>
      <rPr>
        <b/>
        <sz val="10"/>
        <color indexed="8"/>
        <rFont val="Arial CE"/>
        <family val="2"/>
      </rPr>
      <t>poplatok za recykláciu</t>
    </r>
    <r>
      <rPr>
        <b/>
        <sz val="10"/>
        <color indexed="10"/>
        <rFont val="Arial CE"/>
        <family val="0"/>
      </rPr>
      <t xml:space="preserve"> </t>
    </r>
  </si>
  <si>
    <r>
      <t>Zmluvné požiadavky poplatky za skládky travín, krovia, mačiny, lesnej hrabanky, poplatok za recykláciu</t>
    </r>
    <r>
      <rPr>
        <sz val="10"/>
        <color indexed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</si>
</sst>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"/>
    <numFmt numFmtId="175" formatCode="0.000"/>
    <numFmt numFmtId="176" formatCode="00000000"/>
    <numFmt numFmtId="177" formatCode="0000000000"/>
    <numFmt numFmtId="178" formatCode="0.0"/>
  </numFmts>
  <fonts count="143">
    <font>
      <sz val="10"/>
      <name val="Arial CE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9"/>
      <color indexed="8"/>
      <name val="Ariel"/>
      <family val="0"/>
    </font>
    <font>
      <b/>
      <sz val="8"/>
      <color indexed="8"/>
      <name val="Ariel"/>
      <family val="0"/>
    </font>
    <font>
      <b/>
      <sz val="10"/>
      <name val="Arial"/>
      <family val="2"/>
    </font>
    <font>
      <b/>
      <sz val="10"/>
      <name val="Arial CE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color indexed="12"/>
      <name val="Arial CE"/>
      <family val="2"/>
    </font>
    <font>
      <b/>
      <sz val="10"/>
      <name val="Arial Narrow"/>
      <family val="2"/>
    </font>
    <font>
      <sz val="11"/>
      <name val="Arial CE"/>
      <family val="2"/>
    </font>
    <font>
      <i/>
      <sz val="10"/>
      <name val="Arial CE"/>
      <family val="2"/>
    </font>
    <font>
      <sz val="11"/>
      <name val="Arial Narrow"/>
      <family val="2"/>
    </font>
    <font>
      <i/>
      <sz val="11"/>
      <name val="Arial CE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Arial CE"/>
      <family val="2"/>
    </font>
    <font>
      <b/>
      <sz val="10"/>
      <color indexed="8"/>
      <name val="Arial Narrow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Narrow"/>
      <family val="2"/>
    </font>
    <font>
      <sz val="11"/>
      <color indexed="10"/>
      <name val="Arial CE"/>
      <family val="2"/>
    </font>
    <font>
      <b/>
      <sz val="11"/>
      <color indexed="8"/>
      <name val="Arial CE"/>
      <family val="2"/>
    </font>
    <font>
      <sz val="11"/>
      <name val="Calibri"/>
      <family val="2"/>
    </font>
    <font>
      <sz val="10"/>
      <color indexed="36"/>
      <name val="Arial CE"/>
      <family val="2"/>
    </font>
    <font>
      <sz val="10"/>
      <color indexed="8"/>
      <name val="Arial Narrow"/>
      <family val="2"/>
    </font>
    <font>
      <sz val="12"/>
      <color indexed="8"/>
      <name val="Arial CE"/>
      <family val="2"/>
    </font>
    <font>
      <i/>
      <sz val="10"/>
      <color indexed="10"/>
      <name val="Arial CE"/>
      <family val="2"/>
    </font>
    <font>
      <i/>
      <sz val="10"/>
      <color indexed="10"/>
      <name val="Arial"/>
      <family val="2"/>
    </font>
    <font>
      <i/>
      <sz val="10"/>
      <color indexed="36"/>
      <name val="Arial CE"/>
      <family val="2"/>
    </font>
    <font>
      <b/>
      <sz val="10"/>
      <color indexed="60"/>
      <name val="Arial CE"/>
      <family val="2"/>
    </font>
    <font>
      <i/>
      <sz val="11"/>
      <color indexed="10"/>
      <name val="Arial CE"/>
      <family val="2"/>
    </font>
    <font>
      <i/>
      <sz val="11"/>
      <color indexed="49"/>
      <name val="Arial CE"/>
      <family val="2"/>
    </font>
    <font>
      <b/>
      <sz val="10"/>
      <color indexed="36"/>
      <name val="Arial CE"/>
      <family val="2"/>
    </font>
    <font>
      <sz val="10"/>
      <color indexed="60"/>
      <name val="Arial CE"/>
      <family val="2"/>
    </font>
    <font>
      <i/>
      <sz val="11"/>
      <color indexed="30"/>
      <name val="Arial Narrow"/>
      <family val="2"/>
    </font>
    <font>
      <i/>
      <u val="single"/>
      <sz val="10"/>
      <color indexed="36"/>
      <name val="Arial CE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i/>
      <sz val="10"/>
      <color indexed="49"/>
      <name val="Arial"/>
      <family val="2"/>
    </font>
    <font>
      <i/>
      <sz val="11"/>
      <color indexed="49"/>
      <name val="Calibri"/>
      <family val="2"/>
    </font>
    <font>
      <sz val="11"/>
      <color indexed="49"/>
      <name val="Calibri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1"/>
      <color theme="1"/>
      <name val="Arial"/>
      <family val="2"/>
    </font>
    <font>
      <b/>
      <sz val="10"/>
      <color rgb="FFFF0000"/>
      <name val="Arial Narrow"/>
      <family val="2"/>
    </font>
    <font>
      <sz val="11"/>
      <color theme="1"/>
      <name val="Arial CE"/>
      <family val="2"/>
    </font>
    <font>
      <b/>
      <sz val="10"/>
      <color theme="1"/>
      <name val="Arial Narrow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sz val="8"/>
      <color theme="1"/>
      <name val="Arial CE"/>
      <family val="2"/>
    </font>
    <font>
      <b/>
      <sz val="12"/>
      <color theme="1"/>
      <name val="Arial CE"/>
      <family val="2"/>
    </font>
    <font>
      <b/>
      <sz val="11"/>
      <color theme="1"/>
      <name val="Arial Narrow"/>
      <family val="2"/>
    </font>
    <font>
      <sz val="11"/>
      <color rgb="FFFF0000"/>
      <name val="Arial CE"/>
      <family val="2"/>
    </font>
    <font>
      <b/>
      <sz val="11"/>
      <color theme="1"/>
      <name val="Arial CE"/>
      <family val="2"/>
    </font>
    <font>
      <sz val="10"/>
      <color rgb="FF7030A0"/>
      <name val="Arial CE"/>
      <family val="2"/>
    </font>
    <font>
      <sz val="10"/>
      <color theme="1"/>
      <name val="Arial Narrow"/>
      <family val="2"/>
    </font>
    <font>
      <sz val="12"/>
      <color theme="1"/>
      <name val="Arial CE"/>
      <family val="2"/>
    </font>
    <font>
      <i/>
      <sz val="10"/>
      <color rgb="FFFF0000"/>
      <name val="Arial CE"/>
      <family val="2"/>
    </font>
    <font>
      <i/>
      <sz val="10"/>
      <color rgb="FFFF0000"/>
      <name val="Arial"/>
      <family val="2"/>
    </font>
    <font>
      <i/>
      <sz val="10"/>
      <color rgb="FF7030A0"/>
      <name val="Arial CE"/>
      <family val="2"/>
    </font>
    <font>
      <b/>
      <sz val="10"/>
      <color theme="5" tint="-0.24997000396251678"/>
      <name val="Arial CE"/>
      <family val="2"/>
    </font>
    <font>
      <i/>
      <sz val="11"/>
      <color rgb="FFFF0000"/>
      <name val="Arial CE"/>
      <family val="2"/>
    </font>
    <font>
      <i/>
      <sz val="11"/>
      <color theme="8" tint="-0.24997000396251678"/>
      <name val="Arial CE"/>
      <family val="2"/>
    </font>
    <font>
      <b/>
      <sz val="10"/>
      <color rgb="FF7030A0"/>
      <name val="Arial CE"/>
      <family val="2"/>
    </font>
    <font>
      <sz val="10"/>
      <color theme="5" tint="-0.24997000396251678"/>
      <name val="Arial CE"/>
      <family val="2"/>
    </font>
    <font>
      <i/>
      <sz val="11"/>
      <color rgb="FF0070C0"/>
      <name val="Arial Narrow"/>
      <family val="2"/>
    </font>
    <font>
      <i/>
      <u val="single"/>
      <sz val="10"/>
      <color rgb="FF7030A0"/>
      <name val="Arial CE"/>
      <family val="2"/>
    </font>
    <font>
      <b/>
      <sz val="10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i/>
      <sz val="10"/>
      <color theme="8" tint="-0.24997000396251678"/>
      <name val="Arial"/>
      <family val="2"/>
    </font>
    <font>
      <i/>
      <sz val="11"/>
      <color theme="8" tint="-0.24997000396251678"/>
      <name val="Calibri"/>
      <family val="2"/>
    </font>
    <font>
      <sz val="11"/>
      <color theme="8" tint="-0.24997000396251678"/>
      <name val="Calibri"/>
      <family val="2"/>
    </font>
    <font>
      <sz val="10"/>
      <color theme="9" tint="-0.24997000396251678"/>
      <name val="Arial"/>
      <family val="2"/>
    </font>
    <font>
      <sz val="11"/>
      <color theme="9" tint="-0.24997000396251678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20" borderId="0" applyNumberFormat="0" applyBorder="0" applyAlignment="0" applyProtection="0"/>
    <xf numFmtId="0" fontId="6" fillId="21" borderId="0">
      <alignment/>
      <protection/>
    </xf>
    <xf numFmtId="0" fontId="7" fillId="21" borderId="0">
      <alignment/>
      <protection/>
    </xf>
    <xf numFmtId="0" fontId="88" fillId="0" borderId="0" applyNumberFormat="0" applyFill="0" applyBorder="0" applyAlignment="0" applyProtection="0"/>
    <xf numFmtId="0" fontId="89" fillId="2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3" borderId="0" applyNumberFormat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0" fillId="24" borderId="5" applyNumberFormat="0" applyFont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628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6" fillId="21" borderId="10" xfId="36" applyBorder="1" applyProtection="1">
      <alignment/>
      <protection/>
    </xf>
    <xf numFmtId="0" fontId="6" fillId="21" borderId="10" xfId="36" applyBorder="1" applyAlignment="1" applyProtection="1">
      <alignment wrapText="1"/>
      <protection/>
    </xf>
    <xf numFmtId="0" fontId="6" fillId="21" borderId="10" xfId="36" applyBorder="1" applyAlignment="1" applyProtection="1">
      <alignment horizontal="center"/>
      <protection/>
    </xf>
    <xf numFmtId="0" fontId="6" fillId="21" borderId="10" xfId="36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vertical="center" wrapText="1"/>
      <protection/>
    </xf>
    <xf numFmtId="0" fontId="7" fillId="21" borderId="10" xfId="37" applyNumberFormat="1" applyBorder="1" applyAlignment="1" applyProtection="1">
      <alignment horizontal="center" vertical="center" wrapText="1"/>
      <protection/>
    </xf>
    <xf numFmtId="0" fontId="7" fillId="21" borderId="10" xfId="37" applyNumberFormat="1" applyFont="1" applyBorder="1" applyAlignment="1" applyProtection="1">
      <alignment horizontal="center" vertical="center" wrapText="1"/>
      <protection/>
    </xf>
    <xf numFmtId="0" fontId="7" fillId="21" borderId="10" xfId="37" applyBorder="1" applyAlignment="1" applyProtection="1">
      <alignment horizontal="center" vertical="center" wrapText="1"/>
      <protection/>
    </xf>
    <xf numFmtId="0" fontId="7" fillId="21" borderId="10" xfId="37" applyFont="1" applyBorder="1" applyAlignment="1" applyProtection="1">
      <alignment horizontal="center" vertical="center" wrapText="1"/>
      <protection/>
    </xf>
    <xf numFmtId="0" fontId="7" fillId="21" borderId="11" xfId="37" applyBorder="1" applyAlignment="1" applyProtection="1">
      <alignment vertical="center" wrapText="1"/>
      <protection/>
    </xf>
    <xf numFmtId="0" fontId="7" fillId="21" borderId="11" xfId="37" applyNumberFormat="1" applyBorder="1" applyAlignment="1" applyProtection="1">
      <alignment vertical="center" wrapText="1"/>
      <protection/>
    </xf>
    <xf numFmtId="49" fontId="104" fillId="0" borderId="0" xfId="0" applyNumberFormat="1" applyFont="1" applyAlignment="1">
      <alignment horizontal="left" vertical="top" wrapText="1"/>
    </xf>
    <xf numFmtId="49" fontId="105" fillId="0" borderId="0" xfId="0" applyNumberFormat="1" applyFont="1" applyAlignment="1">
      <alignment horizontal="left" vertical="top" wrapText="1"/>
    </xf>
    <xf numFmtId="49" fontId="10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4" fontId="0" fillId="0" borderId="0" xfId="0" applyNumberFormat="1" applyAlignment="1">
      <alignment horizontal="center" vertical="top"/>
    </xf>
    <xf numFmtId="49" fontId="106" fillId="0" borderId="0" xfId="0" applyNumberFormat="1" applyFont="1" applyAlignment="1">
      <alignment horizontal="left" vertical="top" wrapText="1"/>
    </xf>
    <xf numFmtId="49" fontId="105" fillId="0" borderId="0" xfId="0" applyNumberFormat="1" applyFont="1" applyAlignment="1">
      <alignment horizontal="left" vertical="top"/>
    </xf>
    <xf numFmtId="49" fontId="104" fillId="0" borderId="0" xfId="0" applyNumberFormat="1" applyFont="1" applyAlignment="1">
      <alignment horizontal="left" vertical="top"/>
    </xf>
    <xf numFmtId="49" fontId="105" fillId="0" borderId="10" xfId="0" applyNumberFormat="1" applyFont="1" applyBorder="1" applyAlignment="1">
      <alignment horizontal="left" vertical="top"/>
    </xf>
    <xf numFmtId="49" fontId="104" fillId="0" borderId="10" xfId="0" applyNumberFormat="1" applyFont="1" applyBorder="1" applyAlignment="1">
      <alignment horizontal="left" vertical="top"/>
    </xf>
    <xf numFmtId="49" fontId="104" fillId="0" borderId="0" xfId="0" applyNumberFormat="1" applyFont="1" applyBorder="1" applyAlignment="1">
      <alignment horizontal="left" vertical="top" wrapText="1"/>
    </xf>
    <xf numFmtId="49" fontId="105" fillId="0" borderId="10" xfId="0" applyNumberFormat="1" applyFont="1" applyBorder="1" applyAlignment="1">
      <alignment horizontal="center" vertical="top"/>
    </xf>
    <xf numFmtId="4" fontId="105" fillId="0" borderId="12" xfId="0" applyNumberFormat="1" applyFont="1" applyBorder="1" applyAlignment="1">
      <alignment horizontal="center" vertical="top"/>
    </xf>
    <xf numFmtId="49" fontId="105" fillId="0" borderId="13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9" fontId="104" fillId="0" borderId="13" xfId="0" applyNumberFormat="1" applyFont="1" applyBorder="1" applyAlignment="1">
      <alignment horizontal="center" vertical="top"/>
    </xf>
    <xf numFmtId="4" fontId="104" fillId="0" borderId="12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 wrapText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left" vertical="top"/>
    </xf>
    <xf numFmtId="49" fontId="9" fillId="0" borderId="13" xfId="0" applyNumberFormat="1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49" fontId="104" fillId="0" borderId="0" xfId="0" applyNumberFormat="1" applyFont="1" applyFill="1" applyBorder="1" applyAlignment="1">
      <alignment horizontal="left" vertical="top" wrapText="1"/>
    </xf>
    <xf numFmtId="4" fontId="104" fillId="0" borderId="0" xfId="0" applyNumberFormat="1" applyFont="1" applyFill="1" applyBorder="1" applyAlignment="1">
      <alignment horizontal="center" vertical="center"/>
    </xf>
    <xf numFmtId="49" fontId="104" fillId="0" borderId="13" xfId="0" applyNumberFormat="1" applyFont="1" applyFill="1" applyBorder="1" applyAlignment="1">
      <alignment horizontal="center" vertical="top"/>
    </xf>
    <xf numFmtId="4" fontId="104" fillId="0" borderId="12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 applyProtection="1">
      <alignment horizontal="right" wrapText="1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4" fontId="105" fillId="0" borderId="12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49" fontId="107" fillId="0" borderId="13" xfId="0" applyNumberFormat="1" applyFont="1" applyFill="1" applyBorder="1" applyAlignment="1">
      <alignment horizontal="left" vertical="top"/>
    </xf>
    <xf numFmtId="49" fontId="104" fillId="0" borderId="16" xfId="0" applyNumberFormat="1" applyFont="1" applyBorder="1" applyAlignment="1">
      <alignment horizontal="left" vertical="top"/>
    </xf>
    <xf numFmtId="4" fontId="104" fillId="0" borderId="17" xfId="0" applyNumberFormat="1" applyFont="1" applyBorder="1" applyAlignment="1">
      <alignment horizontal="center" vertical="top"/>
    </xf>
    <xf numFmtId="49" fontId="10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/>
    </xf>
    <xf numFmtId="0" fontId="105" fillId="0" borderId="0" xfId="0" applyFont="1" applyAlignment="1">
      <alignment/>
    </xf>
    <xf numFmtId="49" fontId="105" fillId="0" borderId="18" xfId="0" applyNumberFormat="1" applyFont="1" applyBorder="1" applyAlignment="1">
      <alignment horizontal="center" vertical="top" wrapText="1"/>
    </xf>
    <xf numFmtId="49" fontId="106" fillId="0" borderId="10" xfId="0" applyNumberFormat="1" applyFont="1" applyBorder="1" applyAlignment="1">
      <alignment horizontal="left" vertical="top" wrapText="1"/>
    </xf>
    <xf numFmtId="4" fontId="104" fillId="0" borderId="0" xfId="0" applyNumberFormat="1" applyFont="1" applyBorder="1" applyAlignment="1">
      <alignment horizontal="center" vertical="center"/>
    </xf>
    <xf numFmtId="49" fontId="106" fillId="0" borderId="13" xfId="0" applyNumberFormat="1" applyFont="1" applyBorder="1" applyAlignment="1">
      <alignment horizontal="left" vertical="top" wrapText="1"/>
    </xf>
    <xf numFmtId="49" fontId="107" fillId="0" borderId="13" xfId="0" applyNumberFormat="1" applyFont="1" applyBorder="1" applyAlignment="1">
      <alignment horizontal="left" vertical="top"/>
    </xf>
    <xf numFmtId="49" fontId="108" fillId="0" borderId="13" xfId="0" applyNumberFormat="1" applyFont="1" applyBorder="1" applyAlignment="1">
      <alignment horizontal="left" vertical="top"/>
    </xf>
    <xf numFmtId="49" fontId="105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Fill="1" applyBorder="1" applyAlignment="1" quotePrefix="1">
      <alignment horizontal="left" vertical="top"/>
    </xf>
    <xf numFmtId="49" fontId="109" fillId="0" borderId="14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49" fontId="12" fillId="0" borderId="13" xfId="0" applyNumberFormat="1" applyFont="1" applyBorder="1" applyAlignment="1" quotePrefix="1">
      <alignment horizontal="left" vertical="top"/>
    </xf>
    <xf numFmtId="49" fontId="9" fillId="0" borderId="14" xfId="0" applyNumberFormat="1" applyFont="1" applyFill="1" applyBorder="1" applyAlignment="1">
      <alignment horizontal="left" vertical="top"/>
    </xf>
    <xf numFmtId="49" fontId="8" fillId="0" borderId="13" xfId="0" applyNumberFormat="1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 wrapText="1"/>
    </xf>
    <xf numFmtId="4" fontId="104" fillId="0" borderId="14" xfId="0" applyNumberFormat="1" applyFont="1" applyBorder="1" applyAlignment="1">
      <alignment horizontal="center" vertical="center"/>
    </xf>
    <xf numFmtId="49" fontId="105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107" fillId="0" borderId="14" xfId="0" applyNumberFormat="1" applyFont="1" applyBorder="1" applyAlignment="1">
      <alignment horizontal="left" vertical="top"/>
    </xf>
    <xf numFmtId="49" fontId="108" fillId="0" borderId="14" xfId="0" applyNumberFormat="1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top"/>
    </xf>
    <xf numFmtId="49" fontId="0" fillId="0" borderId="13" xfId="0" applyNumberFormat="1" applyFont="1" applyFill="1" applyBorder="1" applyAlignment="1" quotePrefix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top"/>
    </xf>
    <xf numFmtId="49" fontId="8" fillId="0" borderId="14" xfId="0" applyNumberFormat="1" applyFont="1" applyBorder="1" applyAlignment="1" quotePrefix="1">
      <alignment horizontal="left" vertical="top"/>
    </xf>
    <xf numFmtId="49" fontId="105" fillId="0" borderId="0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 quotePrefix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49" fontId="0" fillId="0" borderId="14" xfId="0" applyNumberFormat="1" applyFont="1" applyBorder="1" applyAlignment="1" quotePrefix="1">
      <alignment horizontal="left" vertical="top"/>
    </xf>
    <xf numFmtId="4" fontId="10" fillId="0" borderId="14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left" vertical="top"/>
    </xf>
    <xf numFmtId="49" fontId="8" fillId="0" borderId="14" xfId="0" applyNumberFormat="1" applyFont="1" applyBorder="1" applyAlignment="1">
      <alignment horizontal="left" vertical="top"/>
    </xf>
    <xf numFmtId="49" fontId="0" fillId="0" borderId="14" xfId="0" applyNumberFormat="1" applyFont="1" applyFill="1" applyBorder="1" applyAlignment="1" quotePrefix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/>
    </xf>
    <xf numFmtId="4" fontId="10" fillId="0" borderId="15" xfId="0" applyNumberFormat="1" applyFont="1" applyBorder="1" applyAlignment="1">
      <alignment horizontal="center" vertical="center"/>
    </xf>
    <xf numFmtId="49" fontId="107" fillId="0" borderId="14" xfId="0" applyNumberFormat="1" applyFont="1" applyBorder="1" applyAlignment="1" quotePrefix="1">
      <alignment horizontal="left" vertical="top"/>
    </xf>
    <xf numFmtId="49" fontId="110" fillId="0" borderId="13" xfId="0" applyNumberFormat="1" applyFont="1" applyFill="1" applyBorder="1" applyAlignment="1">
      <alignment horizontal="left" vertical="top"/>
    </xf>
    <xf numFmtId="49" fontId="110" fillId="0" borderId="14" xfId="0" applyNumberFormat="1" applyFont="1" applyFill="1" applyBorder="1" applyAlignment="1" quotePrefix="1">
      <alignment horizontal="left" vertical="top"/>
    </xf>
    <xf numFmtId="49" fontId="0" fillId="0" borderId="13" xfId="0" applyNumberFormat="1" applyFont="1" applyFill="1" applyBorder="1" applyAlignment="1">
      <alignment horizontal="left" vertical="top"/>
    </xf>
    <xf numFmtId="49" fontId="12" fillId="0" borderId="14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8" fillId="0" borderId="13" xfId="0" applyNumberFormat="1" applyFont="1" applyBorder="1" applyAlignment="1" quotePrefix="1">
      <alignment horizontal="left" vertical="top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4" fontId="10" fillId="0" borderId="14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0" fillId="0" borderId="14" xfId="0" applyFont="1" applyBorder="1" applyAlignment="1">
      <alignment horizontal="center" vertical="top"/>
    </xf>
    <xf numFmtId="49" fontId="105" fillId="0" borderId="20" xfId="0" applyNumberFormat="1" applyFont="1" applyBorder="1" applyAlignment="1">
      <alignment horizontal="center" vertical="top" wrapText="1"/>
    </xf>
    <xf numFmtId="49" fontId="106" fillId="0" borderId="21" xfId="0" applyNumberFormat="1" applyFont="1" applyBorder="1" applyAlignment="1">
      <alignment horizontal="left" vertical="top" wrapText="1"/>
    </xf>
    <xf numFmtId="49" fontId="105" fillId="0" borderId="16" xfId="0" applyNumberFormat="1" applyFont="1" applyBorder="1" applyAlignment="1">
      <alignment horizontal="left" vertical="top"/>
    </xf>
    <xf numFmtId="49" fontId="10" fillId="0" borderId="22" xfId="0" applyNumberFormat="1" applyFont="1" applyBorder="1" applyAlignment="1">
      <alignment horizontal="left" vertical="top" wrapText="1"/>
    </xf>
    <xf numFmtId="4" fontId="10" fillId="0" borderId="16" xfId="0" applyNumberFormat="1" applyFont="1" applyBorder="1" applyAlignment="1">
      <alignment horizontal="center" vertical="center"/>
    </xf>
    <xf numFmtId="49" fontId="104" fillId="0" borderId="16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176" fontId="0" fillId="0" borderId="23" xfId="0" applyNumberFormat="1" applyFont="1" applyFill="1" applyBorder="1" applyAlignment="1" applyProtection="1">
      <alignment horizontal="left" vertical="top"/>
      <protection/>
    </xf>
    <xf numFmtId="177" fontId="0" fillId="0" borderId="13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49" fontId="9" fillId="0" borderId="24" xfId="0" applyNumberFormat="1" applyFont="1" applyFill="1" applyBorder="1" applyAlignment="1" applyProtection="1">
      <alignment horizontal="left" vertical="top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18" fillId="0" borderId="12" xfId="0" applyNumberFormat="1" applyFont="1" applyFill="1" applyBorder="1" applyAlignment="1" applyProtection="1">
      <alignment horizontal="center" vertical="top"/>
      <protection/>
    </xf>
    <xf numFmtId="176" fontId="9" fillId="0" borderId="13" xfId="0" applyNumberFormat="1" applyFont="1" applyFill="1" applyBorder="1" applyAlignment="1" applyProtection="1">
      <alignment horizontal="left" vertical="top"/>
      <protection/>
    </xf>
    <xf numFmtId="177" fontId="9" fillId="0" borderId="14" xfId="0" applyNumberFormat="1" applyFont="1" applyFill="1" applyBorder="1" applyAlignment="1" applyProtection="1">
      <alignment vertical="top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top"/>
      <protection/>
    </xf>
    <xf numFmtId="49" fontId="18" fillId="0" borderId="13" xfId="0" applyNumberFormat="1" applyFont="1" applyFill="1" applyBorder="1" applyAlignment="1" applyProtection="1">
      <alignment horizontal="left" vertical="top"/>
      <protection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top"/>
      <protection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177" fontId="0" fillId="0" borderId="24" xfId="0" applyNumberFormat="1" applyFont="1" applyFill="1" applyBorder="1" applyAlignment="1" applyProtection="1">
      <alignment horizontal="left" vertical="top"/>
      <protection/>
    </xf>
    <xf numFmtId="49" fontId="0" fillId="0" borderId="24" xfId="0" applyNumberFormat="1" applyFont="1" applyFill="1" applyBorder="1" applyAlignment="1" applyProtection="1">
      <alignment horizontal="left" vertical="top" wrapText="1"/>
      <protection/>
    </xf>
    <xf numFmtId="4" fontId="9" fillId="0" borderId="12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4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top" wrapText="1"/>
      <protection/>
    </xf>
    <xf numFmtId="49" fontId="0" fillId="0" borderId="14" xfId="0" applyNumberFormat="1" applyFont="1" applyFill="1" applyBorder="1" applyAlignment="1" applyProtection="1">
      <alignment horizontal="left" vertical="top" wrapText="1"/>
      <protection/>
    </xf>
    <xf numFmtId="176" fontId="9" fillId="0" borderId="13" xfId="0" applyNumberFormat="1" applyFont="1" applyFill="1" applyBorder="1" applyAlignment="1" applyProtection="1">
      <alignment horizontal="left" vertical="top" wrapText="1"/>
      <protection/>
    </xf>
    <xf numFmtId="177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177" fontId="9" fillId="0" borderId="24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top"/>
      <protection/>
    </xf>
    <xf numFmtId="49" fontId="9" fillId="0" borderId="13" xfId="0" applyNumberFormat="1" applyFont="1" applyFill="1" applyBorder="1" applyAlignment="1" applyProtection="1">
      <alignment vertical="top"/>
      <protection/>
    </xf>
    <xf numFmtId="49" fontId="0" fillId="0" borderId="23" xfId="0" applyNumberFormat="1" applyFont="1" applyFill="1" applyBorder="1" applyAlignment="1" applyProtection="1">
      <alignment horizontal="left" vertical="top"/>
      <protection/>
    </xf>
    <xf numFmtId="49" fontId="0" fillId="0" borderId="13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174" fontId="4" fillId="0" borderId="27" xfId="0" applyNumberFormat="1" applyFont="1" applyBorder="1" applyAlignment="1" applyProtection="1">
      <alignment horizontal="right" vertical="center"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49" fontId="111" fillId="0" borderId="0" xfId="0" applyNumberFormat="1" applyFont="1" applyAlignment="1" applyProtection="1">
      <alignment horizontal="center" vertical="center" wrapText="1"/>
      <protection/>
    </xf>
    <xf numFmtId="49" fontId="104" fillId="0" borderId="0" xfId="0" applyNumberFormat="1" applyFont="1" applyAlignment="1" applyProtection="1">
      <alignment horizontal="left" vertical="top" wrapText="1"/>
      <protection/>
    </xf>
    <xf numFmtId="49" fontId="105" fillId="0" borderId="0" xfId="0" applyNumberFormat="1" applyFont="1" applyAlignment="1" applyProtection="1">
      <alignment horizontal="left" vertical="top" wrapText="1"/>
      <protection/>
    </xf>
    <xf numFmtId="49" fontId="106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4" fontId="0" fillId="0" borderId="0" xfId="0" applyNumberFormat="1" applyAlignment="1" applyProtection="1">
      <alignment horizontal="center" vertical="top"/>
      <protection/>
    </xf>
    <xf numFmtId="49" fontId="106" fillId="0" borderId="0" xfId="0" applyNumberFormat="1" applyFont="1" applyAlignment="1" applyProtection="1">
      <alignment horizontal="left" vertical="top" wrapText="1"/>
      <protection/>
    </xf>
    <xf numFmtId="49" fontId="105" fillId="0" borderId="0" xfId="0" applyNumberFormat="1" applyFont="1" applyAlignment="1" applyProtection="1">
      <alignment horizontal="left" vertical="top"/>
      <protection/>
    </xf>
    <xf numFmtId="49" fontId="104" fillId="0" borderId="0" xfId="0" applyNumberFormat="1" applyFont="1" applyAlignment="1" applyProtection="1">
      <alignment horizontal="left" vertical="top"/>
      <protection/>
    </xf>
    <xf numFmtId="49" fontId="111" fillId="0" borderId="18" xfId="0" applyNumberFormat="1" applyFont="1" applyBorder="1" applyAlignment="1" applyProtection="1">
      <alignment horizontal="center" vertical="center" wrapText="1"/>
      <protection/>
    </xf>
    <xf numFmtId="49" fontId="106" fillId="0" borderId="30" xfId="0" applyNumberFormat="1" applyFont="1" applyBorder="1" applyAlignment="1" applyProtection="1">
      <alignment horizontal="left" vertical="top" wrapText="1"/>
      <protection/>
    </xf>
    <xf numFmtId="49" fontId="105" fillId="0" borderId="10" xfId="0" applyNumberFormat="1" applyFont="1" applyBorder="1" applyAlignment="1" applyProtection="1">
      <alignment horizontal="left" vertical="top"/>
      <protection/>
    </xf>
    <xf numFmtId="49" fontId="104" fillId="0" borderId="10" xfId="0" applyNumberFormat="1" applyFont="1" applyBorder="1" applyAlignment="1" applyProtection="1">
      <alignment horizontal="left" vertical="top"/>
      <protection/>
    </xf>
    <xf numFmtId="49" fontId="104" fillId="0" borderId="0" xfId="0" applyNumberFormat="1" applyFont="1" applyBorder="1" applyAlignment="1" applyProtection="1">
      <alignment horizontal="left" vertical="top" wrapText="1"/>
      <protection/>
    </xf>
    <xf numFmtId="175" fontId="104" fillId="0" borderId="0" xfId="0" applyNumberFormat="1" applyFont="1" applyBorder="1" applyAlignment="1" applyProtection="1">
      <alignment horizontal="center" vertical="center"/>
      <protection/>
    </xf>
    <xf numFmtId="49" fontId="105" fillId="0" borderId="10" xfId="0" applyNumberFormat="1" applyFont="1" applyBorder="1" applyAlignment="1" applyProtection="1">
      <alignment horizontal="center" vertical="top"/>
      <protection/>
    </xf>
    <xf numFmtId="4" fontId="105" fillId="0" borderId="12" xfId="0" applyNumberFormat="1" applyFont="1" applyBorder="1" applyAlignment="1" applyProtection="1">
      <alignment horizontal="center" vertical="top"/>
      <protection/>
    </xf>
    <xf numFmtId="49" fontId="106" fillId="0" borderId="24" xfId="0" applyNumberFormat="1" applyFont="1" applyBorder="1" applyAlignment="1" applyProtection="1">
      <alignment horizontal="left" vertical="top" wrapText="1"/>
      <protection/>
    </xf>
    <xf numFmtId="49" fontId="105" fillId="0" borderId="13" xfId="0" applyNumberFormat="1" applyFont="1" applyBorder="1" applyAlignment="1" applyProtection="1">
      <alignment horizontal="left" vertical="top"/>
      <protection/>
    </xf>
    <xf numFmtId="49" fontId="104" fillId="0" borderId="13" xfId="0" applyNumberFormat="1" applyFont="1" applyBorder="1" applyAlignment="1" applyProtection="1">
      <alignment horizontal="left" vertical="top"/>
      <protection/>
    </xf>
    <xf numFmtId="49" fontId="105" fillId="0" borderId="13" xfId="0" applyNumberFormat="1" applyFont="1" applyBorder="1" applyAlignment="1" applyProtection="1">
      <alignment horizontal="center" vertical="top"/>
      <protection/>
    </xf>
    <xf numFmtId="0" fontId="8" fillId="0" borderId="31" xfId="0" applyFont="1" applyFill="1" applyBorder="1" applyAlignment="1" applyProtection="1">
      <alignment horizontal="center" vertical="top"/>
      <protection/>
    </xf>
    <xf numFmtId="49" fontId="105" fillId="0" borderId="24" xfId="0" applyNumberFormat="1" applyFont="1" applyFill="1" applyBorder="1" applyAlignment="1" applyProtection="1">
      <alignment horizontal="left" vertical="top" wrapText="1"/>
      <protection/>
    </xf>
    <xf numFmtId="177" fontId="9" fillId="0" borderId="14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center" vertical="top" wrapText="1"/>
      <protection/>
    </xf>
    <xf numFmtId="49" fontId="111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104" fillId="0" borderId="13" xfId="0" applyNumberFormat="1" applyFont="1" applyBorder="1" applyAlignment="1" applyProtection="1">
      <alignment horizontal="center" vertical="top"/>
      <protection/>
    </xf>
    <xf numFmtId="4" fontId="104" fillId="0" borderId="12" xfId="0" applyNumberFormat="1" applyFont="1" applyBorder="1" applyAlignment="1" applyProtection="1">
      <alignment horizontal="center" vertical="top"/>
      <protection/>
    </xf>
    <xf numFmtId="49" fontId="104" fillId="0" borderId="14" xfId="0" applyNumberFormat="1" applyFont="1" applyBorder="1" applyAlignment="1" applyProtection="1">
      <alignment horizontal="left" vertical="top"/>
      <protection/>
    </xf>
    <xf numFmtId="49" fontId="10" fillId="0" borderId="0" xfId="0" applyNumberFormat="1" applyFont="1" applyBorder="1" applyAlignment="1" applyProtection="1">
      <alignment horizontal="left" vertical="top" wrapText="1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right" vertical="top" wrapText="1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 quotePrefix="1">
      <alignment horizontal="left" vertical="top"/>
      <protection/>
    </xf>
    <xf numFmtId="49" fontId="9" fillId="0" borderId="13" xfId="0" applyNumberFormat="1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vertical="top" wrapText="1"/>
      <protection/>
    </xf>
    <xf numFmtId="4" fontId="11" fillId="0" borderId="14" xfId="0" applyNumberFormat="1" applyFont="1" applyFill="1" applyBorder="1" applyAlignment="1" applyProtection="1">
      <alignment horizontal="right" vertical="top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4" fontId="8" fillId="0" borderId="32" xfId="0" applyNumberFormat="1" applyFont="1" applyFill="1" applyBorder="1" applyAlignment="1" applyProtection="1">
      <alignment horizontal="center" vertical="top"/>
      <protection/>
    </xf>
    <xf numFmtId="49" fontId="106" fillId="0" borderId="24" xfId="0" applyNumberFormat="1" applyFont="1" applyFill="1" applyBorder="1" applyAlignment="1" applyProtection="1">
      <alignment horizontal="left" vertical="top" wrapText="1"/>
      <protection/>
    </xf>
    <xf numFmtId="49" fontId="105" fillId="0" borderId="13" xfId="0" applyNumberFormat="1" applyFont="1" applyFill="1" applyBorder="1" applyAlignment="1" applyProtection="1">
      <alignment horizontal="left" vertical="top"/>
      <protection/>
    </xf>
    <xf numFmtId="49" fontId="104" fillId="0" borderId="13" xfId="0" applyNumberFormat="1" applyFont="1" applyFill="1" applyBorder="1" applyAlignment="1" applyProtection="1">
      <alignment horizontal="left" vertical="top"/>
      <protection/>
    </xf>
    <xf numFmtId="49" fontId="104" fillId="0" borderId="0" xfId="0" applyNumberFormat="1" applyFont="1" applyFill="1" applyBorder="1" applyAlignment="1" applyProtection="1">
      <alignment horizontal="left" vertical="top" wrapText="1"/>
      <protection/>
    </xf>
    <xf numFmtId="4" fontId="104" fillId="0" borderId="0" xfId="0" applyNumberFormat="1" applyFont="1" applyFill="1" applyBorder="1" applyAlignment="1" applyProtection="1">
      <alignment horizontal="center" vertical="center"/>
      <protection/>
    </xf>
    <xf numFmtId="49" fontId="104" fillId="0" borderId="13" xfId="0" applyNumberFormat="1" applyFont="1" applyFill="1" applyBorder="1" applyAlignment="1" applyProtection="1">
      <alignment horizontal="center" vertical="top"/>
      <protection/>
    </xf>
    <xf numFmtId="4" fontId="104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 applyProtection="1">
      <alignment horizontal="left" vertical="top"/>
      <protection/>
    </xf>
    <xf numFmtId="49" fontId="9" fillId="0" borderId="14" xfId="0" applyNumberFormat="1" applyFont="1" applyFill="1" applyBorder="1" applyAlignment="1" applyProtection="1">
      <alignment vertical="top" wrapText="1"/>
      <protection/>
    </xf>
    <xf numFmtId="4" fontId="105" fillId="0" borderId="12" xfId="0" applyNumberFormat="1" applyFont="1" applyFill="1" applyBorder="1" applyAlignment="1" applyProtection="1">
      <alignment horizontal="center" vertical="top"/>
      <protection/>
    </xf>
    <xf numFmtId="49" fontId="104" fillId="0" borderId="14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4" fontId="8" fillId="0" borderId="12" xfId="0" applyNumberFormat="1" applyFont="1" applyFill="1" applyBorder="1" applyAlignment="1" applyProtection="1">
      <alignment horizontal="center" vertical="top"/>
      <protection/>
    </xf>
    <xf numFmtId="49" fontId="12" fillId="0" borderId="13" xfId="0" applyNumberFormat="1" applyFont="1" applyFill="1" applyBorder="1" applyAlignment="1" applyProtection="1">
      <alignment horizontal="left" vertical="top"/>
      <protection/>
    </xf>
    <xf numFmtId="49" fontId="12" fillId="0" borderId="0" xfId="0" applyNumberFormat="1" applyFont="1" applyFill="1" applyBorder="1" applyAlignment="1" applyProtection="1">
      <alignment horizontal="left" vertical="top" wrapText="1"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4" fontId="12" fillId="0" borderId="12" xfId="0" applyNumberFormat="1" applyFont="1" applyFill="1" applyBorder="1" applyAlignment="1" applyProtection="1">
      <alignment horizontal="center" vertical="top"/>
      <protection/>
    </xf>
    <xf numFmtId="49" fontId="107" fillId="0" borderId="13" xfId="0" applyNumberFormat="1" applyFont="1" applyFill="1" applyBorder="1" applyAlignment="1" applyProtection="1">
      <alignment horizontal="left" vertical="top"/>
      <protection/>
    </xf>
    <xf numFmtId="49" fontId="108" fillId="0" borderId="14" xfId="0" applyNumberFormat="1" applyFont="1" applyFill="1" applyBorder="1" applyAlignment="1" applyProtection="1">
      <alignment horizontal="left" vertical="top"/>
      <protection/>
    </xf>
    <xf numFmtId="49" fontId="108" fillId="0" borderId="13" xfId="0" applyNumberFormat="1" applyFont="1" applyBorder="1" applyAlignment="1" applyProtection="1">
      <alignment horizontal="center" vertical="top"/>
      <protection/>
    </xf>
    <xf numFmtId="4" fontId="108" fillId="0" borderId="12" xfId="0" applyNumberFormat="1" applyFont="1" applyBorder="1" applyAlignment="1" applyProtection="1">
      <alignment horizontal="center" vertical="top"/>
      <protection/>
    </xf>
    <xf numFmtId="49" fontId="111" fillId="0" borderId="20" xfId="0" applyNumberFormat="1" applyFont="1" applyBorder="1" applyAlignment="1" applyProtection="1">
      <alignment horizontal="center" vertical="center" wrapText="1"/>
      <protection/>
    </xf>
    <xf numFmtId="49" fontId="106" fillId="0" borderId="33" xfId="0" applyNumberFormat="1" applyFont="1" applyBorder="1" applyAlignment="1" applyProtection="1">
      <alignment horizontal="left" vertical="top" wrapText="1"/>
      <protection/>
    </xf>
    <xf numFmtId="49" fontId="105" fillId="0" borderId="21" xfId="0" applyNumberFormat="1" applyFont="1" applyBorder="1" applyAlignment="1" applyProtection="1">
      <alignment horizontal="left" vertical="top"/>
      <protection/>
    </xf>
    <xf numFmtId="49" fontId="104" fillId="0" borderId="16" xfId="0" applyNumberFormat="1" applyFont="1" applyBorder="1" applyAlignment="1" applyProtection="1">
      <alignment horizontal="left" vertical="top"/>
      <protection/>
    </xf>
    <xf numFmtId="49" fontId="104" fillId="0" borderId="22" xfId="0" applyNumberFormat="1" applyFont="1" applyBorder="1" applyAlignment="1" applyProtection="1">
      <alignment horizontal="left" vertical="top" wrapText="1"/>
      <protection/>
    </xf>
    <xf numFmtId="175" fontId="104" fillId="0" borderId="22" xfId="0" applyNumberFormat="1" applyFont="1" applyBorder="1" applyAlignment="1" applyProtection="1">
      <alignment horizontal="center" vertical="center"/>
      <protection/>
    </xf>
    <xf numFmtId="49" fontId="104" fillId="0" borderId="21" xfId="0" applyNumberFormat="1" applyFont="1" applyBorder="1" applyAlignment="1" applyProtection="1">
      <alignment horizontal="center" vertical="top"/>
      <protection/>
    </xf>
    <xf numFmtId="4" fontId="104" fillId="0" borderId="17" xfId="0" applyNumberFormat="1" applyFont="1" applyBorder="1" applyAlignment="1" applyProtection="1">
      <alignment horizontal="center" vertical="top"/>
      <protection/>
    </xf>
    <xf numFmtId="49" fontId="11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49" fontId="109" fillId="0" borderId="0" xfId="0" applyNumberFormat="1" applyFont="1" applyFill="1" applyAlignment="1" applyProtection="1">
      <alignment horizontal="left" vertical="top" wrapText="1"/>
      <protection/>
    </xf>
    <xf numFmtId="49" fontId="110" fillId="0" borderId="0" xfId="0" applyNumberFormat="1" applyFont="1" applyFill="1" applyAlignment="1" applyProtection="1">
      <alignment horizontal="left" vertical="top" wrapText="1"/>
      <protection/>
    </xf>
    <xf numFmtId="49" fontId="106" fillId="0" borderId="0" xfId="0" applyNumberFormat="1" applyFont="1" applyBorder="1" applyAlignment="1" applyProtection="1">
      <alignment horizontal="center" vertical="center" wrapText="1"/>
      <protection/>
    </xf>
    <xf numFmtId="0" fontId="113" fillId="0" borderId="0" xfId="0" applyFont="1" applyAlignment="1" applyProtection="1">
      <alignment horizontal="left" vertical="top"/>
      <protection/>
    </xf>
    <xf numFmtId="4" fontId="113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49" fontId="109" fillId="0" borderId="0" xfId="0" applyNumberFormat="1" applyFont="1" applyFill="1" applyAlignment="1" applyProtection="1">
      <alignment horizontal="left" vertical="center" wrapText="1"/>
      <protection/>
    </xf>
    <xf numFmtId="4" fontId="113" fillId="0" borderId="0" xfId="0" applyNumberFormat="1" applyFont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top" wrapText="1"/>
      <protection/>
    </xf>
    <xf numFmtId="0" fontId="14" fillId="0" borderId="0" xfId="0" applyFont="1" applyFill="1" applyAlignment="1" applyProtection="1">
      <alignment vertical="center"/>
      <protection/>
    </xf>
    <xf numFmtId="49" fontId="114" fillId="0" borderId="0" xfId="0" applyNumberFormat="1" applyFont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115" fillId="0" borderId="0" xfId="0" applyNumberFormat="1" applyFont="1" applyAlignment="1" applyProtection="1">
      <alignment horizontal="left" vertical="top"/>
      <protection/>
    </xf>
    <xf numFmtId="49" fontId="116" fillId="0" borderId="0" xfId="0" applyNumberFormat="1" applyFont="1" applyAlignment="1" applyProtection="1">
      <alignment horizontal="left" vertical="top"/>
      <protection/>
    </xf>
    <xf numFmtId="49" fontId="116" fillId="0" borderId="0" xfId="0" applyNumberFormat="1" applyFont="1" applyAlignment="1" applyProtection="1">
      <alignment horizontal="left" vertical="center" wrapText="1"/>
      <protection/>
    </xf>
    <xf numFmtId="49" fontId="117" fillId="0" borderId="11" xfId="0" applyNumberFormat="1" applyFont="1" applyBorder="1" applyAlignment="1" applyProtection="1">
      <alignment horizontal="center" vertical="top"/>
      <protection/>
    </xf>
    <xf numFmtId="49" fontId="114" fillId="0" borderId="18" xfId="0" applyNumberFormat="1" applyFont="1" applyBorder="1" applyAlignment="1" applyProtection="1">
      <alignment horizontal="center" vertical="center" wrapText="1"/>
      <protection/>
    </xf>
    <xf numFmtId="49" fontId="118" fillId="0" borderId="30" xfId="0" applyNumberFormat="1" applyFont="1" applyBorder="1" applyAlignment="1" applyProtection="1">
      <alignment horizontal="left" vertical="center" wrapText="1"/>
      <protection/>
    </xf>
    <xf numFmtId="49" fontId="115" fillId="0" borderId="10" xfId="0" applyNumberFormat="1" applyFont="1" applyBorder="1" applyAlignment="1" applyProtection="1">
      <alignment horizontal="left" vertical="top"/>
      <protection/>
    </xf>
    <xf numFmtId="49" fontId="116" fillId="0" borderId="10" xfId="0" applyNumberFormat="1" applyFont="1" applyBorder="1" applyAlignment="1" applyProtection="1">
      <alignment horizontal="left" vertical="top"/>
      <protection/>
    </xf>
    <xf numFmtId="49" fontId="116" fillId="0" borderId="0" xfId="0" applyNumberFormat="1" applyFont="1" applyBorder="1" applyAlignment="1" applyProtection="1">
      <alignment horizontal="left" vertical="center" wrapText="1"/>
      <protection/>
    </xf>
    <xf numFmtId="4" fontId="116" fillId="0" borderId="0" xfId="0" applyNumberFormat="1" applyFont="1" applyBorder="1" applyAlignment="1" applyProtection="1">
      <alignment horizontal="center" vertical="center"/>
      <protection/>
    </xf>
    <xf numFmtId="49" fontId="115" fillId="0" borderId="10" xfId="0" applyNumberFormat="1" applyFont="1" applyBorder="1" applyAlignment="1" applyProtection="1">
      <alignment horizontal="center" vertical="top"/>
      <protection/>
    </xf>
    <xf numFmtId="4" fontId="115" fillId="0" borderId="12" xfId="0" applyNumberFormat="1" applyFont="1" applyBorder="1" applyAlignment="1" applyProtection="1">
      <alignment horizontal="center" vertical="top"/>
      <protection/>
    </xf>
    <xf numFmtId="49" fontId="119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vertical="top" wrapText="1"/>
      <protection/>
    </xf>
    <xf numFmtId="176" fontId="14" fillId="0" borderId="13" xfId="0" applyNumberFormat="1" applyFont="1" applyFill="1" applyBorder="1" applyAlignment="1" applyProtection="1">
      <alignment horizontal="left" vertical="top" wrapText="1"/>
      <protection/>
    </xf>
    <xf numFmtId="177" fontId="14" fillId="0" borderId="13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4" fontId="120" fillId="0" borderId="0" xfId="0" applyNumberFormat="1" applyFont="1" applyFill="1" applyBorder="1" applyAlignment="1" applyProtection="1">
      <alignment horizontal="center" vertical="center"/>
      <protection/>
    </xf>
    <xf numFmtId="49" fontId="121" fillId="0" borderId="13" xfId="0" applyNumberFormat="1" applyFont="1" applyFill="1" applyBorder="1" applyAlignment="1" applyProtection="1">
      <alignment horizontal="center" vertical="top"/>
      <protection/>
    </xf>
    <xf numFmtId="4" fontId="121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49" fontId="114" fillId="0" borderId="18" xfId="0" applyNumberFormat="1" applyFont="1" applyBorder="1" applyAlignment="1" applyProtection="1">
      <alignment horizontal="center" vertical="top" wrapText="1"/>
      <protection/>
    </xf>
    <xf numFmtId="0" fontId="9" fillId="0" borderId="13" xfId="0" applyFont="1" applyFill="1" applyBorder="1" applyAlignment="1" applyProtection="1">
      <alignment vertical="top" wrapText="1"/>
      <protection/>
    </xf>
    <xf numFmtId="49" fontId="9" fillId="0" borderId="14" xfId="0" applyNumberFormat="1" applyFont="1" applyFill="1" applyBorder="1" applyAlignment="1" applyProtection="1">
      <alignment horizontal="left" vertical="top"/>
      <protection/>
    </xf>
    <xf numFmtId="49" fontId="118" fillId="0" borderId="13" xfId="0" applyNumberFormat="1" applyFont="1" applyBorder="1" applyAlignment="1" applyProtection="1">
      <alignment horizontal="left" vertical="top" wrapText="1"/>
      <protection/>
    </xf>
    <xf numFmtId="49" fontId="115" fillId="0" borderId="14" xfId="0" applyNumberFormat="1" applyFont="1" applyBorder="1" applyAlignment="1" applyProtection="1">
      <alignment horizontal="left" vertical="top"/>
      <protection/>
    </xf>
    <xf numFmtId="49" fontId="116" fillId="0" borderId="13" xfId="0" applyNumberFormat="1" applyFont="1" applyBorder="1" applyAlignment="1" applyProtection="1">
      <alignment horizontal="left" vertical="top"/>
      <protection/>
    </xf>
    <xf numFmtId="49" fontId="116" fillId="0" borderId="0" xfId="0" applyNumberFormat="1" applyFont="1" applyBorder="1" applyAlignment="1" applyProtection="1">
      <alignment horizontal="left" vertical="top" wrapText="1"/>
      <protection/>
    </xf>
    <xf numFmtId="49" fontId="116" fillId="0" borderId="13" xfId="0" applyNumberFormat="1" applyFont="1" applyBorder="1" applyAlignment="1" applyProtection="1">
      <alignment horizontal="center" vertical="top"/>
      <protection/>
    </xf>
    <xf numFmtId="4" fontId="0" fillId="0" borderId="12" xfId="0" applyNumberFormat="1" applyFont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vertical="top"/>
      <protection/>
    </xf>
    <xf numFmtId="49" fontId="118" fillId="0" borderId="13" xfId="0" applyNumberFormat="1" applyFont="1" applyBorder="1" applyAlignment="1" applyProtection="1">
      <alignment horizontal="left" vertical="center" wrapText="1"/>
      <protection/>
    </xf>
    <xf numFmtId="4" fontId="116" fillId="0" borderId="12" xfId="0" applyNumberFormat="1" applyFont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9" fontId="1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4" fontId="116" fillId="0" borderId="0" xfId="0" applyNumberFormat="1" applyFont="1" applyFill="1" applyBorder="1" applyAlignment="1" applyProtection="1">
      <alignment horizontal="center" vertical="center"/>
      <protection/>
    </xf>
    <xf numFmtId="49" fontId="115" fillId="0" borderId="13" xfId="0" applyNumberFormat="1" applyFont="1" applyFill="1" applyBorder="1" applyAlignment="1" applyProtection="1">
      <alignment horizontal="center" vertical="top"/>
      <protection/>
    </xf>
    <xf numFmtId="4" fontId="115" fillId="0" borderId="12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 quotePrefix="1">
      <alignment horizontal="left" vertical="top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Border="1" applyAlignment="1" applyProtection="1">
      <alignment horizontal="center" vertical="top"/>
      <protection/>
    </xf>
    <xf numFmtId="0" fontId="64" fillId="0" borderId="0" xfId="0" applyFont="1" applyFill="1" applyAlignment="1" applyProtection="1">
      <alignment vertical="top"/>
      <protection/>
    </xf>
    <xf numFmtId="0" fontId="64" fillId="0" borderId="0" xfId="0" applyFont="1" applyBorder="1" applyAlignment="1" applyProtection="1">
      <alignment vertical="top"/>
      <protection/>
    </xf>
    <xf numFmtId="0" fontId="64" fillId="0" borderId="0" xfId="0" applyFont="1" applyAlignment="1" applyProtection="1">
      <alignment vertical="top"/>
      <protection/>
    </xf>
    <xf numFmtId="49" fontId="16" fillId="0" borderId="18" xfId="0" applyNumberFormat="1" applyFont="1" applyBorder="1" applyAlignment="1" applyProtection="1">
      <alignment horizontal="center" vertical="top" wrapText="1"/>
      <protection/>
    </xf>
    <xf numFmtId="49" fontId="13" fillId="0" borderId="24" xfId="0" applyNumberFormat="1" applyFont="1" applyBorder="1" applyAlignment="1" applyProtection="1">
      <alignment horizontal="left" vertical="top" wrapText="1"/>
      <protection/>
    </xf>
    <xf numFmtId="49" fontId="0" fillId="0" borderId="13" xfId="0" applyNumberFormat="1" applyFont="1" applyBorder="1" applyAlignment="1" applyProtection="1">
      <alignment horizontal="left" vertical="top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center" vertical="top"/>
      <protection/>
    </xf>
    <xf numFmtId="49" fontId="9" fillId="0" borderId="24" xfId="0" applyNumberFormat="1" applyFont="1" applyFill="1" applyBorder="1" applyAlignment="1" applyProtection="1" quotePrefix="1">
      <alignment horizontal="left" vertical="top"/>
      <protection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9" fontId="118" fillId="0" borderId="24" xfId="0" applyNumberFormat="1" applyFont="1" applyBorder="1" applyAlignment="1" applyProtection="1">
      <alignment horizontal="left" vertical="center" wrapText="1"/>
      <protection/>
    </xf>
    <xf numFmtId="49" fontId="109" fillId="0" borderId="13" xfId="0" applyNumberFormat="1" applyFont="1" applyFill="1" applyBorder="1" applyAlignment="1" applyProtection="1">
      <alignment horizontal="left" vertical="top"/>
      <protection/>
    </xf>
    <xf numFmtId="49" fontId="110" fillId="0" borderId="14" xfId="0" applyNumberFormat="1" applyFont="1" applyFill="1" applyBorder="1" applyAlignment="1" applyProtection="1">
      <alignment horizontal="left" vertical="top"/>
      <protection/>
    </xf>
    <xf numFmtId="49" fontId="110" fillId="0" borderId="13" xfId="0" applyNumberFormat="1" applyFont="1" applyBorder="1" applyAlignment="1" applyProtection="1">
      <alignment horizontal="center" vertical="top"/>
      <protection/>
    </xf>
    <xf numFmtId="4" fontId="110" fillId="0" borderId="12" xfId="0" applyNumberFormat="1" applyFont="1" applyBorder="1" applyAlignment="1" applyProtection="1">
      <alignment horizontal="center" vertical="top"/>
      <protection/>
    </xf>
    <xf numFmtId="4" fontId="15" fillId="0" borderId="15" xfId="0" applyNumberFormat="1" applyFont="1" applyFill="1" applyBorder="1" applyAlignment="1" applyProtection="1">
      <alignment horizontal="center" vertical="center"/>
      <protection/>
    </xf>
    <xf numFmtId="49" fontId="115" fillId="0" borderId="13" xfId="0" applyNumberFormat="1" applyFont="1" applyBorder="1" applyAlignment="1" applyProtection="1">
      <alignment horizontal="left" vertical="top"/>
      <protection/>
    </xf>
    <xf numFmtId="49" fontId="116" fillId="0" borderId="14" xfId="0" applyNumberFormat="1" applyFont="1" applyBorder="1" applyAlignment="1" applyProtection="1">
      <alignment horizontal="left" vertical="top"/>
      <protection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" fontId="122" fillId="0" borderId="12" xfId="0" applyNumberFormat="1" applyFont="1" applyBorder="1" applyAlignment="1" applyProtection="1">
      <alignment horizontal="center" vertical="top"/>
      <protection/>
    </xf>
    <xf numFmtId="49" fontId="13" fillId="0" borderId="13" xfId="0" applyNumberFormat="1" applyFont="1" applyBorder="1" applyAlignment="1" applyProtection="1">
      <alignment horizontal="left" vertical="top" wrapText="1"/>
      <protection/>
    </xf>
    <xf numFmtId="49" fontId="9" fillId="0" borderId="14" xfId="0" applyNumberFormat="1" applyFont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123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49" fontId="0" fillId="0" borderId="13" xfId="0" applyNumberFormat="1" applyFont="1" applyFill="1" applyBorder="1" applyAlignment="1" applyProtection="1" quotePrefix="1">
      <alignment horizontal="left" vertical="top"/>
      <protection/>
    </xf>
    <xf numFmtId="49" fontId="0" fillId="0" borderId="14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105" fillId="0" borderId="18" xfId="0" applyNumberFormat="1" applyFont="1" applyBorder="1" applyAlignment="1" applyProtection="1">
      <alignment horizontal="center" vertical="center" wrapText="1"/>
      <protection/>
    </xf>
    <xf numFmtId="49" fontId="105" fillId="0" borderId="13" xfId="0" applyNumberFormat="1" applyFont="1" applyBorder="1" applyAlignment="1" applyProtection="1">
      <alignment horizontal="left" vertical="top" wrapText="1"/>
      <protection/>
    </xf>
    <xf numFmtId="49" fontId="105" fillId="0" borderId="14" xfId="0" applyNumberFormat="1" applyFont="1" applyBorder="1" applyAlignment="1" applyProtection="1">
      <alignment horizontal="left" vertical="top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top"/>
      <protection/>
    </xf>
    <xf numFmtId="49" fontId="124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3" xfId="0" applyNumberFormat="1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right" vertical="top" wrapText="1"/>
      <protection/>
    </xf>
    <xf numFmtId="0" fontId="64" fillId="0" borderId="0" xfId="0" applyFont="1" applyFill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49" fontId="16" fillId="0" borderId="18" xfId="0" applyNumberFormat="1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 quotePrefix="1">
      <alignment horizontal="left" vertical="top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left" wrapText="1"/>
      <protection/>
    </xf>
    <xf numFmtId="176" fontId="9" fillId="0" borderId="23" xfId="0" applyNumberFormat="1" applyFont="1" applyFill="1" applyBorder="1" applyAlignment="1" applyProtection="1">
      <alignment horizontal="left" vertical="top"/>
      <protection/>
    </xf>
    <xf numFmtId="49" fontId="9" fillId="0" borderId="14" xfId="0" applyNumberFormat="1" applyFont="1" applyFill="1" applyBorder="1" applyAlignment="1" applyProtection="1" quotePrefix="1">
      <alignment horizontal="left" vertical="top"/>
      <protection/>
    </xf>
    <xf numFmtId="49" fontId="13" fillId="0" borderId="24" xfId="0" applyNumberFormat="1" applyFont="1" applyBorder="1" applyAlignment="1" applyProtection="1">
      <alignment horizontal="left" vertical="center" wrapText="1"/>
      <protection/>
    </xf>
    <xf numFmtId="4" fontId="125" fillId="0" borderId="0" xfId="0" applyNumberFormat="1" applyFont="1" applyFill="1" applyBorder="1" applyAlignment="1" applyProtection="1">
      <alignment horizontal="center" vertical="center"/>
      <protection/>
    </xf>
    <xf numFmtId="49" fontId="110" fillId="0" borderId="14" xfId="0" applyNumberFormat="1" applyFont="1" applyFill="1" applyBorder="1" applyAlignment="1" applyProtection="1" quotePrefix="1">
      <alignment horizontal="left" vertical="top"/>
      <protection/>
    </xf>
    <xf numFmtId="0" fontId="110" fillId="0" borderId="13" xfId="0" applyFont="1" applyFill="1" applyBorder="1" applyAlignment="1" applyProtection="1">
      <alignment horizontal="center" vertical="top"/>
      <protection/>
    </xf>
    <xf numFmtId="4" fontId="110" fillId="0" borderId="12" xfId="0" applyNumberFormat="1" applyFont="1" applyFill="1" applyBorder="1" applyAlignment="1" applyProtection="1">
      <alignment horizontal="center" vertical="top"/>
      <protection/>
    </xf>
    <xf numFmtId="49" fontId="110" fillId="0" borderId="13" xfId="0" applyNumberFormat="1" applyFont="1" applyFill="1" applyBorder="1" applyAlignment="1" applyProtection="1">
      <alignment horizontal="center" vertical="top"/>
      <protection/>
    </xf>
    <xf numFmtId="49" fontId="126" fillId="0" borderId="0" xfId="0" applyNumberFormat="1" applyFont="1" applyFill="1" applyAlignment="1" applyProtection="1">
      <alignment horizontal="left" vertical="top" wrapText="1"/>
      <protection/>
    </xf>
    <xf numFmtId="4" fontId="126" fillId="0" borderId="0" xfId="0" applyNumberFormat="1" applyFont="1" applyFill="1" applyAlignment="1" applyProtection="1">
      <alignment horizontal="right" vertical="center"/>
      <protection/>
    </xf>
    <xf numFmtId="0" fontId="17" fillId="0" borderId="13" xfId="0" applyFont="1" applyFill="1" applyBorder="1" applyAlignment="1" applyProtection="1">
      <alignment horizontal="center" vertical="top"/>
      <protection/>
    </xf>
    <xf numFmtId="4" fontId="127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49" fontId="128" fillId="0" borderId="14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wrapText="1"/>
      <protection/>
    </xf>
    <xf numFmtId="49" fontId="125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center" wrapText="1"/>
      <protection/>
    </xf>
    <xf numFmtId="0" fontId="9" fillId="0" borderId="24" xfId="0" applyFont="1" applyFill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7" fillId="0" borderId="2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/>
    </xf>
    <xf numFmtId="49" fontId="109" fillId="0" borderId="24" xfId="0" applyNumberFormat="1" applyFont="1" applyBorder="1" applyAlignment="1" applyProtection="1">
      <alignment horizontal="left" vertical="top"/>
      <protection/>
    </xf>
    <xf numFmtId="49" fontId="110" fillId="0" borderId="24" xfId="0" applyNumberFormat="1" applyFont="1" applyBorder="1" applyAlignment="1" applyProtection="1">
      <alignment horizontal="left" vertical="top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49" fontId="16" fillId="0" borderId="0" xfId="0" applyNumberFormat="1" applyFont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24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9" fontId="115" fillId="0" borderId="13" xfId="0" applyNumberFormat="1" applyFont="1" applyBorder="1" applyAlignment="1" applyProtection="1">
      <alignment horizontal="left" vertical="center" wrapText="1"/>
      <protection/>
    </xf>
    <xf numFmtId="0" fontId="113" fillId="0" borderId="24" xfId="0" applyFont="1" applyBorder="1" applyAlignment="1" applyProtection="1">
      <alignment vertical="center"/>
      <protection/>
    </xf>
    <xf numFmtId="0" fontId="129" fillId="0" borderId="13" xfId="0" applyFont="1" applyFill="1" applyBorder="1" applyAlignment="1" applyProtection="1">
      <alignment horizontal="left" vertical="top"/>
      <protection/>
    </xf>
    <xf numFmtId="0" fontId="118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122" fillId="0" borderId="0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0" fontId="118" fillId="0" borderId="24" xfId="0" applyFont="1" applyFill="1" applyBorder="1" applyAlignment="1" applyProtection="1">
      <alignment vertical="center" wrapText="1"/>
      <protection/>
    </xf>
    <xf numFmtId="0" fontId="130" fillId="0" borderId="13" xfId="0" applyFont="1" applyFill="1" applyBorder="1" applyAlignment="1" applyProtection="1">
      <alignment horizontal="left" vertical="top"/>
      <protection/>
    </xf>
    <xf numFmtId="4" fontId="131" fillId="0" borderId="12" xfId="0" applyNumberFormat="1" applyFont="1" applyBorder="1" applyAlignment="1" applyProtection="1">
      <alignment horizontal="center" vertical="top"/>
      <protection/>
    </xf>
    <xf numFmtId="49" fontId="12" fillId="0" borderId="13" xfId="0" applyNumberFormat="1" applyFont="1" applyBorder="1" applyAlignment="1" applyProtection="1" quotePrefix="1">
      <alignment horizontal="left" vertical="top"/>
      <protection/>
    </xf>
    <xf numFmtId="0" fontId="12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4" fontId="20" fillId="0" borderId="0" xfId="0" applyNumberFormat="1" applyFont="1" applyFill="1" applyBorder="1" applyAlignment="1" applyProtection="1">
      <alignment horizontal="center" vertical="center"/>
      <protection/>
    </xf>
    <xf numFmtId="49" fontId="115" fillId="0" borderId="24" xfId="0" applyNumberFormat="1" applyFont="1" applyBorder="1" applyAlignment="1" applyProtection="1">
      <alignment horizontal="left" vertical="center"/>
      <protection/>
    </xf>
    <xf numFmtId="49" fontId="132" fillId="0" borderId="14" xfId="0" applyNumberFormat="1" applyFont="1" applyBorder="1" applyAlignment="1" applyProtection="1">
      <alignment horizontal="left" vertical="top"/>
      <protection/>
    </xf>
    <xf numFmtId="49" fontId="132" fillId="0" borderId="13" xfId="0" applyNumberFormat="1" applyFont="1" applyBorder="1" applyAlignment="1" applyProtection="1">
      <alignment horizontal="left" vertical="top"/>
      <protection/>
    </xf>
    <xf numFmtId="4" fontId="132" fillId="0" borderId="12" xfId="0" applyNumberFormat="1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49" fontId="9" fillId="0" borderId="13" xfId="0" applyNumberFormat="1" applyFont="1" applyBorder="1" applyAlignment="1" applyProtection="1">
      <alignment horizontal="center" vertical="top"/>
      <protection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49" fontId="10" fillId="0" borderId="24" xfId="0" applyNumberFormat="1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97" fillId="0" borderId="0" xfId="0" applyFont="1" applyFill="1" applyAlignment="1" applyProtection="1">
      <alignment/>
      <protection/>
    </xf>
    <xf numFmtId="49" fontId="9" fillId="0" borderId="0" xfId="0" applyNumberFormat="1" applyFont="1" applyAlignment="1" applyProtection="1">
      <alignment horizontal="left" vertical="center" wrapText="1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center" vertical="top"/>
      <protection/>
    </xf>
    <xf numFmtId="49" fontId="9" fillId="0" borderId="24" xfId="0" applyNumberFormat="1" applyFont="1" applyFill="1" applyBorder="1" applyAlignment="1" applyProtection="1">
      <alignment horizontal="left" vertical="top"/>
      <protection/>
    </xf>
    <xf numFmtId="49" fontId="0" fillId="0" borderId="24" xfId="0" applyNumberFormat="1" applyFont="1" applyFill="1" applyBorder="1" applyAlignment="1" applyProtection="1" quotePrefix="1">
      <alignment horizontal="left" vertical="top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 quotePrefix="1">
      <alignment horizontal="left" vertical="top"/>
      <protection/>
    </xf>
    <xf numFmtId="49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49" fontId="13" fillId="0" borderId="13" xfId="0" applyNumberFormat="1" applyFont="1" applyFill="1" applyBorder="1" applyAlignment="1" applyProtection="1">
      <alignment horizontal="left" vertical="top"/>
      <protection/>
    </xf>
    <xf numFmtId="49" fontId="114" fillId="0" borderId="0" xfId="0" applyNumberFormat="1" applyFont="1" applyBorder="1" applyAlignment="1" applyProtection="1">
      <alignment horizontal="center" vertical="center" wrapText="1"/>
      <protection/>
    </xf>
    <xf numFmtId="0" fontId="118" fillId="0" borderId="24" xfId="0" applyFont="1" applyFill="1" applyBorder="1" applyAlignment="1" applyProtection="1">
      <alignment vertical="top" wrapText="1"/>
      <protection/>
    </xf>
    <xf numFmtId="49" fontId="9" fillId="0" borderId="24" xfId="0" applyNumberFormat="1" applyFont="1" applyBorder="1" applyAlignment="1" applyProtection="1">
      <alignment horizontal="left" vertical="top"/>
      <protection/>
    </xf>
    <xf numFmtId="49" fontId="13" fillId="0" borderId="24" xfId="0" applyNumberFormat="1" applyFont="1" applyFill="1" applyBorder="1" applyAlignment="1" applyProtection="1">
      <alignment horizontal="left" vertical="top" wrapText="1"/>
      <protection/>
    </xf>
    <xf numFmtId="49" fontId="115" fillId="0" borderId="13" xfId="0" applyNumberFormat="1" applyFont="1" applyBorder="1" applyAlignment="1" applyProtection="1">
      <alignment horizontal="left" vertical="top" wrapText="1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top" wrapText="1"/>
      <protection/>
    </xf>
    <xf numFmtId="49" fontId="11" fillId="0" borderId="0" xfId="0" applyNumberFormat="1" applyFont="1" applyFill="1" applyAlignment="1" applyProtection="1">
      <alignment horizontal="left" vertical="top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top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49" fontId="23" fillId="0" borderId="18" xfId="0" applyNumberFormat="1" applyFont="1" applyBorder="1" applyAlignment="1" applyProtection="1">
      <alignment horizontal="center" vertical="center" wrapText="1"/>
      <protection/>
    </xf>
    <xf numFmtId="49" fontId="24" fillId="0" borderId="24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 quotePrefix="1">
      <alignment horizontal="left" vertical="top"/>
      <protection/>
    </xf>
    <xf numFmtId="0" fontId="9" fillId="0" borderId="24" xfId="0" applyFont="1" applyBorder="1" applyAlignment="1" applyProtection="1">
      <alignment vertical="top" wrapText="1"/>
      <protection/>
    </xf>
    <xf numFmtId="49" fontId="0" fillId="0" borderId="24" xfId="0" applyNumberFormat="1" applyFont="1" applyBorder="1" applyAlignment="1" applyProtection="1" quotePrefix="1">
      <alignment horizontal="left" vertical="top"/>
      <protection/>
    </xf>
    <xf numFmtId="0" fontId="0" fillId="0" borderId="24" xfId="0" applyFont="1" applyBorder="1" applyAlignment="1" applyProtection="1">
      <alignment vertical="top" wrapText="1"/>
      <protection/>
    </xf>
    <xf numFmtId="0" fontId="13" fillId="0" borderId="24" xfId="0" applyFont="1" applyFill="1" applyBorder="1" applyAlignment="1" applyProtection="1">
      <alignment horizontal="center" vertical="top"/>
      <protection/>
    </xf>
    <xf numFmtId="4" fontId="10" fillId="0" borderId="14" xfId="0" applyNumberFormat="1" applyFont="1" applyBorder="1" applyAlignment="1" applyProtection="1">
      <alignment horizontal="center" vertical="top"/>
      <protection/>
    </xf>
    <xf numFmtId="49" fontId="13" fillId="0" borderId="13" xfId="0" applyNumberFormat="1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center" vertical="top"/>
      <protection/>
    </xf>
    <xf numFmtId="0" fontId="16" fillId="0" borderId="18" xfId="0" applyFont="1" applyFill="1" applyBorder="1" applyAlignment="1" applyProtection="1">
      <alignment horizontal="center" vertical="top"/>
      <protection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24" xfId="0" applyNumberFormat="1" applyFont="1" applyBorder="1" applyAlignment="1" applyProtection="1">
      <alignment horizontal="right" vertical="center" wrapText="1"/>
      <protection/>
    </xf>
    <xf numFmtId="49" fontId="0" fillId="0" borderId="24" xfId="0" applyNumberFormat="1" applyFont="1" applyBorder="1" applyAlignment="1" applyProtection="1">
      <alignment horizontal="left" vertical="top"/>
      <protection/>
    </xf>
    <xf numFmtId="49" fontId="9" fillId="0" borderId="24" xfId="0" applyNumberFormat="1" applyFont="1" applyBorder="1" applyAlignment="1" applyProtection="1">
      <alignment horizontal="left" vertical="center" wrapText="1"/>
      <protection/>
    </xf>
    <xf numFmtId="49" fontId="16" fillId="0" borderId="3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49" fontId="132" fillId="0" borderId="0" xfId="0" applyNumberFormat="1" applyFont="1" applyBorder="1" applyAlignment="1" applyProtection="1">
      <alignment horizontal="left" vertical="top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left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4" fontId="18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18" fillId="0" borderId="13" xfId="0" applyNumberFormat="1" applyFont="1" applyBorder="1" applyAlignment="1" applyProtection="1">
      <alignment horizontal="left" vertical="top"/>
      <protection/>
    </xf>
    <xf numFmtId="49" fontId="0" fillId="0" borderId="14" xfId="0" applyNumberFormat="1" applyFont="1" applyBorder="1" applyAlignment="1" applyProtection="1">
      <alignment horizontal="left" vertical="top" wrapText="1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49" fontId="105" fillId="0" borderId="18" xfId="0" applyNumberFormat="1" applyFont="1" applyBorder="1" applyAlignment="1" applyProtection="1">
      <alignment horizontal="center" wrapText="1"/>
      <protection/>
    </xf>
    <xf numFmtId="49" fontId="105" fillId="0" borderId="13" xfId="0" applyNumberFormat="1" applyFont="1" applyBorder="1" applyAlignment="1" applyProtection="1">
      <alignment horizontal="left" wrapText="1"/>
      <protection/>
    </xf>
    <xf numFmtId="49" fontId="105" fillId="0" borderId="14" xfId="0" applyNumberFormat="1" applyFont="1" applyBorder="1" applyAlignment="1" applyProtection="1">
      <alignment horizontal="left"/>
      <protection/>
    </xf>
    <xf numFmtId="49" fontId="104" fillId="0" borderId="13" xfId="0" applyNumberFormat="1" applyFont="1" applyBorder="1" applyAlignment="1" applyProtection="1">
      <alignment horizontal="left"/>
      <protection/>
    </xf>
    <xf numFmtId="49" fontId="104" fillId="0" borderId="14" xfId="0" applyNumberFormat="1" applyFont="1" applyBorder="1" applyAlignment="1" applyProtection="1">
      <alignment horizontal="left"/>
      <protection/>
    </xf>
    <xf numFmtId="4" fontId="116" fillId="0" borderId="12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5" fillId="0" borderId="24" xfId="0" applyNumberFormat="1" applyFont="1" applyBorder="1" applyAlignment="1" applyProtection="1">
      <alignment horizontal="left" wrapText="1"/>
      <protection/>
    </xf>
    <xf numFmtId="49" fontId="105" fillId="0" borderId="13" xfId="0" applyNumberFormat="1" applyFont="1" applyBorder="1" applyAlignment="1" applyProtection="1">
      <alignment horizontal="left"/>
      <protection/>
    </xf>
    <xf numFmtId="49" fontId="13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4" fontId="10" fillId="0" borderId="19" xfId="0" applyNumberFormat="1" applyFont="1" applyBorder="1" applyAlignment="1" applyProtection="1">
      <alignment horizontal="center" vertical="center"/>
      <protection/>
    </xf>
    <xf numFmtId="49" fontId="115" fillId="0" borderId="24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left" vertical="top" wrapText="1"/>
      <protection/>
    </xf>
    <xf numFmtId="4" fontId="18" fillId="0" borderId="0" xfId="0" applyNumberFormat="1" applyFont="1" applyBorder="1" applyAlignment="1" applyProtection="1">
      <alignment horizontal="center" vertical="top"/>
      <protection/>
    </xf>
    <xf numFmtId="49" fontId="9" fillId="0" borderId="13" xfId="0" applyNumberFormat="1" applyFont="1" applyBorder="1" applyAlignment="1" applyProtection="1" quotePrefix="1">
      <alignment horizontal="center" vertical="top"/>
      <protection/>
    </xf>
    <xf numFmtId="49" fontId="9" fillId="0" borderId="24" xfId="0" applyNumberFormat="1" applyFont="1" applyBorder="1" applyAlignment="1" applyProtection="1">
      <alignment horizontal="center" vertical="top"/>
      <protection/>
    </xf>
    <xf numFmtId="0" fontId="9" fillId="0" borderId="24" xfId="0" applyFont="1" applyBorder="1" applyAlignment="1" applyProtection="1">
      <alignment vertical="center" wrapText="1"/>
      <protection/>
    </xf>
    <xf numFmtId="49" fontId="0" fillId="0" borderId="24" xfId="0" applyNumberFormat="1" applyFont="1" applyFill="1" applyBorder="1" applyAlignment="1" applyProtection="1" quotePrefix="1">
      <alignment horizontal="center"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49" fontId="12" fillId="0" borderId="24" xfId="0" applyNumberFormat="1" applyFont="1" applyFill="1" applyBorder="1" applyAlignment="1" applyProtection="1">
      <alignment horizontal="left"/>
      <protection/>
    </xf>
    <xf numFmtId="49" fontId="10" fillId="0" borderId="24" xfId="0" applyNumberFormat="1" applyFont="1" applyFill="1" applyBorder="1" applyAlignment="1" applyProtection="1">
      <alignment horizontal="left" vertical="center" wrapText="1"/>
      <protection/>
    </xf>
    <xf numFmtId="4" fontId="11" fillId="0" borderId="14" xfId="0" applyNumberFormat="1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24" xfId="0" applyNumberFormat="1" applyFont="1" applyFill="1" applyBorder="1" applyAlignment="1" applyProtection="1">
      <alignment horizontal="right" vertical="center" wrapText="1"/>
      <protection/>
    </xf>
    <xf numFmtId="49" fontId="10" fillId="0" borderId="24" xfId="0" applyNumberFormat="1" applyFont="1" applyFill="1" applyBorder="1" applyAlignment="1" applyProtection="1">
      <alignment horizontal="left" wrapText="1"/>
      <protection/>
    </xf>
    <xf numFmtId="49" fontId="104" fillId="0" borderId="13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15" fillId="0" borderId="13" xfId="0" applyNumberFormat="1" applyFont="1" applyBorder="1" applyAlignment="1" applyProtection="1">
      <alignment horizontal="left" vertical="center"/>
      <protection/>
    </xf>
    <xf numFmtId="49" fontId="132" fillId="0" borderId="14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32" fillId="0" borderId="13" xfId="0" applyNumberFormat="1" applyFont="1" applyBorder="1" applyAlignment="1" applyProtection="1">
      <alignment horizontal="left" vertical="center"/>
      <protection/>
    </xf>
    <xf numFmtId="4" fontId="13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13" xfId="0" applyNumberFormat="1" applyFont="1" applyBorder="1" applyAlignment="1" applyProtection="1" quotePrefix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18" fillId="0" borderId="0" xfId="0" applyNumberFormat="1" applyFont="1" applyAlignment="1" applyProtection="1">
      <alignment horizontal="center" vertical="center" wrapText="1"/>
      <protection/>
    </xf>
    <xf numFmtId="176" fontId="0" fillId="0" borderId="24" xfId="0" applyNumberFormat="1" applyFont="1" applyFill="1" applyBorder="1" applyAlignment="1" applyProtection="1">
      <alignment horizontal="left" vertical="top"/>
      <protection/>
    </xf>
    <xf numFmtId="49" fontId="9" fillId="0" borderId="24" xfId="0" applyNumberFormat="1" applyFont="1" applyBorder="1" applyAlignment="1" applyProtection="1" quotePrefix="1">
      <alignment horizontal="left" vertical="top"/>
      <protection/>
    </xf>
    <xf numFmtId="0" fontId="0" fillId="0" borderId="24" xfId="0" applyFont="1" applyBorder="1" applyAlignment="1" applyProtection="1">
      <alignment vertical="center" wrapText="1"/>
      <protection/>
    </xf>
    <xf numFmtId="49" fontId="104" fillId="0" borderId="24" xfId="0" applyNumberFormat="1" applyFont="1" applyBorder="1" applyAlignment="1" applyProtection="1">
      <alignment horizontal="left"/>
      <protection/>
    </xf>
    <xf numFmtId="49" fontId="10" fillId="0" borderId="24" xfId="0" applyNumberFormat="1" applyFont="1" applyBorder="1" applyAlignment="1" applyProtection="1">
      <alignment horizontal="left" vertical="center" wrapText="1"/>
      <protection/>
    </xf>
    <xf numFmtId="49" fontId="105" fillId="0" borderId="0" xfId="0" applyNumberFormat="1" applyFont="1" applyBorder="1" applyAlignment="1" applyProtection="1">
      <alignment horizontal="center" wrapText="1"/>
      <protection/>
    </xf>
    <xf numFmtId="49" fontId="106" fillId="0" borderId="24" xfId="0" applyNumberFormat="1" applyFont="1" applyBorder="1" applyAlignment="1" applyProtection="1">
      <alignment horizontal="left" vertical="center" wrapText="1"/>
      <protection/>
    </xf>
    <xf numFmtId="49" fontId="104" fillId="0" borderId="24" xfId="0" applyNumberFormat="1" applyFont="1" applyBorder="1" applyAlignment="1" applyProtection="1">
      <alignment horizontal="left" vertical="top"/>
      <protection/>
    </xf>
    <xf numFmtId="4" fontId="104" fillId="0" borderId="0" xfId="0" applyNumberFormat="1" applyFont="1" applyBorder="1" applyAlignment="1" applyProtection="1">
      <alignment horizontal="center" vertical="center"/>
      <protection/>
    </xf>
    <xf numFmtId="49" fontId="105" fillId="0" borderId="0" xfId="0" applyNumberFormat="1" applyFont="1" applyBorder="1" applyAlignment="1" applyProtection="1">
      <alignment horizontal="left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9" fontId="9" fillId="0" borderId="24" xfId="0" applyNumberFormat="1" applyFont="1" applyBorder="1" applyAlignment="1" applyProtection="1" quotePrefix="1">
      <alignment horizontal="center" vertical="top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center"/>
      <protection/>
    </xf>
    <xf numFmtId="4" fontId="10" fillId="0" borderId="15" xfId="0" applyNumberFormat="1" applyFont="1" applyBorder="1" applyAlignment="1" applyProtection="1">
      <alignment horizontal="center"/>
      <protection/>
    </xf>
    <xf numFmtId="49" fontId="105" fillId="0" borderId="18" xfId="0" applyNumberFormat="1" applyFont="1" applyBorder="1" applyAlignment="1" applyProtection="1">
      <alignment horizontal="center" vertical="top" wrapText="1"/>
      <protection/>
    </xf>
    <xf numFmtId="4" fontId="10" fillId="0" borderId="15" xfId="0" applyNumberFormat="1" applyFont="1" applyBorder="1" applyAlignment="1" applyProtection="1">
      <alignment horizontal="center" vertical="top"/>
      <protection/>
    </xf>
    <xf numFmtId="49" fontId="132" fillId="0" borderId="24" xfId="0" applyNumberFormat="1" applyFont="1" applyBorder="1" applyAlignment="1" applyProtection="1">
      <alignment horizontal="left" vertical="center"/>
      <protection/>
    </xf>
    <xf numFmtId="4" fontId="132" fillId="0" borderId="32" xfId="0" applyNumberFormat="1" applyFont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top"/>
      <protection/>
    </xf>
    <xf numFmtId="4" fontId="9" fillId="0" borderId="32" xfId="0" applyNumberFormat="1" applyFont="1" applyBorder="1" applyAlignment="1" applyProtection="1">
      <alignment horizontal="center" vertical="top"/>
      <protection/>
    </xf>
    <xf numFmtId="0" fontId="0" fillId="0" borderId="24" xfId="0" applyFont="1" applyFill="1" applyBorder="1" applyAlignment="1" applyProtection="1">
      <alignment horizontal="center" vertical="top"/>
      <protection/>
    </xf>
    <xf numFmtId="4" fontId="0" fillId="0" borderId="32" xfId="0" applyNumberFormat="1" applyFont="1" applyBorder="1" applyAlignment="1" applyProtection="1">
      <alignment horizontal="center" vertical="top"/>
      <protection/>
    </xf>
    <xf numFmtId="0" fontId="9" fillId="0" borderId="24" xfId="0" applyFont="1" applyBorder="1" applyAlignment="1" applyProtection="1">
      <alignment horizontal="center" vertical="top"/>
      <protection/>
    </xf>
    <xf numFmtId="0" fontId="0" fillId="0" borderId="24" xfId="0" applyFont="1" applyBorder="1" applyAlignment="1" applyProtection="1">
      <alignment horizontal="center" vertical="top"/>
      <protection/>
    </xf>
    <xf numFmtId="4" fontId="122" fillId="0" borderId="0" xfId="0" applyNumberFormat="1" applyFont="1" applyFill="1" applyBorder="1" applyAlignment="1" applyProtection="1">
      <alignment horizontal="center" vertical="center"/>
      <protection/>
    </xf>
    <xf numFmtId="49" fontId="118" fillId="0" borderId="24" xfId="0" applyNumberFormat="1" applyFont="1" applyBorder="1" applyAlignment="1" applyProtection="1">
      <alignment horizontal="left" vertical="top" wrapText="1"/>
      <protection/>
    </xf>
    <xf numFmtId="4" fontId="134" fillId="0" borderId="0" xfId="0" applyNumberFormat="1" applyFont="1" applyFill="1" applyAlignment="1" applyProtection="1">
      <alignment horizontal="center" vertical="top"/>
      <protection/>
    </xf>
    <xf numFmtId="4" fontId="125" fillId="0" borderId="0" xfId="0" applyNumberFormat="1" applyFont="1" applyFill="1" applyAlignment="1" applyProtection="1">
      <alignment horizontal="center" vertical="top"/>
      <protection/>
    </xf>
    <xf numFmtId="49" fontId="114" fillId="0" borderId="20" xfId="0" applyNumberFormat="1" applyFont="1" applyBorder="1" applyAlignment="1" applyProtection="1">
      <alignment horizontal="center" vertical="center" wrapText="1"/>
      <protection/>
    </xf>
    <xf numFmtId="49" fontId="118" fillId="0" borderId="33" xfId="0" applyNumberFormat="1" applyFont="1" applyBorder="1" applyAlignment="1" applyProtection="1">
      <alignment horizontal="left" vertical="center" wrapText="1"/>
      <protection/>
    </xf>
    <xf numFmtId="49" fontId="115" fillId="0" borderId="21" xfId="0" applyNumberFormat="1" applyFont="1" applyBorder="1" applyAlignment="1" applyProtection="1">
      <alignment horizontal="left" vertical="top"/>
      <protection/>
    </xf>
    <xf numFmtId="49" fontId="115" fillId="0" borderId="21" xfId="0" applyNumberFormat="1" applyFont="1" applyBorder="1" applyAlignment="1" applyProtection="1">
      <alignment horizontal="left" vertical="center"/>
      <protection/>
    </xf>
    <xf numFmtId="49" fontId="115" fillId="0" borderId="21" xfId="0" applyNumberFormat="1" applyFont="1" applyBorder="1" applyAlignment="1" applyProtection="1">
      <alignment horizontal="center" vertical="center"/>
      <protection/>
    </xf>
    <xf numFmtId="49" fontId="115" fillId="0" borderId="16" xfId="0" applyNumberFormat="1" applyFont="1" applyBorder="1" applyAlignment="1" applyProtection="1">
      <alignment horizontal="left" vertical="top"/>
      <protection/>
    </xf>
    <xf numFmtId="4" fontId="115" fillId="0" borderId="17" xfId="0" applyNumberFormat="1" applyFont="1" applyBorder="1" applyAlignment="1" applyProtection="1">
      <alignment horizontal="center" vertical="top"/>
      <protection/>
    </xf>
    <xf numFmtId="49" fontId="105" fillId="0" borderId="0" xfId="0" applyNumberFormat="1" applyFont="1" applyAlignment="1" applyProtection="1">
      <alignment horizontal="center" vertical="center" wrapText="1"/>
      <protection/>
    </xf>
    <xf numFmtId="49" fontId="118" fillId="0" borderId="0" xfId="0" applyNumberFormat="1" applyFont="1" applyAlignment="1" applyProtection="1">
      <alignment horizontal="left" vertical="center" wrapText="1"/>
      <protection/>
    </xf>
    <xf numFmtId="49" fontId="135" fillId="0" borderId="0" xfId="0" applyNumberFormat="1" applyFont="1" applyFill="1" applyAlignment="1" applyProtection="1">
      <alignment horizontal="left" vertical="top"/>
      <protection/>
    </xf>
    <xf numFmtId="49" fontId="136" fillId="0" borderId="0" xfId="0" applyNumberFormat="1" applyFont="1" applyFill="1" applyAlignment="1" applyProtection="1">
      <alignment horizontal="left" vertical="top"/>
      <protection/>
    </xf>
    <xf numFmtId="49" fontId="137" fillId="0" borderId="0" xfId="0" applyNumberFormat="1" applyFont="1" applyFill="1" applyAlignment="1" applyProtection="1">
      <alignment horizontal="left" vertical="top" wrapText="1"/>
      <protection/>
    </xf>
    <xf numFmtId="4" fontId="138" fillId="0" borderId="0" xfId="0" applyNumberFormat="1" applyFont="1" applyFill="1" applyAlignment="1" applyProtection="1">
      <alignment horizontal="center" vertical="center"/>
      <protection/>
    </xf>
    <xf numFmtId="0" fontId="138" fillId="0" borderId="0" xfId="0" applyFont="1" applyFill="1" applyAlignment="1" applyProtection="1">
      <alignment horizontal="right" vertical="top"/>
      <protection/>
    </xf>
    <xf numFmtId="4" fontId="113" fillId="0" borderId="0" xfId="0" applyNumberFormat="1" applyFont="1" applyFill="1" applyAlignment="1" applyProtection="1">
      <alignment horizontal="center" vertical="top"/>
      <protection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138" fillId="0" borderId="0" xfId="0" applyFont="1" applyFill="1" applyAlignment="1" applyProtection="1">
      <alignment horizontal="left" vertical="top"/>
      <protection/>
    </xf>
    <xf numFmtId="49" fontId="135" fillId="0" borderId="0" xfId="0" applyNumberFormat="1" applyFont="1" applyAlignment="1" applyProtection="1">
      <alignment horizontal="left" vertical="top"/>
      <protection/>
    </xf>
    <xf numFmtId="49" fontId="136" fillId="0" borderId="0" xfId="0" applyNumberFormat="1" applyFont="1" applyAlignment="1" applyProtection="1">
      <alignment horizontal="left" vertical="top"/>
      <protection/>
    </xf>
    <xf numFmtId="49" fontId="137" fillId="0" borderId="0" xfId="0" applyNumberFormat="1" applyFont="1" applyAlignment="1" applyProtection="1">
      <alignment horizontal="left" vertical="top" wrapText="1"/>
      <protection/>
    </xf>
    <xf numFmtId="49" fontId="136" fillId="0" borderId="0" xfId="0" applyNumberFormat="1" applyFont="1" applyAlignment="1" applyProtection="1">
      <alignment horizontal="left" vertical="top" wrapText="1"/>
      <protection/>
    </xf>
    <xf numFmtId="4" fontId="139" fillId="0" borderId="0" xfId="0" applyNumberFormat="1" applyFont="1" applyAlignment="1" applyProtection="1">
      <alignment horizontal="center" vertical="center"/>
      <protection/>
    </xf>
    <xf numFmtId="0" fontId="139" fillId="0" borderId="0" xfId="0" applyFont="1" applyAlignment="1" applyProtection="1">
      <alignment horizontal="left" vertical="top"/>
      <protection/>
    </xf>
    <xf numFmtId="49" fontId="140" fillId="0" borderId="0" xfId="0" applyNumberFormat="1" applyFont="1" applyAlignment="1" applyProtection="1">
      <alignment horizontal="left" vertical="top" wrapText="1"/>
      <protection/>
    </xf>
    <xf numFmtId="4" fontId="141" fillId="0" borderId="0" xfId="0" applyNumberFormat="1" applyFont="1" applyAlignment="1" applyProtection="1">
      <alignment horizontal="center" vertical="center"/>
      <protection/>
    </xf>
    <xf numFmtId="0" fontId="141" fillId="0" borderId="0" xfId="0" applyFont="1" applyAlignment="1" applyProtection="1">
      <alignment horizontal="left" vertical="top"/>
      <protection/>
    </xf>
    <xf numFmtId="0" fontId="6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49" fontId="142" fillId="0" borderId="11" xfId="0" applyNumberFormat="1" applyFont="1" applyBorder="1" applyAlignment="1" applyProtection="1">
      <alignment horizontal="center" vertical="center"/>
      <protection/>
    </xf>
    <xf numFmtId="49" fontId="142" fillId="0" borderId="11" xfId="0" applyNumberFormat="1" applyFont="1" applyBorder="1" applyAlignment="1">
      <alignment horizontal="center" vertical="center"/>
    </xf>
    <xf numFmtId="0" fontId="7" fillId="21" borderId="10" xfId="37" applyFont="1" applyBorder="1" applyAlignment="1" applyProtection="1">
      <alignment vertical="center" wrapText="1"/>
      <protection/>
    </xf>
    <xf numFmtId="0" fontId="7" fillId="21" borderId="10" xfId="37" applyBorder="1" applyAlignment="1" applyProtection="1">
      <alignment vertical="center" wrapText="1"/>
      <protection/>
    </xf>
    <xf numFmtId="0" fontId="7" fillId="21" borderId="30" xfId="37" applyFont="1" applyBorder="1" applyAlignment="1" applyProtection="1">
      <alignment horizontal="left" vertical="center" wrapText="1"/>
      <protection/>
    </xf>
    <xf numFmtId="0" fontId="7" fillId="21" borderId="34" xfId="37" applyBorder="1" applyAlignment="1" applyProtection="1">
      <alignment horizontal="left" vertical="center" wrapText="1"/>
      <protection/>
    </xf>
    <xf numFmtId="49" fontId="142" fillId="0" borderId="35" xfId="0" applyNumberFormat="1" applyFont="1" applyBorder="1" applyAlignment="1" applyProtection="1">
      <alignment horizontal="center" vertical="center" wrapText="1"/>
      <protection/>
    </xf>
    <xf numFmtId="49" fontId="142" fillId="0" borderId="36" xfId="0" applyNumberFormat="1" applyFont="1" applyBorder="1" applyAlignment="1" applyProtection="1">
      <alignment horizontal="center" vertical="center" wrapText="1"/>
      <protection/>
    </xf>
    <xf numFmtId="49" fontId="142" fillId="0" borderId="37" xfId="0" applyNumberFormat="1" applyFont="1" applyBorder="1" applyAlignment="1" applyProtection="1">
      <alignment horizontal="center" vertical="center"/>
      <protection/>
    </xf>
    <xf numFmtId="49" fontId="142" fillId="0" borderId="11" xfId="0" applyNumberFormat="1" applyFont="1" applyBorder="1" applyAlignment="1" applyProtection="1">
      <alignment horizontal="center" vertical="center"/>
      <protection/>
    </xf>
    <xf numFmtId="49" fontId="142" fillId="0" borderId="37" xfId="0" applyNumberFormat="1" applyFont="1" applyBorder="1" applyAlignment="1" applyProtection="1">
      <alignment horizontal="center" vertical="top"/>
      <protection/>
    </xf>
    <xf numFmtId="49" fontId="142" fillId="0" borderId="11" xfId="0" applyNumberFormat="1" applyFont="1" applyBorder="1" applyAlignment="1" applyProtection="1">
      <alignment horizontal="center" vertical="top"/>
      <protection/>
    </xf>
    <xf numFmtId="4" fontId="142" fillId="0" borderId="38" xfId="0" applyNumberFormat="1" applyFont="1" applyBorder="1" applyAlignment="1" applyProtection="1">
      <alignment horizontal="center" vertical="top"/>
      <protection/>
    </xf>
    <xf numFmtId="4" fontId="142" fillId="0" borderId="39" xfId="0" applyNumberFormat="1" applyFont="1" applyBorder="1" applyAlignment="1" applyProtection="1">
      <alignment horizontal="center" vertical="top"/>
      <protection/>
    </xf>
    <xf numFmtId="49" fontId="104" fillId="0" borderId="40" xfId="0" applyNumberFormat="1" applyFont="1" applyBorder="1" applyAlignment="1">
      <alignment horizontal="center" vertical="top" wrapText="1"/>
    </xf>
    <xf numFmtId="49" fontId="104" fillId="0" borderId="41" xfId="0" applyNumberFormat="1" applyFont="1" applyBorder="1" applyAlignment="1">
      <alignment horizontal="center" vertical="top" wrapText="1"/>
    </xf>
    <xf numFmtId="49" fontId="142" fillId="0" borderId="37" xfId="0" applyNumberFormat="1" applyFont="1" applyBorder="1" applyAlignment="1">
      <alignment horizontal="center" vertical="center"/>
    </xf>
    <xf numFmtId="49" fontId="142" fillId="0" borderId="11" xfId="0" applyNumberFormat="1" applyFont="1" applyBorder="1" applyAlignment="1">
      <alignment horizontal="center" vertical="center"/>
    </xf>
    <xf numFmtId="49" fontId="142" fillId="0" borderId="37" xfId="0" applyNumberFormat="1" applyFont="1" applyBorder="1" applyAlignment="1">
      <alignment horizontal="center" vertical="top"/>
    </xf>
    <xf numFmtId="49" fontId="142" fillId="0" borderId="11" xfId="0" applyNumberFormat="1" applyFont="1" applyBorder="1" applyAlignment="1">
      <alignment horizontal="center" vertical="top"/>
    </xf>
    <xf numFmtId="4" fontId="142" fillId="0" borderId="38" xfId="0" applyNumberFormat="1" applyFont="1" applyBorder="1" applyAlignment="1">
      <alignment horizontal="center" vertical="top"/>
    </xf>
    <xf numFmtId="4" fontId="142" fillId="0" borderId="39" xfId="0" applyNumberFormat="1" applyFont="1" applyBorder="1" applyAlignment="1">
      <alignment horizontal="center" vertical="top"/>
    </xf>
    <xf numFmtId="49" fontId="123" fillId="0" borderId="35" xfId="0" applyNumberFormat="1" applyFont="1" applyBorder="1" applyAlignment="1" applyProtection="1">
      <alignment horizontal="center" vertical="center" wrapText="1"/>
      <protection/>
    </xf>
    <xf numFmtId="49" fontId="123" fillId="0" borderId="36" xfId="0" applyNumberFormat="1" applyFont="1" applyBorder="1" applyAlignment="1" applyProtection="1">
      <alignment horizontal="center" vertical="center" wrapText="1"/>
      <protection/>
    </xf>
    <xf numFmtId="49" fontId="117" fillId="0" borderId="37" xfId="0" applyNumberFormat="1" applyFont="1" applyBorder="1" applyAlignment="1" applyProtection="1">
      <alignment horizontal="center" vertical="center"/>
      <protection/>
    </xf>
    <xf numFmtId="49" fontId="117" fillId="0" borderId="42" xfId="0" applyNumberFormat="1" applyFont="1" applyBorder="1" applyAlignment="1" applyProtection="1">
      <alignment horizontal="center" vertical="center"/>
      <protection/>
    </xf>
    <xf numFmtId="49" fontId="117" fillId="0" borderId="11" xfId="0" applyNumberFormat="1" applyFont="1" applyBorder="1" applyAlignment="1" applyProtection="1">
      <alignment horizontal="center" vertical="center"/>
      <protection/>
    </xf>
    <xf numFmtId="49" fontId="117" fillId="0" borderId="43" xfId="0" applyNumberFormat="1" applyFont="1" applyBorder="1" applyAlignment="1" applyProtection="1">
      <alignment horizontal="center" vertical="center"/>
      <protection/>
    </xf>
    <xf numFmtId="49" fontId="117" fillId="0" borderId="37" xfId="0" applyNumberFormat="1" applyFont="1" applyBorder="1" applyAlignment="1" applyProtection="1">
      <alignment horizontal="left" vertical="top"/>
      <protection/>
    </xf>
    <xf numFmtId="49" fontId="117" fillId="0" borderId="11" xfId="0" applyNumberFormat="1" applyFont="1" applyBorder="1" applyAlignment="1" applyProtection="1">
      <alignment horizontal="left" vertical="top"/>
      <protection/>
    </xf>
    <xf numFmtId="4" fontId="117" fillId="0" borderId="44" xfId="0" applyNumberFormat="1" applyFont="1" applyBorder="1" applyAlignment="1" applyProtection="1">
      <alignment horizontal="center" vertical="top"/>
      <protection/>
    </xf>
    <xf numFmtId="4" fontId="117" fillId="0" borderId="45" xfId="0" applyNumberFormat="1" applyFont="1" applyBorder="1" applyAlignment="1" applyProtection="1">
      <alignment horizontal="center" vertical="top"/>
      <protection/>
    </xf>
    <xf numFmtId="0" fontId="7" fillId="21" borderId="11" xfId="37" applyFont="1" applyBorder="1" applyAlignment="1" applyProtection="1">
      <alignment vertical="center" wrapText="1"/>
      <protection/>
    </xf>
    <xf numFmtId="0" fontId="7" fillId="21" borderId="11" xfId="37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 wrapText="1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 locked="0"/>
    </xf>
    <xf numFmtId="4" fontId="4" fillId="34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vertical="center" wrapText="1"/>
      <protection/>
    </xf>
    <xf numFmtId="0" fontId="5" fillId="0" borderId="46" xfId="0" applyFont="1" applyBorder="1" applyAlignment="1" applyProtection="1">
      <alignment vertical="center" wrapText="1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Font_Ariel_Normal_Bold_BG_Gray" xfId="36"/>
    <cellStyle name="Font_Ariel_Small_Bold_BG_Gray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workbookViewId="0" topLeftCell="A1">
      <selection activeCell="B16" sqref="B16"/>
    </sheetView>
  </sheetViews>
  <sheetFormatPr defaultColWidth="9.00390625" defaultRowHeight="12.75"/>
  <cols>
    <col min="1" max="1" width="2.125" style="1" customWidth="1"/>
    <col min="2" max="2" width="17.50390625" style="1" customWidth="1"/>
    <col min="3" max="3" width="19.00390625" style="1" customWidth="1"/>
    <col min="4" max="4" width="55.50390625" style="2" customWidth="1"/>
    <col min="5" max="5" width="17.50390625" style="1" customWidth="1"/>
    <col min="6" max="6" width="17.125" style="1" customWidth="1"/>
    <col min="7" max="7" width="17.75390625" style="1" customWidth="1"/>
    <col min="8" max="16384" width="8.75390625" style="1" customWidth="1"/>
  </cols>
  <sheetData>
    <row r="1" ht="12">
      <c r="A1" s="581" t="s">
        <v>1365</v>
      </c>
    </row>
    <row r="3" spans="2:7" ht="15" customHeight="1">
      <c r="B3" s="3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5" t="s">
        <v>5</v>
      </c>
    </row>
    <row r="4" spans="2:7" s="158" customFormat="1" ht="15" customHeight="1">
      <c r="B4" s="160" t="s">
        <v>6</v>
      </c>
      <c r="C4" s="160" t="s">
        <v>7</v>
      </c>
      <c r="D4" s="161" t="s">
        <v>8</v>
      </c>
      <c r="E4" s="163">
        <f>CastiStavby!J13</f>
        <v>0</v>
      </c>
      <c r="F4" s="163">
        <f>ROUND(E4*0.2,2)</f>
        <v>0</v>
      </c>
      <c r="G4" s="163">
        <f>ROUND(E4+F4,2)</f>
        <v>0</v>
      </c>
    </row>
    <row r="5" spans="2:7" s="158" customFormat="1" ht="15" customHeight="1">
      <c r="B5" s="160" t="s">
        <v>9</v>
      </c>
      <c r="C5" s="160" t="s">
        <v>10</v>
      </c>
      <c r="D5" s="161" t="s">
        <v>11</v>
      </c>
      <c r="E5" s="163">
        <f>CastiStavby!J52</f>
        <v>0</v>
      </c>
      <c r="F5" s="163">
        <f>ROUND(E5*0.2,2)</f>
        <v>0</v>
      </c>
      <c r="G5" s="163">
        <f>ROUND(E5+F5,2)</f>
        <v>0</v>
      </c>
    </row>
    <row r="6" spans="2:7" s="158" customFormat="1" ht="15" customHeight="1">
      <c r="B6" s="160" t="s">
        <v>12</v>
      </c>
      <c r="C6" s="160">
        <v>2141</v>
      </c>
      <c r="D6" s="161" t="s">
        <v>13</v>
      </c>
      <c r="E6" s="163">
        <f>CastiStavby!J164</f>
        <v>0</v>
      </c>
      <c r="F6" s="163">
        <f>ROUND(E6*0.2,2)</f>
        <v>0</v>
      </c>
      <c r="G6" s="163">
        <f>ROUND(E6+F6,2)</f>
        <v>0</v>
      </c>
    </row>
    <row r="7" spans="2:7" s="618" customFormat="1" ht="15" customHeight="1">
      <c r="B7" s="619" t="s">
        <v>14</v>
      </c>
      <c r="C7" s="619"/>
      <c r="D7" s="620"/>
      <c r="E7" s="621">
        <f>SUM(E4:E6)</f>
        <v>0</v>
      </c>
      <c r="F7" s="621">
        <f>SUM(F4:F6)</f>
        <v>0</v>
      </c>
      <c r="G7" s="621">
        <f>SUM(G4:G6)</f>
        <v>0</v>
      </c>
    </row>
    <row r="10" spans="2:4" ht="12">
      <c r="B10" s="582"/>
      <c r="C10" s="582"/>
      <c r="D10" s="583"/>
    </row>
    <row r="11" spans="2:5" ht="14.25">
      <c r="B11" s="580" t="s">
        <v>1361</v>
      </c>
      <c r="C11" s="582"/>
      <c r="D11" s="580" t="s">
        <v>1362</v>
      </c>
      <c r="E11" s="344"/>
    </row>
    <row r="12" spans="2:5" ht="14.25">
      <c r="B12" s="582"/>
      <c r="C12" s="582"/>
      <c r="D12" s="580" t="s">
        <v>1363</v>
      </c>
      <c r="E12" s="344"/>
    </row>
    <row r="13" spans="2:5" ht="14.25">
      <c r="B13" s="582"/>
      <c r="C13" s="582"/>
      <c r="D13" s="580" t="s">
        <v>1364</v>
      </c>
      <c r="E13" s="344"/>
    </row>
    <row r="14" spans="2:4" ht="12">
      <c r="B14" s="582"/>
      <c r="C14" s="582"/>
      <c r="D14" s="583"/>
    </row>
  </sheetData>
  <sheetProtection password="DE7A" sheet="1" objects="1" scenarios="1"/>
  <printOptions/>
  <pageMargins left="0.699999988079071" right="0.699999988079071" top="0.75" bottom="0.75" header="0.4923610985279083" footer="0.4923610985279083"/>
  <pageSetup errors="blank" fitToHeight="0" fitToWidth="1" horizontalDpi="600" verticalDpi="600" orientation="landscape" scale="85" r:id="rId1"/>
  <headerFooter>
    <oddHeader>&amp;LRekonštrukcia mosta ev.č. R1-018 Váhovce, pravý most&amp;RPríloha  č 1 k B.2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56"/>
  <sheetViews>
    <sheetView showGridLines="0" workbookViewId="0" topLeftCell="A109">
      <selection activeCell="T146" sqref="T146"/>
    </sheetView>
  </sheetViews>
  <sheetFormatPr defaultColWidth="9.00390625" defaultRowHeight="12.75"/>
  <cols>
    <col min="1" max="1" width="2.125" style="1" customWidth="1"/>
    <col min="2" max="2" width="24.875" style="2" customWidth="1"/>
    <col min="3" max="3" width="12.25390625" style="1" customWidth="1"/>
    <col min="4" max="4" width="12.125" style="1" customWidth="1"/>
    <col min="5" max="5" width="48.125" style="2" customWidth="1"/>
    <col min="6" max="6" width="4.50390625" style="1" customWidth="1"/>
    <col min="7" max="7" width="11.875" style="1" customWidth="1"/>
    <col min="8" max="8" width="0.74609375" style="1" customWidth="1"/>
    <col min="9" max="9" width="15.00390625" style="1" customWidth="1"/>
    <col min="10" max="10" width="15.25390625" style="1" hidden="1" customWidth="1"/>
    <col min="11" max="11" width="15.125" style="1" hidden="1" customWidth="1"/>
    <col min="12" max="16384" width="8.75390625" style="1" customWidth="1"/>
  </cols>
  <sheetData>
    <row r="1" spans="1:11" ht="12">
      <c r="A1" s="7"/>
      <c r="B1" s="7" t="s">
        <v>1366</v>
      </c>
      <c r="C1" s="7"/>
      <c r="D1" s="7"/>
      <c r="E1" s="7"/>
      <c r="F1" s="7"/>
      <c r="G1" s="8"/>
      <c r="H1" s="8"/>
      <c r="I1" s="8"/>
      <c r="J1" s="8"/>
      <c r="K1" s="8"/>
    </row>
    <row r="2" spans="1:11" ht="12">
      <c r="A2" s="7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1" ht="21">
      <c r="A3" s="7"/>
      <c r="B3" s="9" t="s">
        <v>15</v>
      </c>
      <c r="C3" s="586" t="s">
        <v>16</v>
      </c>
      <c r="D3" s="587"/>
      <c r="E3" s="9" t="s">
        <v>17</v>
      </c>
      <c r="F3" s="9" t="s">
        <v>18</v>
      </c>
      <c r="G3" s="10" t="s">
        <v>19</v>
      </c>
      <c r="H3" s="8"/>
      <c r="I3" s="11" t="s">
        <v>358</v>
      </c>
      <c r="J3" s="12" t="s">
        <v>4</v>
      </c>
      <c r="K3" s="11" t="s">
        <v>20</v>
      </c>
    </row>
    <row r="4" spans="2:11" s="158" customFormat="1" ht="24">
      <c r="B4" s="159" t="s">
        <v>359</v>
      </c>
      <c r="C4" s="160" t="s">
        <v>24</v>
      </c>
      <c r="D4" s="160" t="s">
        <v>21</v>
      </c>
      <c r="E4" s="161" t="s">
        <v>22</v>
      </c>
      <c r="F4" s="160" t="s">
        <v>23</v>
      </c>
      <c r="G4" s="162">
        <v>1</v>
      </c>
      <c r="I4" s="623">
        <v>0</v>
      </c>
      <c r="J4" s="163">
        <f aca="true" t="shared" si="0" ref="J4:J34">I4*0.2</f>
        <v>0</v>
      </c>
      <c r="K4" s="163">
        <f aca="true" t="shared" si="1" ref="K4:K34">I4+J4</f>
        <v>0</v>
      </c>
    </row>
    <row r="5" spans="2:11" s="158" customFormat="1" ht="12">
      <c r="B5" s="164"/>
      <c r="C5" s="160" t="s">
        <v>24</v>
      </c>
      <c r="D5" s="160" t="s">
        <v>25</v>
      </c>
      <c r="E5" s="161" t="s">
        <v>26</v>
      </c>
      <c r="F5" s="160" t="s">
        <v>23</v>
      </c>
      <c r="G5" s="162">
        <v>1</v>
      </c>
      <c r="I5" s="623">
        <v>0</v>
      </c>
      <c r="J5" s="163">
        <f t="shared" si="0"/>
        <v>0</v>
      </c>
      <c r="K5" s="163">
        <f t="shared" si="1"/>
        <v>0</v>
      </c>
    </row>
    <row r="6" spans="2:11" s="158" customFormat="1" ht="24">
      <c r="B6" s="164"/>
      <c r="C6" s="160" t="s">
        <v>24</v>
      </c>
      <c r="D6" s="160" t="s">
        <v>27</v>
      </c>
      <c r="E6" s="161" t="s">
        <v>1368</v>
      </c>
      <c r="F6" s="160" t="s">
        <v>28</v>
      </c>
      <c r="G6" s="162">
        <v>1655.521</v>
      </c>
      <c r="I6" s="623">
        <v>0</v>
      </c>
      <c r="J6" s="163">
        <f t="shared" si="0"/>
        <v>0</v>
      </c>
      <c r="K6" s="163">
        <f t="shared" si="1"/>
        <v>0</v>
      </c>
    </row>
    <row r="7" spans="2:11" s="158" customFormat="1" ht="24">
      <c r="B7" s="164"/>
      <c r="C7" s="160" t="s">
        <v>24</v>
      </c>
      <c r="D7" s="160" t="s">
        <v>29</v>
      </c>
      <c r="E7" s="161" t="s">
        <v>1369</v>
      </c>
      <c r="F7" s="160" t="s">
        <v>30</v>
      </c>
      <c r="G7" s="162">
        <v>247.96</v>
      </c>
      <c r="I7" s="623">
        <v>0</v>
      </c>
      <c r="J7" s="163">
        <f t="shared" si="0"/>
        <v>0</v>
      </c>
      <c r="K7" s="163">
        <f t="shared" si="1"/>
        <v>0</v>
      </c>
    </row>
    <row r="8" spans="2:11" s="158" customFormat="1" ht="24">
      <c r="B8" s="164"/>
      <c r="C8" s="160" t="s">
        <v>24</v>
      </c>
      <c r="D8" s="160" t="s">
        <v>31</v>
      </c>
      <c r="E8" s="161" t="s">
        <v>1370</v>
      </c>
      <c r="F8" s="160" t="s">
        <v>30</v>
      </c>
      <c r="G8" s="162">
        <v>8.64</v>
      </c>
      <c r="I8" s="623">
        <v>0</v>
      </c>
      <c r="J8" s="163">
        <f t="shared" si="0"/>
        <v>0</v>
      </c>
      <c r="K8" s="163">
        <f t="shared" si="1"/>
        <v>0</v>
      </c>
    </row>
    <row r="9" spans="2:11" s="158" customFormat="1" ht="24">
      <c r="B9" s="164"/>
      <c r="C9" s="160" t="s">
        <v>24</v>
      </c>
      <c r="D9" s="160" t="s">
        <v>32</v>
      </c>
      <c r="E9" s="161" t="s">
        <v>33</v>
      </c>
      <c r="F9" s="160" t="s">
        <v>23</v>
      </c>
      <c r="G9" s="162">
        <v>2</v>
      </c>
      <c r="I9" s="623">
        <v>0</v>
      </c>
      <c r="J9" s="163">
        <f t="shared" si="0"/>
        <v>0</v>
      </c>
      <c r="K9" s="163">
        <f t="shared" si="1"/>
        <v>0</v>
      </c>
    </row>
    <row r="10" spans="2:11" s="158" customFormat="1" ht="12">
      <c r="B10" s="164"/>
      <c r="C10" s="160" t="s">
        <v>24</v>
      </c>
      <c r="D10" s="160" t="s">
        <v>34</v>
      </c>
      <c r="E10" s="161" t="s">
        <v>35</v>
      </c>
      <c r="F10" s="160" t="s">
        <v>23</v>
      </c>
      <c r="G10" s="162">
        <v>1</v>
      </c>
      <c r="I10" s="623">
        <v>0</v>
      </c>
      <c r="J10" s="163">
        <f t="shared" si="0"/>
        <v>0</v>
      </c>
      <c r="K10" s="163">
        <f t="shared" si="1"/>
        <v>0</v>
      </c>
    </row>
    <row r="11" spans="2:11" s="158" customFormat="1" ht="24">
      <c r="B11" s="164"/>
      <c r="C11" s="160" t="s">
        <v>24</v>
      </c>
      <c r="D11" s="160" t="s">
        <v>36</v>
      </c>
      <c r="E11" s="161" t="s">
        <v>37</v>
      </c>
      <c r="F11" s="160" t="s">
        <v>38</v>
      </c>
      <c r="G11" s="162">
        <v>10313.75</v>
      </c>
      <c r="I11" s="623">
        <v>0</v>
      </c>
      <c r="J11" s="163">
        <f t="shared" si="0"/>
        <v>0</v>
      </c>
      <c r="K11" s="163">
        <f t="shared" si="1"/>
        <v>0</v>
      </c>
    </row>
    <row r="12" spans="2:11" s="158" customFormat="1" ht="24">
      <c r="B12" s="164"/>
      <c r="C12" s="160" t="s">
        <v>24</v>
      </c>
      <c r="D12" s="160" t="s">
        <v>39</v>
      </c>
      <c r="E12" s="161" t="s">
        <v>40</v>
      </c>
      <c r="F12" s="160" t="s">
        <v>38</v>
      </c>
      <c r="G12" s="162">
        <v>34914.35</v>
      </c>
      <c r="I12" s="623">
        <v>0</v>
      </c>
      <c r="J12" s="163">
        <f t="shared" si="0"/>
        <v>0</v>
      </c>
      <c r="K12" s="163">
        <f t="shared" si="1"/>
        <v>0</v>
      </c>
    </row>
    <row r="13" spans="2:11" s="158" customFormat="1" ht="24">
      <c r="B13" s="164"/>
      <c r="C13" s="160" t="s">
        <v>24</v>
      </c>
      <c r="D13" s="160" t="s">
        <v>41</v>
      </c>
      <c r="E13" s="161" t="s">
        <v>42</v>
      </c>
      <c r="F13" s="160" t="s">
        <v>23</v>
      </c>
      <c r="G13" s="162">
        <v>1</v>
      </c>
      <c r="I13" s="623">
        <v>0</v>
      </c>
      <c r="J13" s="163">
        <f t="shared" si="0"/>
        <v>0</v>
      </c>
      <c r="K13" s="163">
        <f t="shared" si="1"/>
        <v>0</v>
      </c>
    </row>
    <row r="14" spans="2:11" s="158" customFormat="1" ht="12">
      <c r="B14" s="164"/>
      <c r="C14" s="160" t="s">
        <v>24</v>
      </c>
      <c r="D14" s="160" t="s">
        <v>43</v>
      </c>
      <c r="E14" s="161" t="s">
        <v>44</v>
      </c>
      <c r="F14" s="160" t="s">
        <v>45</v>
      </c>
      <c r="G14" s="162">
        <v>850</v>
      </c>
      <c r="I14" s="623">
        <v>0</v>
      </c>
      <c r="J14" s="163">
        <f t="shared" si="0"/>
        <v>0</v>
      </c>
      <c r="K14" s="163">
        <f t="shared" si="1"/>
        <v>0</v>
      </c>
    </row>
    <row r="15" spans="2:11" s="158" customFormat="1" ht="12">
      <c r="B15" s="165"/>
      <c r="C15" s="160" t="s">
        <v>24</v>
      </c>
      <c r="D15" s="160" t="s">
        <v>46</v>
      </c>
      <c r="E15" s="161" t="s">
        <v>47</v>
      </c>
      <c r="F15" s="160" t="s">
        <v>23</v>
      </c>
      <c r="G15" s="162">
        <v>1</v>
      </c>
      <c r="I15" s="623">
        <v>0</v>
      </c>
      <c r="J15" s="163">
        <f t="shared" si="0"/>
        <v>0</v>
      </c>
      <c r="K15" s="163">
        <f t="shared" si="1"/>
        <v>0</v>
      </c>
    </row>
    <row r="16" spans="2:11" s="158" customFormat="1" ht="12">
      <c r="B16" s="159" t="s">
        <v>48</v>
      </c>
      <c r="C16" s="160" t="s">
        <v>49</v>
      </c>
      <c r="D16" s="160" t="s">
        <v>50</v>
      </c>
      <c r="E16" s="161" t="s">
        <v>51</v>
      </c>
      <c r="F16" s="160" t="s">
        <v>30</v>
      </c>
      <c r="G16" s="162">
        <v>42.86</v>
      </c>
      <c r="I16" s="623">
        <v>0</v>
      </c>
      <c r="J16" s="163">
        <f t="shared" si="0"/>
        <v>0</v>
      </c>
      <c r="K16" s="163">
        <f t="shared" si="1"/>
        <v>0</v>
      </c>
    </row>
    <row r="17" spans="2:11" s="158" customFormat="1" ht="12">
      <c r="B17" s="164"/>
      <c r="C17" s="160" t="s">
        <v>49</v>
      </c>
      <c r="D17" s="160" t="s">
        <v>52</v>
      </c>
      <c r="E17" s="161" t="s">
        <v>53</v>
      </c>
      <c r="F17" s="160" t="s">
        <v>30</v>
      </c>
      <c r="G17" s="162">
        <v>29.88</v>
      </c>
      <c r="I17" s="623">
        <v>0</v>
      </c>
      <c r="J17" s="163">
        <f t="shared" si="0"/>
        <v>0</v>
      </c>
      <c r="K17" s="163">
        <f t="shared" si="1"/>
        <v>0</v>
      </c>
    </row>
    <row r="18" spans="2:11" s="158" customFormat="1" ht="24">
      <c r="B18" s="164"/>
      <c r="C18" s="160" t="s">
        <v>49</v>
      </c>
      <c r="D18" s="160" t="s">
        <v>54</v>
      </c>
      <c r="E18" s="161" t="s">
        <v>55</v>
      </c>
      <c r="F18" s="160" t="s">
        <v>30</v>
      </c>
      <c r="G18" s="162">
        <v>476.76</v>
      </c>
      <c r="I18" s="623">
        <v>0</v>
      </c>
      <c r="J18" s="163">
        <f t="shared" si="0"/>
        <v>0</v>
      </c>
      <c r="K18" s="163">
        <f t="shared" si="1"/>
        <v>0</v>
      </c>
    </row>
    <row r="19" spans="2:11" s="158" customFormat="1" ht="12">
      <c r="B19" s="164"/>
      <c r="C19" s="160" t="s">
        <v>49</v>
      </c>
      <c r="D19" s="160" t="s">
        <v>56</v>
      </c>
      <c r="E19" s="161" t="s">
        <v>57</v>
      </c>
      <c r="F19" s="160" t="s">
        <v>38</v>
      </c>
      <c r="G19" s="162">
        <v>8288.17</v>
      </c>
      <c r="I19" s="623">
        <v>0</v>
      </c>
      <c r="J19" s="163">
        <f t="shared" si="0"/>
        <v>0</v>
      </c>
      <c r="K19" s="163">
        <f t="shared" si="1"/>
        <v>0</v>
      </c>
    </row>
    <row r="20" spans="2:11" s="158" customFormat="1" ht="12">
      <c r="B20" s="164"/>
      <c r="C20" s="160" t="s">
        <v>49</v>
      </c>
      <c r="D20" s="160" t="s">
        <v>58</v>
      </c>
      <c r="E20" s="161" t="s">
        <v>59</v>
      </c>
      <c r="F20" s="160" t="s">
        <v>60</v>
      </c>
      <c r="G20" s="162">
        <v>4136</v>
      </c>
      <c r="I20" s="623">
        <v>0</v>
      </c>
      <c r="J20" s="163">
        <f t="shared" si="0"/>
        <v>0</v>
      </c>
      <c r="K20" s="163">
        <f t="shared" si="1"/>
        <v>0</v>
      </c>
    </row>
    <row r="21" spans="2:11" s="158" customFormat="1" ht="12">
      <c r="B21" s="164"/>
      <c r="C21" s="160" t="s">
        <v>49</v>
      </c>
      <c r="D21" s="160" t="s">
        <v>61</v>
      </c>
      <c r="E21" s="161" t="s">
        <v>62</v>
      </c>
      <c r="F21" s="160" t="s">
        <v>60</v>
      </c>
      <c r="G21" s="162">
        <v>101</v>
      </c>
      <c r="I21" s="623">
        <v>0</v>
      </c>
      <c r="J21" s="163">
        <f t="shared" si="0"/>
        <v>0</v>
      </c>
      <c r="K21" s="163">
        <f t="shared" si="1"/>
        <v>0</v>
      </c>
    </row>
    <row r="22" spans="2:11" s="158" customFormat="1" ht="12">
      <c r="B22" s="164"/>
      <c r="C22" s="160" t="s">
        <v>49</v>
      </c>
      <c r="D22" s="160" t="s">
        <v>63</v>
      </c>
      <c r="E22" s="161" t="s">
        <v>64</v>
      </c>
      <c r="F22" s="160" t="s">
        <v>60</v>
      </c>
      <c r="G22" s="162">
        <v>122</v>
      </c>
      <c r="I22" s="623">
        <v>0</v>
      </c>
      <c r="J22" s="163">
        <f t="shared" si="0"/>
        <v>0</v>
      </c>
      <c r="K22" s="163">
        <f t="shared" si="1"/>
        <v>0</v>
      </c>
    </row>
    <row r="23" spans="2:11" s="158" customFormat="1" ht="12">
      <c r="B23" s="164"/>
      <c r="C23" s="160" t="s">
        <v>49</v>
      </c>
      <c r="D23" s="160" t="s">
        <v>65</v>
      </c>
      <c r="E23" s="161" t="s">
        <v>66</v>
      </c>
      <c r="F23" s="160" t="s">
        <v>38</v>
      </c>
      <c r="G23" s="162">
        <v>20767.74</v>
      </c>
      <c r="I23" s="623">
        <v>0</v>
      </c>
      <c r="J23" s="163">
        <f t="shared" si="0"/>
        <v>0</v>
      </c>
      <c r="K23" s="163">
        <f t="shared" si="1"/>
        <v>0</v>
      </c>
    </row>
    <row r="24" spans="2:11" s="158" customFormat="1" ht="24">
      <c r="B24" s="164"/>
      <c r="C24" s="160" t="s">
        <v>49</v>
      </c>
      <c r="D24" s="160" t="s">
        <v>67</v>
      </c>
      <c r="E24" s="161" t="s">
        <v>68</v>
      </c>
      <c r="F24" s="160" t="s">
        <v>38</v>
      </c>
      <c r="G24" s="162">
        <v>1.4</v>
      </c>
      <c r="I24" s="623">
        <v>0</v>
      </c>
      <c r="J24" s="163">
        <f t="shared" si="0"/>
        <v>0</v>
      </c>
      <c r="K24" s="163">
        <f t="shared" si="1"/>
        <v>0</v>
      </c>
    </row>
    <row r="25" spans="2:11" s="158" customFormat="1" ht="24">
      <c r="B25" s="164"/>
      <c r="C25" s="160" t="s">
        <v>49</v>
      </c>
      <c r="D25" s="160" t="s">
        <v>69</v>
      </c>
      <c r="E25" s="161" t="s">
        <v>70</v>
      </c>
      <c r="F25" s="160" t="s">
        <v>38</v>
      </c>
      <c r="G25" s="162">
        <v>141.6</v>
      </c>
      <c r="I25" s="623">
        <v>0</v>
      </c>
      <c r="J25" s="163">
        <f t="shared" si="0"/>
        <v>0</v>
      </c>
      <c r="K25" s="163">
        <f t="shared" si="1"/>
        <v>0</v>
      </c>
    </row>
    <row r="26" spans="2:11" s="158" customFormat="1" ht="12">
      <c r="B26" s="164"/>
      <c r="C26" s="160" t="s">
        <v>49</v>
      </c>
      <c r="D26" s="160" t="s">
        <v>71</v>
      </c>
      <c r="E26" s="161" t="s">
        <v>72</v>
      </c>
      <c r="F26" s="160" t="s">
        <v>38</v>
      </c>
      <c r="G26" s="162">
        <v>8036.07</v>
      </c>
      <c r="I26" s="623">
        <v>0</v>
      </c>
      <c r="J26" s="163">
        <f t="shared" si="0"/>
        <v>0</v>
      </c>
      <c r="K26" s="163">
        <f t="shared" si="1"/>
        <v>0</v>
      </c>
    </row>
    <row r="27" spans="2:15" s="158" customFormat="1" ht="24">
      <c r="B27" s="164"/>
      <c r="C27" s="160" t="s">
        <v>49</v>
      </c>
      <c r="D27" s="160" t="s">
        <v>73</v>
      </c>
      <c r="E27" s="161" t="s">
        <v>74</v>
      </c>
      <c r="F27" s="160" t="s">
        <v>38</v>
      </c>
      <c r="G27" s="162">
        <v>124</v>
      </c>
      <c r="I27" s="623">
        <v>0</v>
      </c>
      <c r="J27" s="163">
        <f t="shared" si="0"/>
        <v>0</v>
      </c>
      <c r="K27" s="163">
        <f t="shared" si="1"/>
        <v>0</v>
      </c>
      <c r="O27" s="622"/>
    </row>
    <row r="28" spans="2:11" s="158" customFormat="1" ht="24">
      <c r="B28" s="164"/>
      <c r="C28" s="160" t="s">
        <v>49</v>
      </c>
      <c r="D28" s="160" t="s">
        <v>75</v>
      </c>
      <c r="E28" s="161" t="s">
        <v>76</v>
      </c>
      <c r="F28" s="160" t="s">
        <v>45</v>
      </c>
      <c r="G28" s="162">
        <v>2102.45</v>
      </c>
      <c r="I28" s="623">
        <v>0</v>
      </c>
      <c r="J28" s="163">
        <f t="shared" si="0"/>
        <v>0</v>
      </c>
      <c r="K28" s="163">
        <f t="shared" si="1"/>
        <v>0</v>
      </c>
    </row>
    <row r="29" spans="2:11" s="158" customFormat="1" ht="24">
      <c r="B29" s="164"/>
      <c r="C29" s="160" t="s">
        <v>49</v>
      </c>
      <c r="D29" s="160" t="s">
        <v>77</v>
      </c>
      <c r="E29" s="161" t="s">
        <v>78</v>
      </c>
      <c r="F29" s="160" t="s">
        <v>60</v>
      </c>
      <c r="G29" s="162">
        <v>8</v>
      </c>
      <c r="I29" s="623">
        <v>0</v>
      </c>
      <c r="J29" s="163">
        <f t="shared" si="0"/>
        <v>0</v>
      </c>
      <c r="K29" s="163">
        <f t="shared" si="1"/>
        <v>0</v>
      </c>
    </row>
    <row r="30" spans="2:11" s="158" customFormat="1" ht="12">
      <c r="B30" s="164"/>
      <c r="C30" s="160" t="s">
        <v>49</v>
      </c>
      <c r="D30" s="160" t="s">
        <v>79</v>
      </c>
      <c r="E30" s="161" t="s">
        <v>80</v>
      </c>
      <c r="F30" s="160" t="s">
        <v>28</v>
      </c>
      <c r="G30" s="162">
        <v>4487.83</v>
      </c>
      <c r="I30" s="623">
        <v>0</v>
      </c>
      <c r="J30" s="163">
        <f t="shared" si="0"/>
        <v>0</v>
      </c>
      <c r="K30" s="163">
        <f t="shared" si="1"/>
        <v>0</v>
      </c>
    </row>
    <row r="31" spans="2:11" s="158" customFormat="1" ht="24">
      <c r="B31" s="164"/>
      <c r="C31" s="160" t="s">
        <v>49</v>
      </c>
      <c r="D31" s="160" t="s">
        <v>81</v>
      </c>
      <c r="E31" s="161" t="s">
        <v>82</v>
      </c>
      <c r="F31" s="160" t="s">
        <v>38</v>
      </c>
      <c r="G31" s="162">
        <v>39013.2</v>
      </c>
      <c r="I31" s="623">
        <v>0</v>
      </c>
      <c r="J31" s="163">
        <f t="shared" si="0"/>
        <v>0</v>
      </c>
      <c r="K31" s="163">
        <f t="shared" si="1"/>
        <v>0</v>
      </c>
    </row>
    <row r="32" spans="2:11" s="158" customFormat="1" ht="24">
      <c r="B32" s="164"/>
      <c r="C32" s="160" t="s">
        <v>49</v>
      </c>
      <c r="D32" s="160" t="s">
        <v>83</v>
      </c>
      <c r="E32" s="161" t="s">
        <v>84</v>
      </c>
      <c r="F32" s="160" t="s">
        <v>30</v>
      </c>
      <c r="G32" s="162">
        <v>11.25</v>
      </c>
      <c r="I32" s="623">
        <v>0</v>
      </c>
      <c r="J32" s="163">
        <f t="shared" si="0"/>
        <v>0</v>
      </c>
      <c r="K32" s="163">
        <f t="shared" si="1"/>
        <v>0</v>
      </c>
    </row>
    <row r="33" spans="2:11" s="158" customFormat="1" ht="12">
      <c r="B33" s="164"/>
      <c r="C33" s="160" t="s">
        <v>49</v>
      </c>
      <c r="D33" s="160" t="s">
        <v>85</v>
      </c>
      <c r="E33" s="161" t="s">
        <v>86</v>
      </c>
      <c r="F33" s="160" t="s">
        <v>38</v>
      </c>
      <c r="G33" s="162">
        <v>2024.44</v>
      </c>
      <c r="I33" s="623">
        <v>0</v>
      </c>
      <c r="J33" s="163">
        <f t="shared" si="0"/>
        <v>0</v>
      </c>
      <c r="K33" s="163">
        <f t="shared" si="1"/>
        <v>0</v>
      </c>
    </row>
    <row r="34" spans="2:11" s="158" customFormat="1" ht="12">
      <c r="B34" s="164"/>
      <c r="C34" s="160" t="s">
        <v>49</v>
      </c>
      <c r="D34" s="160" t="s">
        <v>87</v>
      </c>
      <c r="E34" s="161" t="s">
        <v>88</v>
      </c>
      <c r="F34" s="160" t="s">
        <v>38</v>
      </c>
      <c r="G34" s="162">
        <v>2233.7</v>
      </c>
      <c r="I34" s="623">
        <v>0</v>
      </c>
      <c r="J34" s="163">
        <f t="shared" si="0"/>
        <v>0</v>
      </c>
      <c r="K34" s="163">
        <f t="shared" si="1"/>
        <v>0</v>
      </c>
    </row>
    <row r="35" spans="2:11" s="158" customFormat="1" ht="12">
      <c r="B35" s="164"/>
      <c r="C35" s="160" t="s">
        <v>49</v>
      </c>
      <c r="D35" s="160" t="s">
        <v>89</v>
      </c>
      <c r="E35" s="161" t="s">
        <v>90</v>
      </c>
      <c r="F35" s="160" t="s">
        <v>45</v>
      </c>
      <c r="G35" s="162">
        <v>516.28</v>
      </c>
      <c r="I35" s="623">
        <v>0</v>
      </c>
      <c r="J35" s="163">
        <f aca="true" t="shared" si="2" ref="J35:J66">I35*0.2</f>
        <v>0</v>
      </c>
      <c r="K35" s="163">
        <f aca="true" t="shared" si="3" ref="K35:K66">I35+J35</f>
        <v>0</v>
      </c>
    </row>
    <row r="36" spans="2:11" s="158" customFormat="1" ht="12">
      <c r="B36" s="164"/>
      <c r="C36" s="160" t="s">
        <v>49</v>
      </c>
      <c r="D36" s="160" t="s">
        <v>91</v>
      </c>
      <c r="E36" s="161" t="s">
        <v>92</v>
      </c>
      <c r="F36" s="160" t="s">
        <v>45</v>
      </c>
      <c r="G36" s="162">
        <v>262</v>
      </c>
      <c r="I36" s="623">
        <v>0</v>
      </c>
      <c r="J36" s="163">
        <f t="shared" si="2"/>
        <v>0</v>
      </c>
      <c r="K36" s="163">
        <f t="shared" si="3"/>
        <v>0</v>
      </c>
    </row>
    <row r="37" spans="2:11" s="158" customFormat="1" ht="12">
      <c r="B37" s="164"/>
      <c r="C37" s="160" t="s">
        <v>49</v>
      </c>
      <c r="D37" s="160" t="s">
        <v>93</v>
      </c>
      <c r="E37" s="161" t="s">
        <v>94</v>
      </c>
      <c r="F37" s="160" t="s">
        <v>45</v>
      </c>
      <c r="G37" s="162">
        <v>1043.35</v>
      </c>
      <c r="I37" s="623">
        <v>0</v>
      </c>
      <c r="J37" s="163">
        <f t="shared" si="2"/>
        <v>0</v>
      </c>
      <c r="K37" s="163">
        <f t="shared" si="3"/>
        <v>0</v>
      </c>
    </row>
    <row r="38" spans="2:11" s="158" customFormat="1" ht="12">
      <c r="B38" s="165"/>
      <c r="C38" s="160" t="s">
        <v>49</v>
      </c>
      <c r="D38" s="160" t="s">
        <v>95</v>
      </c>
      <c r="E38" s="161" t="s">
        <v>96</v>
      </c>
      <c r="F38" s="160" t="s">
        <v>45</v>
      </c>
      <c r="G38" s="162">
        <v>618.96</v>
      </c>
      <c r="I38" s="623">
        <v>0</v>
      </c>
      <c r="J38" s="163">
        <f t="shared" si="2"/>
        <v>0</v>
      </c>
      <c r="K38" s="163">
        <f t="shared" si="3"/>
        <v>0</v>
      </c>
    </row>
    <row r="39" spans="2:11" s="158" customFormat="1" ht="24">
      <c r="B39" s="159" t="s">
        <v>97</v>
      </c>
      <c r="C39" s="160" t="s">
        <v>98</v>
      </c>
      <c r="D39" s="160" t="s">
        <v>99</v>
      </c>
      <c r="E39" s="161" t="s">
        <v>100</v>
      </c>
      <c r="F39" s="160" t="s">
        <v>38</v>
      </c>
      <c r="G39" s="162">
        <v>4000</v>
      </c>
      <c r="I39" s="623">
        <v>0</v>
      </c>
      <c r="J39" s="163">
        <f t="shared" si="2"/>
        <v>0</v>
      </c>
      <c r="K39" s="163">
        <f t="shared" si="3"/>
        <v>0</v>
      </c>
    </row>
    <row r="40" spans="2:11" s="158" customFormat="1" ht="12">
      <c r="B40" s="164"/>
      <c r="C40" s="160" t="s">
        <v>98</v>
      </c>
      <c r="D40" s="160" t="s">
        <v>101</v>
      </c>
      <c r="E40" s="161" t="s">
        <v>102</v>
      </c>
      <c r="F40" s="160" t="s">
        <v>38</v>
      </c>
      <c r="G40" s="162">
        <v>86.04</v>
      </c>
      <c r="I40" s="623">
        <v>0</v>
      </c>
      <c r="J40" s="163">
        <f t="shared" si="2"/>
        <v>0</v>
      </c>
      <c r="K40" s="163">
        <f t="shared" si="3"/>
        <v>0</v>
      </c>
    </row>
    <row r="41" spans="2:11" s="158" customFormat="1" ht="12">
      <c r="B41" s="164"/>
      <c r="C41" s="160" t="s">
        <v>98</v>
      </c>
      <c r="D41" s="160" t="s">
        <v>103</v>
      </c>
      <c r="E41" s="161" t="s">
        <v>104</v>
      </c>
      <c r="F41" s="160" t="s">
        <v>60</v>
      </c>
      <c r="G41" s="162">
        <v>3</v>
      </c>
      <c r="I41" s="623">
        <v>0</v>
      </c>
      <c r="J41" s="163">
        <f t="shared" si="2"/>
        <v>0</v>
      </c>
      <c r="K41" s="163">
        <f t="shared" si="3"/>
        <v>0</v>
      </c>
    </row>
    <row r="42" spans="2:11" s="158" customFormat="1" ht="12">
      <c r="B42" s="164"/>
      <c r="C42" s="160" t="s">
        <v>98</v>
      </c>
      <c r="D42" s="160" t="s">
        <v>105</v>
      </c>
      <c r="E42" s="161" t="s">
        <v>106</v>
      </c>
      <c r="F42" s="160" t="s">
        <v>60</v>
      </c>
      <c r="G42" s="162">
        <v>3</v>
      </c>
      <c r="I42" s="623">
        <v>0</v>
      </c>
      <c r="J42" s="163">
        <f t="shared" si="2"/>
        <v>0</v>
      </c>
      <c r="K42" s="163">
        <f t="shared" si="3"/>
        <v>0</v>
      </c>
    </row>
    <row r="43" spans="2:11" s="158" customFormat="1" ht="12">
      <c r="B43" s="164"/>
      <c r="C43" s="160" t="s">
        <v>98</v>
      </c>
      <c r="D43" s="160" t="s">
        <v>107</v>
      </c>
      <c r="E43" s="161" t="s">
        <v>108</v>
      </c>
      <c r="F43" s="160" t="s">
        <v>30</v>
      </c>
      <c r="G43" s="162">
        <v>18.38</v>
      </c>
      <c r="I43" s="623">
        <v>0</v>
      </c>
      <c r="J43" s="163">
        <f t="shared" si="2"/>
        <v>0</v>
      </c>
      <c r="K43" s="163">
        <f t="shared" si="3"/>
        <v>0</v>
      </c>
    </row>
    <row r="44" spans="2:11" s="158" customFormat="1" ht="24">
      <c r="B44" s="165"/>
      <c r="C44" s="160" t="s">
        <v>98</v>
      </c>
      <c r="D44" s="160" t="s">
        <v>109</v>
      </c>
      <c r="E44" s="161" t="s">
        <v>110</v>
      </c>
      <c r="F44" s="160" t="s">
        <v>30</v>
      </c>
      <c r="G44" s="162">
        <v>1</v>
      </c>
      <c r="I44" s="623">
        <v>0</v>
      </c>
      <c r="J44" s="163">
        <f t="shared" si="2"/>
        <v>0</v>
      </c>
      <c r="K44" s="163">
        <f t="shared" si="3"/>
        <v>0</v>
      </c>
    </row>
    <row r="45" spans="2:11" s="158" customFormat="1" ht="24">
      <c r="B45" s="159" t="s">
        <v>111</v>
      </c>
      <c r="C45" s="160" t="s">
        <v>112</v>
      </c>
      <c r="D45" s="160" t="s">
        <v>113</v>
      </c>
      <c r="E45" s="161" t="s">
        <v>114</v>
      </c>
      <c r="F45" s="160" t="s">
        <v>30</v>
      </c>
      <c r="G45" s="162">
        <v>14.4</v>
      </c>
      <c r="I45" s="623">
        <v>0</v>
      </c>
      <c r="J45" s="163">
        <f t="shared" si="2"/>
        <v>0</v>
      </c>
      <c r="K45" s="163">
        <f t="shared" si="3"/>
        <v>0</v>
      </c>
    </row>
    <row r="46" spans="2:11" s="158" customFormat="1" ht="12">
      <c r="B46" s="164"/>
      <c r="C46" s="160" t="s">
        <v>112</v>
      </c>
      <c r="D46" s="160" t="s">
        <v>115</v>
      </c>
      <c r="E46" s="161" t="s">
        <v>116</v>
      </c>
      <c r="F46" s="160" t="s">
        <v>30</v>
      </c>
      <c r="G46" s="162">
        <v>14.4</v>
      </c>
      <c r="I46" s="623">
        <v>0</v>
      </c>
      <c r="J46" s="163">
        <f t="shared" si="2"/>
        <v>0</v>
      </c>
      <c r="K46" s="163">
        <f t="shared" si="3"/>
        <v>0</v>
      </c>
    </row>
    <row r="47" spans="2:11" s="158" customFormat="1" ht="12">
      <c r="B47" s="164"/>
      <c r="C47" s="160" t="s">
        <v>112</v>
      </c>
      <c r="D47" s="160" t="s">
        <v>117</v>
      </c>
      <c r="E47" s="161" t="s">
        <v>118</v>
      </c>
      <c r="F47" s="160" t="s">
        <v>38</v>
      </c>
      <c r="G47" s="162">
        <v>96</v>
      </c>
      <c r="I47" s="623">
        <v>0</v>
      </c>
      <c r="J47" s="163">
        <f t="shared" si="2"/>
        <v>0</v>
      </c>
      <c r="K47" s="163">
        <f t="shared" si="3"/>
        <v>0</v>
      </c>
    </row>
    <row r="48" spans="2:11" s="158" customFormat="1" ht="24">
      <c r="B48" s="164"/>
      <c r="C48" s="160" t="s">
        <v>112</v>
      </c>
      <c r="D48" s="160" t="s">
        <v>119</v>
      </c>
      <c r="E48" s="161" t="s">
        <v>120</v>
      </c>
      <c r="F48" s="160" t="s">
        <v>38</v>
      </c>
      <c r="G48" s="162">
        <v>96</v>
      </c>
      <c r="I48" s="623">
        <v>0</v>
      </c>
      <c r="J48" s="163">
        <f t="shared" si="2"/>
        <v>0</v>
      </c>
      <c r="K48" s="163">
        <f t="shared" si="3"/>
        <v>0</v>
      </c>
    </row>
    <row r="49" spans="2:11" s="158" customFormat="1" ht="24">
      <c r="B49" s="165"/>
      <c r="C49" s="160" t="s">
        <v>112</v>
      </c>
      <c r="D49" s="160" t="s">
        <v>121</v>
      </c>
      <c r="E49" s="161" t="s">
        <v>122</v>
      </c>
      <c r="F49" s="160" t="s">
        <v>38</v>
      </c>
      <c r="G49" s="162">
        <v>96</v>
      </c>
      <c r="I49" s="623">
        <v>0</v>
      </c>
      <c r="J49" s="163">
        <f t="shared" si="2"/>
        <v>0</v>
      </c>
      <c r="K49" s="163">
        <f t="shared" si="3"/>
        <v>0</v>
      </c>
    </row>
    <row r="50" spans="2:11" s="158" customFormat="1" ht="12">
      <c r="B50" s="159" t="s">
        <v>123</v>
      </c>
      <c r="C50" s="160" t="s">
        <v>124</v>
      </c>
      <c r="D50" s="160" t="s">
        <v>125</v>
      </c>
      <c r="E50" s="161" t="s">
        <v>126</v>
      </c>
      <c r="F50" s="160" t="s">
        <v>30</v>
      </c>
      <c r="G50" s="162">
        <v>235.51</v>
      </c>
      <c r="I50" s="623">
        <v>0</v>
      </c>
      <c r="J50" s="163">
        <f t="shared" si="2"/>
        <v>0</v>
      </c>
      <c r="K50" s="163">
        <f t="shared" si="3"/>
        <v>0</v>
      </c>
    </row>
    <row r="51" spans="2:11" s="158" customFormat="1" ht="12">
      <c r="B51" s="164"/>
      <c r="C51" s="160" t="s">
        <v>124</v>
      </c>
      <c r="D51" s="160" t="s">
        <v>127</v>
      </c>
      <c r="E51" s="161" t="s">
        <v>128</v>
      </c>
      <c r="F51" s="160" t="s">
        <v>30</v>
      </c>
      <c r="G51" s="162">
        <v>0.41</v>
      </c>
      <c r="I51" s="623">
        <v>0</v>
      </c>
      <c r="J51" s="163">
        <f t="shared" si="2"/>
        <v>0</v>
      </c>
      <c r="K51" s="163">
        <f t="shared" si="3"/>
        <v>0</v>
      </c>
    </row>
    <row r="52" spans="2:11" s="158" customFormat="1" ht="12">
      <c r="B52" s="164"/>
      <c r="C52" s="160" t="s">
        <v>124</v>
      </c>
      <c r="D52" s="160" t="s">
        <v>129</v>
      </c>
      <c r="E52" s="161" t="s">
        <v>130</v>
      </c>
      <c r="F52" s="160" t="s">
        <v>30</v>
      </c>
      <c r="G52" s="162">
        <v>6.84</v>
      </c>
      <c r="I52" s="623">
        <v>0</v>
      </c>
      <c r="J52" s="163">
        <f t="shared" si="2"/>
        <v>0</v>
      </c>
      <c r="K52" s="163">
        <f t="shared" si="3"/>
        <v>0</v>
      </c>
    </row>
    <row r="53" spans="2:11" s="158" customFormat="1" ht="12">
      <c r="B53" s="164"/>
      <c r="C53" s="160" t="s">
        <v>124</v>
      </c>
      <c r="D53" s="160" t="s">
        <v>131</v>
      </c>
      <c r="E53" s="161" t="s">
        <v>132</v>
      </c>
      <c r="F53" s="160" t="s">
        <v>30</v>
      </c>
      <c r="G53" s="162">
        <v>5.2</v>
      </c>
      <c r="I53" s="623">
        <v>0</v>
      </c>
      <c r="J53" s="163">
        <f t="shared" si="2"/>
        <v>0</v>
      </c>
      <c r="K53" s="163">
        <f t="shared" si="3"/>
        <v>0</v>
      </c>
    </row>
    <row r="54" spans="2:11" s="158" customFormat="1" ht="12">
      <c r="B54" s="164"/>
      <c r="C54" s="160" t="s">
        <v>124</v>
      </c>
      <c r="D54" s="160" t="s">
        <v>133</v>
      </c>
      <c r="E54" s="161" t="s">
        <v>134</v>
      </c>
      <c r="F54" s="160" t="s">
        <v>38</v>
      </c>
      <c r="G54" s="162">
        <v>593.9</v>
      </c>
      <c r="I54" s="623">
        <v>0</v>
      </c>
      <c r="J54" s="163">
        <f t="shared" si="2"/>
        <v>0</v>
      </c>
      <c r="K54" s="163">
        <f t="shared" si="3"/>
        <v>0</v>
      </c>
    </row>
    <row r="55" spans="2:11" s="158" customFormat="1" ht="12">
      <c r="B55" s="165"/>
      <c r="C55" s="160" t="s">
        <v>124</v>
      </c>
      <c r="D55" s="160" t="s">
        <v>135</v>
      </c>
      <c r="E55" s="161" t="s">
        <v>136</v>
      </c>
      <c r="F55" s="160" t="s">
        <v>38</v>
      </c>
      <c r="G55" s="162">
        <v>86.04</v>
      </c>
      <c r="I55" s="623">
        <v>0</v>
      </c>
      <c r="J55" s="163">
        <f t="shared" si="2"/>
        <v>0</v>
      </c>
      <c r="K55" s="163">
        <f t="shared" si="3"/>
        <v>0</v>
      </c>
    </row>
    <row r="56" spans="2:11" s="158" customFormat="1" ht="12">
      <c r="B56" s="161" t="s">
        <v>137</v>
      </c>
      <c r="C56" s="160" t="s">
        <v>138</v>
      </c>
      <c r="D56" s="160" t="s">
        <v>107</v>
      </c>
      <c r="E56" s="161" t="s">
        <v>139</v>
      </c>
      <c r="F56" s="160" t="s">
        <v>30</v>
      </c>
      <c r="G56" s="162">
        <v>247.96</v>
      </c>
      <c r="I56" s="623">
        <v>0</v>
      </c>
      <c r="J56" s="163">
        <f t="shared" si="2"/>
        <v>0</v>
      </c>
      <c r="K56" s="163">
        <f t="shared" si="3"/>
        <v>0</v>
      </c>
    </row>
    <row r="57" spans="2:11" s="158" customFormat="1" ht="24">
      <c r="B57" s="159" t="s">
        <v>140</v>
      </c>
      <c r="C57" s="160" t="s">
        <v>141</v>
      </c>
      <c r="D57" s="160" t="s">
        <v>142</v>
      </c>
      <c r="E57" s="161" t="s">
        <v>143</v>
      </c>
      <c r="F57" s="160" t="s">
        <v>30</v>
      </c>
      <c r="G57" s="162">
        <v>9.85</v>
      </c>
      <c r="I57" s="623">
        <v>0</v>
      </c>
      <c r="J57" s="163">
        <f t="shared" si="2"/>
        <v>0</v>
      </c>
      <c r="K57" s="163">
        <f t="shared" si="3"/>
        <v>0</v>
      </c>
    </row>
    <row r="58" spans="2:11" s="158" customFormat="1" ht="12">
      <c r="B58" s="164"/>
      <c r="C58" s="160" t="s">
        <v>141</v>
      </c>
      <c r="D58" s="160" t="s">
        <v>144</v>
      </c>
      <c r="E58" s="161" t="s">
        <v>145</v>
      </c>
      <c r="F58" s="160" t="s">
        <v>30</v>
      </c>
      <c r="G58" s="162">
        <v>12.3</v>
      </c>
      <c r="I58" s="623">
        <v>0</v>
      </c>
      <c r="J58" s="163">
        <f t="shared" si="2"/>
        <v>0</v>
      </c>
      <c r="K58" s="163">
        <f t="shared" si="3"/>
        <v>0</v>
      </c>
    </row>
    <row r="59" spans="2:11" s="158" customFormat="1" ht="12">
      <c r="B59" s="164"/>
      <c r="C59" s="160" t="s">
        <v>141</v>
      </c>
      <c r="D59" s="160" t="s">
        <v>146</v>
      </c>
      <c r="E59" s="161" t="s">
        <v>147</v>
      </c>
      <c r="F59" s="160" t="s">
        <v>30</v>
      </c>
      <c r="G59" s="162">
        <v>517.8</v>
      </c>
      <c r="I59" s="623">
        <v>0</v>
      </c>
      <c r="J59" s="163">
        <f t="shared" si="2"/>
        <v>0</v>
      </c>
      <c r="K59" s="163">
        <f t="shared" si="3"/>
        <v>0</v>
      </c>
    </row>
    <row r="60" spans="2:11" s="158" customFormat="1" ht="12">
      <c r="B60" s="164"/>
      <c r="C60" s="160" t="s">
        <v>141</v>
      </c>
      <c r="D60" s="160" t="s">
        <v>148</v>
      </c>
      <c r="E60" s="161" t="s">
        <v>149</v>
      </c>
      <c r="F60" s="160" t="s">
        <v>38</v>
      </c>
      <c r="G60" s="162">
        <v>1343.46</v>
      </c>
      <c r="I60" s="623">
        <v>0</v>
      </c>
      <c r="J60" s="163">
        <f t="shared" si="2"/>
        <v>0</v>
      </c>
      <c r="K60" s="163">
        <f t="shared" si="3"/>
        <v>0</v>
      </c>
    </row>
    <row r="61" spans="2:11" s="158" customFormat="1" ht="12">
      <c r="B61" s="164"/>
      <c r="C61" s="160" t="s">
        <v>141</v>
      </c>
      <c r="D61" s="160" t="s">
        <v>150</v>
      </c>
      <c r="E61" s="161" t="s">
        <v>151</v>
      </c>
      <c r="F61" s="160" t="s">
        <v>38</v>
      </c>
      <c r="G61" s="162">
        <v>157.8</v>
      </c>
      <c r="I61" s="623">
        <v>0</v>
      </c>
      <c r="J61" s="163">
        <f t="shared" si="2"/>
        <v>0</v>
      </c>
      <c r="K61" s="163">
        <f t="shared" si="3"/>
        <v>0</v>
      </c>
    </row>
    <row r="62" spans="2:11" s="158" customFormat="1" ht="24">
      <c r="B62" s="164"/>
      <c r="C62" s="160" t="s">
        <v>141</v>
      </c>
      <c r="D62" s="160" t="s">
        <v>152</v>
      </c>
      <c r="E62" s="161" t="s">
        <v>153</v>
      </c>
      <c r="F62" s="160" t="s">
        <v>28</v>
      </c>
      <c r="G62" s="162">
        <v>101.78</v>
      </c>
      <c r="I62" s="623">
        <v>0</v>
      </c>
      <c r="J62" s="163">
        <f t="shared" si="2"/>
        <v>0</v>
      </c>
      <c r="K62" s="163">
        <f t="shared" si="3"/>
        <v>0</v>
      </c>
    </row>
    <row r="63" spans="2:11" s="158" customFormat="1" ht="24">
      <c r="B63" s="164"/>
      <c r="C63" s="160" t="s">
        <v>141</v>
      </c>
      <c r="D63" s="160" t="s">
        <v>154</v>
      </c>
      <c r="E63" s="161" t="s">
        <v>155</v>
      </c>
      <c r="F63" s="160" t="s">
        <v>30</v>
      </c>
      <c r="G63" s="162">
        <v>50.18</v>
      </c>
      <c r="I63" s="623">
        <v>0</v>
      </c>
      <c r="J63" s="163">
        <f t="shared" si="2"/>
        <v>0</v>
      </c>
      <c r="K63" s="163">
        <f t="shared" si="3"/>
        <v>0</v>
      </c>
    </row>
    <row r="64" spans="2:11" s="158" customFormat="1" ht="24">
      <c r="B64" s="164"/>
      <c r="C64" s="160" t="s">
        <v>141</v>
      </c>
      <c r="D64" s="160" t="s">
        <v>156</v>
      </c>
      <c r="E64" s="161" t="s">
        <v>157</v>
      </c>
      <c r="F64" s="160" t="s">
        <v>28</v>
      </c>
      <c r="G64" s="162">
        <v>5.914</v>
      </c>
      <c r="I64" s="623">
        <v>0</v>
      </c>
      <c r="J64" s="163">
        <f t="shared" si="2"/>
        <v>0</v>
      </c>
      <c r="K64" s="163">
        <f t="shared" si="3"/>
        <v>0</v>
      </c>
    </row>
    <row r="65" spans="2:11" s="158" customFormat="1" ht="24">
      <c r="B65" s="164"/>
      <c r="C65" s="160" t="s">
        <v>141</v>
      </c>
      <c r="D65" s="160" t="s">
        <v>158</v>
      </c>
      <c r="E65" s="161" t="s">
        <v>159</v>
      </c>
      <c r="F65" s="160" t="s">
        <v>30</v>
      </c>
      <c r="G65" s="162">
        <v>772.78</v>
      </c>
      <c r="I65" s="623">
        <v>0</v>
      </c>
      <c r="J65" s="163">
        <f t="shared" si="2"/>
        <v>0</v>
      </c>
      <c r="K65" s="163">
        <f t="shared" si="3"/>
        <v>0</v>
      </c>
    </row>
    <row r="66" spans="2:11" s="158" customFormat="1" ht="24">
      <c r="B66" s="164"/>
      <c r="C66" s="160" t="s">
        <v>141</v>
      </c>
      <c r="D66" s="160" t="s">
        <v>160</v>
      </c>
      <c r="E66" s="161" t="s">
        <v>161</v>
      </c>
      <c r="F66" s="160" t="s">
        <v>38</v>
      </c>
      <c r="G66" s="162">
        <v>351.15</v>
      </c>
      <c r="I66" s="623">
        <v>0</v>
      </c>
      <c r="J66" s="163">
        <f t="shared" si="2"/>
        <v>0</v>
      </c>
      <c r="K66" s="163">
        <f t="shared" si="3"/>
        <v>0</v>
      </c>
    </row>
    <row r="67" spans="2:11" s="158" customFormat="1" ht="24">
      <c r="B67" s="164"/>
      <c r="C67" s="160" t="s">
        <v>141</v>
      </c>
      <c r="D67" s="160" t="s">
        <v>162</v>
      </c>
      <c r="E67" s="161" t="s">
        <v>163</v>
      </c>
      <c r="F67" s="160" t="s">
        <v>28</v>
      </c>
      <c r="G67" s="162">
        <v>64.901</v>
      </c>
      <c r="I67" s="623">
        <v>0</v>
      </c>
      <c r="J67" s="163">
        <f aca="true" t="shared" si="4" ref="J67:J98">I67*0.2</f>
        <v>0</v>
      </c>
      <c r="K67" s="163">
        <f aca="true" t="shared" si="5" ref="K67:K98">I67+J67</f>
        <v>0</v>
      </c>
    </row>
    <row r="68" spans="2:11" s="158" customFormat="1" ht="24">
      <c r="B68" s="164"/>
      <c r="C68" s="160" t="s">
        <v>141</v>
      </c>
      <c r="D68" s="160" t="s">
        <v>164</v>
      </c>
      <c r="E68" s="161" t="s">
        <v>165</v>
      </c>
      <c r="F68" s="160" t="s">
        <v>30</v>
      </c>
      <c r="G68" s="162">
        <v>10.81</v>
      </c>
      <c r="I68" s="623">
        <v>0</v>
      </c>
      <c r="J68" s="163">
        <f t="shared" si="4"/>
        <v>0</v>
      </c>
      <c r="K68" s="163">
        <f t="shared" si="5"/>
        <v>0</v>
      </c>
    </row>
    <row r="69" spans="2:11" s="158" customFormat="1" ht="24">
      <c r="B69" s="164"/>
      <c r="C69" s="160" t="s">
        <v>141</v>
      </c>
      <c r="D69" s="160" t="s">
        <v>166</v>
      </c>
      <c r="E69" s="161" t="s">
        <v>167</v>
      </c>
      <c r="F69" s="160" t="s">
        <v>30</v>
      </c>
      <c r="G69" s="162">
        <v>13.17</v>
      </c>
      <c r="I69" s="623">
        <v>0</v>
      </c>
      <c r="J69" s="163">
        <f t="shared" si="4"/>
        <v>0</v>
      </c>
      <c r="K69" s="163">
        <f t="shared" si="5"/>
        <v>0</v>
      </c>
    </row>
    <row r="70" spans="2:11" s="158" customFormat="1" ht="24">
      <c r="B70" s="164"/>
      <c r="C70" s="160" t="s">
        <v>141</v>
      </c>
      <c r="D70" s="160" t="s">
        <v>168</v>
      </c>
      <c r="E70" s="161" t="s">
        <v>169</v>
      </c>
      <c r="F70" s="160" t="s">
        <v>30</v>
      </c>
      <c r="G70" s="162">
        <v>155.98</v>
      </c>
      <c r="I70" s="623">
        <v>0</v>
      </c>
      <c r="J70" s="163">
        <f t="shared" si="4"/>
        <v>0</v>
      </c>
      <c r="K70" s="163">
        <f t="shared" si="5"/>
        <v>0</v>
      </c>
    </row>
    <row r="71" spans="2:11" s="158" customFormat="1" ht="24">
      <c r="B71" s="164"/>
      <c r="C71" s="160" t="s">
        <v>141</v>
      </c>
      <c r="D71" s="160" t="s">
        <v>170</v>
      </c>
      <c r="E71" s="161" t="s">
        <v>171</v>
      </c>
      <c r="F71" s="160" t="s">
        <v>38</v>
      </c>
      <c r="G71" s="162">
        <v>396.33</v>
      </c>
      <c r="I71" s="623">
        <v>0</v>
      </c>
      <c r="J71" s="163">
        <f t="shared" si="4"/>
        <v>0</v>
      </c>
      <c r="K71" s="163">
        <f t="shared" si="5"/>
        <v>0</v>
      </c>
    </row>
    <row r="72" spans="2:11" s="158" customFormat="1" ht="24">
      <c r="B72" s="164"/>
      <c r="C72" s="160" t="s">
        <v>141</v>
      </c>
      <c r="D72" s="160" t="s">
        <v>172</v>
      </c>
      <c r="E72" s="161" t="s">
        <v>173</v>
      </c>
      <c r="F72" s="160" t="s">
        <v>28</v>
      </c>
      <c r="G72" s="162">
        <v>23.85</v>
      </c>
      <c r="I72" s="623">
        <v>0</v>
      </c>
      <c r="J72" s="163">
        <f t="shared" si="4"/>
        <v>0</v>
      </c>
      <c r="K72" s="163">
        <f t="shared" si="5"/>
        <v>0</v>
      </c>
    </row>
    <row r="73" spans="2:11" s="158" customFormat="1" ht="24">
      <c r="B73" s="164"/>
      <c r="C73" s="160" t="s">
        <v>141</v>
      </c>
      <c r="D73" s="160" t="s">
        <v>174</v>
      </c>
      <c r="E73" s="161" t="s">
        <v>175</v>
      </c>
      <c r="F73" s="160" t="s">
        <v>28</v>
      </c>
      <c r="G73" s="162">
        <v>54.55</v>
      </c>
      <c r="I73" s="623">
        <v>0</v>
      </c>
      <c r="J73" s="163">
        <f t="shared" si="4"/>
        <v>0</v>
      </c>
      <c r="K73" s="163">
        <f t="shared" si="5"/>
        <v>0</v>
      </c>
    </row>
    <row r="74" spans="2:11" s="158" customFormat="1" ht="12">
      <c r="B74" s="164"/>
      <c r="C74" s="160" t="s">
        <v>141</v>
      </c>
      <c r="D74" s="160" t="s">
        <v>176</v>
      </c>
      <c r="E74" s="161" t="s">
        <v>177</v>
      </c>
      <c r="F74" s="160" t="s">
        <v>30</v>
      </c>
      <c r="G74" s="162">
        <v>17.67</v>
      </c>
      <c r="I74" s="623">
        <v>0</v>
      </c>
      <c r="J74" s="163">
        <f t="shared" si="4"/>
        <v>0</v>
      </c>
      <c r="K74" s="163">
        <f t="shared" si="5"/>
        <v>0</v>
      </c>
    </row>
    <row r="75" spans="2:11" s="158" customFormat="1" ht="12">
      <c r="B75" s="164"/>
      <c r="C75" s="160" t="s">
        <v>141</v>
      </c>
      <c r="D75" s="160" t="s">
        <v>178</v>
      </c>
      <c r="E75" s="161" t="s">
        <v>179</v>
      </c>
      <c r="F75" s="160" t="s">
        <v>28</v>
      </c>
      <c r="G75" s="162">
        <v>6.49</v>
      </c>
      <c r="I75" s="623">
        <v>0</v>
      </c>
      <c r="J75" s="163">
        <f t="shared" si="4"/>
        <v>0</v>
      </c>
      <c r="K75" s="163">
        <f t="shared" si="5"/>
        <v>0</v>
      </c>
    </row>
    <row r="76" spans="2:11" s="158" customFormat="1" ht="24">
      <c r="B76" s="164"/>
      <c r="C76" s="160" t="s">
        <v>141</v>
      </c>
      <c r="D76" s="160" t="s">
        <v>180</v>
      </c>
      <c r="E76" s="161" t="s">
        <v>181</v>
      </c>
      <c r="F76" s="160" t="s">
        <v>38</v>
      </c>
      <c r="G76" s="162">
        <v>143.21</v>
      </c>
      <c r="I76" s="623">
        <v>0</v>
      </c>
      <c r="J76" s="163">
        <f t="shared" si="4"/>
        <v>0</v>
      </c>
      <c r="K76" s="163">
        <f t="shared" si="5"/>
        <v>0</v>
      </c>
    </row>
    <row r="77" spans="2:11" s="158" customFormat="1" ht="12">
      <c r="B77" s="164"/>
      <c r="C77" s="160" t="s">
        <v>141</v>
      </c>
      <c r="D77" s="160" t="s">
        <v>182</v>
      </c>
      <c r="E77" s="161" t="s">
        <v>183</v>
      </c>
      <c r="F77" s="160" t="s">
        <v>45</v>
      </c>
      <c r="G77" s="162">
        <v>1533.36</v>
      </c>
      <c r="I77" s="623">
        <v>0</v>
      </c>
      <c r="J77" s="163">
        <f t="shared" si="4"/>
        <v>0</v>
      </c>
      <c r="K77" s="163">
        <f t="shared" si="5"/>
        <v>0</v>
      </c>
    </row>
    <row r="78" spans="2:11" s="158" customFormat="1" ht="12">
      <c r="B78" s="164"/>
      <c r="C78" s="160" t="s">
        <v>141</v>
      </c>
      <c r="D78" s="160" t="s">
        <v>184</v>
      </c>
      <c r="E78" s="161" t="s">
        <v>185</v>
      </c>
      <c r="F78" s="160" t="s">
        <v>45</v>
      </c>
      <c r="G78" s="162">
        <v>641.5</v>
      </c>
      <c r="I78" s="623">
        <v>0</v>
      </c>
      <c r="J78" s="163">
        <f t="shared" si="4"/>
        <v>0</v>
      </c>
      <c r="K78" s="163">
        <f t="shared" si="5"/>
        <v>0</v>
      </c>
    </row>
    <row r="79" spans="2:11" s="158" customFormat="1" ht="12">
      <c r="B79" s="164"/>
      <c r="C79" s="160" t="s">
        <v>141</v>
      </c>
      <c r="D79" s="160" t="s">
        <v>186</v>
      </c>
      <c r="E79" s="161" t="s">
        <v>187</v>
      </c>
      <c r="F79" s="160" t="s">
        <v>60</v>
      </c>
      <c r="G79" s="162">
        <v>45</v>
      </c>
      <c r="I79" s="623">
        <v>0</v>
      </c>
      <c r="J79" s="163">
        <f t="shared" si="4"/>
        <v>0</v>
      </c>
      <c r="K79" s="163">
        <f t="shared" si="5"/>
        <v>0</v>
      </c>
    </row>
    <row r="80" spans="2:11" s="158" customFormat="1" ht="12">
      <c r="B80" s="164"/>
      <c r="C80" s="160" t="s">
        <v>141</v>
      </c>
      <c r="D80" s="160" t="s">
        <v>188</v>
      </c>
      <c r="E80" s="161" t="s">
        <v>189</v>
      </c>
      <c r="F80" s="160" t="s">
        <v>45</v>
      </c>
      <c r="G80" s="162">
        <v>132.88</v>
      </c>
      <c r="I80" s="623">
        <v>0</v>
      </c>
      <c r="J80" s="163">
        <f t="shared" si="4"/>
        <v>0</v>
      </c>
      <c r="K80" s="163">
        <f t="shared" si="5"/>
        <v>0</v>
      </c>
    </row>
    <row r="81" spans="2:11" s="158" customFormat="1" ht="12">
      <c r="B81" s="164"/>
      <c r="C81" s="160" t="s">
        <v>141</v>
      </c>
      <c r="D81" s="160" t="s">
        <v>190</v>
      </c>
      <c r="E81" s="161" t="s">
        <v>191</v>
      </c>
      <c r="F81" s="160" t="s">
        <v>38</v>
      </c>
      <c r="G81" s="162">
        <v>86.74</v>
      </c>
      <c r="I81" s="623">
        <v>0</v>
      </c>
      <c r="J81" s="163">
        <f t="shared" si="4"/>
        <v>0</v>
      </c>
      <c r="K81" s="163">
        <f t="shared" si="5"/>
        <v>0</v>
      </c>
    </row>
    <row r="82" spans="2:11" s="158" customFormat="1" ht="12">
      <c r="B82" s="164"/>
      <c r="C82" s="160" t="s">
        <v>141</v>
      </c>
      <c r="D82" s="160" t="s">
        <v>192</v>
      </c>
      <c r="E82" s="161" t="s">
        <v>193</v>
      </c>
      <c r="F82" s="160" t="s">
        <v>45</v>
      </c>
      <c r="G82" s="162">
        <v>2122.57</v>
      </c>
      <c r="I82" s="623">
        <v>0</v>
      </c>
      <c r="J82" s="163">
        <f t="shared" si="4"/>
        <v>0</v>
      </c>
      <c r="K82" s="163">
        <f t="shared" si="5"/>
        <v>0</v>
      </c>
    </row>
    <row r="83" spans="2:11" s="158" customFormat="1" ht="24">
      <c r="B83" s="164"/>
      <c r="C83" s="160" t="s">
        <v>141</v>
      </c>
      <c r="D83" s="160" t="s">
        <v>194</v>
      </c>
      <c r="E83" s="161" t="s">
        <v>195</v>
      </c>
      <c r="F83" s="160" t="s">
        <v>45</v>
      </c>
      <c r="G83" s="162">
        <v>13.05</v>
      </c>
      <c r="I83" s="623">
        <v>0</v>
      </c>
      <c r="J83" s="163">
        <f t="shared" si="4"/>
        <v>0</v>
      </c>
      <c r="K83" s="163">
        <f t="shared" si="5"/>
        <v>0</v>
      </c>
    </row>
    <row r="84" spans="2:11" s="158" customFormat="1" ht="24">
      <c r="B84" s="164"/>
      <c r="C84" s="160" t="s">
        <v>141</v>
      </c>
      <c r="D84" s="160" t="s">
        <v>196</v>
      </c>
      <c r="E84" s="161" t="s">
        <v>197</v>
      </c>
      <c r="F84" s="160" t="s">
        <v>38</v>
      </c>
      <c r="G84" s="162">
        <v>318</v>
      </c>
      <c r="I84" s="623">
        <v>0</v>
      </c>
      <c r="J84" s="163">
        <f t="shared" si="4"/>
        <v>0</v>
      </c>
      <c r="K84" s="163">
        <f t="shared" si="5"/>
        <v>0</v>
      </c>
    </row>
    <row r="85" spans="2:11" s="158" customFormat="1" ht="12">
      <c r="B85" s="164"/>
      <c r="C85" s="160" t="s">
        <v>141</v>
      </c>
      <c r="D85" s="160" t="s">
        <v>198</v>
      </c>
      <c r="E85" s="161" t="s">
        <v>199</v>
      </c>
      <c r="F85" s="160" t="s">
        <v>60</v>
      </c>
      <c r="G85" s="162">
        <v>4</v>
      </c>
      <c r="I85" s="623">
        <v>0</v>
      </c>
      <c r="J85" s="163">
        <f t="shared" si="4"/>
        <v>0</v>
      </c>
      <c r="K85" s="163">
        <f t="shared" si="5"/>
        <v>0</v>
      </c>
    </row>
    <row r="86" spans="2:11" s="158" customFormat="1" ht="12">
      <c r="B86" s="164"/>
      <c r="C86" s="160" t="s">
        <v>141</v>
      </c>
      <c r="D86" s="160" t="s">
        <v>200</v>
      </c>
      <c r="E86" s="161" t="s">
        <v>201</v>
      </c>
      <c r="F86" s="160" t="s">
        <v>60</v>
      </c>
      <c r="G86" s="162">
        <v>4</v>
      </c>
      <c r="I86" s="623">
        <v>0</v>
      </c>
      <c r="J86" s="163">
        <f t="shared" si="4"/>
        <v>0</v>
      </c>
      <c r="K86" s="163">
        <f t="shared" si="5"/>
        <v>0</v>
      </c>
    </row>
    <row r="87" spans="2:11" s="158" customFormat="1" ht="12">
      <c r="B87" s="164"/>
      <c r="C87" s="160" t="s">
        <v>141</v>
      </c>
      <c r="D87" s="160" t="s">
        <v>202</v>
      </c>
      <c r="E87" s="161" t="s">
        <v>203</v>
      </c>
      <c r="F87" s="160" t="s">
        <v>60</v>
      </c>
      <c r="G87" s="162">
        <v>108</v>
      </c>
      <c r="I87" s="623">
        <v>0</v>
      </c>
      <c r="J87" s="163">
        <f t="shared" si="4"/>
        <v>0</v>
      </c>
      <c r="K87" s="163">
        <f t="shared" si="5"/>
        <v>0</v>
      </c>
    </row>
    <row r="88" spans="2:11" s="158" customFormat="1" ht="12">
      <c r="B88" s="164"/>
      <c r="C88" s="160" t="s">
        <v>141</v>
      </c>
      <c r="D88" s="160" t="s">
        <v>204</v>
      </c>
      <c r="E88" s="161" t="s">
        <v>205</v>
      </c>
      <c r="F88" s="160" t="s">
        <v>45</v>
      </c>
      <c r="G88" s="162">
        <v>736.56</v>
      </c>
      <c r="I88" s="623">
        <v>0</v>
      </c>
      <c r="J88" s="163">
        <f t="shared" si="4"/>
        <v>0</v>
      </c>
      <c r="K88" s="163">
        <f t="shared" si="5"/>
        <v>0</v>
      </c>
    </row>
    <row r="89" spans="2:11" s="158" customFormat="1" ht="24">
      <c r="B89" s="164"/>
      <c r="C89" s="160" t="s">
        <v>141</v>
      </c>
      <c r="D89" s="160" t="s">
        <v>206</v>
      </c>
      <c r="E89" s="161" t="s">
        <v>207</v>
      </c>
      <c r="F89" s="160" t="s">
        <v>45</v>
      </c>
      <c r="G89" s="162">
        <v>1277.8</v>
      </c>
      <c r="I89" s="623">
        <v>0</v>
      </c>
      <c r="J89" s="163">
        <f t="shared" si="4"/>
        <v>0</v>
      </c>
      <c r="K89" s="163">
        <f t="shared" si="5"/>
        <v>0</v>
      </c>
    </row>
    <row r="90" spans="2:11" s="158" customFormat="1" ht="12">
      <c r="B90" s="164"/>
      <c r="C90" s="160" t="s">
        <v>141</v>
      </c>
      <c r="D90" s="160" t="s">
        <v>208</v>
      </c>
      <c r="E90" s="161" t="s">
        <v>209</v>
      </c>
      <c r="F90" s="160" t="s">
        <v>30</v>
      </c>
      <c r="G90" s="162">
        <v>87.6</v>
      </c>
      <c r="I90" s="623">
        <v>0</v>
      </c>
      <c r="J90" s="163">
        <f t="shared" si="4"/>
        <v>0</v>
      </c>
      <c r="K90" s="163">
        <f t="shared" si="5"/>
        <v>0</v>
      </c>
    </row>
    <row r="91" spans="2:11" s="158" customFormat="1" ht="24">
      <c r="B91" s="165"/>
      <c r="C91" s="160" t="s">
        <v>141</v>
      </c>
      <c r="D91" s="160" t="s">
        <v>210</v>
      </c>
      <c r="E91" s="161" t="s">
        <v>211</v>
      </c>
      <c r="F91" s="160" t="s">
        <v>38</v>
      </c>
      <c r="G91" s="162">
        <v>17.55</v>
      </c>
      <c r="I91" s="623">
        <v>0</v>
      </c>
      <c r="J91" s="163">
        <f t="shared" si="4"/>
        <v>0</v>
      </c>
      <c r="K91" s="163">
        <f t="shared" si="5"/>
        <v>0</v>
      </c>
    </row>
    <row r="92" spans="2:11" s="158" customFormat="1" ht="24">
      <c r="B92" s="161" t="s">
        <v>212</v>
      </c>
      <c r="C92" s="160" t="s">
        <v>213</v>
      </c>
      <c r="D92" s="160" t="s">
        <v>214</v>
      </c>
      <c r="E92" s="161" t="s">
        <v>215</v>
      </c>
      <c r="F92" s="160" t="s">
        <v>30</v>
      </c>
      <c r="G92" s="162">
        <v>1.17</v>
      </c>
      <c r="I92" s="623">
        <v>0</v>
      </c>
      <c r="J92" s="163">
        <f t="shared" si="4"/>
        <v>0</v>
      </c>
      <c r="K92" s="163">
        <f t="shared" si="5"/>
        <v>0</v>
      </c>
    </row>
    <row r="93" spans="2:11" s="158" customFormat="1" ht="36">
      <c r="B93" s="159" t="s">
        <v>216</v>
      </c>
      <c r="C93" s="160" t="s">
        <v>217</v>
      </c>
      <c r="D93" s="160" t="s">
        <v>218</v>
      </c>
      <c r="E93" s="161" t="s">
        <v>219</v>
      </c>
      <c r="F93" s="160" t="s">
        <v>45</v>
      </c>
      <c r="G93" s="162">
        <v>1966</v>
      </c>
      <c r="I93" s="623">
        <v>0</v>
      </c>
      <c r="J93" s="163">
        <f t="shared" si="4"/>
        <v>0</v>
      </c>
      <c r="K93" s="163">
        <f t="shared" si="5"/>
        <v>0</v>
      </c>
    </row>
    <row r="94" spans="2:11" s="158" customFormat="1" ht="12">
      <c r="B94" s="165"/>
      <c r="C94" s="160" t="s">
        <v>217</v>
      </c>
      <c r="D94" s="160" t="s">
        <v>220</v>
      </c>
      <c r="E94" s="161" t="s">
        <v>221</v>
      </c>
      <c r="F94" s="160" t="s">
        <v>45</v>
      </c>
      <c r="G94" s="162">
        <v>10</v>
      </c>
      <c r="I94" s="623">
        <v>0</v>
      </c>
      <c r="J94" s="163">
        <f t="shared" si="4"/>
        <v>0</v>
      </c>
      <c r="K94" s="163">
        <f t="shared" si="5"/>
        <v>0</v>
      </c>
    </row>
    <row r="95" spans="2:11" s="158" customFormat="1" ht="36">
      <c r="B95" s="159" t="s">
        <v>222</v>
      </c>
      <c r="C95" s="160" t="s">
        <v>223</v>
      </c>
      <c r="D95" s="160" t="s">
        <v>224</v>
      </c>
      <c r="E95" s="161" t="s">
        <v>225</v>
      </c>
      <c r="F95" s="160" t="s">
        <v>30</v>
      </c>
      <c r="G95" s="162">
        <v>4.9</v>
      </c>
      <c r="I95" s="623">
        <v>0</v>
      </c>
      <c r="J95" s="163">
        <f t="shared" si="4"/>
        <v>0</v>
      </c>
      <c r="K95" s="163">
        <f t="shared" si="5"/>
        <v>0</v>
      </c>
    </row>
    <row r="96" spans="2:11" s="158" customFormat="1" ht="24">
      <c r="B96" s="164"/>
      <c r="C96" s="160" t="s">
        <v>223</v>
      </c>
      <c r="D96" s="160" t="s">
        <v>226</v>
      </c>
      <c r="E96" s="161" t="s">
        <v>227</v>
      </c>
      <c r="F96" s="160" t="s">
        <v>38</v>
      </c>
      <c r="G96" s="162">
        <v>15376.06</v>
      </c>
      <c r="I96" s="623">
        <v>0</v>
      </c>
      <c r="J96" s="163">
        <f t="shared" si="4"/>
        <v>0</v>
      </c>
      <c r="K96" s="163">
        <f t="shared" si="5"/>
        <v>0</v>
      </c>
    </row>
    <row r="97" spans="2:11" s="158" customFormat="1" ht="24">
      <c r="B97" s="164"/>
      <c r="C97" s="160" t="s">
        <v>223</v>
      </c>
      <c r="D97" s="160" t="s">
        <v>228</v>
      </c>
      <c r="E97" s="161" t="s">
        <v>229</v>
      </c>
      <c r="F97" s="160" t="s">
        <v>30</v>
      </c>
      <c r="G97" s="162">
        <v>79.07</v>
      </c>
      <c r="I97" s="623">
        <v>0</v>
      </c>
      <c r="J97" s="163">
        <f t="shared" si="4"/>
        <v>0</v>
      </c>
      <c r="K97" s="163">
        <f t="shared" si="5"/>
        <v>0</v>
      </c>
    </row>
    <row r="98" spans="2:11" s="158" customFormat="1" ht="24">
      <c r="B98" s="164"/>
      <c r="C98" s="160" t="s">
        <v>223</v>
      </c>
      <c r="D98" s="160" t="s">
        <v>230</v>
      </c>
      <c r="E98" s="161" t="s">
        <v>231</v>
      </c>
      <c r="F98" s="160" t="s">
        <v>30</v>
      </c>
      <c r="G98" s="162">
        <v>316.84</v>
      </c>
      <c r="I98" s="623">
        <v>0</v>
      </c>
      <c r="J98" s="163">
        <f t="shared" si="4"/>
        <v>0</v>
      </c>
      <c r="K98" s="163">
        <f t="shared" si="5"/>
        <v>0</v>
      </c>
    </row>
    <row r="99" spans="2:11" s="158" customFormat="1" ht="24">
      <c r="B99" s="164"/>
      <c r="C99" s="160" t="s">
        <v>223</v>
      </c>
      <c r="D99" s="160" t="s">
        <v>232</v>
      </c>
      <c r="E99" s="161" t="s">
        <v>233</v>
      </c>
      <c r="F99" s="160" t="s">
        <v>30</v>
      </c>
      <c r="G99" s="162">
        <v>7.6</v>
      </c>
      <c r="I99" s="623">
        <v>0</v>
      </c>
      <c r="J99" s="163">
        <f aca="true" t="shared" si="6" ref="J99:J130">I99*0.2</f>
        <v>0</v>
      </c>
      <c r="K99" s="163">
        <f aca="true" t="shared" si="7" ref="K99:K130">I99+J99</f>
        <v>0</v>
      </c>
    </row>
    <row r="100" spans="2:11" s="158" customFormat="1" ht="12">
      <c r="B100" s="164"/>
      <c r="C100" s="160" t="s">
        <v>223</v>
      </c>
      <c r="D100" s="160" t="s">
        <v>234</v>
      </c>
      <c r="E100" s="161" t="s">
        <v>235</v>
      </c>
      <c r="F100" s="160" t="s">
        <v>30</v>
      </c>
      <c r="G100" s="162">
        <v>291.22</v>
      </c>
      <c r="I100" s="623">
        <v>0</v>
      </c>
      <c r="J100" s="163">
        <f t="shared" si="6"/>
        <v>0</v>
      </c>
      <c r="K100" s="163">
        <f t="shared" si="7"/>
        <v>0</v>
      </c>
    </row>
    <row r="101" spans="2:11" s="158" customFormat="1" ht="24">
      <c r="B101" s="164"/>
      <c r="C101" s="160" t="s">
        <v>223</v>
      </c>
      <c r="D101" s="160" t="s">
        <v>236</v>
      </c>
      <c r="E101" s="161" t="s">
        <v>237</v>
      </c>
      <c r="F101" s="160" t="s">
        <v>45</v>
      </c>
      <c r="G101" s="162">
        <v>218</v>
      </c>
      <c r="I101" s="623">
        <v>0</v>
      </c>
      <c r="J101" s="163">
        <f t="shared" si="6"/>
        <v>0</v>
      </c>
      <c r="K101" s="163">
        <f t="shared" si="7"/>
        <v>0</v>
      </c>
    </row>
    <row r="102" spans="2:11" s="158" customFormat="1" ht="24">
      <c r="B102" s="164"/>
      <c r="C102" s="160" t="s">
        <v>223</v>
      </c>
      <c r="D102" s="160" t="s">
        <v>238</v>
      </c>
      <c r="E102" s="161" t="s">
        <v>239</v>
      </c>
      <c r="F102" s="160" t="s">
        <v>45</v>
      </c>
      <c r="G102" s="162">
        <v>3557.79</v>
      </c>
      <c r="I102" s="623">
        <v>0</v>
      </c>
      <c r="J102" s="163">
        <f t="shared" si="6"/>
        <v>0</v>
      </c>
      <c r="K102" s="163">
        <f t="shared" si="7"/>
        <v>0</v>
      </c>
    </row>
    <row r="103" spans="2:11" s="158" customFormat="1" ht="24">
      <c r="B103" s="164"/>
      <c r="C103" s="160" t="s">
        <v>223</v>
      </c>
      <c r="D103" s="160" t="s">
        <v>240</v>
      </c>
      <c r="E103" s="161" t="s">
        <v>241</v>
      </c>
      <c r="F103" s="160" t="s">
        <v>38</v>
      </c>
      <c r="G103" s="162">
        <v>69.86</v>
      </c>
      <c r="I103" s="623">
        <v>0</v>
      </c>
      <c r="J103" s="163">
        <f t="shared" si="6"/>
        <v>0</v>
      </c>
      <c r="K103" s="163">
        <f t="shared" si="7"/>
        <v>0</v>
      </c>
    </row>
    <row r="104" spans="2:11" s="158" customFormat="1" ht="12">
      <c r="B104" s="164"/>
      <c r="C104" s="160" t="s">
        <v>223</v>
      </c>
      <c r="D104" s="160" t="s">
        <v>242</v>
      </c>
      <c r="E104" s="161" t="s">
        <v>243</v>
      </c>
      <c r="F104" s="160" t="s">
        <v>45</v>
      </c>
      <c r="G104" s="162">
        <v>7</v>
      </c>
      <c r="I104" s="623">
        <v>0</v>
      </c>
      <c r="J104" s="163">
        <f t="shared" si="6"/>
        <v>0</v>
      </c>
      <c r="K104" s="163">
        <f t="shared" si="7"/>
        <v>0</v>
      </c>
    </row>
    <row r="105" spans="2:11" s="158" customFormat="1" ht="24">
      <c r="B105" s="164"/>
      <c r="C105" s="160" t="s">
        <v>223</v>
      </c>
      <c r="D105" s="160" t="s">
        <v>244</v>
      </c>
      <c r="E105" s="161" t="s">
        <v>245</v>
      </c>
      <c r="F105" s="160" t="s">
        <v>45</v>
      </c>
      <c r="G105" s="162">
        <v>36</v>
      </c>
      <c r="I105" s="623">
        <v>0</v>
      </c>
      <c r="J105" s="163">
        <f t="shared" si="6"/>
        <v>0</v>
      </c>
      <c r="K105" s="163">
        <f t="shared" si="7"/>
        <v>0</v>
      </c>
    </row>
    <row r="106" spans="2:11" s="158" customFormat="1" ht="24">
      <c r="B106" s="164"/>
      <c r="C106" s="160" t="s">
        <v>223</v>
      </c>
      <c r="D106" s="160" t="s">
        <v>246</v>
      </c>
      <c r="E106" s="161" t="s">
        <v>247</v>
      </c>
      <c r="F106" s="160" t="s">
        <v>45</v>
      </c>
      <c r="G106" s="162">
        <v>123</v>
      </c>
      <c r="I106" s="623">
        <v>0</v>
      </c>
      <c r="J106" s="163">
        <f t="shared" si="6"/>
        <v>0</v>
      </c>
      <c r="K106" s="163">
        <f t="shared" si="7"/>
        <v>0</v>
      </c>
    </row>
    <row r="107" spans="2:11" s="158" customFormat="1" ht="24">
      <c r="B107" s="164"/>
      <c r="C107" s="160" t="s">
        <v>223</v>
      </c>
      <c r="D107" s="160" t="s">
        <v>248</v>
      </c>
      <c r="E107" s="161" t="s">
        <v>249</v>
      </c>
      <c r="F107" s="160" t="s">
        <v>60</v>
      </c>
      <c r="G107" s="162">
        <v>4</v>
      </c>
      <c r="I107" s="623">
        <v>0</v>
      </c>
      <c r="J107" s="163">
        <f t="shared" si="6"/>
        <v>0</v>
      </c>
      <c r="K107" s="163">
        <f t="shared" si="7"/>
        <v>0</v>
      </c>
    </row>
    <row r="108" spans="2:11" s="158" customFormat="1" ht="24">
      <c r="B108" s="164"/>
      <c r="C108" s="160" t="s">
        <v>223</v>
      </c>
      <c r="D108" s="160" t="s">
        <v>250</v>
      </c>
      <c r="E108" s="161" t="s">
        <v>251</v>
      </c>
      <c r="F108" s="160" t="s">
        <v>60</v>
      </c>
      <c r="G108" s="162">
        <v>130</v>
      </c>
      <c r="I108" s="623">
        <v>0</v>
      </c>
      <c r="J108" s="163">
        <f t="shared" si="6"/>
        <v>0</v>
      </c>
      <c r="K108" s="163">
        <f t="shared" si="7"/>
        <v>0</v>
      </c>
    </row>
    <row r="109" spans="2:11" s="158" customFormat="1" ht="12">
      <c r="B109" s="164"/>
      <c r="C109" s="160" t="s">
        <v>223</v>
      </c>
      <c r="D109" s="160" t="s">
        <v>252</v>
      </c>
      <c r="E109" s="161" t="s">
        <v>253</v>
      </c>
      <c r="F109" s="160" t="s">
        <v>60</v>
      </c>
      <c r="G109" s="162">
        <v>74</v>
      </c>
      <c r="I109" s="623">
        <v>0</v>
      </c>
      <c r="J109" s="163">
        <f t="shared" si="6"/>
        <v>0</v>
      </c>
      <c r="K109" s="163">
        <f t="shared" si="7"/>
        <v>0</v>
      </c>
    </row>
    <row r="110" spans="2:11" s="158" customFormat="1" ht="12">
      <c r="B110" s="164"/>
      <c r="C110" s="160" t="s">
        <v>223</v>
      </c>
      <c r="D110" s="160" t="s">
        <v>254</v>
      </c>
      <c r="E110" s="161" t="s">
        <v>255</v>
      </c>
      <c r="F110" s="160" t="s">
        <v>60</v>
      </c>
      <c r="G110" s="162">
        <v>10</v>
      </c>
      <c r="I110" s="623">
        <v>0</v>
      </c>
      <c r="J110" s="163">
        <f t="shared" si="6"/>
        <v>0</v>
      </c>
      <c r="K110" s="163">
        <f t="shared" si="7"/>
        <v>0</v>
      </c>
    </row>
    <row r="111" spans="2:11" s="158" customFormat="1" ht="12">
      <c r="B111" s="164"/>
      <c r="C111" s="160" t="s">
        <v>223</v>
      </c>
      <c r="D111" s="160" t="s">
        <v>256</v>
      </c>
      <c r="E111" s="161" t="s">
        <v>257</v>
      </c>
      <c r="F111" s="160" t="s">
        <v>60</v>
      </c>
      <c r="G111" s="162">
        <v>1</v>
      </c>
      <c r="I111" s="623">
        <v>0</v>
      </c>
      <c r="J111" s="163">
        <f t="shared" si="6"/>
        <v>0</v>
      </c>
      <c r="K111" s="163">
        <f t="shared" si="7"/>
        <v>0</v>
      </c>
    </row>
    <row r="112" spans="2:11" s="158" customFormat="1" ht="12">
      <c r="B112" s="164"/>
      <c r="C112" s="160" t="s">
        <v>223</v>
      </c>
      <c r="D112" s="160" t="s">
        <v>258</v>
      </c>
      <c r="E112" s="161" t="s">
        <v>259</v>
      </c>
      <c r="F112" s="160" t="s">
        <v>45</v>
      </c>
      <c r="G112" s="162">
        <v>33.4</v>
      </c>
      <c r="I112" s="623">
        <v>0</v>
      </c>
      <c r="J112" s="163">
        <f t="shared" si="6"/>
        <v>0</v>
      </c>
      <c r="K112" s="163">
        <f t="shared" si="7"/>
        <v>0</v>
      </c>
    </row>
    <row r="113" spans="2:11" s="158" customFormat="1" ht="12">
      <c r="B113" s="164"/>
      <c r="C113" s="160" t="s">
        <v>223</v>
      </c>
      <c r="D113" s="160" t="s">
        <v>260</v>
      </c>
      <c r="E113" s="161" t="s">
        <v>261</v>
      </c>
      <c r="F113" s="160" t="s">
        <v>45</v>
      </c>
      <c r="G113" s="162">
        <v>19</v>
      </c>
      <c r="I113" s="623">
        <v>0</v>
      </c>
      <c r="J113" s="163">
        <f t="shared" si="6"/>
        <v>0</v>
      </c>
      <c r="K113" s="163">
        <f t="shared" si="7"/>
        <v>0</v>
      </c>
    </row>
    <row r="114" spans="2:11" s="158" customFormat="1" ht="24">
      <c r="B114" s="165"/>
      <c r="C114" s="160" t="s">
        <v>223</v>
      </c>
      <c r="D114" s="160" t="s">
        <v>262</v>
      </c>
      <c r="E114" s="161" t="s">
        <v>263</v>
      </c>
      <c r="F114" s="160" t="s">
        <v>38</v>
      </c>
      <c r="G114" s="162">
        <v>354.2</v>
      </c>
      <c r="I114" s="623">
        <v>0</v>
      </c>
      <c r="J114" s="163">
        <f t="shared" si="6"/>
        <v>0</v>
      </c>
      <c r="K114" s="163">
        <f t="shared" si="7"/>
        <v>0</v>
      </c>
    </row>
    <row r="115" spans="2:11" s="158" customFormat="1" ht="36">
      <c r="B115" s="159" t="s">
        <v>264</v>
      </c>
      <c r="C115" s="160" t="s">
        <v>265</v>
      </c>
      <c r="D115" s="160" t="s">
        <v>266</v>
      </c>
      <c r="E115" s="161" t="s">
        <v>267</v>
      </c>
      <c r="F115" s="160" t="s">
        <v>30</v>
      </c>
      <c r="G115" s="162">
        <v>44.22</v>
      </c>
      <c r="I115" s="623">
        <v>0</v>
      </c>
      <c r="J115" s="163">
        <f t="shared" si="6"/>
        <v>0</v>
      </c>
      <c r="K115" s="163">
        <f t="shared" si="7"/>
        <v>0</v>
      </c>
    </row>
    <row r="116" spans="2:11" s="158" customFormat="1" ht="12">
      <c r="B116" s="164"/>
      <c r="C116" s="160" t="s">
        <v>265</v>
      </c>
      <c r="D116" s="160" t="s">
        <v>268</v>
      </c>
      <c r="E116" s="161" t="s">
        <v>269</v>
      </c>
      <c r="F116" s="160" t="s">
        <v>30</v>
      </c>
      <c r="G116" s="162">
        <v>179</v>
      </c>
      <c r="I116" s="623">
        <v>0</v>
      </c>
      <c r="J116" s="163">
        <f t="shared" si="6"/>
        <v>0</v>
      </c>
      <c r="K116" s="163">
        <f t="shared" si="7"/>
        <v>0</v>
      </c>
    </row>
    <row r="117" spans="2:11" s="158" customFormat="1" ht="12">
      <c r="B117" s="164"/>
      <c r="C117" s="160" t="s">
        <v>265</v>
      </c>
      <c r="D117" s="160" t="s">
        <v>270</v>
      </c>
      <c r="E117" s="161" t="s">
        <v>271</v>
      </c>
      <c r="F117" s="160" t="s">
        <v>30</v>
      </c>
      <c r="G117" s="162">
        <v>44.75</v>
      </c>
      <c r="I117" s="623">
        <v>0</v>
      </c>
      <c r="J117" s="163">
        <f t="shared" si="6"/>
        <v>0</v>
      </c>
      <c r="K117" s="163">
        <f t="shared" si="7"/>
        <v>0</v>
      </c>
    </row>
    <row r="118" spans="2:11" s="158" customFormat="1" ht="24">
      <c r="B118" s="164"/>
      <c r="C118" s="160" t="s">
        <v>265</v>
      </c>
      <c r="D118" s="160" t="s">
        <v>272</v>
      </c>
      <c r="E118" s="161" t="s">
        <v>273</v>
      </c>
      <c r="F118" s="160" t="s">
        <v>30</v>
      </c>
      <c r="G118" s="162">
        <v>32.36</v>
      </c>
      <c r="I118" s="623">
        <v>0</v>
      </c>
      <c r="J118" s="163">
        <f t="shared" si="6"/>
        <v>0</v>
      </c>
      <c r="K118" s="163">
        <f t="shared" si="7"/>
        <v>0</v>
      </c>
    </row>
    <row r="119" spans="2:11" s="158" customFormat="1" ht="24">
      <c r="B119" s="165"/>
      <c r="C119" s="160" t="s">
        <v>265</v>
      </c>
      <c r="D119" s="160" t="s">
        <v>274</v>
      </c>
      <c r="E119" s="161" t="s">
        <v>275</v>
      </c>
      <c r="F119" s="160" t="s">
        <v>38</v>
      </c>
      <c r="G119" s="162">
        <v>149.2</v>
      </c>
      <c r="I119" s="623">
        <v>0</v>
      </c>
      <c r="J119" s="163">
        <f t="shared" si="6"/>
        <v>0</v>
      </c>
      <c r="K119" s="163">
        <f t="shared" si="7"/>
        <v>0</v>
      </c>
    </row>
    <row r="120" spans="2:11" s="158" customFormat="1" ht="36">
      <c r="B120" s="159" t="s">
        <v>276</v>
      </c>
      <c r="C120" s="160" t="s">
        <v>277</v>
      </c>
      <c r="D120" s="160" t="s">
        <v>278</v>
      </c>
      <c r="E120" s="161" t="s">
        <v>279</v>
      </c>
      <c r="F120" s="160" t="s">
        <v>30</v>
      </c>
      <c r="G120" s="162">
        <v>26.21</v>
      </c>
      <c r="I120" s="623">
        <v>0</v>
      </c>
      <c r="J120" s="163">
        <f t="shared" si="6"/>
        <v>0</v>
      </c>
      <c r="K120" s="163">
        <f t="shared" si="7"/>
        <v>0</v>
      </c>
    </row>
    <row r="121" spans="2:11" s="158" customFormat="1" ht="12">
      <c r="B121" s="165"/>
      <c r="C121" s="160" t="s">
        <v>277</v>
      </c>
      <c r="D121" s="160" t="s">
        <v>280</v>
      </c>
      <c r="E121" s="161" t="s">
        <v>281</v>
      </c>
      <c r="F121" s="160" t="s">
        <v>30</v>
      </c>
      <c r="G121" s="162">
        <v>12.91</v>
      </c>
      <c r="I121" s="623">
        <v>0</v>
      </c>
      <c r="J121" s="163">
        <f t="shared" si="6"/>
        <v>0</v>
      </c>
      <c r="K121" s="163">
        <f t="shared" si="7"/>
        <v>0</v>
      </c>
    </row>
    <row r="122" spans="2:11" s="158" customFormat="1" ht="24">
      <c r="B122" s="159" t="s">
        <v>282</v>
      </c>
      <c r="C122" s="160" t="s">
        <v>283</v>
      </c>
      <c r="D122" s="160" t="s">
        <v>284</v>
      </c>
      <c r="E122" s="161" t="s">
        <v>285</v>
      </c>
      <c r="F122" s="160" t="s">
        <v>38</v>
      </c>
      <c r="G122" s="162">
        <v>22.39</v>
      </c>
      <c r="I122" s="623">
        <v>0</v>
      </c>
      <c r="J122" s="163">
        <f t="shared" si="6"/>
        <v>0</v>
      </c>
      <c r="K122" s="163">
        <f t="shared" si="7"/>
        <v>0</v>
      </c>
    </row>
    <row r="123" spans="2:11" s="158" customFormat="1" ht="12">
      <c r="B123" s="164"/>
      <c r="C123" s="160" t="s">
        <v>283</v>
      </c>
      <c r="D123" s="160" t="s">
        <v>286</v>
      </c>
      <c r="E123" s="161" t="s">
        <v>287</v>
      </c>
      <c r="F123" s="160" t="s">
        <v>38</v>
      </c>
      <c r="G123" s="162">
        <v>125.44</v>
      </c>
      <c r="I123" s="623">
        <v>0</v>
      </c>
      <c r="J123" s="163">
        <f t="shared" si="6"/>
        <v>0</v>
      </c>
      <c r="K123" s="163">
        <f t="shared" si="7"/>
        <v>0</v>
      </c>
    </row>
    <row r="124" spans="2:11" s="158" customFormat="1" ht="12">
      <c r="B124" s="164"/>
      <c r="C124" s="160" t="s">
        <v>283</v>
      </c>
      <c r="D124" s="160" t="s">
        <v>288</v>
      </c>
      <c r="E124" s="161" t="s">
        <v>289</v>
      </c>
      <c r="F124" s="160" t="s">
        <v>38</v>
      </c>
      <c r="G124" s="162">
        <v>10018.45</v>
      </c>
      <c r="I124" s="623">
        <v>0</v>
      </c>
      <c r="J124" s="163">
        <f t="shared" si="6"/>
        <v>0</v>
      </c>
      <c r="K124" s="163">
        <f t="shared" si="7"/>
        <v>0</v>
      </c>
    </row>
    <row r="125" spans="2:11" s="158" customFormat="1" ht="12">
      <c r="B125" s="164"/>
      <c r="C125" s="160" t="s">
        <v>283</v>
      </c>
      <c r="D125" s="160" t="s">
        <v>290</v>
      </c>
      <c r="E125" s="161" t="s">
        <v>291</v>
      </c>
      <c r="F125" s="160" t="s">
        <v>38</v>
      </c>
      <c r="G125" s="162">
        <v>43.03</v>
      </c>
      <c r="I125" s="623">
        <v>0</v>
      </c>
      <c r="J125" s="163">
        <f t="shared" si="6"/>
        <v>0</v>
      </c>
      <c r="K125" s="163">
        <f t="shared" si="7"/>
        <v>0</v>
      </c>
    </row>
    <row r="126" spans="2:11" s="158" customFormat="1" ht="12">
      <c r="B126" s="165"/>
      <c r="C126" s="160" t="s">
        <v>283</v>
      </c>
      <c r="D126" s="160" t="s">
        <v>292</v>
      </c>
      <c r="E126" s="161" t="s">
        <v>293</v>
      </c>
      <c r="F126" s="160" t="s">
        <v>38</v>
      </c>
      <c r="G126" s="162">
        <v>19.4</v>
      </c>
      <c r="I126" s="623">
        <v>0</v>
      </c>
      <c r="J126" s="163">
        <f t="shared" si="6"/>
        <v>0</v>
      </c>
      <c r="K126" s="163">
        <f t="shared" si="7"/>
        <v>0</v>
      </c>
    </row>
    <row r="127" spans="2:11" s="158" customFormat="1" ht="24">
      <c r="B127" s="159" t="s">
        <v>294</v>
      </c>
      <c r="C127" s="160" t="s">
        <v>295</v>
      </c>
      <c r="D127" s="160" t="s">
        <v>296</v>
      </c>
      <c r="E127" s="161" t="s">
        <v>297</v>
      </c>
      <c r="F127" s="160" t="s">
        <v>38</v>
      </c>
      <c r="G127" s="162">
        <v>451.66</v>
      </c>
      <c r="I127" s="623">
        <v>0</v>
      </c>
      <c r="J127" s="163">
        <f t="shared" si="6"/>
        <v>0</v>
      </c>
      <c r="K127" s="163">
        <f t="shared" si="7"/>
        <v>0</v>
      </c>
    </row>
    <row r="128" spans="2:11" s="158" customFormat="1" ht="12">
      <c r="B128" s="164"/>
      <c r="C128" s="160" t="s">
        <v>295</v>
      </c>
      <c r="D128" s="160" t="s">
        <v>298</v>
      </c>
      <c r="E128" s="161" t="s">
        <v>299</v>
      </c>
      <c r="F128" s="160" t="s">
        <v>38</v>
      </c>
      <c r="G128" s="162">
        <v>696.71</v>
      </c>
      <c r="I128" s="623">
        <v>0</v>
      </c>
      <c r="J128" s="163">
        <f t="shared" si="6"/>
        <v>0</v>
      </c>
      <c r="K128" s="163">
        <f t="shared" si="7"/>
        <v>0</v>
      </c>
    </row>
    <row r="129" spans="2:11" s="158" customFormat="1" ht="24">
      <c r="B129" s="164"/>
      <c r="C129" s="160" t="s">
        <v>295</v>
      </c>
      <c r="D129" s="160" t="s">
        <v>300</v>
      </c>
      <c r="E129" s="161" t="s">
        <v>301</v>
      </c>
      <c r="F129" s="160" t="s">
        <v>45</v>
      </c>
      <c r="G129" s="162">
        <v>1229.12</v>
      </c>
      <c r="I129" s="623">
        <v>0</v>
      </c>
      <c r="J129" s="163">
        <f t="shared" si="6"/>
        <v>0</v>
      </c>
      <c r="K129" s="163">
        <f t="shared" si="7"/>
        <v>0</v>
      </c>
    </row>
    <row r="130" spans="2:11" s="158" customFormat="1" ht="12">
      <c r="B130" s="165"/>
      <c r="C130" s="160" t="s">
        <v>295</v>
      </c>
      <c r="D130" s="160" t="s">
        <v>302</v>
      </c>
      <c r="E130" s="161" t="s">
        <v>303</v>
      </c>
      <c r="F130" s="160" t="s">
        <v>30</v>
      </c>
      <c r="G130" s="162">
        <v>0.15</v>
      </c>
      <c r="I130" s="623">
        <v>0</v>
      </c>
      <c r="J130" s="163">
        <f t="shared" si="6"/>
        <v>0</v>
      </c>
      <c r="K130" s="163">
        <f t="shared" si="7"/>
        <v>0</v>
      </c>
    </row>
    <row r="131" spans="2:11" s="158" customFormat="1" ht="12">
      <c r="B131" s="159" t="s">
        <v>304</v>
      </c>
      <c r="C131" s="160" t="s">
        <v>305</v>
      </c>
      <c r="D131" s="160" t="s">
        <v>306</v>
      </c>
      <c r="E131" s="161" t="s">
        <v>307</v>
      </c>
      <c r="F131" s="160" t="s">
        <v>30</v>
      </c>
      <c r="G131" s="162">
        <v>25.484</v>
      </c>
      <c r="I131" s="623">
        <v>0</v>
      </c>
      <c r="J131" s="163">
        <f aca="true" t="shared" si="8" ref="J131:J148">I131*0.2</f>
        <v>0</v>
      </c>
      <c r="K131" s="163">
        <f aca="true" t="shared" si="9" ref="K131:K148">I131+J131</f>
        <v>0</v>
      </c>
    </row>
    <row r="132" spans="2:11" s="158" customFormat="1" ht="12">
      <c r="B132" s="164"/>
      <c r="C132" s="160" t="s">
        <v>305</v>
      </c>
      <c r="D132" s="160" t="s">
        <v>308</v>
      </c>
      <c r="E132" s="161" t="s">
        <v>309</v>
      </c>
      <c r="F132" s="160" t="s">
        <v>28</v>
      </c>
      <c r="G132" s="162">
        <v>1.35</v>
      </c>
      <c r="I132" s="623">
        <v>0</v>
      </c>
      <c r="J132" s="163">
        <f t="shared" si="8"/>
        <v>0</v>
      </c>
      <c r="K132" s="163">
        <f t="shared" si="9"/>
        <v>0</v>
      </c>
    </row>
    <row r="133" spans="2:11" s="158" customFormat="1" ht="24">
      <c r="B133" s="165"/>
      <c r="C133" s="160" t="s">
        <v>305</v>
      </c>
      <c r="D133" s="160" t="s">
        <v>310</v>
      </c>
      <c r="E133" s="161" t="s">
        <v>311</v>
      </c>
      <c r="F133" s="160" t="s">
        <v>30</v>
      </c>
      <c r="G133" s="162">
        <v>2.98</v>
      </c>
      <c r="I133" s="623">
        <v>0</v>
      </c>
      <c r="J133" s="163">
        <f t="shared" si="8"/>
        <v>0</v>
      </c>
      <c r="K133" s="163">
        <f t="shared" si="9"/>
        <v>0</v>
      </c>
    </row>
    <row r="134" spans="2:11" s="158" customFormat="1" ht="24">
      <c r="B134" s="161" t="s">
        <v>312</v>
      </c>
      <c r="C134" s="160" t="s">
        <v>313</v>
      </c>
      <c r="D134" s="160" t="s">
        <v>314</v>
      </c>
      <c r="E134" s="161" t="s">
        <v>315</v>
      </c>
      <c r="F134" s="160" t="s">
        <v>38</v>
      </c>
      <c r="G134" s="162">
        <v>0.2</v>
      </c>
      <c r="I134" s="623">
        <v>0</v>
      </c>
      <c r="J134" s="163">
        <f t="shared" si="8"/>
        <v>0</v>
      </c>
      <c r="K134" s="163">
        <f t="shared" si="9"/>
        <v>0</v>
      </c>
    </row>
    <row r="135" spans="2:11" s="158" customFormat="1" ht="24">
      <c r="B135" s="161" t="s">
        <v>361</v>
      </c>
      <c r="C135" s="160" t="s">
        <v>316</v>
      </c>
      <c r="D135" s="160" t="s">
        <v>317</v>
      </c>
      <c r="E135" s="161" t="s">
        <v>318</v>
      </c>
      <c r="F135" s="160" t="s">
        <v>38</v>
      </c>
      <c r="G135" s="162">
        <v>14.56</v>
      </c>
      <c r="I135" s="623">
        <v>0</v>
      </c>
      <c r="J135" s="163">
        <f t="shared" si="8"/>
        <v>0</v>
      </c>
      <c r="K135" s="163">
        <f t="shared" si="9"/>
        <v>0</v>
      </c>
    </row>
    <row r="136" spans="2:11" s="158" customFormat="1" ht="12">
      <c r="B136" s="161" t="s">
        <v>319</v>
      </c>
      <c r="C136" s="160" t="s">
        <v>320</v>
      </c>
      <c r="D136" s="160" t="s">
        <v>321</v>
      </c>
      <c r="E136" s="161" t="s">
        <v>322</v>
      </c>
      <c r="F136" s="160" t="s">
        <v>38</v>
      </c>
      <c r="G136" s="162">
        <v>45.18</v>
      </c>
      <c r="I136" s="623">
        <v>0</v>
      </c>
      <c r="J136" s="163">
        <f t="shared" si="8"/>
        <v>0</v>
      </c>
      <c r="K136" s="163">
        <f t="shared" si="9"/>
        <v>0</v>
      </c>
    </row>
    <row r="137" spans="2:11" s="158" customFormat="1" ht="12">
      <c r="B137" s="159" t="s">
        <v>360</v>
      </c>
      <c r="C137" s="160" t="s">
        <v>323</v>
      </c>
      <c r="D137" s="160" t="s">
        <v>324</v>
      </c>
      <c r="E137" s="161" t="s">
        <v>325</v>
      </c>
      <c r="F137" s="160" t="s">
        <v>38</v>
      </c>
      <c r="G137" s="162">
        <v>8739.65</v>
      </c>
      <c r="I137" s="623">
        <v>0</v>
      </c>
      <c r="J137" s="163">
        <f t="shared" si="8"/>
        <v>0</v>
      </c>
      <c r="K137" s="163">
        <f t="shared" si="9"/>
        <v>0</v>
      </c>
    </row>
    <row r="138" spans="2:11" s="158" customFormat="1" ht="24">
      <c r="B138" s="164"/>
      <c r="C138" s="160" t="s">
        <v>323</v>
      </c>
      <c r="D138" s="160" t="s">
        <v>326</v>
      </c>
      <c r="E138" s="161" t="s">
        <v>327</v>
      </c>
      <c r="F138" s="160" t="s">
        <v>38</v>
      </c>
      <c r="G138" s="162">
        <v>3203.99</v>
      </c>
      <c r="I138" s="623">
        <v>0</v>
      </c>
      <c r="J138" s="163">
        <f t="shared" si="8"/>
        <v>0</v>
      </c>
      <c r="K138" s="163">
        <f t="shared" si="9"/>
        <v>0</v>
      </c>
    </row>
    <row r="139" spans="2:11" s="158" customFormat="1" ht="24">
      <c r="B139" s="164"/>
      <c r="C139" s="160" t="s">
        <v>323</v>
      </c>
      <c r="D139" s="160" t="s">
        <v>328</v>
      </c>
      <c r="E139" s="161" t="s">
        <v>329</v>
      </c>
      <c r="F139" s="160" t="s">
        <v>38</v>
      </c>
      <c r="G139" s="162">
        <v>2415.54</v>
      </c>
      <c r="I139" s="623">
        <v>0</v>
      </c>
      <c r="J139" s="163">
        <f t="shared" si="8"/>
        <v>0</v>
      </c>
      <c r="K139" s="163">
        <f t="shared" si="9"/>
        <v>0</v>
      </c>
    </row>
    <row r="140" spans="2:11" s="158" customFormat="1" ht="24">
      <c r="B140" s="165"/>
      <c r="C140" s="160" t="s">
        <v>323</v>
      </c>
      <c r="D140" s="160" t="s">
        <v>330</v>
      </c>
      <c r="E140" s="161" t="s">
        <v>331</v>
      </c>
      <c r="F140" s="160" t="s">
        <v>38</v>
      </c>
      <c r="G140" s="162">
        <v>650.54</v>
      </c>
      <c r="I140" s="623">
        <v>0</v>
      </c>
      <c r="J140" s="163">
        <f t="shared" si="8"/>
        <v>0</v>
      </c>
      <c r="K140" s="163">
        <f t="shared" si="9"/>
        <v>0</v>
      </c>
    </row>
    <row r="141" spans="2:11" s="158" customFormat="1" ht="36">
      <c r="B141" s="159" t="s">
        <v>332</v>
      </c>
      <c r="C141" s="160" t="s">
        <v>333</v>
      </c>
      <c r="D141" s="160" t="s">
        <v>334</v>
      </c>
      <c r="E141" s="161" t="s">
        <v>335</v>
      </c>
      <c r="F141" s="160" t="s">
        <v>38</v>
      </c>
      <c r="G141" s="162">
        <v>1996.38</v>
      </c>
      <c r="I141" s="623">
        <v>0</v>
      </c>
      <c r="J141" s="163">
        <f t="shared" si="8"/>
        <v>0</v>
      </c>
      <c r="K141" s="163">
        <f t="shared" si="9"/>
        <v>0</v>
      </c>
    </row>
    <row r="142" spans="2:11" s="158" customFormat="1" ht="12">
      <c r="B142" s="164"/>
      <c r="C142" s="160" t="s">
        <v>333</v>
      </c>
      <c r="D142" s="160" t="s">
        <v>336</v>
      </c>
      <c r="E142" s="161" t="s">
        <v>337</v>
      </c>
      <c r="F142" s="160" t="s">
        <v>38</v>
      </c>
      <c r="G142" s="162">
        <v>1008.83</v>
      </c>
      <c r="I142" s="623">
        <v>0</v>
      </c>
      <c r="J142" s="163">
        <f t="shared" si="8"/>
        <v>0</v>
      </c>
      <c r="K142" s="163">
        <f t="shared" si="9"/>
        <v>0</v>
      </c>
    </row>
    <row r="143" spans="2:11" s="158" customFormat="1" ht="12">
      <c r="B143" s="164"/>
      <c r="C143" s="160" t="s">
        <v>333</v>
      </c>
      <c r="D143" s="160" t="s">
        <v>338</v>
      </c>
      <c r="E143" s="161" t="s">
        <v>339</v>
      </c>
      <c r="F143" s="160" t="s">
        <v>38</v>
      </c>
      <c r="G143" s="162">
        <v>16.38</v>
      </c>
      <c r="I143" s="623">
        <v>0</v>
      </c>
      <c r="J143" s="163">
        <f t="shared" si="8"/>
        <v>0</v>
      </c>
      <c r="K143" s="163">
        <f t="shared" si="9"/>
        <v>0</v>
      </c>
    </row>
    <row r="144" spans="2:11" s="158" customFormat="1" ht="12">
      <c r="B144" s="164"/>
      <c r="C144" s="160" t="s">
        <v>333</v>
      </c>
      <c r="D144" s="160" t="s">
        <v>340</v>
      </c>
      <c r="E144" s="161" t="s">
        <v>341</v>
      </c>
      <c r="F144" s="160" t="s">
        <v>38</v>
      </c>
      <c r="G144" s="162">
        <v>8050.93</v>
      </c>
      <c r="I144" s="623">
        <v>0</v>
      </c>
      <c r="J144" s="163">
        <f t="shared" si="8"/>
        <v>0</v>
      </c>
      <c r="K144" s="163">
        <f t="shared" si="9"/>
        <v>0</v>
      </c>
    </row>
    <row r="145" spans="2:11" s="158" customFormat="1" ht="24">
      <c r="B145" s="164"/>
      <c r="C145" s="160" t="s">
        <v>333</v>
      </c>
      <c r="D145" s="160" t="s">
        <v>342</v>
      </c>
      <c r="E145" s="161" t="s">
        <v>343</v>
      </c>
      <c r="F145" s="160" t="s">
        <v>38</v>
      </c>
      <c r="G145" s="162">
        <v>5.46</v>
      </c>
      <c r="I145" s="623">
        <v>0</v>
      </c>
      <c r="J145" s="163">
        <f t="shared" si="8"/>
        <v>0</v>
      </c>
      <c r="K145" s="163">
        <f t="shared" si="9"/>
        <v>0</v>
      </c>
    </row>
    <row r="146" spans="2:11" s="158" customFormat="1" ht="24">
      <c r="B146" s="164"/>
      <c r="C146" s="160" t="s">
        <v>333</v>
      </c>
      <c r="D146" s="160" t="s">
        <v>344</v>
      </c>
      <c r="E146" s="161" t="s">
        <v>345</v>
      </c>
      <c r="F146" s="160" t="s">
        <v>38</v>
      </c>
      <c r="G146" s="162">
        <v>12015.97</v>
      </c>
      <c r="I146" s="623">
        <v>0</v>
      </c>
      <c r="J146" s="163">
        <f t="shared" si="8"/>
        <v>0</v>
      </c>
      <c r="K146" s="163">
        <f t="shared" si="9"/>
        <v>0</v>
      </c>
    </row>
    <row r="147" spans="2:11" s="158" customFormat="1" ht="12">
      <c r="B147" s="164"/>
      <c r="C147" s="160" t="s">
        <v>333</v>
      </c>
      <c r="D147" s="160" t="s">
        <v>346</v>
      </c>
      <c r="E147" s="161" t="s">
        <v>347</v>
      </c>
      <c r="F147" s="160" t="s">
        <v>38</v>
      </c>
      <c r="G147" s="162">
        <v>1404.19</v>
      </c>
      <c r="I147" s="623">
        <v>0</v>
      </c>
      <c r="J147" s="163">
        <f t="shared" si="8"/>
        <v>0</v>
      </c>
      <c r="K147" s="163">
        <f t="shared" si="9"/>
        <v>0</v>
      </c>
    </row>
    <row r="148" spans="2:11" s="158" customFormat="1" ht="12">
      <c r="B148" s="165"/>
      <c r="C148" s="160" t="s">
        <v>333</v>
      </c>
      <c r="D148" s="160" t="s">
        <v>348</v>
      </c>
      <c r="E148" s="161" t="s">
        <v>349</v>
      </c>
      <c r="F148" s="160" t="s">
        <v>38</v>
      </c>
      <c r="G148" s="162">
        <v>1390.03</v>
      </c>
      <c r="I148" s="623">
        <v>0</v>
      </c>
      <c r="J148" s="163">
        <f t="shared" si="8"/>
        <v>0</v>
      </c>
      <c r="K148" s="163">
        <f t="shared" si="9"/>
        <v>0</v>
      </c>
    </row>
    <row r="151" spans="2:5" ht="12">
      <c r="B151" s="583"/>
      <c r="C151" s="582"/>
      <c r="D151" s="582"/>
      <c r="E151" s="583"/>
    </row>
    <row r="152" spans="2:5" ht="12">
      <c r="B152" s="583"/>
      <c r="C152" s="582"/>
      <c r="D152" s="582"/>
      <c r="E152" s="583"/>
    </row>
    <row r="153" spans="2:5" ht="14.25">
      <c r="B153" s="580" t="s">
        <v>1361</v>
      </c>
      <c r="C153" s="582"/>
      <c r="D153" s="582"/>
      <c r="E153" s="580" t="s">
        <v>1362</v>
      </c>
    </row>
    <row r="154" spans="2:5" ht="14.25">
      <c r="B154" s="582"/>
      <c r="C154" s="582"/>
      <c r="D154" s="582"/>
      <c r="E154" s="580" t="s">
        <v>1363</v>
      </c>
    </row>
    <row r="155" spans="2:5" ht="14.25">
      <c r="B155" s="582"/>
      <c r="C155" s="582"/>
      <c r="D155" s="582"/>
      <c r="E155" s="580" t="s">
        <v>1364</v>
      </c>
    </row>
    <row r="156" spans="2:5" ht="12">
      <c r="B156" s="582"/>
      <c r="C156" s="582"/>
      <c r="D156" s="582"/>
      <c r="E156" s="583"/>
    </row>
  </sheetData>
  <sheetProtection password="DE7A" sheet="1" objects="1" scenarios="1"/>
  <mergeCells count="1">
    <mergeCell ref="C3:D3"/>
  </mergeCells>
  <printOptions/>
  <pageMargins left="0.699999988079071" right="0.699999988079071" top="0.75" bottom="0.75" header="0.4923610985279083" footer="0.4923610985279083"/>
  <pageSetup errors="blank" fitToHeight="0" fitToWidth="1" horizontalDpi="600" verticalDpi="600" orientation="portrait" scale="70" r:id="rId1"/>
  <headerFooter>
    <oddHeader>&amp;LRekonštrukcia mosta ev.č. R1-018 Váhovce, pravý most&amp;RPríloha č.1 k B.2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showGridLines="0" zoomScale="115" zoomScaleNormal="115" workbookViewId="0" topLeftCell="A133">
      <selection activeCell="J177" sqref="J177"/>
    </sheetView>
  </sheetViews>
  <sheetFormatPr defaultColWidth="9.00390625" defaultRowHeight="12.75"/>
  <cols>
    <col min="1" max="1" width="2.125" style="1" customWidth="1"/>
    <col min="2" max="2" width="27.75390625" style="2" customWidth="1"/>
    <col min="3" max="3" width="10.50390625" style="1" customWidth="1"/>
    <col min="4" max="4" width="12.00390625" style="1" customWidth="1"/>
    <col min="5" max="5" width="63.25390625" style="2" customWidth="1"/>
    <col min="6" max="6" width="4.50390625" style="1" customWidth="1"/>
    <col min="7" max="7" width="12.125" style="1" customWidth="1"/>
    <col min="8" max="8" width="14.875" style="1" hidden="1" customWidth="1"/>
    <col min="9" max="9" width="14.875" style="1" customWidth="1"/>
    <col min="10" max="10" width="15.125" style="1" customWidth="1"/>
    <col min="11" max="11" width="14.00390625" style="1" customWidth="1"/>
    <col min="12" max="16384" width="8.75390625" style="1" customWidth="1"/>
  </cols>
  <sheetData>
    <row r="1" spans="1:11" ht="12">
      <c r="A1" s="7"/>
      <c r="B1" s="7" t="s">
        <v>1367</v>
      </c>
      <c r="C1" s="7"/>
      <c r="D1" s="7"/>
      <c r="E1" s="7"/>
      <c r="F1" s="7"/>
      <c r="G1" s="7"/>
      <c r="H1" s="7"/>
      <c r="I1" s="7"/>
      <c r="J1" s="7"/>
      <c r="K1" s="7"/>
    </row>
    <row r="2" spans="1:11" ht="12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1">
      <c r="A3" s="7"/>
      <c r="B3" s="9" t="s">
        <v>350</v>
      </c>
      <c r="C3" s="588" t="s">
        <v>16</v>
      </c>
      <c r="D3" s="589"/>
      <c r="E3" s="9" t="s">
        <v>17</v>
      </c>
      <c r="F3" s="9" t="s">
        <v>18</v>
      </c>
      <c r="G3" s="9" t="s">
        <v>19</v>
      </c>
      <c r="H3" s="11" t="s">
        <v>358</v>
      </c>
      <c r="I3" s="11" t="s">
        <v>358</v>
      </c>
      <c r="J3" s="13" t="s">
        <v>3</v>
      </c>
      <c r="K3" s="14" t="s">
        <v>4</v>
      </c>
    </row>
    <row r="4" spans="2:11" s="158" customFormat="1" ht="12">
      <c r="B4" s="624" t="s">
        <v>351</v>
      </c>
      <c r="C4" s="160" t="s">
        <v>24</v>
      </c>
      <c r="D4" s="160" t="s">
        <v>21</v>
      </c>
      <c r="E4" s="161" t="s">
        <v>22</v>
      </c>
      <c r="F4" s="160" t="s">
        <v>23</v>
      </c>
      <c r="G4" s="162">
        <v>1</v>
      </c>
      <c r="H4" s="163">
        <f>SupisPrac!I4</f>
        <v>0</v>
      </c>
      <c r="I4" s="163">
        <f aca="true" t="shared" si="0" ref="I4:I67">ROUND(H4,2)</f>
        <v>0</v>
      </c>
      <c r="J4" s="163">
        <f aca="true" t="shared" si="1" ref="J4:J67">ROUND(G4*I4,2)</f>
        <v>0</v>
      </c>
      <c r="K4" s="163">
        <f aca="true" t="shared" si="2" ref="K4:K67">ROUND(J4*0.2,2)</f>
        <v>0</v>
      </c>
    </row>
    <row r="5" spans="2:11" s="158" customFormat="1" ht="12">
      <c r="B5" s="164"/>
      <c r="C5" s="160" t="s">
        <v>24</v>
      </c>
      <c r="D5" s="160" t="s">
        <v>25</v>
      </c>
      <c r="E5" s="161" t="s">
        <v>26</v>
      </c>
      <c r="F5" s="160" t="s">
        <v>23</v>
      </c>
      <c r="G5" s="162">
        <v>1</v>
      </c>
      <c r="H5" s="163">
        <f>SupisPrac!I5</f>
        <v>0</v>
      </c>
      <c r="I5" s="163">
        <f t="shared" si="0"/>
        <v>0</v>
      </c>
      <c r="J5" s="163">
        <f t="shared" si="1"/>
        <v>0</v>
      </c>
      <c r="K5" s="163">
        <f t="shared" si="2"/>
        <v>0</v>
      </c>
    </row>
    <row r="6" spans="2:11" s="158" customFormat="1" ht="12">
      <c r="B6" s="164"/>
      <c r="C6" s="160" t="s">
        <v>24</v>
      </c>
      <c r="D6" s="160" t="s">
        <v>32</v>
      </c>
      <c r="E6" s="161" t="s">
        <v>33</v>
      </c>
      <c r="F6" s="160" t="s">
        <v>23</v>
      </c>
      <c r="G6" s="162">
        <v>2</v>
      </c>
      <c r="H6" s="163">
        <f>SupisPrac!I9</f>
        <v>0</v>
      </c>
      <c r="I6" s="163">
        <f t="shared" si="0"/>
        <v>0</v>
      </c>
      <c r="J6" s="163">
        <f t="shared" si="1"/>
        <v>0</v>
      </c>
      <c r="K6" s="163">
        <f t="shared" si="2"/>
        <v>0</v>
      </c>
    </row>
    <row r="7" spans="2:11" s="158" customFormat="1" ht="12">
      <c r="B7" s="164"/>
      <c r="C7" s="160" t="s">
        <v>24</v>
      </c>
      <c r="D7" s="160" t="s">
        <v>34</v>
      </c>
      <c r="E7" s="161" t="s">
        <v>35</v>
      </c>
      <c r="F7" s="160" t="s">
        <v>23</v>
      </c>
      <c r="G7" s="162">
        <v>1</v>
      </c>
      <c r="H7" s="163">
        <f>SupisPrac!I10</f>
        <v>0</v>
      </c>
      <c r="I7" s="163">
        <f t="shared" si="0"/>
        <v>0</v>
      </c>
      <c r="J7" s="163">
        <f t="shared" si="1"/>
        <v>0</v>
      </c>
      <c r="K7" s="163">
        <f t="shared" si="2"/>
        <v>0</v>
      </c>
    </row>
    <row r="8" spans="2:11" s="158" customFormat="1" ht="12">
      <c r="B8" s="164"/>
      <c r="C8" s="160" t="s">
        <v>24</v>
      </c>
      <c r="D8" s="160" t="s">
        <v>36</v>
      </c>
      <c r="E8" s="161" t="s">
        <v>37</v>
      </c>
      <c r="F8" s="160" t="s">
        <v>38</v>
      </c>
      <c r="G8" s="162">
        <v>10313.75</v>
      </c>
      <c r="H8" s="163">
        <f>SupisPrac!I11</f>
        <v>0</v>
      </c>
      <c r="I8" s="163">
        <f t="shared" si="0"/>
        <v>0</v>
      </c>
      <c r="J8" s="163">
        <f t="shared" si="1"/>
        <v>0</v>
      </c>
      <c r="K8" s="163">
        <f t="shared" si="2"/>
        <v>0</v>
      </c>
    </row>
    <row r="9" spans="2:11" s="158" customFormat="1" ht="12">
      <c r="B9" s="164"/>
      <c r="C9" s="160" t="s">
        <v>24</v>
      </c>
      <c r="D9" s="160" t="s">
        <v>39</v>
      </c>
      <c r="E9" s="161" t="s">
        <v>40</v>
      </c>
      <c r="F9" s="160" t="s">
        <v>38</v>
      </c>
      <c r="G9" s="162">
        <v>34914.35</v>
      </c>
      <c r="H9" s="163">
        <f>SupisPrac!I12</f>
        <v>0</v>
      </c>
      <c r="I9" s="163">
        <f t="shared" si="0"/>
        <v>0</v>
      </c>
      <c r="J9" s="163">
        <f t="shared" si="1"/>
        <v>0</v>
      </c>
      <c r="K9" s="163">
        <f t="shared" si="2"/>
        <v>0</v>
      </c>
    </row>
    <row r="10" spans="2:11" s="158" customFormat="1" ht="12">
      <c r="B10" s="164"/>
      <c r="C10" s="160" t="s">
        <v>24</v>
      </c>
      <c r="D10" s="160" t="s">
        <v>41</v>
      </c>
      <c r="E10" s="161" t="s">
        <v>42</v>
      </c>
      <c r="F10" s="160" t="s">
        <v>23</v>
      </c>
      <c r="G10" s="162">
        <v>1</v>
      </c>
      <c r="H10" s="163">
        <f>SupisPrac!I13</f>
        <v>0</v>
      </c>
      <c r="I10" s="163">
        <f t="shared" si="0"/>
        <v>0</v>
      </c>
      <c r="J10" s="163">
        <f t="shared" si="1"/>
        <v>0</v>
      </c>
      <c r="K10" s="163">
        <f t="shared" si="2"/>
        <v>0</v>
      </c>
    </row>
    <row r="11" spans="2:11" s="158" customFormat="1" ht="12">
      <c r="B11" s="164"/>
      <c r="C11" s="160" t="s">
        <v>24</v>
      </c>
      <c r="D11" s="160" t="s">
        <v>43</v>
      </c>
      <c r="E11" s="161" t="s">
        <v>44</v>
      </c>
      <c r="F11" s="160" t="s">
        <v>45</v>
      </c>
      <c r="G11" s="162">
        <v>850</v>
      </c>
      <c r="H11" s="163">
        <f>SupisPrac!I14</f>
        <v>0</v>
      </c>
      <c r="I11" s="163">
        <f t="shared" si="0"/>
        <v>0</v>
      </c>
      <c r="J11" s="163">
        <f t="shared" si="1"/>
        <v>0</v>
      </c>
      <c r="K11" s="163">
        <f t="shared" si="2"/>
        <v>0</v>
      </c>
    </row>
    <row r="12" spans="2:11" s="158" customFormat="1" ht="12">
      <c r="B12" s="165"/>
      <c r="C12" s="160" t="s">
        <v>24</v>
      </c>
      <c r="D12" s="160" t="s">
        <v>46</v>
      </c>
      <c r="E12" s="161" t="s">
        <v>47</v>
      </c>
      <c r="F12" s="160" t="s">
        <v>23</v>
      </c>
      <c r="G12" s="162">
        <v>1</v>
      </c>
      <c r="H12" s="163">
        <f>SupisPrac!I15</f>
        <v>0</v>
      </c>
      <c r="I12" s="163">
        <f t="shared" si="0"/>
        <v>0</v>
      </c>
      <c r="J12" s="163">
        <f t="shared" si="1"/>
        <v>0</v>
      </c>
      <c r="K12" s="163">
        <f t="shared" si="2"/>
        <v>0</v>
      </c>
    </row>
    <row r="13" spans="2:11" s="618" customFormat="1" ht="24">
      <c r="B13" s="625" t="s">
        <v>352</v>
      </c>
      <c r="C13" s="626"/>
      <c r="D13" s="626"/>
      <c r="E13" s="627"/>
      <c r="F13" s="626"/>
      <c r="G13" s="626"/>
      <c r="H13" s="626"/>
      <c r="I13" s="163"/>
      <c r="J13" s="621">
        <f>SUM(J4:J12)</f>
        <v>0</v>
      </c>
      <c r="K13" s="621">
        <f>SUM(K4:K12)</f>
        <v>0</v>
      </c>
    </row>
    <row r="14" spans="2:11" s="158" customFormat="1" ht="12">
      <c r="B14" s="624" t="s">
        <v>353</v>
      </c>
      <c r="C14" s="160" t="s">
        <v>24</v>
      </c>
      <c r="D14" s="160" t="s">
        <v>27</v>
      </c>
      <c r="E14" s="161" t="s">
        <v>1368</v>
      </c>
      <c r="F14" s="160" t="s">
        <v>28</v>
      </c>
      <c r="G14" s="162">
        <v>104.891</v>
      </c>
      <c r="H14" s="163">
        <f>SupisPrac!I6</f>
        <v>0</v>
      </c>
      <c r="I14" s="163">
        <f t="shared" si="0"/>
        <v>0</v>
      </c>
      <c r="J14" s="163">
        <f t="shared" si="1"/>
        <v>0</v>
      </c>
      <c r="K14" s="163">
        <f t="shared" si="2"/>
        <v>0</v>
      </c>
    </row>
    <row r="15" spans="2:11" s="158" customFormat="1" ht="12">
      <c r="B15" s="164"/>
      <c r="C15" s="160" t="s">
        <v>24</v>
      </c>
      <c r="D15" s="160" t="s">
        <v>29</v>
      </c>
      <c r="E15" s="161" t="s">
        <v>1369</v>
      </c>
      <c r="F15" s="160" t="s">
        <v>30</v>
      </c>
      <c r="G15" s="162">
        <v>223.75</v>
      </c>
      <c r="H15" s="163">
        <f>SupisPrac!I7</f>
        <v>0</v>
      </c>
      <c r="I15" s="163">
        <f t="shared" si="0"/>
        <v>0</v>
      </c>
      <c r="J15" s="163">
        <f t="shared" si="1"/>
        <v>0</v>
      </c>
      <c r="K15" s="163">
        <f t="shared" si="2"/>
        <v>0</v>
      </c>
    </row>
    <row r="16" spans="2:11" s="158" customFormat="1" ht="12">
      <c r="B16" s="164"/>
      <c r="C16" s="160" t="s">
        <v>49</v>
      </c>
      <c r="D16" s="160" t="s">
        <v>63</v>
      </c>
      <c r="E16" s="161" t="s">
        <v>64</v>
      </c>
      <c r="F16" s="160" t="s">
        <v>60</v>
      </c>
      <c r="G16" s="162">
        <v>122</v>
      </c>
      <c r="H16" s="163">
        <f>SupisPrac!I22</f>
        <v>0</v>
      </c>
      <c r="I16" s="163">
        <f t="shared" si="0"/>
        <v>0</v>
      </c>
      <c r="J16" s="163">
        <f t="shared" si="1"/>
        <v>0</v>
      </c>
      <c r="K16" s="163">
        <f t="shared" si="2"/>
        <v>0</v>
      </c>
    </row>
    <row r="17" spans="2:11" s="158" customFormat="1" ht="12">
      <c r="B17" s="164"/>
      <c r="C17" s="160" t="s">
        <v>49</v>
      </c>
      <c r="D17" s="160" t="s">
        <v>67</v>
      </c>
      <c r="E17" s="161" t="s">
        <v>68</v>
      </c>
      <c r="F17" s="160" t="s">
        <v>38</v>
      </c>
      <c r="G17" s="162">
        <v>1.4</v>
      </c>
      <c r="H17" s="163">
        <f>SupisPrac!I24</f>
        <v>0</v>
      </c>
      <c r="I17" s="163">
        <f t="shared" si="0"/>
        <v>0</v>
      </c>
      <c r="J17" s="163">
        <f t="shared" si="1"/>
        <v>0</v>
      </c>
      <c r="K17" s="163">
        <f t="shared" si="2"/>
        <v>0</v>
      </c>
    </row>
    <row r="18" spans="2:11" s="158" customFormat="1" ht="12">
      <c r="B18" s="164"/>
      <c r="C18" s="160" t="s">
        <v>49</v>
      </c>
      <c r="D18" s="160" t="s">
        <v>69</v>
      </c>
      <c r="E18" s="161" t="s">
        <v>70</v>
      </c>
      <c r="F18" s="160" t="s">
        <v>38</v>
      </c>
      <c r="G18" s="162">
        <v>124</v>
      </c>
      <c r="H18" s="163">
        <f>SupisPrac!I25</f>
        <v>0</v>
      </c>
      <c r="I18" s="163">
        <f t="shared" si="0"/>
        <v>0</v>
      </c>
      <c r="J18" s="163">
        <f t="shared" si="1"/>
        <v>0</v>
      </c>
      <c r="K18" s="163">
        <f t="shared" si="2"/>
        <v>0</v>
      </c>
    </row>
    <row r="19" spans="2:11" s="158" customFormat="1" ht="12">
      <c r="B19" s="164"/>
      <c r="C19" s="160" t="s">
        <v>49</v>
      </c>
      <c r="D19" s="160" t="s">
        <v>73</v>
      </c>
      <c r="E19" s="161" t="s">
        <v>74</v>
      </c>
      <c r="F19" s="160" t="s">
        <v>38</v>
      </c>
      <c r="G19" s="162">
        <v>124</v>
      </c>
      <c r="H19" s="163">
        <f>SupisPrac!I27</f>
        <v>0</v>
      </c>
      <c r="I19" s="163">
        <f t="shared" si="0"/>
        <v>0</v>
      </c>
      <c r="J19" s="163">
        <f t="shared" si="1"/>
        <v>0</v>
      </c>
      <c r="K19" s="163">
        <f t="shared" si="2"/>
        <v>0</v>
      </c>
    </row>
    <row r="20" spans="2:11" s="158" customFormat="1" ht="12">
      <c r="B20" s="164"/>
      <c r="C20" s="160" t="s">
        <v>49</v>
      </c>
      <c r="D20" s="160" t="s">
        <v>75</v>
      </c>
      <c r="E20" s="161" t="s">
        <v>76</v>
      </c>
      <c r="F20" s="160" t="s">
        <v>45</v>
      </c>
      <c r="G20" s="162">
        <v>159</v>
      </c>
      <c r="H20" s="163">
        <f>SupisPrac!I28</f>
        <v>0</v>
      </c>
      <c r="I20" s="163">
        <f t="shared" si="0"/>
        <v>0</v>
      </c>
      <c r="J20" s="163">
        <f t="shared" si="1"/>
        <v>0</v>
      </c>
      <c r="K20" s="163">
        <f t="shared" si="2"/>
        <v>0</v>
      </c>
    </row>
    <row r="21" spans="2:11" s="158" customFormat="1" ht="12">
      <c r="B21" s="164"/>
      <c r="C21" s="160" t="s">
        <v>49</v>
      </c>
      <c r="D21" s="160" t="s">
        <v>77</v>
      </c>
      <c r="E21" s="161" t="s">
        <v>78</v>
      </c>
      <c r="F21" s="160" t="s">
        <v>60</v>
      </c>
      <c r="G21" s="162">
        <v>4</v>
      </c>
      <c r="H21" s="163">
        <f>SupisPrac!I29</f>
        <v>0</v>
      </c>
      <c r="I21" s="163">
        <f t="shared" si="0"/>
        <v>0</v>
      </c>
      <c r="J21" s="163">
        <f t="shared" si="1"/>
        <v>0</v>
      </c>
      <c r="K21" s="163">
        <f t="shared" si="2"/>
        <v>0</v>
      </c>
    </row>
    <row r="22" spans="2:11" s="158" customFormat="1" ht="12">
      <c r="B22" s="164"/>
      <c r="C22" s="160" t="s">
        <v>49</v>
      </c>
      <c r="D22" s="160" t="s">
        <v>79</v>
      </c>
      <c r="E22" s="161" t="s">
        <v>80</v>
      </c>
      <c r="F22" s="160" t="s">
        <v>28</v>
      </c>
      <c r="G22" s="162">
        <v>433.89</v>
      </c>
      <c r="H22" s="163">
        <f>SupisPrac!I30</f>
        <v>0</v>
      </c>
      <c r="I22" s="163">
        <f t="shared" si="0"/>
        <v>0</v>
      </c>
      <c r="J22" s="163">
        <f t="shared" si="1"/>
        <v>0</v>
      </c>
      <c r="K22" s="163">
        <f t="shared" si="2"/>
        <v>0</v>
      </c>
    </row>
    <row r="23" spans="2:11" s="158" customFormat="1" ht="12">
      <c r="B23" s="164"/>
      <c r="C23" s="160" t="s">
        <v>49</v>
      </c>
      <c r="D23" s="160" t="s">
        <v>87</v>
      </c>
      <c r="E23" s="161" t="s">
        <v>88</v>
      </c>
      <c r="F23" s="160" t="s">
        <v>38</v>
      </c>
      <c r="G23" s="162">
        <v>2233.7</v>
      </c>
      <c r="H23" s="163">
        <f>SupisPrac!I34</f>
        <v>0</v>
      </c>
      <c r="I23" s="163">
        <f t="shared" si="0"/>
        <v>0</v>
      </c>
      <c r="J23" s="163">
        <f t="shared" si="1"/>
        <v>0</v>
      </c>
      <c r="K23" s="163">
        <f t="shared" si="2"/>
        <v>0</v>
      </c>
    </row>
    <row r="24" spans="2:11" s="158" customFormat="1" ht="12">
      <c r="B24" s="164"/>
      <c r="C24" s="160" t="s">
        <v>49</v>
      </c>
      <c r="D24" s="160" t="s">
        <v>89</v>
      </c>
      <c r="E24" s="161" t="s">
        <v>90</v>
      </c>
      <c r="F24" s="160" t="s">
        <v>45</v>
      </c>
      <c r="G24" s="162">
        <v>29.5</v>
      </c>
      <c r="H24" s="163">
        <f>SupisPrac!I35</f>
        <v>0</v>
      </c>
      <c r="I24" s="163">
        <f t="shared" si="0"/>
        <v>0</v>
      </c>
      <c r="J24" s="163">
        <f t="shared" si="1"/>
        <v>0</v>
      </c>
      <c r="K24" s="163">
        <f t="shared" si="2"/>
        <v>0</v>
      </c>
    </row>
    <row r="25" spans="2:11" s="158" customFormat="1" ht="12">
      <c r="B25" s="164"/>
      <c r="C25" s="160" t="s">
        <v>49</v>
      </c>
      <c r="D25" s="160" t="s">
        <v>91</v>
      </c>
      <c r="E25" s="161" t="s">
        <v>92</v>
      </c>
      <c r="F25" s="160" t="s">
        <v>45</v>
      </c>
      <c r="G25" s="162">
        <v>262</v>
      </c>
      <c r="H25" s="163">
        <f>SupisPrac!I36</f>
        <v>0</v>
      </c>
      <c r="I25" s="163">
        <f t="shared" si="0"/>
        <v>0</v>
      </c>
      <c r="J25" s="163">
        <f t="shared" si="1"/>
        <v>0</v>
      </c>
      <c r="K25" s="163">
        <f t="shared" si="2"/>
        <v>0</v>
      </c>
    </row>
    <row r="26" spans="2:11" s="158" customFormat="1" ht="12">
      <c r="B26" s="164"/>
      <c r="C26" s="160" t="s">
        <v>112</v>
      </c>
      <c r="D26" s="160" t="s">
        <v>113</v>
      </c>
      <c r="E26" s="161" t="s">
        <v>114</v>
      </c>
      <c r="F26" s="160" t="s">
        <v>30</v>
      </c>
      <c r="G26" s="162">
        <v>14.4</v>
      </c>
      <c r="H26" s="163">
        <f>SupisPrac!I45</f>
        <v>0</v>
      </c>
      <c r="I26" s="163">
        <f t="shared" si="0"/>
        <v>0</v>
      </c>
      <c r="J26" s="163">
        <f t="shared" si="1"/>
        <v>0</v>
      </c>
      <c r="K26" s="163">
        <f t="shared" si="2"/>
        <v>0</v>
      </c>
    </row>
    <row r="27" spans="2:11" s="158" customFormat="1" ht="12">
      <c r="B27" s="164"/>
      <c r="C27" s="160" t="s">
        <v>112</v>
      </c>
      <c r="D27" s="160" t="s">
        <v>115</v>
      </c>
      <c r="E27" s="161" t="s">
        <v>116</v>
      </c>
      <c r="F27" s="160" t="s">
        <v>30</v>
      </c>
      <c r="G27" s="162">
        <v>14.4</v>
      </c>
      <c r="H27" s="163">
        <f>SupisPrac!I46</f>
        <v>0</v>
      </c>
      <c r="I27" s="163">
        <f t="shared" si="0"/>
        <v>0</v>
      </c>
      <c r="J27" s="163">
        <f t="shared" si="1"/>
        <v>0</v>
      </c>
      <c r="K27" s="163">
        <f t="shared" si="2"/>
        <v>0</v>
      </c>
    </row>
    <row r="28" spans="2:11" s="158" customFormat="1" ht="12">
      <c r="B28" s="164"/>
      <c r="C28" s="160" t="s">
        <v>112</v>
      </c>
      <c r="D28" s="160" t="s">
        <v>117</v>
      </c>
      <c r="E28" s="161" t="s">
        <v>118</v>
      </c>
      <c r="F28" s="160" t="s">
        <v>38</v>
      </c>
      <c r="G28" s="162">
        <v>96</v>
      </c>
      <c r="H28" s="163">
        <f>SupisPrac!I47</f>
        <v>0</v>
      </c>
      <c r="I28" s="163">
        <f t="shared" si="0"/>
        <v>0</v>
      </c>
      <c r="J28" s="163">
        <f t="shared" si="1"/>
        <v>0</v>
      </c>
      <c r="K28" s="163">
        <f t="shared" si="2"/>
        <v>0</v>
      </c>
    </row>
    <row r="29" spans="2:11" s="158" customFormat="1" ht="12">
      <c r="B29" s="164"/>
      <c r="C29" s="160" t="s">
        <v>112</v>
      </c>
      <c r="D29" s="160" t="s">
        <v>119</v>
      </c>
      <c r="E29" s="161" t="s">
        <v>120</v>
      </c>
      <c r="F29" s="160" t="s">
        <v>38</v>
      </c>
      <c r="G29" s="162">
        <v>96</v>
      </c>
      <c r="H29" s="163">
        <f>SupisPrac!I48</f>
        <v>0</v>
      </c>
      <c r="I29" s="163">
        <f t="shared" si="0"/>
        <v>0</v>
      </c>
      <c r="J29" s="163">
        <f t="shared" si="1"/>
        <v>0</v>
      </c>
      <c r="K29" s="163">
        <f t="shared" si="2"/>
        <v>0</v>
      </c>
    </row>
    <row r="30" spans="2:11" s="158" customFormat="1" ht="12">
      <c r="B30" s="164"/>
      <c r="C30" s="160" t="s">
        <v>112</v>
      </c>
      <c r="D30" s="160" t="s">
        <v>121</v>
      </c>
      <c r="E30" s="161" t="s">
        <v>122</v>
      </c>
      <c r="F30" s="160" t="s">
        <v>38</v>
      </c>
      <c r="G30" s="162">
        <v>96</v>
      </c>
      <c r="H30" s="163">
        <f>SupisPrac!I49</f>
        <v>0</v>
      </c>
      <c r="I30" s="163">
        <f t="shared" si="0"/>
        <v>0</v>
      </c>
      <c r="J30" s="163">
        <f t="shared" si="1"/>
        <v>0</v>
      </c>
      <c r="K30" s="163">
        <f t="shared" si="2"/>
        <v>0</v>
      </c>
    </row>
    <row r="31" spans="2:11" s="158" customFormat="1" ht="12">
      <c r="B31" s="164"/>
      <c r="C31" s="160" t="s">
        <v>124</v>
      </c>
      <c r="D31" s="160" t="s">
        <v>125</v>
      </c>
      <c r="E31" s="161" t="s">
        <v>126</v>
      </c>
      <c r="F31" s="160" t="s">
        <v>30</v>
      </c>
      <c r="G31" s="162">
        <v>223.75</v>
      </c>
      <c r="H31" s="163">
        <f>SupisPrac!I50</f>
        <v>0</v>
      </c>
      <c r="I31" s="163">
        <f t="shared" si="0"/>
        <v>0</v>
      </c>
      <c r="J31" s="163">
        <f t="shared" si="1"/>
        <v>0</v>
      </c>
      <c r="K31" s="163">
        <f t="shared" si="2"/>
        <v>0</v>
      </c>
    </row>
    <row r="32" spans="2:11" s="158" customFormat="1" ht="12">
      <c r="B32" s="164"/>
      <c r="C32" s="160" t="s">
        <v>124</v>
      </c>
      <c r="D32" s="160" t="s">
        <v>133</v>
      </c>
      <c r="E32" s="161" t="s">
        <v>134</v>
      </c>
      <c r="F32" s="160" t="s">
        <v>38</v>
      </c>
      <c r="G32" s="162">
        <v>593.9</v>
      </c>
      <c r="H32" s="163">
        <f>SupisPrac!I54</f>
        <v>0</v>
      </c>
      <c r="I32" s="163">
        <f t="shared" si="0"/>
        <v>0</v>
      </c>
      <c r="J32" s="163">
        <f t="shared" si="1"/>
        <v>0</v>
      </c>
      <c r="K32" s="163">
        <f t="shared" si="2"/>
        <v>0</v>
      </c>
    </row>
    <row r="33" spans="2:11" s="158" customFormat="1" ht="12">
      <c r="B33" s="164"/>
      <c r="C33" s="160" t="s">
        <v>138</v>
      </c>
      <c r="D33" s="160" t="s">
        <v>107</v>
      </c>
      <c r="E33" s="161" t="s">
        <v>139</v>
      </c>
      <c r="F33" s="160" t="s">
        <v>30</v>
      </c>
      <c r="G33" s="162">
        <v>223.75</v>
      </c>
      <c r="H33" s="163">
        <f>SupisPrac!I56</f>
        <v>0</v>
      </c>
      <c r="I33" s="163">
        <f t="shared" si="0"/>
        <v>0</v>
      </c>
      <c r="J33" s="163">
        <f t="shared" si="1"/>
        <v>0</v>
      </c>
      <c r="K33" s="163">
        <f t="shared" si="2"/>
        <v>0</v>
      </c>
    </row>
    <row r="34" spans="2:11" s="158" customFormat="1" ht="12">
      <c r="B34" s="164"/>
      <c r="C34" s="160" t="s">
        <v>217</v>
      </c>
      <c r="D34" s="160" t="s">
        <v>220</v>
      </c>
      <c r="E34" s="161" t="s">
        <v>221</v>
      </c>
      <c r="F34" s="160" t="s">
        <v>45</v>
      </c>
      <c r="G34" s="162">
        <v>10</v>
      </c>
      <c r="H34" s="163">
        <f>SupisPrac!I94</f>
        <v>0</v>
      </c>
      <c r="I34" s="163">
        <f t="shared" si="0"/>
        <v>0</v>
      </c>
      <c r="J34" s="163">
        <f t="shared" si="1"/>
        <v>0</v>
      </c>
      <c r="K34" s="163">
        <f t="shared" si="2"/>
        <v>0</v>
      </c>
    </row>
    <row r="35" spans="2:11" s="158" customFormat="1" ht="24">
      <c r="B35" s="164"/>
      <c r="C35" s="160" t="s">
        <v>223</v>
      </c>
      <c r="D35" s="160" t="s">
        <v>224</v>
      </c>
      <c r="E35" s="161" t="s">
        <v>225</v>
      </c>
      <c r="F35" s="160" t="s">
        <v>30</v>
      </c>
      <c r="G35" s="162">
        <v>4.9</v>
      </c>
      <c r="H35" s="163">
        <f>SupisPrac!I95</f>
        <v>0</v>
      </c>
      <c r="I35" s="163">
        <f t="shared" si="0"/>
        <v>0</v>
      </c>
      <c r="J35" s="163">
        <f t="shared" si="1"/>
        <v>0</v>
      </c>
      <c r="K35" s="163">
        <f t="shared" si="2"/>
        <v>0</v>
      </c>
    </row>
    <row r="36" spans="2:11" s="158" customFormat="1" ht="24">
      <c r="B36" s="164"/>
      <c r="C36" s="160" t="s">
        <v>223</v>
      </c>
      <c r="D36" s="160" t="s">
        <v>226</v>
      </c>
      <c r="E36" s="161" t="s">
        <v>227</v>
      </c>
      <c r="F36" s="160" t="s">
        <v>38</v>
      </c>
      <c r="G36" s="162">
        <v>2414.5</v>
      </c>
      <c r="H36" s="163">
        <f>SupisPrac!I96</f>
        <v>0</v>
      </c>
      <c r="I36" s="163">
        <f t="shared" si="0"/>
        <v>0</v>
      </c>
      <c r="J36" s="163">
        <f t="shared" si="1"/>
        <v>0</v>
      </c>
      <c r="K36" s="163">
        <f t="shared" si="2"/>
        <v>0</v>
      </c>
    </row>
    <row r="37" spans="2:11" s="158" customFormat="1" ht="12">
      <c r="B37" s="164"/>
      <c r="C37" s="160" t="s">
        <v>223</v>
      </c>
      <c r="D37" s="160" t="s">
        <v>228</v>
      </c>
      <c r="E37" s="161" t="s">
        <v>229</v>
      </c>
      <c r="F37" s="160" t="s">
        <v>30</v>
      </c>
      <c r="G37" s="162">
        <v>79.07</v>
      </c>
      <c r="H37" s="163">
        <f>SupisPrac!I97</f>
        <v>0</v>
      </c>
      <c r="I37" s="163">
        <f t="shared" si="0"/>
        <v>0</v>
      </c>
      <c r="J37" s="163">
        <f t="shared" si="1"/>
        <v>0</v>
      </c>
      <c r="K37" s="163">
        <f t="shared" si="2"/>
        <v>0</v>
      </c>
    </row>
    <row r="38" spans="2:11" s="158" customFormat="1" ht="24">
      <c r="B38" s="164"/>
      <c r="C38" s="160" t="s">
        <v>223</v>
      </c>
      <c r="D38" s="160" t="s">
        <v>230</v>
      </c>
      <c r="E38" s="161" t="s">
        <v>231</v>
      </c>
      <c r="F38" s="160" t="s">
        <v>30</v>
      </c>
      <c r="G38" s="162">
        <v>61.08</v>
      </c>
      <c r="H38" s="163">
        <f>SupisPrac!I98</f>
        <v>0</v>
      </c>
      <c r="I38" s="163">
        <f t="shared" si="0"/>
        <v>0</v>
      </c>
      <c r="J38" s="163">
        <f t="shared" si="1"/>
        <v>0</v>
      </c>
      <c r="K38" s="163">
        <f t="shared" si="2"/>
        <v>0</v>
      </c>
    </row>
    <row r="39" spans="2:11" s="158" customFormat="1" ht="12">
      <c r="B39" s="164"/>
      <c r="C39" s="160" t="s">
        <v>223</v>
      </c>
      <c r="D39" s="160" t="s">
        <v>236</v>
      </c>
      <c r="E39" s="161" t="s">
        <v>237</v>
      </c>
      <c r="F39" s="160" t="s">
        <v>45</v>
      </c>
      <c r="G39" s="162">
        <v>218</v>
      </c>
      <c r="H39" s="163">
        <f>SupisPrac!I101</f>
        <v>0</v>
      </c>
      <c r="I39" s="163">
        <f t="shared" si="0"/>
        <v>0</v>
      </c>
      <c r="J39" s="163">
        <f t="shared" si="1"/>
        <v>0</v>
      </c>
      <c r="K39" s="163">
        <f t="shared" si="2"/>
        <v>0</v>
      </c>
    </row>
    <row r="40" spans="2:11" s="158" customFormat="1" ht="12">
      <c r="B40" s="164"/>
      <c r="C40" s="160" t="s">
        <v>223</v>
      </c>
      <c r="D40" s="160" t="s">
        <v>244</v>
      </c>
      <c r="E40" s="161" t="s">
        <v>245</v>
      </c>
      <c r="F40" s="160" t="s">
        <v>45</v>
      </c>
      <c r="G40" s="162">
        <v>36</v>
      </c>
      <c r="H40" s="163">
        <f>SupisPrac!I105</f>
        <v>0</v>
      </c>
      <c r="I40" s="163">
        <f t="shared" si="0"/>
        <v>0</v>
      </c>
      <c r="J40" s="163">
        <f t="shared" si="1"/>
        <v>0</v>
      </c>
      <c r="K40" s="163">
        <f t="shared" si="2"/>
        <v>0</v>
      </c>
    </row>
    <row r="41" spans="2:11" s="158" customFormat="1" ht="12">
      <c r="B41" s="164"/>
      <c r="C41" s="160" t="s">
        <v>223</v>
      </c>
      <c r="D41" s="160" t="s">
        <v>246</v>
      </c>
      <c r="E41" s="161" t="s">
        <v>247</v>
      </c>
      <c r="F41" s="160" t="s">
        <v>45</v>
      </c>
      <c r="G41" s="162">
        <v>123</v>
      </c>
      <c r="H41" s="163">
        <f>SupisPrac!I106</f>
        <v>0</v>
      </c>
      <c r="I41" s="163">
        <f t="shared" si="0"/>
        <v>0</v>
      </c>
      <c r="J41" s="163">
        <f t="shared" si="1"/>
        <v>0</v>
      </c>
      <c r="K41" s="163">
        <f t="shared" si="2"/>
        <v>0</v>
      </c>
    </row>
    <row r="42" spans="2:11" s="158" customFormat="1" ht="24">
      <c r="B42" s="164"/>
      <c r="C42" s="160" t="s">
        <v>223</v>
      </c>
      <c r="D42" s="160" t="s">
        <v>248</v>
      </c>
      <c r="E42" s="161" t="s">
        <v>249</v>
      </c>
      <c r="F42" s="160" t="s">
        <v>60</v>
      </c>
      <c r="G42" s="162">
        <v>4</v>
      </c>
      <c r="H42" s="163">
        <f>SupisPrac!I107</f>
        <v>0</v>
      </c>
      <c r="I42" s="163">
        <f t="shared" si="0"/>
        <v>0</v>
      </c>
      <c r="J42" s="163">
        <f t="shared" si="1"/>
        <v>0</v>
      </c>
      <c r="K42" s="163">
        <f t="shared" si="2"/>
        <v>0</v>
      </c>
    </row>
    <row r="43" spans="2:11" s="158" customFormat="1" ht="12">
      <c r="B43" s="164"/>
      <c r="C43" s="160" t="s">
        <v>223</v>
      </c>
      <c r="D43" s="160" t="s">
        <v>250</v>
      </c>
      <c r="E43" s="161" t="s">
        <v>251</v>
      </c>
      <c r="F43" s="160" t="s">
        <v>60</v>
      </c>
      <c r="G43" s="162">
        <v>130</v>
      </c>
      <c r="H43" s="163">
        <f>SupisPrac!I108</f>
        <v>0</v>
      </c>
      <c r="I43" s="163">
        <f t="shared" si="0"/>
        <v>0</v>
      </c>
      <c r="J43" s="163">
        <f t="shared" si="1"/>
        <v>0</v>
      </c>
      <c r="K43" s="163">
        <f t="shared" si="2"/>
        <v>0</v>
      </c>
    </row>
    <row r="44" spans="2:11" s="158" customFormat="1" ht="12">
      <c r="B44" s="164"/>
      <c r="C44" s="160" t="s">
        <v>223</v>
      </c>
      <c r="D44" s="160" t="s">
        <v>254</v>
      </c>
      <c r="E44" s="161" t="s">
        <v>255</v>
      </c>
      <c r="F44" s="160" t="s">
        <v>60</v>
      </c>
      <c r="G44" s="162">
        <v>6</v>
      </c>
      <c r="H44" s="163">
        <f>SupisPrac!I110</f>
        <v>0</v>
      </c>
      <c r="I44" s="163">
        <f t="shared" si="0"/>
        <v>0</v>
      </c>
      <c r="J44" s="163">
        <f t="shared" si="1"/>
        <v>0</v>
      </c>
      <c r="K44" s="163">
        <f t="shared" si="2"/>
        <v>0</v>
      </c>
    </row>
    <row r="45" spans="2:11" s="158" customFormat="1" ht="12">
      <c r="B45" s="164"/>
      <c r="C45" s="160" t="s">
        <v>223</v>
      </c>
      <c r="D45" s="160" t="s">
        <v>256</v>
      </c>
      <c r="E45" s="161" t="s">
        <v>257</v>
      </c>
      <c r="F45" s="160" t="s">
        <v>60</v>
      </c>
      <c r="G45" s="162">
        <v>1</v>
      </c>
      <c r="H45" s="163">
        <f>SupisPrac!I111</f>
        <v>0</v>
      </c>
      <c r="I45" s="163">
        <f t="shared" si="0"/>
        <v>0</v>
      </c>
      <c r="J45" s="163">
        <f t="shared" si="1"/>
        <v>0</v>
      </c>
      <c r="K45" s="163">
        <f t="shared" si="2"/>
        <v>0</v>
      </c>
    </row>
    <row r="46" spans="2:11" s="158" customFormat="1" ht="12">
      <c r="B46" s="164"/>
      <c r="C46" s="160" t="s">
        <v>265</v>
      </c>
      <c r="D46" s="160" t="s">
        <v>266</v>
      </c>
      <c r="E46" s="161" t="s">
        <v>267</v>
      </c>
      <c r="F46" s="160" t="s">
        <v>30</v>
      </c>
      <c r="G46" s="162">
        <v>44.22</v>
      </c>
      <c r="H46" s="163">
        <f>SupisPrac!I115</f>
        <v>0</v>
      </c>
      <c r="I46" s="163">
        <f t="shared" si="0"/>
        <v>0</v>
      </c>
      <c r="J46" s="163">
        <f t="shared" si="1"/>
        <v>0</v>
      </c>
      <c r="K46" s="163">
        <f t="shared" si="2"/>
        <v>0</v>
      </c>
    </row>
    <row r="47" spans="2:11" s="158" customFormat="1" ht="12">
      <c r="B47" s="164"/>
      <c r="C47" s="160" t="s">
        <v>265</v>
      </c>
      <c r="D47" s="160" t="s">
        <v>268</v>
      </c>
      <c r="E47" s="161" t="s">
        <v>269</v>
      </c>
      <c r="F47" s="160" t="s">
        <v>30</v>
      </c>
      <c r="G47" s="162">
        <v>179</v>
      </c>
      <c r="H47" s="163">
        <f>SupisPrac!I116</f>
        <v>0</v>
      </c>
      <c r="I47" s="163">
        <f t="shared" si="0"/>
        <v>0</v>
      </c>
      <c r="J47" s="163">
        <f t="shared" si="1"/>
        <v>0</v>
      </c>
      <c r="K47" s="163">
        <f t="shared" si="2"/>
        <v>0</v>
      </c>
    </row>
    <row r="48" spans="2:11" s="158" customFormat="1" ht="12">
      <c r="B48" s="164"/>
      <c r="C48" s="160" t="s">
        <v>265</v>
      </c>
      <c r="D48" s="160" t="s">
        <v>270</v>
      </c>
      <c r="E48" s="161" t="s">
        <v>271</v>
      </c>
      <c r="F48" s="160" t="s">
        <v>30</v>
      </c>
      <c r="G48" s="162">
        <v>44.75</v>
      </c>
      <c r="H48" s="163">
        <f>SupisPrac!I117</f>
        <v>0</v>
      </c>
      <c r="I48" s="163">
        <f t="shared" si="0"/>
        <v>0</v>
      </c>
      <c r="J48" s="163">
        <f t="shared" si="1"/>
        <v>0</v>
      </c>
      <c r="K48" s="163">
        <f t="shared" si="2"/>
        <v>0</v>
      </c>
    </row>
    <row r="49" spans="2:11" s="158" customFormat="1" ht="24">
      <c r="B49" s="164"/>
      <c r="C49" s="160" t="s">
        <v>265</v>
      </c>
      <c r="D49" s="160" t="s">
        <v>272</v>
      </c>
      <c r="E49" s="161" t="s">
        <v>273</v>
      </c>
      <c r="F49" s="160" t="s">
        <v>30</v>
      </c>
      <c r="G49" s="162">
        <v>32.36</v>
      </c>
      <c r="H49" s="163">
        <f>SupisPrac!I118</f>
        <v>0</v>
      </c>
      <c r="I49" s="163">
        <f t="shared" si="0"/>
        <v>0</v>
      </c>
      <c r="J49" s="163">
        <f t="shared" si="1"/>
        <v>0</v>
      </c>
      <c r="K49" s="163">
        <f t="shared" si="2"/>
        <v>0</v>
      </c>
    </row>
    <row r="50" spans="2:11" s="158" customFormat="1" ht="24">
      <c r="B50" s="164"/>
      <c r="C50" s="160" t="s">
        <v>265</v>
      </c>
      <c r="D50" s="160" t="s">
        <v>274</v>
      </c>
      <c r="E50" s="161" t="s">
        <v>275</v>
      </c>
      <c r="F50" s="160" t="s">
        <v>38</v>
      </c>
      <c r="G50" s="162">
        <v>149.2</v>
      </c>
      <c r="H50" s="163">
        <f>SupisPrac!I119</f>
        <v>0</v>
      </c>
      <c r="I50" s="163">
        <f t="shared" si="0"/>
        <v>0</v>
      </c>
      <c r="J50" s="163">
        <f t="shared" si="1"/>
        <v>0</v>
      </c>
      <c r="K50" s="163">
        <f t="shared" si="2"/>
        <v>0</v>
      </c>
    </row>
    <row r="51" spans="2:11" s="158" customFormat="1" ht="12">
      <c r="B51" s="165"/>
      <c r="C51" s="160" t="s">
        <v>295</v>
      </c>
      <c r="D51" s="160" t="s">
        <v>296</v>
      </c>
      <c r="E51" s="161" t="s">
        <v>297</v>
      </c>
      <c r="F51" s="160" t="s">
        <v>38</v>
      </c>
      <c r="G51" s="162">
        <v>447.5</v>
      </c>
      <c r="H51" s="163">
        <f>SupisPrac!I127</f>
        <v>0</v>
      </c>
      <c r="I51" s="163">
        <f t="shared" si="0"/>
        <v>0</v>
      </c>
      <c r="J51" s="163">
        <f t="shared" si="1"/>
        <v>0</v>
      </c>
      <c r="K51" s="163">
        <f t="shared" si="2"/>
        <v>0</v>
      </c>
    </row>
    <row r="52" spans="2:11" s="618" customFormat="1" ht="12">
      <c r="B52" s="625" t="s">
        <v>354</v>
      </c>
      <c r="C52" s="626"/>
      <c r="D52" s="626"/>
      <c r="E52" s="627"/>
      <c r="F52" s="626"/>
      <c r="G52" s="626"/>
      <c r="H52" s="626"/>
      <c r="I52" s="163"/>
      <c r="J52" s="621">
        <f>SUM(J14:J51)</f>
        <v>0</v>
      </c>
      <c r="K52" s="621">
        <f>SUM(K14:K51)</f>
        <v>0</v>
      </c>
    </row>
    <row r="53" spans="2:11" s="158" customFormat="1" ht="12">
      <c r="B53" s="624" t="s">
        <v>355</v>
      </c>
      <c r="C53" s="160" t="s">
        <v>24</v>
      </c>
      <c r="D53" s="160" t="s">
        <v>27</v>
      </c>
      <c r="E53" s="161" t="s">
        <v>1368</v>
      </c>
      <c r="F53" s="160" t="s">
        <v>28</v>
      </c>
      <c r="G53" s="162">
        <v>1550.63</v>
      </c>
      <c r="H53" s="163">
        <f>SupisPrac!I6</f>
        <v>0</v>
      </c>
      <c r="I53" s="163">
        <f t="shared" si="0"/>
        <v>0</v>
      </c>
      <c r="J53" s="163">
        <f t="shared" si="1"/>
        <v>0</v>
      </c>
      <c r="K53" s="163">
        <f t="shared" si="2"/>
        <v>0</v>
      </c>
    </row>
    <row r="54" spans="2:11" s="158" customFormat="1" ht="12">
      <c r="B54" s="164"/>
      <c r="C54" s="160" t="s">
        <v>24</v>
      </c>
      <c r="D54" s="160" t="s">
        <v>29</v>
      </c>
      <c r="E54" s="161" t="s">
        <v>1369</v>
      </c>
      <c r="F54" s="160" t="s">
        <v>30</v>
      </c>
      <c r="G54" s="162">
        <v>24.21</v>
      </c>
      <c r="H54" s="163">
        <f>SupisPrac!I7</f>
        <v>0</v>
      </c>
      <c r="I54" s="163">
        <f t="shared" si="0"/>
        <v>0</v>
      </c>
      <c r="J54" s="163">
        <f t="shared" si="1"/>
        <v>0</v>
      </c>
      <c r="K54" s="163">
        <f t="shared" si="2"/>
        <v>0</v>
      </c>
    </row>
    <row r="55" spans="2:11" s="158" customFormat="1" ht="24">
      <c r="B55" s="164"/>
      <c r="C55" s="160" t="s">
        <v>24</v>
      </c>
      <c r="D55" s="160" t="s">
        <v>31</v>
      </c>
      <c r="E55" s="161" t="s">
        <v>1370</v>
      </c>
      <c r="F55" s="160" t="s">
        <v>30</v>
      </c>
      <c r="G55" s="162">
        <v>8.64</v>
      </c>
      <c r="H55" s="163">
        <f>SupisPrac!I8</f>
        <v>0</v>
      </c>
      <c r="I55" s="163">
        <f t="shared" si="0"/>
        <v>0</v>
      </c>
      <c r="J55" s="163">
        <f t="shared" si="1"/>
        <v>0</v>
      </c>
      <c r="K55" s="163">
        <f t="shared" si="2"/>
        <v>0</v>
      </c>
    </row>
    <row r="56" spans="2:11" s="158" customFormat="1" ht="12">
      <c r="B56" s="164"/>
      <c r="C56" s="160" t="s">
        <v>49</v>
      </c>
      <c r="D56" s="160" t="s">
        <v>50</v>
      </c>
      <c r="E56" s="161" t="s">
        <v>51</v>
      </c>
      <c r="F56" s="160" t="s">
        <v>30</v>
      </c>
      <c r="G56" s="162">
        <v>42.86</v>
      </c>
      <c r="H56" s="163">
        <f>SupisPrac!I16</f>
        <v>0</v>
      </c>
      <c r="I56" s="163">
        <f t="shared" si="0"/>
        <v>0</v>
      </c>
      <c r="J56" s="163">
        <f t="shared" si="1"/>
        <v>0</v>
      </c>
      <c r="K56" s="163">
        <f t="shared" si="2"/>
        <v>0</v>
      </c>
    </row>
    <row r="57" spans="2:11" s="158" customFormat="1" ht="12">
      <c r="B57" s="164"/>
      <c r="C57" s="160" t="s">
        <v>49</v>
      </c>
      <c r="D57" s="160" t="s">
        <v>52</v>
      </c>
      <c r="E57" s="161" t="s">
        <v>53</v>
      </c>
      <c r="F57" s="160" t="s">
        <v>30</v>
      </c>
      <c r="G57" s="162">
        <v>29.88</v>
      </c>
      <c r="H57" s="163">
        <f>SupisPrac!I17</f>
        <v>0</v>
      </c>
      <c r="I57" s="163">
        <f t="shared" si="0"/>
        <v>0</v>
      </c>
      <c r="J57" s="163">
        <f t="shared" si="1"/>
        <v>0</v>
      </c>
      <c r="K57" s="163">
        <f t="shared" si="2"/>
        <v>0</v>
      </c>
    </row>
    <row r="58" spans="2:11" s="158" customFormat="1" ht="12">
      <c r="B58" s="164"/>
      <c r="C58" s="160" t="s">
        <v>49</v>
      </c>
      <c r="D58" s="160" t="s">
        <v>54</v>
      </c>
      <c r="E58" s="161" t="s">
        <v>55</v>
      </c>
      <c r="F58" s="160" t="s">
        <v>30</v>
      </c>
      <c r="G58" s="162">
        <v>476.76</v>
      </c>
      <c r="H58" s="163">
        <f>SupisPrac!I18</f>
        <v>0</v>
      </c>
      <c r="I58" s="163">
        <f t="shared" si="0"/>
        <v>0</v>
      </c>
      <c r="J58" s="163">
        <f t="shared" si="1"/>
        <v>0</v>
      </c>
      <c r="K58" s="163">
        <f t="shared" si="2"/>
        <v>0</v>
      </c>
    </row>
    <row r="59" spans="2:11" s="158" customFormat="1" ht="12">
      <c r="B59" s="164"/>
      <c r="C59" s="160" t="s">
        <v>49</v>
      </c>
      <c r="D59" s="160" t="s">
        <v>56</v>
      </c>
      <c r="E59" s="161" t="s">
        <v>57</v>
      </c>
      <c r="F59" s="160" t="s">
        <v>38</v>
      </c>
      <c r="G59" s="162">
        <v>8288.17</v>
      </c>
      <c r="H59" s="163">
        <f>SupisPrac!I19</f>
        <v>0</v>
      </c>
      <c r="I59" s="163">
        <f t="shared" si="0"/>
        <v>0</v>
      </c>
      <c r="J59" s="163">
        <f t="shared" si="1"/>
        <v>0</v>
      </c>
      <c r="K59" s="163">
        <f t="shared" si="2"/>
        <v>0</v>
      </c>
    </row>
    <row r="60" spans="2:11" s="158" customFormat="1" ht="12">
      <c r="B60" s="164"/>
      <c r="C60" s="160" t="s">
        <v>49</v>
      </c>
      <c r="D60" s="160" t="s">
        <v>58</v>
      </c>
      <c r="E60" s="161" t="s">
        <v>59</v>
      </c>
      <c r="F60" s="160" t="s">
        <v>60</v>
      </c>
      <c r="G60" s="162">
        <v>4136</v>
      </c>
      <c r="H60" s="163">
        <f>SupisPrac!I20</f>
        <v>0</v>
      </c>
      <c r="I60" s="163">
        <f t="shared" si="0"/>
        <v>0</v>
      </c>
      <c r="J60" s="163">
        <f t="shared" si="1"/>
        <v>0</v>
      </c>
      <c r="K60" s="163">
        <f t="shared" si="2"/>
        <v>0</v>
      </c>
    </row>
    <row r="61" spans="2:11" s="158" customFormat="1" ht="12">
      <c r="B61" s="164"/>
      <c r="C61" s="160" t="s">
        <v>49</v>
      </c>
      <c r="D61" s="160" t="s">
        <v>61</v>
      </c>
      <c r="E61" s="161" t="s">
        <v>62</v>
      </c>
      <c r="F61" s="160" t="s">
        <v>60</v>
      </c>
      <c r="G61" s="162">
        <v>101</v>
      </c>
      <c r="H61" s="163">
        <f>SupisPrac!I21</f>
        <v>0</v>
      </c>
      <c r="I61" s="163">
        <f t="shared" si="0"/>
        <v>0</v>
      </c>
      <c r="J61" s="163">
        <f t="shared" si="1"/>
        <v>0</v>
      </c>
      <c r="K61" s="163">
        <f t="shared" si="2"/>
        <v>0</v>
      </c>
    </row>
    <row r="62" spans="2:11" s="158" customFormat="1" ht="12">
      <c r="B62" s="164"/>
      <c r="C62" s="160" t="s">
        <v>49</v>
      </c>
      <c r="D62" s="160" t="s">
        <v>65</v>
      </c>
      <c r="E62" s="161" t="s">
        <v>66</v>
      </c>
      <c r="F62" s="160" t="s">
        <v>38</v>
      </c>
      <c r="G62" s="162">
        <v>20767.74</v>
      </c>
      <c r="H62" s="163">
        <f>SupisPrac!I23</f>
        <v>0</v>
      </c>
      <c r="I62" s="163">
        <f t="shared" si="0"/>
        <v>0</v>
      </c>
      <c r="J62" s="163">
        <f t="shared" si="1"/>
        <v>0</v>
      </c>
      <c r="K62" s="163">
        <f t="shared" si="2"/>
        <v>0</v>
      </c>
    </row>
    <row r="63" spans="2:11" s="158" customFormat="1" ht="12">
      <c r="B63" s="164"/>
      <c r="C63" s="160" t="s">
        <v>49</v>
      </c>
      <c r="D63" s="160" t="s">
        <v>69</v>
      </c>
      <c r="E63" s="161" t="s">
        <v>70</v>
      </c>
      <c r="F63" s="160" t="s">
        <v>38</v>
      </c>
      <c r="G63" s="162">
        <v>17.6</v>
      </c>
      <c r="H63" s="163">
        <f>SupisPrac!I25</f>
        <v>0</v>
      </c>
      <c r="I63" s="163">
        <f t="shared" si="0"/>
        <v>0</v>
      </c>
      <c r="J63" s="163">
        <f t="shared" si="1"/>
        <v>0</v>
      </c>
      <c r="K63" s="163">
        <f t="shared" si="2"/>
        <v>0</v>
      </c>
    </row>
    <row r="64" spans="2:11" s="158" customFormat="1" ht="12">
      <c r="B64" s="164"/>
      <c r="C64" s="160" t="s">
        <v>49</v>
      </c>
      <c r="D64" s="160" t="s">
        <v>71</v>
      </c>
      <c r="E64" s="161" t="s">
        <v>72</v>
      </c>
      <c r="F64" s="160" t="s">
        <v>38</v>
      </c>
      <c r="G64" s="162">
        <v>8036.07</v>
      </c>
      <c r="H64" s="163">
        <f>SupisPrac!I26</f>
        <v>0</v>
      </c>
      <c r="I64" s="163">
        <f t="shared" si="0"/>
        <v>0</v>
      </c>
      <c r="J64" s="163">
        <f t="shared" si="1"/>
        <v>0</v>
      </c>
      <c r="K64" s="163">
        <f t="shared" si="2"/>
        <v>0</v>
      </c>
    </row>
    <row r="65" spans="2:11" s="158" customFormat="1" ht="12">
      <c r="B65" s="164"/>
      <c r="C65" s="160" t="s">
        <v>49</v>
      </c>
      <c r="D65" s="160" t="s">
        <v>75</v>
      </c>
      <c r="E65" s="161" t="s">
        <v>76</v>
      </c>
      <c r="F65" s="160" t="s">
        <v>45</v>
      </c>
      <c r="G65" s="162">
        <v>1943.45</v>
      </c>
      <c r="H65" s="163">
        <f>SupisPrac!I28</f>
        <v>0</v>
      </c>
      <c r="I65" s="163">
        <f t="shared" si="0"/>
        <v>0</v>
      </c>
      <c r="J65" s="163">
        <f t="shared" si="1"/>
        <v>0</v>
      </c>
      <c r="K65" s="163">
        <f t="shared" si="2"/>
        <v>0</v>
      </c>
    </row>
    <row r="66" spans="2:11" s="158" customFormat="1" ht="12">
      <c r="B66" s="164"/>
      <c r="C66" s="160" t="s">
        <v>49</v>
      </c>
      <c r="D66" s="160" t="s">
        <v>77</v>
      </c>
      <c r="E66" s="161" t="s">
        <v>78</v>
      </c>
      <c r="F66" s="160" t="s">
        <v>60</v>
      </c>
      <c r="G66" s="162">
        <v>4</v>
      </c>
      <c r="H66" s="163">
        <f>SupisPrac!I29</f>
        <v>0</v>
      </c>
      <c r="I66" s="163">
        <f t="shared" si="0"/>
        <v>0</v>
      </c>
      <c r="J66" s="163">
        <f t="shared" si="1"/>
        <v>0</v>
      </c>
      <c r="K66" s="163">
        <f t="shared" si="2"/>
        <v>0</v>
      </c>
    </row>
    <row r="67" spans="2:11" s="158" customFormat="1" ht="12">
      <c r="B67" s="164"/>
      <c r="C67" s="160" t="s">
        <v>49</v>
      </c>
      <c r="D67" s="160" t="s">
        <v>79</v>
      </c>
      <c r="E67" s="161" t="s">
        <v>80</v>
      </c>
      <c r="F67" s="160" t="s">
        <v>28</v>
      </c>
      <c r="G67" s="162">
        <v>4053.94</v>
      </c>
      <c r="H67" s="163">
        <f>SupisPrac!I30</f>
        <v>0</v>
      </c>
      <c r="I67" s="163">
        <f t="shared" si="0"/>
        <v>0</v>
      </c>
      <c r="J67" s="163">
        <f t="shared" si="1"/>
        <v>0</v>
      </c>
      <c r="K67" s="163">
        <f t="shared" si="2"/>
        <v>0</v>
      </c>
    </row>
    <row r="68" spans="2:11" s="158" customFormat="1" ht="24">
      <c r="B68" s="164"/>
      <c r="C68" s="160" t="s">
        <v>49</v>
      </c>
      <c r="D68" s="160" t="s">
        <v>81</v>
      </c>
      <c r="E68" s="161" t="s">
        <v>82</v>
      </c>
      <c r="F68" s="160" t="s">
        <v>38</v>
      </c>
      <c r="G68" s="162">
        <v>39013.2</v>
      </c>
      <c r="H68" s="163">
        <f>SupisPrac!I31</f>
        <v>0</v>
      </c>
      <c r="I68" s="163">
        <f aca="true" t="shared" si="3" ref="I68:I131">ROUND(H68,2)</f>
        <v>0</v>
      </c>
      <c r="J68" s="163">
        <f aca="true" t="shared" si="4" ref="J68:J131">ROUND(G68*I68,2)</f>
        <v>0</v>
      </c>
      <c r="K68" s="163">
        <f aca="true" t="shared" si="5" ref="K68:K131">ROUND(J68*0.2,2)</f>
        <v>0</v>
      </c>
    </row>
    <row r="69" spans="2:11" s="158" customFormat="1" ht="24">
      <c r="B69" s="164"/>
      <c r="C69" s="160" t="s">
        <v>49</v>
      </c>
      <c r="D69" s="160" t="s">
        <v>83</v>
      </c>
      <c r="E69" s="161" t="s">
        <v>84</v>
      </c>
      <c r="F69" s="160" t="s">
        <v>30</v>
      </c>
      <c r="G69" s="162">
        <v>11.25</v>
      </c>
      <c r="H69" s="163">
        <f>SupisPrac!I32</f>
        <v>0</v>
      </c>
      <c r="I69" s="163">
        <f t="shared" si="3"/>
        <v>0</v>
      </c>
      <c r="J69" s="163">
        <f t="shared" si="4"/>
        <v>0</v>
      </c>
      <c r="K69" s="163">
        <f t="shared" si="5"/>
        <v>0</v>
      </c>
    </row>
    <row r="70" spans="2:11" s="158" customFormat="1" ht="12">
      <c r="B70" s="164"/>
      <c r="C70" s="160" t="s">
        <v>49</v>
      </c>
      <c r="D70" s="160" t="s">
        <v>85</v>
      </c>
      <c r="E70" s="161" t="s">
        <v>86</v>
      </c>
      <c r="F70" s="160" t="s">
        <v>38</v>
      </c>
      <c r="G70" s="162">
        <v>2024.44</v>
      </c>
      <c r="H70" s="163">
        <f>SupisPrac!I33</f>
        <v>0</v>
      </c>
      <c r="I70" s="163">
        <f t="shared" si="3"/>
        <v>0</v>
      </c>
      <c r="J70" s="163">
        <f t="shared" si="4"/>
        <v>0</v>
      </c>
      <c r="K70" s="163">
        <f t="shared" si="5"/>
        <v>0</v>
      </c>
    </row>
    <row r="71" spans="2:11" s="158" customFormat="1" ht="12">
      <c r="B71" s="164"/>
      <c r="C71" s="160" t="s">
        <v>49</v>
      </c>
      <c r="D71" s="160" t="s">
        <v>89</v>
      </c>
      <c r="E71" s="161" t="s">
        <v>90</v>
      </c>
      <c r="F71" s="160" t="s">
        <v>45</v>
      </c>
      <c r="G71" s="162">
        <v>486.78</v>
      </c>
      <c r="H71" s="163">
        <f>SupisPrac!I35</f>
        <v>0</v>
      </c>
      <c r="I71" s="163">
        <f t="shared" si="3"/>
        <v>0</v>
      </c>
      <c r="J71" s="163">
        <f t="shared" si="4"/>
        <v>0</v>
      </c>
      <c r="K71" s="163">
        <f t="shared" si="5"/>
        <v>0</v>
      </c>
    </row>
    <row r="72" spans="2:11" s="158" customFormat="1" ht="12">
      <c r="B72" s="164"/>
      <c r="C72" s="160" t="s">
        <v>49</v>
      </c>
      <c r="D72" s="160" t="s">
        <v>93</v>
      </c>
      <c r="E72" s="161" t="s">
        <v>94</v>
      </c>
      <c r="F72" s="160" t="s">
        <v>45</v>
      </c>
      <c r="G72" s="162">
        <v>1043.35</v>
      </c>
      <c r="H72" s="163">
        <f>SupisPrac!I37</f>
        <v>0</v>
      </c>
      <c r="I72" s="163">
        <f t="shared" si="3"/>
        <v>0</v>
      </c>
      <c r="J72" s="163">
        <f t="shared" si="4"/>
        <v>0</v>
      </c>
      <c r="K72" s="163">
        <f t="shared" si="5"/>
        <v>0</v>
      </c>
    </row>
    <row r="73" spans="2:11" s="158" customFormat="1" ht="12">
      <c r="B73" s="164"/>
      <c r="C73" s="160" t="s">
        <v>49</v>
      </c>
      <c r="D73" s="160" t="s">
        <v>95</v>
      </c>
      <c r="E73" s="161" t="s">
        <v>96</v>
      </c>
      <c r="F73" s="160" t="s">
        <v>45</v>
      </c>
      <c r="G73" s="162">
        <v>618.96</v>
      </c>
      <c r="H73" s="163">
        <f>SupisPrac!I38</f>
        <v>0</v>
      </c>
      <c r="I73" s="163">
        <f t="shared" si="3"/>
        <v>0</v>
      </c>
      <c r="J73" s="163">
        <f t="shared" si="4"/>
        <v>0</v>
      </c>
      <c r="K73" s="163">
        <f t="shared" si="5"/>
        <v>0</v>
      </c>
    </row>
    <row r="74" spans="2:11" s="158" customFormat="1" ht="12">
      <c r="B74" s="164"/>
      <c r="C74" s="160" t="s">
        <v>98</v>
      </c>
      <c r="D74" s="160" t="s">
        <v>99</v>
      </c>
      <c r="E74" s="161" t="s">
        <v>100</v>
      </c>
      <c r="F74" s="160" t="s">
        <v>38</v>
      </c>
      <c r="G74" s="162">
        <v>4000</v>
      </c>
      <c r="H74" s="163">
        <f>SupisPrac!I39</f>
        <v>0</v>
      </c>
      <c r="I74" s="163">
        <f t="shared" si="3"/>
        <v>0</v>
      </c>
      <c r="J74" s="163">
        <f t="shared" si="4"/>
        <v>0</v>
      </c>
      <c r="K74" s="163">
        <f t="shared" si="5"/>
        <v>0</v>
      </c>
    </row>
    <row r="75" spans="2:11" s="158" customFormat="1" ht="12">
      <c r="B75" s="164"/>
      <c r="C75" s="160" t="s">
        <v>98</v>
      </c>
      <c r="D75" s="160" t="s">
        <v>101</v>
      </c>
      <c r="E75" s="161" t="s">
        <v>102</v>
      </c>
      <c r="F75" s="160" t="s">
        <v>38</v>
      </c>
      <c r="G75" s="162">
        <v>86.04</v>
      </c>
      <c r="H75" s="163">
        <f>SupisPrac!I40</f>
        <v>0</v>
      </c>
      <c r="I75" s="163">
        <f t="shared" si="3"/>
        <v>0</v>
      </c>
      <c r="J75" s="163">
        <f t="shared" si="4"/>
        <v>0</v>
      </c>
      <c r="K75" s="163">
        <f t="shared" si="5"/>
        <v>0</v>
      </c>
    </row>
    <row r="76" spans="2:11" s="158" customFormat="1" ht="12">
      <c r="B76" s="164"/>
      <c r="C76" s="160" t="s">
        <v>98</v>
      </c>
      <c r="D76" s="160" t="s">
        <v>103</v>
      </c>
      <c r="E76" s="161" t="s">
        <v>104</v>
      </c>
      <c r="F76" s="160" t="s">
        <v>60</v>
      </c>
      <c r="G76" s="162">
        <v>3</v>
      </c>
      <c r="H76" s="163">
        <f>SupisPrac!I41</f>
        <v>0</v>
      </c>
      <c r="I76" s="163">
        <f t="shared" si="3"/>
        <v>0</v>
      </c>
      <c r="J76" s="163">
        <f t="shared" si="4"/>
        <v>0</v>
      </c>
      <c r="K76" s="163">
        <f t="shared" si="5"/>
        <v>0</v>
      </c>
    </row>
    <row r="77" spans="2:11" s="158" customFormat="1" ht="12">
      <c r="B77" s="164"/>
      <c r="C77" s="160" t="s">
        <v>98</v>
      </c>
      <c r="D77" s="160" t="s">
        <v>105</v>
      </c>
      <c r="E77" s="161" t="s">
        <v>106</v>
      </c>
      <c r="F77" s="160" t="s">
        <v>60</v>
      </c>
      <c r="G77" s="162">
        <v>3</v>
      </c>
      <c r="H77" s="163">
        <f>SupisPrac!I42</f>
        <v>0</v>
      </c>
      <c r="I77" s="163">
        <f t="shared" si="3"/>
        <v>0</v>
      </c>
      <c r="J77" s="163">
        <f t="shared" si="4"/>
        <v>0</v>
      </c>
      <c r="K77" s="163">
        <f t="shared" si="5"/>
        <v>0</v>
      </c>
    </row>
    <row r="78" spans="2:11" s="158" customFormat="1" ht="12">
      <c r="B78" s="164"/>
      <c r="C78" s="160" t="s">
        <v>98</v>
      </c>
      <c r="D78" s="160" t="s">
        <v>107</v>
      </c>
      <c r="E78" s="161" t="s">
        <v>108</v>
      </c>
      <c r="F78" s="160" t="s">
        <v>30</v>
      </c>
      <c r="G78" s="162">
        <v>18.38</v>
      </c>
      <c r="H78" s="163">
        <f>SupisPrac!I43</f>
        <v>0</v>
      </c>
      <c r="I78" s="163">
        <f t="shared" si="3"/>
        <v>0</v>
      </c>
      <c r="J78" s="163">
        <f t="shared" si="4"/>
        <v>0</v>
      </c>
      <c r="K78" s="163">
        <f t="shared" si="5"/>
        <v>0</v>
      </c>
    </row>
    <row r="79" spans="2:11" s="158" customFormat="1" ht="24">
      <c r="B79" s="164"/>
      <c r="C79" s="160" t="s">
        <v>98</v>
      </c>
      <c r="D79" s="160" t="s">
        <v>109</v>
      </c>
      <c r="E79" s="161" t="s">
        <v>110</v>
      </c>
      <c r="F79" s="160" t="s">
        <v>30</v>
      </c>
      <c r="G79" s="162">
        <v>1</v>
      </c>
      <c r="H79" s="163">
        <f>SupisPrac!I44</f>
        <v>0</v>
      </c>
      <c r="I79" s="163">
        <f t="shared" si="3"/>
        <v>0</v>
      </c>
      <c r="J79" s="163">
        <f t="shared" si="4"/>
        <v>0</v>
      </c>
      <c r="K79" s="163">
        <f t="shared" si="5"/>
        <v>0</v>
      </c>
    </row>
    <row r="80" spans="2:11" s="158" customFormat="1" ht="12">
      <c r="B80" s="164"/>
      <c r="C80" s="160" t="s">
        <v>124</v>
      </c>
      <c r="D80" s="160" t="s">
        <v>125</v>
      </c>
      <c r="E80" s="161" t="s">
        <v>126</v>
      </c>
      <c r="F80" s="160" t="s">
        <v>30</v>
      </c>
      <c r="G80" s="162">
        <v>11.76</v>
      </c>
      <c r="H80" s="163">
        <f>SupisPrac!I50</f>
        <v>0</v>
      </c>
      <c r="I80" s="163">
        <f t="shared" si="3"/>
        <v>0</v>
      </c>
      <c r="J80" s="163">
        <f t="shared" si="4"/>
        <v>0</v>
      </c>
      <c r="K80" s="163">
        <f t="shared" si="5"/>
        <v>0</v>
      </c>
    </row>
    <row r="81" spans="2:11" s="158" customFormat="1" ht="12">
      <c r="B81" s="164"/>
      <c r="C81" s="160" t="s">
        <v>124</v>
      </c>
      <c r="D81" s="160" t="s">
        <v>127</v>
      </c>
      <c r="E81" s="161" t="s">
        <v>128</v>
      </c>
      <c r="F81" s="160" t="s">
        <v>30</v>
      </c>
      <c r="G81" s="162">
        <v>0.41</v>
      </c>
      <c r="H81" s="163">
        <f>SupisPrac!I51</f>
        <v>0</v>
      </c>
      <c r="I81" s="163">
        <f t="shared" si="3"/>
        <v>0</v>
      </c>
      <c r="J81" s="163">
        <f t="shared" si="4"/>
        <v>0</v>
      </c>
      <c r="K81" s="163">
        <f t="shared" si="5"/>
        <v>0</v>
      </c>
    </row>
    <row r="82" spans="2:11" s="158" customFormat="1" ht="12">
      <c r="B82" s="164"/>
      <c r="C82" s="160" t="s">
        <v>124</v>
      </c>
      <c r="D82" s="160" t="s">
        <v>129</v>
      </c>
      <c r="E82" s="161" t="s">
        <v>130</v>
      </c>
      <c r="F82" s="160" t="s">
        <v>30</v>
      </c>
      <c r="G82" s="162">
        <v>6.84</v>
      </c>
      <c r="H82" s="163">
        <f>SupisPrac!I52</f>
        <v>0</v>
      </c>
      <c r="I82" s="163">
        <f t="shared" si="3"/>
        <v>0</v>
      </c>
      <c r="J82" s="163">
        <f t="shared" si="4"/>
        <v>0</v>
      </c>
      <c r="K82" s="163">
        <f t="shared" si="5"/>
        <v>0</v>
      </c>
    </row>
    <row r="83" spans="2:11" s="158" customFormat="1" ht="12">
      <c r="B83" s="164"/>
      <c r="C83" s="160" t="s">
        <v>124</v>
      </c>
      <c r="D83" s="160" t="s">
        <v>131</v>
      </c>
      <c r="E83" s="161" t="s">
        <v>132</v>
      </c>
      <c r="F83" s="160" t="s">
        <v>30</v>
      </c>
      <c r="G83" s="162">
        <v>5.2</v>
      </c>
      <c r="H83" s="163">
        <f>SupisPrac!I53</f>
        <v>0</v>
      </c>
      <c r="I83" s="163">
        <f t="shared" si="3"/>
        <v>0</v>
      </c>
      <c r="J83" s="163">
        <f t="shared" si="4"/>
        <v>0</v>
      </c>
      <c r="K83" s="163">
        <f t="shared" si="5"/>
        <v>0</v>
      </c>
    </row>
    <row r="84" spans="2:11" s="158" customFormat="1" ht="12">
      <c r="B84" s="164"/>
      <c r="C84" s="160" t="s">
        <v>124</v>
      </c>
      <c r="D84" s="160" t="s">
        <v>135</v>
      </c>
      <c r="E84" s="161" t="s">
        <v>136</v>
      </c>
      <c r="F84" s="160" t="s">
        <v>38</v>
      </c>
      <c r="G84" s="162">
        <v>86.04</v>
      </c>
      <c r="H84" s="163">
        <f>SupisPrac!I55</f>
        <v>0</v>
      </c>
      <c r="I84" s="163">
        <f t="shared" si="3"/>
        <v>0</v>
      </c>
      <c r="J84" s="163">
        <f t="shared" si="4"/>
        <v>0</v>
      </c>
      <c r="K84" s="163">
        <f t="shared" si="5"/>
        <v>0</v>
      </c>
    </row>
    <row r="85" spans="2:11" s="158" customFormat="1" ht="12">
      <c r="B85" s="164"/>
      <c r="C85" s="160" t="s">
        <v>138</v>
      </c>
      <c r="D85" s="160" t="s">
        <v>107</v>
      </c>
      <c r="E85" s="161" t="s">
        <v>108</v>
      </c>
      <c r="F85" s="160" t="s">
        <v>30</v>
      </c>
      <c r="G85" s="162">
        <v>24.21</v>
      </c>
      <c r="H85" s="163">
        <f>SupisPrac!I56</f>
        <v>0</v>
      </c>
      <c r="I85" s="163">
        <f t="shared" si="3"/>
        <v>0</v>
      </c>
      <c r="J85" s="163">
        <f t="shared" si="4"/>
        <v>0</v>
      </c>
      <c r="K85" s="163">
        <f t="shared" si="5"/>
        <v>0</v>
      </c>
    </row>
    <row r="86" spans="2:11" s="158" customFormat="1" ht="12">
      <c r="B86" s="164"/>
      <c r="C86" s="160" t="s">
        <v>141</v>
      </c>
      <c r="D86" s="160" t="s">
        <v>142</v>
      </c>
      <c r="E86" s="161" t="s">
        <v>143</v>
      </c>
      <c r="F86" s="160" t="s">
        <v>30</v>
      </c>
      <c r="G86" s="162">
        <v>9.85</v>
      </c>
      <c r="H86" s="163">
        <f>SupisPrac!I57</f>
        <v>0</v>
      </c>
      <c r="I86" s="163">
        <f t="shared" si="3"/>
        <v>0</v>
      </c>
      <c r="J86" s="163">
        <f t="shared" si="4"/>
        <v>0</v>
      </c>
      <c r="K86" s="163">
        <f t="shared" si="5"/>
        <v>0</v>
      </c>
    </row>
    <row r="87" spans="2:11" s="158" customFormat="1" ht="12">
      <c r="B87" s="164"/>
      <c r="C87" s="160" t="s">
        <v>141</v>
      </c>
      <c r="D87" s="160" t="s">
        <v>144</v>
      </c>
      <c r="E87" s="161" t="s">
        <v>145</v>
      </c>
      <c r="F87" s="160" t="s">
        <v>30</v>
      </c>
      <c r="G87" s="162">
        <v>12.3</v>
      </c>
      <c r="H87" s="163">
        <f>SupisPrac!I58</f>
        <v>0</v>
      </c>
      <c r="I87" s="163">
        <f t="shared" si="3"/>
        <v>0</v>
      </c>
      <c r="J87" s="163">
        <f t="shared" si="4"/>
        <v>0</v>
      </c>
      <c r="K87" s="163">
        <f t="shared" si="5"/>
        <v>0</v>
      </c>
    </row>
    <row r="88" spans="2:11" s="158" customFormat="1" ht="12">
      <c r="B88" s="164"/>
      <c r="C88" s="160" t="s">
        <v>141</v>
      </c>
      <c r="D88" s="160" t="s">
        <v>146</v>
      </c>
      <c r="E88" s="161" t="s">
        <v>147</v>
      </c>
      <c r="F88" s="160" t="s">
        <v>30</v>
      </c>
      <c r="G88" s="162">
        <v>517.8</v>
      </c>
      <c r="H88" s="163">
        <f>SupisPrac!I59</f>
        <v>0</v>
      </c>
      <c r="I88" s="163">
        <f t="shared" si="3"/>
        <v>0</v>
      </c>
      <c r="J88" s="163">
        <f t="shared" si="4"/>
        <v>0</v>
      </c>
      <c r="K88" s="163">
        <f t="shared" si="5"/>
        <v>0</v>
      </c>
    </row>
    <row r="89" spans="2:11" s="158" customFormat="1" ht="12">
      <c r="B89" s="164"/>
      <c r="C89" s="160" t="s">
        <v>141</v>
      </c>
      <c r="D89" s="160" t="s">
        <v>148</v>
      </c>
      <c r="E89" s="161" t="s">
        <v>149</v>
      </c>
      <c r="F89" s="160" t="s">
        <v>38</v>
      </c>
      <c r="G89" s="162">
        <v>1343.46</v>
      </c>
      <c r="H89" s="163">
        <f>SupisPrac!I60</f>
        <v>0</v>
      </c>
      <c r="I89" s="163">
        <f t="shared" si="3"/>
        <v>0</v>
      </c>
      <c r="J89" s="163">
        <f t="shared" si="4"/>
        <v>0</v>
      </c>
      <c r="K89" s="163">
        <f t="shared" si="5"/>
        <v>0</v>
      </c>
    </row>
    <row r="90" spans="2:11" s="158" customFormat="1" ht="12">
      <c r="B90" s="164"/>
      <c r="C90" s="160" t="s">
        <v>141</v>
      </c>
      <c r="D90" s="160" t="s">
        <v>150</v>
      </c>
      <c r="E90" s="161" t="s">
        <v>151</v>
      </c>
      <c r="F90" s="160" t="s">
        <v>38</v>
      </c>
      <c r="G90" s="162">
        <v>157.8</v>
      </c>
      <c r="H90" s="163">
        <f>SupisPrac!I61</f>
        <v>0</v>
      </c>
      <c r="I90" s="163">
        <f t="shared" si="3"/>
        <v>0</v>
      </c>
      <c r="J90" s="163">
        <f t="shared" si="4"/>
        <v>0</v>
      </c>
      <c r="K90" s="163">
        <f t="shared" si="5"/>
        <v>0</v>
      </c>
    </row>
    <row r="91" spans="2:11" s="158" customFormat="1" ht="12">
      <c r="B91" s="164"/>
      <c r="C91" s="160" t="s">
        <v>141</v>
      </c>
      <c r="D91" s="160" t="s">
        <v>152</v>
      </c>
      <c r="E91" s="161" t="s">
        <v>153</v>
      </c>
      <c r="F91" s="160" t="s">
        <v>28</v>
      </c>
      <c r="G91" s="162">
        <v>101.78</v>
      </c>
      <c r="H91" s="163">
        <f>SupisPrac!I62</f>
        <v>0</v>
      </c>
      <c r="I91" s="163">
        <f t="shared" si="3"/>
        <v>0</v>
      </c>
      <c r="J91" s="163">
        <f t="shared" si="4"/>
        <v>0</v>
      </c>
      <c r="K91" s="163">
        <f t="shared" si="5"/>
        <v>0</v>
      </c>
    </row>
    <row r="92" spans="2:11" s="158" customFormat="1" ht="12">
      <c r="B92" s="164"/>
      <c r="C92" s="160" t="s">
        <v>141</v>
      </c>
      <c r="D92" s="160" t="s">
        <v>154</v>
      </c>
      <c r="E92" s="161" t="s">
        <v>155</v>
      </c>
      <c r="F92" s="160" t="s">
        <v>30</v>
      </c>
      <c r="G92" s="162">
        <v>50.18</v>
      </c>
      <c r="H92" s="163">
        <f>SupisPrac!I63</f>
        <v>0</v>
      </c>
      <c r="I92" s="163">
        <f t="shared" si="3"/>
        <v>0</v>
      </c>
      <c r="J92" s="163">
        <f t="shared" si="4"/>
        <v>0</v>
      </c>
      <c r="K92" s="163">
        <f t="shared" si="5"/>
        <v>0</v>
      </c>
    </row>
    <row r="93" spans="2:11" s="158" customFormat="1" ht="24">
      <c r="B93" s="164"/>
      <c r="C93" s="160" t="s">
        <v>141</v>
      </c>
      <c r="D93" s="160" t="s">
        <v>156</v>
      </c>
      <c r="E93" s="161" t="s">
        <v>157</v>
      </c>
      <c r="F93" s="160" t="s">
        <v>28</v>
      </c>
      <c r="G93" s="162">
        <v>5.914</v>
      </c>
      <c r="H93" s="163">
        <f>SupisPrac!I64</f>
        <v>0</v>
      </c>
      <c r="I93" s="163">
        <f t="shared" si="3"/>
        <v>0</v>
      </c>
      <c r="J93" s="163">
        <f t="shared" si="4"/>
        <v>0</v>
      </c>
      <c r="K93" s="163">
        <f t="shared" si="5"/>
        <v>0</v>
      </c>
    </row>
    <row r="94" spans="2:11" s="158" customFormat="1" ht="24">
      <c r="B94" s="164"/>
      <c r="C94" s="160" t="s">
        <v>141</v>
      </c>
      <c r="D94" s="160" t="s">
        <v>158</v>
      </c>
      <c r="E94" s="161" t="s">
        <v>159</v>
      </c>
      <c r="F94" s="160" t="s">
        <v>30</v>
      </c>
      <c r="G94" s="162">
        <v>772.78</v>
      </c>
      <c r="H94" s="163">
        <f>SupisPrac!I65</f>
        <v>0</v>
      </c>
      <c r="I94" s="163">
        <f t="shared" si="3"/>
        <v>0</v>
      </c>
      <c r="J94" s="163">
        <f t="shared" si="4"/>
        <v>0</v>
      </c>
      <c r="K94" s="163">
        <f t="shared" si="5"/>
        <v>0</v>
      </c>
    </row>
    <row r="95" spans="2:11" s="158" customFormat="1" ht="12">
      <c r="B95" s="164"/>
      <c r="C95" s="160" t="s">
        <v>141</v>
      </c>
      <c r="D95" s="160" t="s">
        <v>160</v>
      </c>
      <c r="E95" s="161" t="s">
        <v>161</v>
      </c>
      <c r="F95" s="160" t="s">
        <v>38</v>
      </c>
      <c r="G95" s="162">
        <v>351.15</v>
      </c>
      <c r="H95" s="163">
        <f>SupisPrac!I66</f>
        <v>0</v>
      </c>
      <c r="I95" s="163">
        <f t="shared" si="3"/>
        <v>0</v>
      </c>
      <c r="J95" s="163">
        <f t="shared" si="4"/>
        <v>0</v>
      </c>
      <c r="K95" s="163">
        <f t="shared" si="5"/>
        <v>0</v>
      </c>
    </row>
    <row r="96" spans="2:11" s="158" customFormat="1" ht="24">
      <c r="B96" s="164"/>
      <c r="C96" s="160" t="s">
        <v>141</v>
      </c>
      <c r="D96" s="160" t="s">
        <v>162</v>
      </c>
      <c r="E96" s="161" t="s">
        <v>163</v>
      </c>
      <c r="F96" s="160" t="s">
        <v>28</v>
      </c>
      <c r="G96" s="162">
        <v>64.901</v>
      </c>
      <c r="H96" s="163">
        <f>SupisPrac!I67</f>
        <v>0</v>
      </c>
      <c r="I96" s="163">
        <f t="shared" si="3"/>
        <v>0</v>
      </c>
      <c r="J96" s="163">
        <f t="shared" si="4"/>
        <v>0</v>
      </c>
      <c r="K96" s="163">
        <f t="shared" si="5"/>
        <v>0</v>
      </c>
    </row>
    <row r="97" spans="2:11" s="158" customFormat="1" ht="12">
      <c r="B97" s="164"/>
      <c r="C97" s="160" t="s">
        <v>141</v>
      </c>
      <c r="D97" s="160" t="s">
        <v>164</v>
      </c>
      <c r="E97" s="161" t="s">
        <v>165</v>
      </c>
      <c r="F97" s="160" t="s">
        <v>30</v>
      </c>
      <c r="G97" s="162">
        <v>10.81</v>
      </c>
      <c r="H97" s="163">
        <f>SupisPrac!I68</f>
        <v>0</v>
      </c>
      <c r="I97" s="163">
        <f t="shared" si="3"/>
        <v>0</v>
      </c>
      <c r="J97" s="163">
        <f t="shared" si="4"/>
        <v>0</v>
      </c>
      <c r="K97" s="163">
        <f t="shared" si="5"/>
        <v>0</v>
      </c>
    </row>
    <row r="98" spans="2:11" s="158" customFormat="1" ht="12">
      <c r="B98" s="164"/>
      <c r="C98" s="160" t="s">
        <v>141</v>
      </c>
      <c r="D98" s="160" t="s">
        <v>166</v>
      </c>
      <c r="E98" s="161" t="s">
        <v>167</v>
      </c>
      <c r="F98" s="160" t="s">
        <v>30</v>
      </c>
      <c r="G98" s="162">
        <v>13.17</v>
      </c>
      <c r="H98" s="163">
        <f>SupisPrac!I69</f>
        <v>0</v>
      </c>
      <c r="I98" s="163">
        <f t="shared" si="3"/>
        <v>0</v>
      </c>
      <c r="J98" s="163">
        <f t="shared" si="4"/>
        <v>0</v>
      </c>
      <c r="K98" s="163">
        <f t="shared" si="5"/>
        <v>0</v>
      </c>
    </row>
    <row r="99" spans="2:11" s="158" customFormat="1" ht="12">
      <c r="B99" s="164"/>
      <c r="C99" s="160" t="s">
        <v>141</v>
      </c>
      <c r="D99" s="160" t="s">
        <v>168</v>
      </c>
      <c r="E99" s="161" t="s">
        <v>169</v>
      </c>
      <c r="F99" s="160" t="s">
        <v>30</v>
      </c>
      <c r="G99" s="162">
        <v>155.98</v>
      </c>
      <c r="H99" s="163">
        <f>SupisPrac!I70</f>
        <v>0</v>
      </c>
      <c r="I99" s="163">
        <f t="shared" si="3"/>
        <v>0</v>
      </c>
      <c r="J99" s="163">
        <f t="shared" si="4"/>
        <v>0</v>
      </c>
      <c r="K99" s="163">
        <f t="shared" si="5"/>
        <v>0</v>
      </c>
    </row>
    <row r="100" spans="2:11" s="158" customFormat="1" ht="12">
      <c r="B100" s="164"/>
      <c r="C100" s="160" t="s">
        <v>141</v>
      </c>
      <c r="D100" s="160" t="s">
        <v>170</v>
      </c>
      <c r="E100" s="161" t="s">
        <v>171</v>
      </c>
      <c r="F100" s="160" t="s">
        <v>38</v>
      </c>
      <c r="G100" s="162">
        <v>396.33</v>
      </c>
      <c r="H100" s="163">
        <f>SupisPrac!I71</f>
        <v>0</v>
      </c>
      <c r="I100" s="163">
        <f t="shared" si="3"/>
        <v>0</v>
      </c>
      <c r="J100" s="163">
        <f t="shared" si="4"/>
        <v>0</v>
      </c>
      <c r="K100" s="163">
        <f t="shared" si="5"/>
        <v>0</v>
      </c>
    </row>
    <row r="101" spans="2:11" s="158" customFormat="1" ht="24">
      <c r="B101" s="164"/>
      <c r="C101" s="160" t="s">
        <v>141</v>
      </c>
      <c r="D101" s="160" t="s">
        <v>172</v>
      </c>
      <c r="E101" s="161" t="s">
        <v>173</v>
      </c>
      <c r="F101" s="160" t="s">
        <v>28</v>
      </c>
      <c r="G101" s="162">
        <v>23.85</v>
      </c>
      <c r="H101" s="163">
        <f>SupisPrac!I72</f>
        <v>0</v>
      </c>
      <c r="I101" s="163">
        <f t="shared" si="3"/>
        <v>0</v>
      </c>
      <c r="J101" s="163">
        <f t="shared" si="4"/>
        <v>0</v>
      </c>
      <c r="K101" s="163">
        <f t="shared" si="5"/>
        <v>0</v>
      </c>
    </row>
    <row r="102" spans="2:11" s="158" customFormat="1" ht="24">
      <c r="B102" s="164"/>
      <c r="C102" s="160" t="s">
        <v>141</v>
      </c>
      <c r="D102" s="160" t="s">
        <v>174</v>
      </c>
      <c r="E102" s="161" t="s">
        <v>175</v>
      </c>
      <c r="F102" s="160" t="s">
        <v>28</v>
      </c>
      <c r="G102" s="162">
        <v>54.55</v>
      </c>
      <c r="H102" s="163">
        <f>SupisPrac!I73</f>
        <v>0</v>
      </c>
      <c r="I102" s="163">
        <f t="shared" si="3"/>
        <v>0</v>
      </c>
      <c r="J102" s="163">
        <f t="shared" si="4"/>
        <v>0</v>
      </c>
      <c r="K102" s="163">
        <f t="shared" si="5"/>
        <v>0</v>
      </c>
    </row>
    <row r="103" spans="2:11" s="158" customFormat="1" ht="12">
      <c r="B103" s="164"/>
      <c r="C103" s="160" t="s">
        <v>141</v>
      </c>
      <c r="D103" s="160" t="s">
        <v>176</v>
      </c>
      <c r="E103" s="161" t="s">
        <v>177</v>
      </c>
      <c r="F103" s="160" t="s">
        <v>30</v>
      </c>
      <c r="G103" s="162">
        <v>17.67</v>
      </c>
      <c r="H103" s="163">
        <f>SupisPrac!I74</f>
        <v>0</v>
      </c>
      <c r="I103" s="163">
        <f t="shared" si="3"/>
        <v>0</v>
      </c>
      <c r="J103" s="163">
        <f t="shared" si="4"/>
        <v>0</v>
      </c>
      <c r="K103" s="163">
        <f t="shared" si="5"/>
        <v>0</v>
      </c>
    </row>
    <row r="104" spans="2:11" s="158" customFormat="1" ht="12">
      <c r="B104" s="164"/>
      <c r="C104" s="160" t="s">
        <v>141</v>
      </c>
      <c r="D104" s="160" t="s">
        <v>178</v>
      </c>
      <c r="E104" s="161" t="s">
        <v>179</v>
      </c>
      <c r="F104" s="160" t="s">
        <v>28</v>
      </c>
      <c r="G104" s="162">
        <v>6.49</v>
      </c>
      <c r="H104" s="163">
        <f>SupisPrac!I75</f>
        <v>0</v>
      </c>
      <c r="I104" s="163">
        <f t="shared" si="3"/>
        <v>0</v>
      </c>
      <c r="J104" s="163">
        <f t="shared" si="4"/>
        <v>0</v>
      </c>
      <c r="K104" s="163">
        <f t="shared" si="5"/>
        <v>0</v>
      </c>
    </row>
    <row r="105" spans="2:11" s="158" customFormat="1" ht="12">
      <c r="B105" s="164"/>
      <c r="C105" s="160" t="s">
        <v>141</v>
      </c>
      <c r="D105" s="160" t="s">
        <v>180</v>
      </c>
      <c r="E105" s="161" t="s">
        <v>181</v>
      </c>
      <c r="F105" s="160" t="s">
        <v>38</v>
      </c>
      <c r="G105" s="162">
        <v>143.21</v>
      </c>
      <c r="H105" s="163">
        <f>SupisPrac!I76</f>
        <v>0</v>
      </c>
      <c r="I105" s="163">
        <f t="shared" si="3"/>
        <v>0</v>
      </c>
      <c r="J105" s="163">
        <f t="shared" si="4"/>
        <v>0</v>
      </c>
      <c r="K105" s="163">
        <f t="shared" si="5"/>
        <v>0</v>
      </c>
    </row>
    <row r="106" spans="2:11" s="158" customFormat="1" ht="12">
      <c r="B106" s="164"/>
      <c r="C106" s="160" t="s">
        <v>141</v>
      </c>
      <c r="D106" s="160" t="s">
        <v>184</v>
      </c>
      <c r="E106" s="161" t="s">
        <v>185</v>
      </c>
      <c r="F106" s="160" t="s">
        <v>45</v>
      </c>
      <c r="G106" s="162">
        <v>641.5</v>
      </c>
      <c r="H106" s="163">
        <f>SupisPrac!I78</f>
        <v>0</v>
      </c>
      <c r="I106" s="163">
        <f t="shared" si="3"/>
        <v>0</v>
      </c>
      <c r="J106" s="163">
        <f t="shared" si="4"/>
        <v>0</v>
      </c>
      <c r="K106" s="163">
        <f t="shared" si="5"/>
        <v>0</v>
      </c>
    </row>
    <row r="107" spans="2:11" s="158" customFormat="1" ht="12">
      <c r="B107" s="164"/>
      <c r="C107" s="160" t="s">
        <v>141</v>
      </c>
      <c r="D107" s="160" t="s">
        <v>186</v>
      </c>
      <c r="E107" s="161" t="s">
        <v>187</v>
      </c>
      <c r="F107" s="160" t="s">
        <v>60</v>
      </c>
      <c r="G107" s="162">
        <v>45</v>
      </c>
      <c r="H107" s="163">
        <f>SupisPrac!I79</f>
        <v>0</v>
      </c>
      <c r="I107" s="163">
        <f t="shared" si="3"/>
        <v>0</v>
      </c>
      <c r="J107" s="163">
        <f t="shared" si="4"/>
        <v>0</v>
      </c>
      <c r="K107" s="163">
        <f t="shared" si="5"/>
        <v>0</v>
      </c>
    </row>
    <row r="108" spans="2:11" s="158" customFormat="1" ht="12">
      <c r="B108" s="164"/>
      <c r="C108" s="160" t="s">
        <v>141</v>
      </c>
      <c r="D108" s="160" t="s">
        <v>188</v>
      </c>
      <c r="E108" s="161" t="s">
        <v>189</v>
      </c>
      <c r="F108" s="160" t="s">
        <v>45</v>
      </c>
      <c r="G108" s="162">
        <v>132.88</v>
      </c>
      <c r="H108" s="163">
        <f>SupisPrac!I80</f>
        <v>0</v>
      </c>
      <c r="I108" s="163">
        <f t="shared" si="3"/>
        <v>0</v>
      </c>
      <c r="J108" s="163">
        <f t="shared" si="4"/>
        <v>0</v>
      </c>
      <c r="K108" s="163">
        <f t="shared" si="5"/>
        <v>0</v>
      </c>
    </row>
    <row r="109" spans="2:11" s="158" customFormat="1" ht="12">
      <c r="B109" s="164"/>
      <c r="C109" s="160" t="s">
        <v>141</v>
      </c>
      <c r="D109" s="160" t="s">
        <v>190</v>
      </c>
      <c r="E109" s="161" t="s">
        <v>191</v>
      </c>
      <c r="F109" s="160" t="s">
        <v>38</v>
      </c>
      <c r="G109" s="162">
        <v>86.74</v>
      </c>
      <c r="H109" s="163">
        <f>SupisPrac!I81</f>
        <v>0</v>
      </c>
      <c r="I109" s="163">
        <f t="shared" si="3"/>
        <v>0</v>
      </c>
      <c r="J109" s="163">
        <f t="shared" si="4"/>
        <v>0</v>
      </c>
      <c r="K109" s="163">
        <f t="shared" si="5"/>
        <v>0</v>
      </c>
    </row>
    <row r="110" spans="2:11" s="158" customFormat="1" ht="12">
      <c r="B110" s="164"/>
      <c r="C110" s="160" t="s">
        <v>141</v>
      </c>
      <c r="D110" s="160" t="s">
        <v>192</v>
      </c>
      <c r="E110" s="161" t="s">
        <v>193</v>
      </c>
      <c r="F110" s="160" t="s">
        <v>45</v>
      </c>
      <c r="G110" s="162">
        <v>2122.57</v>
      </c>
      <c r="H110" s="163">
        <f>SupisPrac!I82</f>
        <v>0</v>
      </c>
      <c r="I110" s="163">
        <f t="shared" si="3"/>
        <v>0</v>
      </c>
      <c r="J110" s="163">
        <f t="shared" si="4"/>
        <v>0</v>
      </c>
      <c r="K110" s="163">
        <f t="shared" si="5"/>
        <v>0</v>
      </c>
    </row>
    <row r="111" spans="2:11" s="158" customFormat="1" ht="12">
      <c r="B111" s="164"/>
      <c r="C111" s="160" t="s">
        <v>141</v>
      </c>
      <c r="D111" s="160" t="s">
        <v>194</v>
      </c>
      <c r="E111" s="161" t="s">
        <v>195</v>
      </c>
      <c r="F111" s="160" t="s">
        <v>45</v>
      </c>
      <c r="G111" s="162">
        <v>13.05</v>
      </c>
      <c r="H111" s="163">
        <f>SupisPrac!I83</f>
        <v>0</v>
      </c>
      <c r="I111" s="163">
        <f t="shared" si="3"/>
        <v>0</v>
      </c>
      <c r="J111" s="163">
        <f t="shared" si="4"/>
        <v>0</v>
      </c>
      <c r="K111" s="163">
        <f t="shared" si="5"/>
        <v>0</v>
      </c>
    </row>
    <row r="112" spans="2:11" s="158" customFormat="1" ht="12">
      <c r="B112" s="164"/>
      <c r="C112" s="160" t="s">
        <v>141</v>
      </c>
      <c r="D112" s="160" t="s">
        <v>198</v>
      </c>
      <c r="E112" s="161" t="s">
        <v>199</v>
      </c>
      <c r="F112" s="160" t="s">
        <v>60</v>
      </c>
      <c r="G112" s="162">
        <v>4</v>
      </c>
      <c r="H112" s="163">
        <f>SupisPrac!I85</f>
        <v>0</v>
      </c>
      <c r="I112" s="163">
        <f t="shared" si="3"/>
        <v>0</v>
      </c>
      <c r="J112" s="163">
        <f t="shared" si="4"/>
        <v>0</v>
      </c>
      <c r="K112" s="163">
        <f t="shared" si="5"/>
        <v>0</v>
      </c>
    </row>
    <row r="113" spans="2:11" s="158" customFormat="1" ht="12">
      <c r="B113" s="164"/>
      <c r="C113" s="160" t="s">
        <v>141</v>
      </c>
      <c r="D113" s="160" t="s">
        <v>200</v>
      </c>
      <c r="E113" s="161" t="s">
        <v>201</v>
      </c>
      <c r="F113" s="160" t="s">
        <v>60</v>
      </c>
      <c r="G113" s="162">
        <v>4</v>
      </c>
      <c r="H113" s="163">
        <f>SupisPrac!I86</f>
        <v>0</v>
      </c>
      <c r="I113" s="163">
        <f t="shared" si="3"/>
        <v>0</v>
      </c>
      <c r="J113" s="163">
        <f t="shared" si="4"/>
        <v>0</v>
      </c>
      <c r="K113" s="163">
        <f t="shared" si="5"/>
        <v>0</v>
      </c>
    </row>
    <row r="114" spans="2:11" s="158" customFormat="1" ht="12">
      <c r="B114" s="164"/>
      <c r="C114" s="160" t="s">
        <v>141</v>
      </c>
      <c r="D114" s="160" t="s">
        <v>202</v>
      </c>
      <c r="E114" s="161" t="s">
        <v>203</v>
      </c>
      <c r="F114" s="160" t="s">
        <v>60</v>
      </c>
      <c r="G114" s="162">
        <v>108</v>
      </c>
      <c r="H114" s="163">
        <f>SupisPrac!I87</f>
        <v>0</v>
      </c>
      <c r="I114" s="163">
        <f t="shared" si="3"/>
        <v>0</v>
      </c>
      <c r="J114" s="163">
        <f t="shared" si="4"/>
        <v>0</v>
      </c>
      <c r="K114" s="163">
        <f t="shared" si="5"/>
        <v>0</v>
      </c>
    </row>
    <row r="115" spans="2:11" s="158" customFormat="1" ht="12">
      <c r="B115" s="164"/>
      <c r="C115" s="160" t="s">
        <v>141</v>
      </c>
      <c r="D115" s="160" t="s">
        <v>204</v>
      </c>
      <c r="E115" s="161" t="s">
        <v>205</v>
      </c>
      <c r="F115" s="160" t="s">
        <v>45</v>
      </c>
      <c r="G115" s="162">
        <v>736.56</v>
      </c>
      <c r="H115" s="163">
        <f>SupisPrac!I88</f>
        <v>0</v>
      </c>
      <c r="I115" s="163">
        <f t="shared" si="3"/>
        <v>0</v>
      </c>
      <c r="J115" s="163">
        <f t="shared" si="4"/>
        <v>0</v>
      </c>
      <c r="K115" s="163">
        <f t="shared" si="5"/>
        <v>0</v>
      </c>
    </row>
    <row r="116" spans="2:11" s="158" customFormat="1" ht="12">
      <c r="B116" s="164"/>
      <c r="C116" s="160" t="s">
        <v>141</v>
      </c>
      <c r="D116" s="160" t="s">
        <v>206</v>
      </c>
      <c r="E116" s="161" t="s">
        <v>207</v>
      </c>
      <c r="F116" s="160" t="s">
        <v>45</v>
      </c>
      <c r="G116" s="162">
        <v>1277.8</v>
      </c>
      <c r="H116" s="163">
        <f>SupisPrac!I89</f>
        <v>0</v>
      </c>
      <c r="I116" s="163">
        <f t="shared" si="3"/>
        <v>0</v>
      </c>
      <c r="J116" s="163">
        <f t="shared" si="4"/>
        <v>0</v>
      </c>
      <c r="K116" s="163">
        <f t="shared" si="5"/>
        <v>0</v>
      </c>
    </row>
    <row r="117" spans="2:11" s="158" customFormat="1" ht="12">
      <c r="B117" s="164"/>
      <c r="C117" s="160" t="s">
        <v>141</v>
      </c>
      <c r="D117" s="160" t="s">
        <v>182</v>
      </c>
      <c r="E117" s="161" t="s">
        <v>183</v>
      </c>
      <c r="F117" s="160" t="s">
        <v>45</v>
      </c>
      <c r="G117" s="162">
        <v>1533.36</v>
      </c>
      <c r="H117" s="163">
        <f>SupisPrac!I77</f>
        <v>0</v>
      </c>
      <c r="I117" s="163">
        <f t="shared" si="3"/>
        <v>0</v>
      </c>
      <c r="J117" s="163">
        <f t="shared" si="4"/>
        <v>0</v>
      </c>
      <c r="K117" s="163">
        <f t="shared" si="5"/>
        <v>0</v>
      </c>
    </row>
    <row r="118" spans="2:11" s="158" customFormat="1" ht="12">
      <c r="B118" s="164"/>
      <c r="C118" s="160" t="s">
        <v>141</v>
      </c>
      <c r="D118" s="160" t="s">
        <v>196</v>
      </c>
      <c r="E118" s="161" t="s">
        <v>197</v>
      </c>
      <c r="F118" s="160" t="s">
        <v>38</v>
      </c>
      <c r="G118" s="162">
        <v>318</v>
      </c>
      <c r="H118" s="163">
        <f>SupisPrac!I84</f>
        <v>0</v>
      </c>
      <c r="I118" s="163">
        <f t="shared" si="3"/>
        <v>0</v>
      </c>
      <c r="J118" s="163">
        <f t="shared" si="4"/>
        <v>0</v>
      </c>
      <c r="K118" s="163">
        <f t="shared" si="5"/>
        <v>0</v>
      </c>
    </row>
    <row r="119" spans="2:11" s="158" customFormat="1" ht="12">
      <c r="B119" s="164"/>
      <c r="C119" s="160" t="s">
        <v>141</v>
      </c>
      <c r="D119" s="160" t="s">
        <v>208</v>
      </c>
      <c r="E119" s="161" t="s">
        <v>209</v>
      </c>
      <c r="F119" s="160" t="s">
        <v>30</v>
      </c>
      <c r="G119" s="162">
        <v>87.6</v>
      </c>
      <c r="H119" s="163">
        <f>SupisPrac!I90</f>
        <v>0</v>
      </c>
      <c r="I119" s="163">
        <f t="shared" si="3"/>
        <v>0</v>
      </c>
      <c r="J119" s="163">
        <f t="shared" si="4"/>
        <v>0</v>
      </c>
      <c r="K119" s="163">
        <f t="shared" si="5"/>
        <v>0</v>
      </c>
    </row>
    <row r="120" spans="2:11" s="158" customFormat="1" ht="12">
      <c r="B120" s="164"/>
      <c r="C120" s="160" t="s">
        <v>141</v>
      </c>
      <c r="D120" s="160" t="s">
        <v>210</v>
      </c>
      <c r="E120" s="161" t="s">
        <v>211</v>
      </c>
      <c r="F120" s="160" t="s">
        <v>38</v>
      </c>
      <c r="G120" s="162">
        <v>17.55</v>
      </c>
      <c r="H120" s="163">
        <f>SupisPrac!I91</f>
        <v>0</v>
      </c>
      <c r="I120" s="163">
        <f t="shared" si="3"/>
        <v>0</v>
      </c>
      <c r="J120" s="163">
        <f t="shared" si="4"/>
        <v>0</v>
      </c>
      <c r="K120" s="163">
        <f t="shared" si="5"/>
        <v>0</v>
      </c>
    </row>
    <row r="121" spans="2:11" s="158" customFormat="1" ht="12">
      <c r="B121" s="164"/>
      <c r="C121" s="160" t="s">
        <v>213</v>
      </c>
      <c r="D121" s="160" t="s">
        <v>214</v>
      </c>
      <c r="E121" s="161" t="s">
        <v>215</v>
      </c>
      <c r="F121" s="160" t="s">
        <v>30</v>
      </c>
      <c r="G121" s="162">
        <v>1.17</v>
      </c>
      <c r="H121" s="163">
        <f>SupisPrac!I92</f>
        <v>0</v>
      </c>
      <c r="I121" s="163">
        <f t="shared" si="3"/>
        <v>0</v>
      </c>
      <c r="J121" s="163">
        <f t="shared" si="4"/>
        <v>0</v>
      </c>
      <c r="K121" s="163">
        <f t="shared" si="5"/>
        <v>0</v>
      </c>
    </row>
    <row r="122" spans="2:11" s="158" customFormat="1" ht="12">
      <c r="B122" s="164"/>
      <c r="C122" s="160" t="s">
        <v>217</v>
      </c>
      <c r="D122" s="160" t="s">
        <v>218</v>
      </c>
      <c r="E122" s="161" t="s">
        <v>219</v>
      </c>
      <c r="F122" s="160" t="s">
        <v>45</v>
      </c>
      <c r="G122" s="162">
        <v>1966</v>
      </c>
      <c r="H122" s="163">
        <f>SupisPrac!I93</f>
        <v>0</v>
      </c>
      <c r="I122" s="163">
        <f t="shared" si="3"/>
        <v>0</v>
      </c>
      <c r="J122" s="163">
        <f t="shared" si="4"/>
        <v>0</v>
      </c>
      <c r="K122" s="163">
        <f t="shared" si="5"/>
        <v>0</v>
      </c>
    </row>
    <row r="123" spans="2:11" s="158" customFormat="1" ht="24">
      <c r="B123" s="164"/>
      <c r="C123" s="160" t="s">
        <v>223</v>
      </c>
      <c r="D123" s="160" t="s">
        <v>226</v>
      </c>
      <c r="E123" s="161" t="s">
        <v>227</v>
      </c>
      <c r="F123" s="160" t="s">
        <v>38</v>
      </c>
      <c r="G123" s="162">
        <v>12961.56</v>
      </c>
      <c r="H123" s="163">
        <f>SupisPrac!I96</f>
        <v>0</v>
      </c>
      <c r="I123" s="163">
        <f t="shared" si="3"/>
        <v>0</v>
      </c>
      <c r="J123" s="163">
        <f t="shared" si="4"/>
        <v>0</v>
      </c>
      <c r="K123" s="163">
        <f t="shared" si="5"/>
        <v>0</v>
      </c>
    </row>
    <row r="124" spans="2:11" s="158" customFormat="1" ht="24">
      <c r="B124" s="164"/>
      <c r="C124" s="160" t="s">
        <v>223</v>
      </c>
      <c r="D124" s="160" t="s">
        <v>230</v>
      </c>
      <c r="E124" s="161" t="s">
        <v>231</v>
      </c>
      <c r="F124" s="160" t="s">
        <v>30</v>
      </c>
      <c r="G124" s="162">
        <v>255.76</v>
      </c>
      <c r="H124" s="163">
        <f>SupisPrac!I98</f>
        <v>0</v>
      </c>
      <c r="I124" s="163">
        <f t="shared" si="3"/>
        <v>0</v>
      </c>
      <c r="J124" s="163">
        <f t="shared" si="4"/>
        <v>0</v>
      </c>
      <c r="K124" s="163">
        <f t="shared" si="5"/>
        <v>0</v>
      </c>
    </row>
    <row r="125" spans="2:11" s="158" customFormat="1" ht="24">
      <c r="B125" s="164"/>
      <c r="C125" s="160" t="s">
        <v>223</v>
      </c>
      <c r="D125" s="160" t="s">
        <v>232</v>
      </c>
      <c r="E125" s="161" t="s">
        <v>233</v>
      </c>
      <c r="F125" s="160" t="s">
        <v>30</v>
      </c>
      <c r="G125" s="162">
        <v>7.6</v>
      </c>
      <c r="H125" s="163">
        <f>SupisPrac!I99</f>
        <v>0</v>
      </c>
      <c r="I125" s="163">
        <f t="shared" si="3"/>
        <v>0</v>
      </c>
      <c r="J125" s="163">
        <f t="shared" si="4"/>
        <v>0</v>
      </c>
      <c r="K125" s="163">
        <f t="shared" si="5"/>
        <v>0</v>
      </c>
    </row>
    <row r="126" spans="2:11" s="158" customFormat="1" ht="12">
      <c r="B126" s="164"/>
      <c r="C126" s="160" t="s">
        <v>223</v>
      </c>
      <c r="D126" s="160" t="s">
        <v>234</v>
      </c>
      <c r="E126" s="161" t="s">
        <v>235</v>
      </c>
      <c r="F126" s="160" t="s">
        <v>30</v>
      </c>
      <c r="G126" s="162">
        <v>291.22</v>
      </c>
      <c r="H126" s="163">
        <f>SupisPrac!I100</f>
        <v>0</v>
      </c>
      <c r="I126" s="163">
        <f t="shared" si="3"/>
        <v>0</v>
      </c>
      <c r="J126" s="163">
        <f t="shared" si="4"/>
        <v>0</v>
      </c>
      <c r="K126" s="163">
        <f t="shared" si="5"/>
        <v>0</v>
      </c>
    </row>
    <row r="127" spans="2:11" s="158" customFormat="1" ht="12">
      <c r="B127" s="164"/>
      <c r="C127" s="160" t="s">
        <v>223</v>
      </c>
      <c r="D127" s="160" t="s">
        <v>238</v>
      </c>
      <c r="E127" s="161" t="s">
        <v>239</v>
      </c>
      <c r="F127" s="160" t="s">
        <v>45</v>
      </c>
      <c r="G127" s="162">
        <v>3557.79</v>
      </c>
      <c r="H127" s="163">
        <f>SupisPrac!I102</f>
        <v>0</v>
      </c>
      <c r="I127" s="163">
        <f t="shared" si="3"/>
        <v>0</v>
      </c>
      <c r="J127" s="163">
        <f t="shared" si="4"/>
        <v>0</v>
      </c>
      <c r="K127" s="163">
        <f t="shared" si="5"/>
        <v>0</v>
      </c>
    </row>
    <row r="128" spans="2:11" s="158" customFormat="1" ht="24">
      <c r="B128" s="164"/>
      <c r="C128" s="160" t="s">
        <v>223</v>
      </c>
      <c r="D128" s="160" t="s">
        <v>240</v>
      </c>
      <c r="E128" s="161" t="s">
        <v>241</v>
      </c>
      <c r="F128" s="160" t="s">
        <v>38</v>
      </c>
      <c r="G128" s="162">
        <v>69.86</v>
      </c>
      <c r="H128" s="163">
        <f>SupisPrac!I103</f>
        <v>0</v>
      </c>
      <c r="I128" s="163">
        <f t="shared" si="3"/>
        <v>0</v>
      </c>
      <c r="J128" s="163">
        <f t="shared" si="4"/>
        <v>0</v>
      </c>
      <c r="K128" s="163">
        <f t="shared" si="5"/>
        <v>0</v>
      </c>
    </row>
    <row r="129" spans="2:11" s="158" customFormat="1" ht="12">
      <c r="B129" s="164"/>
      <c r="C129" s="160" t="s">
        <v>223</v>
      </c>
      <c r="D129" s="160" t="s">
        <v>242</v>
      </c>
      <c r="E129" s="161" t="s">
        <v>243</v>
      </c>
      <c r="F129" s="160" t="s">
        <v>45</v>
      </c>
      <c r="G129" s="162">
        <v>7</v>
      </c>
      <c r="H129" s="163">
        <f>SupisPrac!I104</f>
        <v>0</v>
      </c>
      <c r="I129" s="163">
        <f t="shared" si="3"/>
        <v>0</v>
      </c>
      <c r="J129" s="163">
        <f t="shared" si="4"/>
        <v>0</v>
      </c>
      <c r="K129" s="163">
        <f t="shared" si="5"/>
        <v>0</v>
      </c>
    </row>
    <row r="130" spans="2:11" s="158" customFormat="1" ht="12">
      <c r="B130" s="164"/>
      <c r="C130" s="160" t="s">
        <v>223</v>
      </c>
      <c r="D130" s="160" t="s">
        <v>252</v>
      </c>
      <c r="E130" s="161" t="s">
        <v>253</v>
      </c>
      <c r="F130" s="160" t="s">
        <v>60</v>
      </c>
      <c r="G130" s="162">
        <v>74</v>
      </c>
      <c r="H130" s="163">
        <f>SupisPrac!I109</f>
        <v>0</v>
      </c>
      <c r="I130" s="163">
        <f t="shared" si="3"/>
        <v>0</v>
      </c>
      <c r="J130" s="163">
        <f t="shared" si="4"/>
        <v>0</v>
      </c>
      <c r="K130" s="163">
        <f t="shared" si="5"/>
        <v>0</v>
      </c>
    </row>
    <row r="131" spans="2:11" s="158" customFormat="1" ht="12">
      <c r="B131" s="164"/>
      <c r="C131" s="160" t="s">
        <v>223</v>
      </c>
      <c r="D131" s="160" t="s">
        <v>254</v>
      </c>
      <c r="E131" s="161" t="s">
        <v>356</v>
      </c>
      <c r="F131" s="160" t="s">
        <v>60</v>
      </c>
      <c r="G131" s="162">
        <v>4</v>
      </c>
      <c r="H131" s="163">
        <f>SupisPrac!I110</f>
        <v>0</v>
      </c>
      <c r="I131" s="163">
        <f t="shared" si="3"/>
        <v>0</v>
      </c>
      <c r="J131" s="163">
        <f t="shared" si="4"/>
        <v>0</v>
      </c>
      <c r="K131" s="163">
        <f t="shared" si="5"/>
        <v>0</v>
      </c>
    </row>
    <row r="132" spans="2:11" s="158" customFormat="1" ht="12">
      <c r="B132" s="164"/>
      <c r="C132" s="160" t="s">
        <v>223</v>
      </c>
      <c r="D132" s="160" t="s">
        <v>258</v>
      </c>
      <c r="E132" s="161" t="s">
        <v>259</v>
      </c>
      <c r="F132" s="160" t="s">
        <v>45</v>
      </c>
      <c r="G132" s="162">
        <v>33.4</v>
      </c>
      <c r="H132" s="163">
        <f>SupisPrac!I112</f>
        <v>0</v>
      </c>
      <c r="I132" s="163">
        <f aca="true" t="shared" si="6" ref="I132:I163">ROUND(H132,2)</f>
        <v>0</v>
      </c>
      <c r="J132" s="163">
        <f aca="true" t="shared" si="7" ref="J132:J163">ROUND(G132*I132,2)</f>
        <v>0</v>
      </c>
      <c r="K132" s="163">
        <f aca="true" t="shared" si="8" ref="K132:K163">ROUND(J132*0.2,2)</f>
        <v>0</v>
      </c>
    </row>
    <row r="133" spans="2:11" s="158" customFormat="1" ht="12">
      <c r="B133" s="164"/>
      <c r="C133" s="160" t="s">
        <v>223</v>
      </c>
      <c r="D133" s="160" t="s">
        <v>260</v>
      </c>
      <c r="E133" s="161" t="s">
        <v>261</v>
      </c>
      <c r="F133" s="160" t="s">
        <v>45</v>
      </c>
      <c r="G133" s="162">
        <v>19</v>
      </c>
      <c r="H133" s="163">
        <f>SupisPrac!I113</f>
        <v>0</v>
      </c>
      <c r="I133" s="163">
        <f t="shared" si="6"/>
        <v>0</v>
      </c>
      <c r="J133" s="163">
        <f t="shared" si="7"/>
        <v>0</v>
      </c>
      <c r="K133" s="163">
        <f t="shared" si="8"/>
        <v>0</v>
      </c>
    </row>
    <row r="134" spans="2:11" s="158" customFormat="1" ht="12">
      <c r="B134" s="164"/>
      <c r="C134" s="160" t="s">
        <v>223</v>
      </c>
      <c r="D134" s="160" t="s">
        <v>262</v>
      </c>
      <c r="E134" s="161" t="s">
        <v>263</v>
      </c>
      <c r="F134" s="160" t="s">
        <v>38</v>
      </c>
      <c r="G134" s="162">
        <v>354.2</v>
      </c>
      <c r="H134" s="163">
        <f>SupisPrac!I114</f>
        <v>0</v>
      </c>
      <c r="I134" s="163">
        <f t="shared" si="6"/>
        <v>0</v>
      </c>
      <c r="J134" s="163">
        <f t="shared" si="7"/>
        <v>0</v>
      </c>
      <c r="K134" s="163">
        <f t="shared" si="8"/>
        <v>0</v>
      </c>
    </row>
    <row r="135" spans="2:11" s="158" customFormat="1" ht="12">
      <c r="B135" s="164"/>
      <c r="C135" s="160" t="s">
        <v>277</v>
      </c>
      <c r="D135" s="160" t="s">
        <v>278</v>
      </c>
      <c r="E135" s="161" t="s">
        <v>279</v>
      </c>
      <c r="F135" s="160" t="s">
        <v>30</v>
      </c>
      <c r="G135" s="162">
        <v>26.21</v>
      </c>
      <c r="H135" s="163">
        <f>SupisPrac!I120</f>
        <v>0</v>
      </c>
      <c r="I135" s="163">
        <f t="shared" si="6"/>
        <v>0</v>
      </c>
      <c r="J135" s="163">
        <f t="shared" si="7"/>
        <v>0</v>
      </c>
      <c r="K135" s="163">
        <f t="shared" si="8"/>
        <v>0</v>
      </c>
    </row>
    <row r="136" spans="2:11" s="158" customFormat="1" ht="12">
      <c r="B136" s="164"/>
      <c r="C136" s="160" t="s">
        <v>277</v>
      </c>
      <c r="D136" s="160" t="s">
        <v>280</v>
      </c>
      <c r="E136" s="161" t="s">
        <v>281</v>
      </c>
      <c r="F136" s="160" t="s">
        <v>30</v>
      </c>
      <c r="G136" s="162">
        <v>12.91</v>
      </c>
      <c r="H136" s="163">
        <f>SupisPrac!I121</f>
        <v>0</v>
      </c>
      <c r="I136" s="163">
        <f t="shared" si="6"/>
        <v>0</v>
      </c>
      <c r="J136" s="163">
        <f t="shared" si="7"/>
        <v>0</v>
      </c>
      <c r="K136" s="163">
        <f t="shared" si="8"/>
        <v>0</v>
      </c>
    </row>
    <row r="137" spans="2:11" s="158" customFormat="1" ht="12">
      <c r="B137" s="164"/>
      <c r="C137" s="160" t="s">
        <v>283</v>
      </c>
      <c r="D137" s="160" t="s">
        <v>284</v>
      </c>
      <c r="E137" s="161" t="s">
        <v>285</v>
      </c>
      <c r="F137" s="160" t="s">
        <v>38</v>
      </c>
      <c r="G137" s="162">
        <v>22.39</v>
      </c>
      <c r="H137" s="163">
        <f>SupisPrac!I122</f>
        <v>0</v>
      </c>
      <c r="I137" s="163">
        <f t="shared" si="6"/>
        <v>0</v>
      </c>
      <c r="J137" s="163">
        <f t="shared" si="7"/>
        <v>0</v>
      </c>
      <c r="K137" s="163">
        <f t="shared" si="8"/>
        <v>0</v>
      </c>
    </row>
    <row r="138" spans="2:11" s="158" customFormat="1" ht="12">
      <c r="B138" s="164"/>
      <c r="C138" s="160" t="s">
        <v>283</v>
      </c>
      <c r="D138" s="160" t="s">
        <v>288</v>
      </c>
      <c r="E138" s="161" t="s">
        <v>289</v>
      </c>
      <c r="F138" s="160" t="s">
        <v>38</v>
      </c>
      <c r="G138" s="162">
        <v>10018.45</v>
      </c>
      <c r="H138" s="163">
        <f>SupisPrac!I124</f>
        <v>0</v>
      </c>
      <c r="I138" s="163">
        <f t="shared" si="6"/>
        <v>0</v>
      </c>
      <c r="J138" s="163">
        <f t="shared" si="7"/>
        <v>0</v>
      </c>
      <c r="K138" s="163">
        <f t="shared" si="8"/>
        <v>0</v>
      </c>
    </row>
    <row r="139" spans="2:11" s="158" customFormat="1" ht="12">
      <c r="B139" s="164"/>
      <c r="C139" s="160" t="s">
        <v>283</v>
      </c>
      <c r="D139" s="160" t="s">
        <v>286</v>
      </c>
      <c r="E139" s="161" t="s">
        <v>287</v>
      </c>
      <c r="F139" s="160" t="s">
        <v>38</v>
      </c>
      <c r="G139" s="162">
        <v>125.44</v>
      </c>
      <c r="H139" s="163">
        <f>SupisPrac!I123</f>
        <v>0</v>
      </c>
      <c r="I139" s="163">
        <f t="shared" si="6"/>
        <v>0</v>
      </c>
      <c r="J139" s="163">
        <f t="shared" si="7"/>
        <v>0</v>
      </c>
      <c r="K139" s="163">
        <f t="shared" si="8"/>
        <v>0</v>
      </c>
    </row>
    <row r="140" spans="2:11" s="158" customFormat="1" ht="12">
      <c r="B140" s="164"/>
      <c r="C140" s="160" t="s">
        <v>283</v>
      </c>
      <c r="D140" s="160" t="s">
        <v>290</v>
      </c>
      <c r="E140" s="161" t="s">
        <v>291</v>
      </c>
      <c r="F140" s="160" t="s">
        <v>38</v>
      </c>
      <c r="G140" s="162">
        <v>43.03</v>
      </c>
      <c r="H140" s="163">
        <f>SupisPrac!I125</f>
        <v>0</v>
      </c>
      <c r="I140" s="163">
        <f t="shared" si="6"/>
        <v>0</v>
      </c>
      <c r="J140" s="163">
        <f t="shared" si="7"/>
        <v>0</v>
      </c>
      <c r="K140" s="163">
        <f t="shared" si="8"/>
        <v>0</v>
      </c>
    </row>
    <row r="141" spans="2:11" s="158" customFormat="1" ht="12">
      <c r="B141" s="164"/>
      <c r="C141" s="160" t="s">
        <v>283</v>
      </c>
      <c r="D141" s="160" t="s">
        <v>292</v>
      </c>
      <c r="E141" s="161" t="s">
        <v>293</v>
      </c>
      <c r="F141" s="160" t="s">
        <v>38</v>
      </c>
      <c r="G141" s="162">
        <v>19.4</v>
      </c>
      <c r="H141" s="163">
        <f>SupisPrac!I126</f>
        <v>0</v>
      </c>
      <c r="I141" s="163">
        <f t="shared" si="6"/>
        <v>0</v>
      </c>
      <c r="J141" s="163">
        <f t="shared" si="7"/>
        <v>0</v>
      </c>
      <c r="K141" s="163">
        <f t="shared" si="8"/>
        <v>0</v>
      </c>
    </row>
    <row r="142" spans="2:11" s="158" customFormat="1" ht="12">
      <c r="B142" s="164"/>
      <c r="C142" s="160" t="s">
        <v>295</v>
      </c>
      <c r="D142" s="160" t="s">
        <v>296</v>
      </c>
      <c r="E142" s="161" t="s">
        <v>297</v>
      </c>
      <c r="F142" s="160" t="s">
        <v>38</v>
      </c>
      <c r="G142" s="162">
        <v>4.16</v>
      </c>
      <c r="H142" s="163">
        <f>SupisPrac!I127</f>
        <v>0</v>
      </c>
      <c r="I142" s="163">
        <f t="shared" si="6"/>
        <v>0</v>
      </c>
      <c r="J142" s="163">
        <f t="shared" si="7"/>
        <v>0</v>
      </c>
      <c r="K142" s="163">
        <f t="shared" si="8"/>
        <v>0</v>
      </c>
    </row>
    <row r="143" spans="2:11" s="158" customFormat="1" ht="12">
      <c r="B143" s="164"/>
      <c r="C143" s="160" t="s">
        <v>295</v>
      </c>
      <c r="D143" s="160" t="s">
        <v>298</v>
      </c>
      <c r="E143" s="161" t="s">
        <v>299</v>
      </c>
      <c r="F143" s="160" t="s">
        <v>38</v>
      </c>
      <c r="G143" s="162">
        <v>696.71</v>
      </c>
      <c r="H143" s="163">
        <f>SupisPrac!I128</f>
        <v>0</v>
      </c>
      <c r="I143" s="163">
        <f t="shared" si="6"/>
        <v>0</v>
      </c>
      <c r="J143" s="163">
        <f t="shared" si="7"/>
        <v>0</v>
      </c>
      <c r="K143" s="163">
        <f t="shared" si="8"/>
        <v>0</v>
      </c>
    </row>
    <row r="144" spans="2:11" s="158" customFormat="1" ht="12">
      <c r="B144" s="164"/>
      <c r="C144" s="160" t="s">
        <v>295</v>
      </c>
      <c r="D144" s="160" t="s">
        <v>300</v>
      </c>
      <c r="E144" s="161" t="s">
        <v>301</v>
      </c>
      <c r="F144" s="160" t="s">
        <v>45</v>
      </c>
      <c r="G144" s="162">
        <v>1229.12</v>
      </c>
      <c r="H144" s="163">
        <f>SupisPrac!I129</f>
        <v>0</v>
      </c>
      <c r="I144" s="163">
        <f t="shared" si="6"/>
        <v>0</v>
      </c>
      <c r="J144" s="163">
        <f t="shared" si="7"/>
        <v>0</v>
      </c>
      <c r="K144" s="163">
        <f t="shared" si="8"/>
        <v>0</v>
      </c>
    </row>
    <row r="145" spans="2:11" s="158" customFormat="1" ht="12">
      <c r="B145" s="164"/>
      <c r="C145" s="160" t="s">
        <v>295</v>
      </c>
      <c r="D145" s="160" t="s">
        <v>302</v>
      </c>
      <c r="E145" s="161" t="s">
        <v>303</v>
      </c>
      <c r="F145" s="160" t="s">
        <v>30</v>
      </c>
      <c r="G145" s="162">
        <v>0.15</v>
      </c>
      <c r="H145" s="163">
        <f>SupisPrac!I130</f>
        <v>0</v>
      </c>
      <c r="I145" s="163">
        <f t="shared" si="6"/>
        <v>0</v>
      </c>
      <c r="J145" s="163">
        <f t="shared" si="7"/>
        <v>0</v>
      </c>
      <c r="K145" s="163">
        <f t="shared" si="8"/>
        <v>0</v>
      </c>
    </row>
    <row r="146" spans="2:11" s="158" customFormat="1" ht="12">
      <c r="B146" s="164"/>
      <c r="C146" s="160" t="s">
        <v>305</v>
      </c>
      <c r="D146" s="160" t="s">
        <v>306</v>
      </c>
      <c r="E146" s="161" t="s">
        <v>307</v>
      </c>
      <c r="F146" s="160" t="s">
        <v>30</v>
      </c>
      <c r="G146" s="162">
        <v>25.484</v>
      </c>
      <c r="H146" s="163">
        <f>SupisPrac!I131</f>
        <v>0</v>
      </c>
      <c r="I146" s="163">
        <f t="shared" si="6"/>
        <v>0</v>
      </c>
      <c r="J146" s="163">
        <f t="shared" si="7"/>
        <v>0</v>
      </c>
      <c r="K146" s="163">
        <f t="shared" si="8"/>
        <v>0</v>
      </c>
    </row>
    <row r="147" spans="2:11" s="158" customFormat="1" ht="12">
      <c r="B147" s="164"/>
      <c r="C147" s="160" t="s">
        <v>305</v>
      </c>
      <c r="D147" s="160" t="s">
        <v>308</v>
      </c>
      <c r="E147" s="161" t="s">
        <v>309</v>
      </c>
      <c r="F147" s="160" t="s">
        <v>28</v>
      </c>
      <c r="G147" s="162">
        <v>1.35</v>
      </c>
      <c r="H147" s="163">
        <f>SupisPrac!I132</f>
        <v>0</v>
      </c>
      <c r="I147" s="163">
        <f t="shared" si="6"/>
        <v>0</v>
      </c>
      <c r="J147" s="163">
        <f t="shared" si="7"/>
        <v>0</v>
      </c>
      <c r="K147" s="163">
        <f t="shared" si="8"/>
        <v>0</v>
      </c>
    </row>
    <row r="148" spans="2:11" s="158" customFormat="1" ht="12">
      <c r="B148" s="164"/>
      <c r="C148" s="160" t="s">
        <v>305</v>
      </c>
      <c r="D148" s="160" t="s">
        <v>310</v>
      </c>
      <c r="E148" s="161" t="s">
        <v>311</v>
      </c>
      <c r="F148" s="160" t="s">
        <v>30</v>
      </c>
      <c r="G148" s="162">
        <v>2.98</v>
      </c>
      <c r="H148" s="163">
        <f>SupisPrac!I133</f>
        <v>0</v>
      </c>
      <c r="I148" s="163">
        <f t="shared" si="6"/>
        <v>0</v>
      </c>
      <c r="J148" s="163">
        <f t="shared" si="7"/>
        <v>0</v>
      </c>
      <c r="K148" s="163">
        <f t="shared" si="8"/>
        <v>0</v>
      </c>
    </row>
    <row r="149" spans="2:11" s="158" customFormat="1" ht="12">
      <c r="B149" s="164"/>
      <c r="C149" s="160" t="s">
        <v>313</v>
      </c>
      <c r="D149" s="160" t="s">
        <v>314</v>
      </c>
      <c r="E149" s="161" t="s">
        <v>315</v>
      </c>
      <c r="F149" s="160" t="s">
        <v>38</v>
      </c>
      <c r="G149" s="162">
        <v>0.2</v>
      </c>
      <c r="H149" s="163">
        <f>SupisPrac!I134</f>
        <v>0</v>
      </c>
      <c r="I149" s="163">
        <f t="shared" si="6"/>
        <v>0</v>
      </c>
      <c r="J149" s="163">
        <f t="shared" si="7"/>
        <v>0</v>
      </c>
      <c r="K149" s="163">
        <f t="shared" si="8"/>
        <v>0</v>
      </c>
    </row>
    <row r="150" spans="2:11" s="158" customFormat="1" ht="24">
      <c r="B150" s="164"/>
      <c r="C150" s="160" t="s">
        <v>316</v>
      </c>
      <c r="D150" s="160" t="s">
        <v>317</v>
      </c>
      <c r="E150" s="161" t="s">
        <v>318</v>
      </c>
      <c r="F150" s="160" t="s">
        <v>38</v>
      </c>
      <c r="G150" s="162">
        <v>14.56</v>
      </c>
      <c r="H150" s="163">
        <f>SupisPrac!I135</f>
        <v>0</v>
      </c>
      <c r="I150" s="163">
        <f t="shared" si="6"/>
        <v>0</v>
      </c>
      <c r="J150" s="163">
        <f t="shared" si="7"/>
        <v>0</v>
      </c>
      <c r="K150" s="163">
        <f t="shared" si="8"/>
        <v>0</v>
      </c>
    </row>
    <row r="151" spans="2:11" s="158" customFormat="1" ht="12">
      <c r="B151" s="164"/>
      <c r="C151" s="160" t="s">
        <v>320</v>
      </c>
      <c r="D151" s="160" t="s">
        <v>321</v>
      </c>
      <c r="E151" s="161" t="s">
        <v>322</v>
      </c>
      <c r="F151" s="160" t="s">
        <v>38</v>
      </c>
      <c r="G151" s="162">
        <v>45.18</v>
      </c>
      <c r="H151" s="163">
        <f>SupisPrac!I136</f>
        <v>0</v>
      </c>
      <c r="I151" s="163">
        <f t="shared" si="6"/>
        <v>0</v>
      </c>
      <c r="J151" s="163">
        <f t="shared" si="7"/>
        <v>0</v>
      </c>
      <c r="K151" s="163">
        <f t="shared" si="8"/>
        <v>0</v>
      </c>
    </row>
    <row r="152" spans="2:11" s="158" customFormat="1" ht="12">
      <c r="B152" s="164"/>
      <c r="C152" s="160" t="s">
        <v>323</v>
      </c>
      <c r="D152" s="160" t="s">
        <v>324</v>
      </c>
      <c r="E152" s="161" t="s">
        <v>325</v>
      </c>
      <c r="F152" s="160" t="s">
        <v>38</v>
      </c>
      <c r="G152" s="162">
        <v>8739.65</v>
      </c>
      <c r="H152" s="163">
        <f>SupisPrac!I137</f>
        <v>0</v>
      </c>
      <c r="I152" s="163">
        <f t="shared" si="6"/>
        <v>0</v>
      </c>
      <c r="J152" s="163">
        <f t="shared" si="7"/>
        <v>0</v>
      </c>
      <c r="K152" s="163">
        <f t="shared" si="8"/>
        <v>0</v>
      </c>
    </row>
    <row r="153" spans="2:11" s="158" customFormat="1" ht="12">
      <c r="B153" s="164"/>
      <c r="C153" s="160" t="s">
        <v>323</v>
      </c>
      <c r="D153" s="160" t="s">
        <v>326</v>
      </c>
      <c r="E153" s="161" t="s">
        <v>327</v>
      </c>
      <c r="F153" s="160" t="s">
        <v>38</v>
      </c>
      <c r="G153" s="162">
        <v>3203.99</v>
      </c>
      <c r="H153" s="163">
        <f>SupisPrac!I138</f>
        <v>0</v>
      </c>
      <c r="I153" s="163">
        <f t="shared" si="6"/>
        <v>0</v>
      </c>
      <c r="J153" s="163">
        <f t="shared" si="7"/>
        <v>0</v>
      </c>
      <c r="K153" s="163">
        <f t="shared" si="8"/>
        <v>0</v>
      </c>
    </row>
    <row r="154" spans="2:11" s="158" customFormat="1" ht="12">
      <c r="B154" s="164"/>
      <c r="C154" s="160" t="s">
        <v>323</v>
      </c>
      <c r="D154" s="160" t="s">
        <v>328</v>
      </c>
      <c r="E154" s="161" t="s">
        <v>329</v>
      </c>
      <c r="F154" s="160" t="s">
        <v>38</v>
      </c>
      <c r="G154" s="162">
        <v>2415.54</v>
      </c>
      <c r="H154" s="163">
        <f>SupisPrac!I139</f>
        <v>0</v>
      </c>
      <c r="I154" s="163">
        <f t="shared" si="6"/>
        <v>0</v>
      </c>
      <c r="J154" s="163">
        <f t="shared" si="7"/>
        <v>0</v>
      </c>
      <c r="K154" s="163">
        <f t="shared" si="8"/>
        <v>0</v>
      </c>
    </row>
    <row r="155" spans="2:11" s="158" customFormat="1" ht="12">
      <c r="B155" s="164"/>
      <c r="C155" s="160" t="s">
        <v>323</v>
      </c>
      <c r="D155" s="160" t="s">
        <v>330</v>
      </c>
      <c r="E155" s="161" t="s">
        <v>331</v>
      </c>
      <c r="F155" s="160" t="s">
        <v>38</v>
      </c>
      <c r="G155" s="162">
        <v>650.54</v>
      </c>
      <c r="H155" s="163">
        <f>SupisPrac!I140</f>
        <v>0</v>
      </c>
      <c r="I155" s="163">
        <f t="shared" si="6"/>
        <v>0</v>
      </c>
      <c r="J155" s="163">
        <f t="shared" si="7"/>
        <v>0</v>
      </c>
      <c r="K155" s="163">
        <f t="shared" si="8"/>
        <v>0</v>
      </c>
    </row>
    <row r="156" spans="2:11" s="158" customFormat="1" ht="12">
      <c r="B156" s="164"/>
      <c r="C156" s="160" t="s">
        <v>333</v>
      </c>
      <c r="D156" s="160" t="s">
        <v>334</v>
      </c>
      <c r="E156" s="161" t="s">
        <v>335</v>
      </c>
      <c r="F156" s="160" t="s">
        <v>38</v>
      </c>
      <c r="G156" s="162">
        <v>1996.38</v>
      </c>
      <c r="H156" s="163">
        <f>SupisPrac!I141</f>
        <v>0</v>
      </c>
      <c r="I156" s="163">
        <f t="shared" si="6"/>
        <v>0</v>
      </c>
      <c r="J156" s="163">
        <f t="shared" si="7"/>
        <v>0</v>
      </c>
      <c r="K156" s="163">
        <f t="shared" si="8"/>
        <v>0</v>
      </c>
    </row>
    <row r="157" spans="2:11" s="158" customFormat="1" ht="12">
      <c r="B157" s="164"/>
      <c r="C157" s="160" t="s">
        <v>333</v>
      </c>
      <c r="D157" s="160" t="s">
        <v>336</v>
      </c>
      <c r="E157" s="161" t="s">
        <v>337</v>
      </c>
      <c r="F157" s="160" t="s">
        <v>38</v>
      </c>
      <c r="G157" s="162">
        <v>1008.83</v>
      </c>
      <c r="H157" s="163">
        <f>SupisPrac!I142</f>
        <v>0</v>
      </c>
      <c r="I157" s="163">
        <f t="shared" si="6"/>
        <v>0</v>
      </c>
      <c r="J157" s="163">
        <f t="shared" si="7"/>
        <v>0</v>
      </c>
      <c r="K157" s="163">
        <f t="shared" si="8"/>
        <v>0</v>
      </c>
    </row>
    <row r="158" spans="2:11" s="158" customFormat="1" ht="12">
      <c r="B158" s="164"/>
      <c r="C158" s="160" t="s">
        <v>333</v>
      </c>
      <c r="D158" s="160" t="s">
        <v>338</v>
      </c>
      <c r="E158" s="161" t="s">
        <v>339</v>
      </c>
      <c r="F158" s="160" t="s">
        <v>38</v>
      </c>
      <c r="G158" s="162">
        <v>16.38</v>
      </c>
      <c r="H158" s="163">
        <f>SupisPrac!I143</f>
        <v>0</v>
      </c>
      <c r="I158" s="163">
        <f t="shared" si="6"/>
        <v>0</v>
      </c>
      <c r="J158" s="163">
        <f t="shared" si="7"/>
        <v>0</v>
      </c>
      <c r="K158" s="163">
        <f t="shared" si="8"/>
        <v>0</v>
      </c>
    </row>
    <row r="159" spans="2:11" s="158" customFormat="1" ht="12">
      <c r="B159" s="164"/>
      <c r="C159" s="160" t="s">
        <v>333</v>
      </c>
      <c r="D159" s="160" t="s">
        <v>340</v>
      </c>
      <c r="E159" s="161" t="s">
        <v>341</v>
      </c>
      <c r="F159" s="160" t="s">
        <v>38</v>
      </c>
      <c r="G159" s="162">
        <v>8050.93</v>
      </c>
      <c r="H159" s="163">
        <f>SupisPrac!I144</f>
        <v>0</v>
      </c>
      <c r="I159" s="163">
        <f t="shared" si="6"/>
        <v>0</v>
      </c>
      <c r="J159" s="163">
        <f t="shared" si="7"/>
        <v>0</v>
      </c>
      <c r="K159" s="163">
        <f t="shared" si="8"/>
        <v>0</v>
      </c>
    </row>
    <row r="160" spans="2:11" s="158" customFormat="1" ht="12">
      <c r="B160" s="164"/>
      <c r="C160" s="160" t="s">
        <v>333</v>
      </c>
      <c r="D160" s="160" t="s">
        <v>342</v>
      </c>
      <c r="E160" s="161" t="s">
        <v>343</v>
      </c>
      <c r="F160" s="160" t="s">
        <v>38</v>
      </c>
      <c r="G160" s="162">
        <v>5.46</v>
      </c>
      <c r="H160" s="163">
        <f>SupisPrac!I145</f>
        <v>0</v>
      </c>
      <c r="I160" s="163">
        <f t="shared" si="6"/>
        <v>0</v>
      </c>
      <c r="J160" s="163">
        <f t="shared" si="7"/>
        <v>0</v>
      </c>
      <c r="K160" s="163">
        <f t="shared" si="8"/>
        <v>0</v>
      </c>
    </row>
    <row r="161" spans="2:11" s="158" customFormat="1" ht="12">
      <c r="B161" s="164"/>
      <c r="C161" s="160" t="s">
        <v>333</v>
      </c>
      <c r="D161" s="160" t="s">
        <v>344</v>
      </c>
      <c r="E161" s="161" t="s">
        <v>345</v>
      </c>
      <c r="F161" s="160" t="s">
        <v>38</v>
      </c>
      <c r="G161" s="162">
        <v>12015.97</v>
      </c>
      <c r="H161" s="163">
        <f>SupisPrac!I146</f>
        <v>0</v>
      </c>
      <c r="I161" s="163">
        <f t="shared" si="6"/>
        <v>0</v>
      </c>
      <c r="J161" s="163">
        <f t="shared" si="7"/>
        <v>0</v>
      </c>
      <c r="K161" s="163">
        <f t="shared" si="8"/>
        <v>0</v>
      </c>
    </row>
    <row r="162" spans="2:11" s="158" customFormat="1" ht="12">
      <c r="B162" s="164"/>
      <c r="C162" s="160" t="s">
        <v>333</v>
      </c>
      <c r="D162" s="160" t="s">
        <v>346</v>
      </c>
      <c r="E162" s="161" t="s">
        <v>347</v>
      </c>
      <c r="F162" s="160" t="s">
        <v>38</v>
      </c>
      <c r="G162" s="162">
        <v>1404.19</v>
      </c>
      <c r="H162" s="163">
        <f>SupisPrac!I147</f>
        <v>0</v>
      </c>
      <c r="I162" s="163">
        <f t="shared" si="6"/>
        <v>0</v>
      </c>
      <c r="J162" s="163">
        <f t="shared" si="7"/>
        <v>0</v>
      </c>
      <c r="K162" s="163">
        <f t="shared" si="8"/>
        <v>0</v>
      </c>
    </row>
    <row r="163" spans="2:11" s="158" customFormat="1" ht="12">
      <c r="B163" s="165"/>
      <c r="C163" s="160" t="s">
        <v>333</v>
      </c>
      <c r="D163" s="160" t="s">
        <v>348</v>
      </c>
      <c r="E163" s="161" t="s">
        <v>349</v>
      </c>
      <c r="F163" s="160" t="s">
        <v>38</v>
      </c>
      <c r="G163" s="162">
        <v>1390.03</v>
      </c>
      <c r="H163" s="163">
        <f>SupisPrac!I148</f>
        <v>0</v>
      </c>
      <c r="I163" s="163">
        <f t="shared" si="6"/>
        <v>0</v>
      </c>
      <c r="J163" s="163">
        <f t="shared" si="7"/>
        <v>0</v>
      </c>
      <c r="K163" s="163">
        <f t="shared" si="8"/>
        <v>0</v>
      </c>
    </row>
    <row r="164" spans="2:11" s="618" customFormat="1" ht="24">
      <c r="B164" s="625" t="s">
        <v>357</v>
      </c>
      <c r="C164" s="626"/>
      <c r="D164" s="626"/>
      <c r="E164" s="627"/>
      <c r="F164" s="626"/>
      <c r="G164" s="626"/>
      <c r="H164" s="626"/>
      <c r="I164" s="626"/>
      <c r="J164" s="621">
        <f>SUM(J53:J163)</f>
        <v>0</v>
      </c>
      <c r="K164" s="621">
        <f>SUM(K53:K163)</f>
        <v>0</v>
      </c>
    </row>
    <row r="168" spans="2:5" ht="12">
      <c r="B168" s="583"/>
      <c r="C168" s="582"/>
      <c r="D168" s="582"/>
      <c r="E168" s="583"/>
    </row>
    <row r="169" spans="2:5" ht="14.25">
      <c r="B169" s="580" t="s">
        <v>1361</v>
      </c>
      <c r="C169" s="582"/>
      <c r="D169" s="582"/>
      <c r="E169" s="580" t="s">
        <v>1362</v>
      </c>
    </row>
    <row r="170" spans="2:5" ht="14.25">
      <c r="B170" s="582"/>
      <c r="C170" s="582"/>
      <c r="D170" s="582"/>
      <c r="E170" s="580" t="s">
        <v>1363</v>
      </c>
    </row>
    <row r="171" spans="2:5" ht="14.25">
      <c r="B171" s="582"/>
      <c r="C171" s="582"/>
      <c r="D171" s="582"/>
      <c r="E171" s="580" t="s">
        <v>1364</v>
      </c>
    </row>
    <row r="172" spans="2:5" ht="12">
      <c r="B172" s="583"/>
      <c r="C172" s="582"/>
      <c r="D172" s="582"/>
      <c r="E172" s="583"/>
    </row>
    <row r="173" spans="2:5" ht="12">
      <c r="B173" s="583"/>
      <c r="C173" s="582"/>
      <c r="D173" s="582"/>
      <c r="E173" s="583"/>
    </row>
  </sheetData>
  <sheetProtection password="DE7A" sheet="1" objects="1" scenarios="1"/>
  <mergeCells count="1">
    <mergeCell ref="C3:D3"/>
  </mergeCells>
  <printOptions/>
  <pageMargins left="0.699999988079071" right="0.699999988079071" top="0.75" bottom="0.75" header="0.4923610985279083" footer="0.4923610985279083"/>
  <pageSetup errors="blank" fitToHeight="0" fitToWidth="1" horizontalDpi="600" verticalDpi="600" orientation="portrait" scale="52" r:id="rId1"/>
  <headerFooter>
    <oddHeader xml:space="preserve">&amp;LRekonštrukcia mosta ev.č. R1-018 Váhovce, pravý most&amp;RPríloha č.1 pre B.2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3">
      <selection activeCell="H39" sqref="H39"/>
    </sheetView>
  </sheetViews>
  <sheetFormatPr defaultColWidth="9.125" defaultRowHeight="12.75"/>
  <cols>
    <col min="1" max="1" width="5.75390625" style="166" customWidth="1"/>
    <col min="2" max="2" width="11.75390625" style="173" customWidth="1"/>
    <col min="3" max="3" width="11.75390625" style="174" customWidth="1"/>
    <col min="4" max="4" width="11.75390625" style="175" customWidth="1"/>
    <col min="5" max="5" width="50.75390625" style="167" customWidth="1"/>
    <col min="6" max="6" width="11.75390625" style="170" customWidth="1"/>
    <col min="7" max="7" width="4.75390625" style="171" customWidth="1"/>
    <col min="8" max="8" width="11.75390625" style="172" customWidth="1"/>
    <col min="9" max="16384" width="9.125" style="170" customWidth="1"/>
  </cols>
  <sheetData>
    <row r="1" spans="2:5" ht="30.75">
      <c r="B1" s="167" t="s">
        <v>362</v>
      </c>
      <c r="C1" s="168"/>
      <c r="D1" s="167"/>
      <c r="E1" s="169" t="s">
        <v>363</v>
      </c>
    </row>
    <row r="2" spans="2:5" ht="13.5">
      <c r="B2" s="167"/>
      <c r="C2" s="168"/>
      <c r="D2" s="167"/>
      <c r="E2" s="168"/>
    </row>
    <row r="3" spans="2:5" ht="13.5">
      <c r="B3" s="167" t="s">
        <v>364</v>
      </c>
      <c r="C3" s="168"/>
      <c r="D3" s="167" t="s">
        <v>6</v>
      </c>
      <c r="E3" s="168" t="s">
        <v>8</v>
      </c>
    </row>
    <row r="5" ht="15.75" thickBot="1"/>
    <row r="6" spans="1:8" ht="12">
      <c r="A6" s="590" t="s">
        <v>365</v>
      </c>
      <c r="B6" s="592" t="s">
        <v>366</v>
      </c>
      <c r="C6" s="592"/>
      <c r="D6" s="592"/>
      <c r="E6" s="592" t="s">
        <v>367</v>
      </c>
      <c r="F6" s="592"/>
      <c r="G6" s="594" t="s">
        <v>368</v>
      </c>
      <c r="H6" s="596" t="s">
        <v>369</v>
      </c>
    </row>
    <row r="7" spans="1:8" ht="12">
      <c r="A7" s="591"/>
      <c r="B7" s="593" t="s">
        <v>370</v>
      </c>
      <c r="C7" s="593"/>
      <c r="D7" s="584" t="s">
        <v>371</v>
      </c>
      <c r="E7" s="593"/>
      <c r="F7" s="593"/>
      <c r="G7" s="595"/>
      <c r="H7" s="597"/>
    </row>
    <row r="8" spans="1:8" ht="15">
      <c r="A8" s="176"/>
      <c r="B8" s="177"/>
      <c r="C8" s="178"/>
      <c r="D8" s="179"/>
      <c r="E8" s="180"/>
      <c r="F8" s="181"/>
      <c r="G8" s="182"/>
      <c r="H8" s="183"/>
    </row>
    <row r="9" spans="1:8" ht="30.75">
      <c r="A9" s="176"/>
      <c r="B9" s="184" t="s">
        <v>24</v>
      </c>
      <c r="C9" s="185"/>
      <c r="D9" s="186"/>
      <c r="E9" s="169" t="s">
        <v>372</v>
      </c>
      <c r="F9" s="181"/>
      <c r="G9" s="187"/>
      <c r="H9" s="183"/>
    </row>
    <row r="10" spans="1:8" ht="12.75" customHeight="1">
      <c r="A10" s="176"/>
      <c r="B10" s="184"/>
      <c r="C10" s="185"/>
      <c r="D10" s="186"/>
      <c r="E10" s="180"/>
      <c r="F10" s="181"/>
      <c r="G10" s="187"/>
      <c r="H10" s="183"/>
    </row>
    <row r="11" spans="1:8" ht="12.75" customHeight="1">
      <c r="A11" s="188">
        <f>MAX(A$2:A10)+1</f>
        <v>1</v>
      </c>
      <c r="B11" s="189" t="s">
        <v>24</v>
      </c>
      <c r="C11" s="150" t="s">
        <v>21</v>
      </c>
      <c r="D11" s="190"/>
      <c r="E11" s="191" t="s">
        <v>22</v>
      </c>
      <c r="F11" s="192"/>
      <c r="G11" s="193" t="s">
        <v>23</v>
      </c>
      <c r="H11" s="183">
        <f>H12</f>
        <v>1</v>
      </c>
    </row>
    <row r="12" spans="1:8" ht="15">
      <c r="A12" s="194"/>
      <c r="B12" s="169"/>
      <c r="C12" s="185"/>
      <c r="D12" s="186" t="s">
        <v>21</v>
      </c>
      <c r="E12" s="180" t="s">
        <v>22</v>
      </c>
      <c r="F12" s="195"/>
      <c r="G12" s="196" t="s">
        <v>23</v>
      </c>
      <c r="H12" s="197">
        <v>1</v>
      </c>
    </row>
    <row r="13" spans="1:8" ht="12.75" customHeight="1">
      <c r="A13" s="188">
        <f>MAX(A$2:A12)+1</f>
        <v>2</v>
      </c>
      <c r="B13" s="189" t="s">
        <v>24</v>
      </c>
      <c r="C13" s="150" t="s">
        <v>25</v>
      </c>
      <c r="D13" s="190"/>
      <c r="E13" s="191" t="s">
        <v>26</v>
      </c>
      <c r="F13" s="192"/>
      <c r="G13" s="193" t="s">
        <v>23</v>
      </c>
      <c r="H13" s="183">
        <f>H14</f>
        <v>1</v>
      </c>
    </row>
    <row r="14" spans="1:8" ht="15">
      <c r="A14" s="194"/>
      <c r="B14" s="169"/>
      <c r="C14" s="185"/>
      <c r="D14" s="186" t="s">
        <v>25</v>
      </c>
      <c r="E14" s="180" t="s">
        <v>26</v>
      </c>
      <c r="F14" s="195"/>
      <c r="G14" s="196" t="s">
        <v>23</v>
      </c>
      <c r="H14" s="197">
        <v>1</v>
      </c>
    </row>
    <row r="15" spans="1:8" ht="12.75" customHeight="1">
      <c r="A15" s="176"/>
      <c r="B15" s="184"/>
      <c r="C15" s="185"/>
      <c r="D15" s="198"/>
      <c r="E15" s="199" t="s">
        <v>373</v>
      </c>
      <c r="F15" s="181"/>
      <c r="G15" s="196"/>
      <c r="H15" s="197"/>
    </row>
    <row r="16" spans="1:8" ht="12.75" customHeight="1">
      <c r="A16" s="176"/>
      <c r="B16" s="184"/>
      <c r="C16" s="185"/>
      <c r="D16" s="198"/>
      <c r="E16" s="199" t="s">
        <v>374</v>
      </c>
      <c r="F16" s="181"/>
      <c r="G16" s="196"/>
      <c r="H16" s="197"/>
    </row>
    <row r="17" spans="1:8" ht="25.5">
      <c r="A17" s="188">
        <f>MAX(A$2:A16)+1</f>
        <v>3</v>
      </c>
      <c r="B17" s="189" t="s">
        <v>24</v>
      </c>
      <c r="C17" s="150" t="s">
        <v>32</v>
      </c>
      <c r="D17" s="190"/>
      <c r="E17" s="191" t="s">
        <v>33</v>
      </c>
      <c r="F17" s="192"/>
      <c r="G17" s="193" t="s">
        <v>23</v>
      </c>
      <c r="H17" s="183">
        <f>H18</f>
        <v>2</v>
      </c>
    </row>
    <row r="18" spans="1:8" ht="24.75">
      <c r="A18" s="194"/>
      <c r="B18" s="169"/>
      <c r="C18" s="185"/>
      <c r="D18" s="186" t="s">
        <v>32</v>
      </c>
      <c r="E18" s="180" t="s">
        <v>33</v>
      </c>
      <c r="F18" s="195"/>
      <c r="G18" s="196" t="s">
        <v>23</v>
      </c>
      <c r="H18" s="197">
        <f>F21</f>
        <v>2</v>
      </c>
    </row>
    <row r="19" spans="1:8" ht="15">
      <c r="A19" s="176"/>
      <c r="B19" s="184"/>
      <c r="C19" s="185"/>
      <c r="D19" s="198"/>
      <c r="E19" s="199" t="s">
        <v>375</v>
      </c>
      <c r="F19" s="200">
        <v>1</v>
      </c>
      <c r="G19" s="196"/>
      <c r="H19" s="197"/>
    </row>
    <row r="20" spans="1:8" ht="15">
      <c r="A20" s="176"/>
      <c r="B20" s="184"/>
      <c r="C20" s="185"/>
      <c r="D20" s="198"/>
      <c r="E20" s="199" t="s">
        <v>376</v>
      </c>
      <c r="F20" s="201">
        <v>1</v>
      </c>
      <c r="G20" s="196"/>
      <c r="H20" s="197"/>
    </row>
    <row r="21" spans="1:8" ht="15">
      <c r="A21" s="176"/>
      <c r="B21" s="184"/>
      <c r="C21" s="185"/>
      <c r="D21" s="198"/>
      <c r="E21" s="202" t="s">
        <v>377</v>
      </c>
      <c r="F21" s="203">
        <f>SUM(F19:F20)</f>
        <v>2</v>
      </c>
      <c r="G21" s="196"/>
      <c r="H21" s="197"/>
    </row>
    <row r="22" spans="1:8" ht="25.5">
      <c r="A22" s="188">
        <f>MAX(A$2:A19)+1</f>
        <v>4</v>
      </c>
      <c r="B22" s="189" t="s">
        <v>24</v>
      </c>
      <c r="C22" s="150" t="s">
        <v>34</v>
      </c>
      <c r="D22" s="190"/>
      <c r="E22" s="191" t="s">
        <v>35</v>
      </c>
      <c r="F22" s="192"/>
      <c r="G22" s="193" t="s">
        <v>23</v>
      </c>
      <c r="H22" s="183">
        <f>H23</f>
        <v>1</v>
      </c>
    </row>
    <row r="23" spans="1:8" ht="24.75">
      <c r="A23" s="194"/>
      <c r="B23" s="169"/>
      <c r="C23" s="185"/>
      <c r="D23" s="186" t="s">
        <v>34</v>
      </c>
      <c r="E23" s="180" t="s">
        <v>35</v>
      </c>
      <c r="F23" s="195"/>
      <c r="G23" s="196" t="s">
        <v>23</v>
      </c>
      <c r="H23" s="197">
        <v>1</v>
      </c>
    </row>
    <row r="24" spans="1:8" ht="12.75" customHeight="1">
      <c r="A24" s="176"/>
      <c r="B24" s="184"/>
      <c r="C24" s="185"/>
      <c r="D24" s="198"/>
      <c r="E24" s="199" t="s">
        <v>378</v>
      </c>
      <c r="F24" s="181"/>
      <c r="G24" s="196"/>
      <c r="H24" s="197"/>
    </row>
    <row r="25" spans="1:8" ht="25.5">
      <c r="A25" s="188">
        <f>MAX(A$2:A24)+1</f>
        <v>5</v>
      </c>
      <c r="B25" s="189" t="s">
        <v>24</v>
      </c>
      <c r="C25" s="204" t="s">
        <v>36</v>
      </c>
      <c r="D25" s="205"/>
      <c r="E25" s="206" t="s">
        <v>37</v>
      </c>
      <c r="F25" s="207"/>
      <c r="G25" s="208" t="s">
        <v>38</v>
      </c>
      <c r="H25" s="209">
        <f>H26</f>
        <v>10313.75</v>
      </c>
    </row>
    <row r="26" spans="1:8" ht="24.75">
      <c r="A26" s="176"/>
      <c r="B26" s="210"/>
      <c r="C26" s="211"/>
      <c r="D26" s="212" t="s">
        <v>36</v>
      </c>
      <c r="E26" s="213" t="s">
        <v>37</v>
      </c>
      <c r="F26" s="214"/>
      <c r="G26" s="215" t="s">
        <v>38</v>
      </c>
      <c r="H26" s="216">
        <f>ROUND(F38,2)</f>
        <v>10313.75</v>
      </c>
    </row>
    <row r="27" spans="1:8" ht="12.75" customHeight="1">
      <c r="A27" s="176"/>
      <c r="B27" s="184"/>
      <c r="C27" s="185"/>
      <c r="D27" s="198"/>
      <c r="E27" s="199" t="s">
        <v>379</v>
      </c>
      <c r="F27" s="181"/>
      <c r="G27" s="196"/>
      <c r="H27" s="197"/>
    </row>
    <row r="28" spans="1:8" ht="12.75" customHeight="1">
      <c r="A28" s="176"/>
      <c r="B28" s="184"/>
      <c r="C28" s="185"/>
      <c r="D28" s="198"/>
      <c r="E28" s="199" t="s">
        <v>380</v>
      </c>
      <c r="F28" s="200">
        <v>4207</v>
      </c>
      <c r="G28" s="196"/>
      <c r="H28" s="197"/>
    </row>
    <row r="29" spans="1:8" ht="12.75" customHeight="1">
      <c r="A29" s="176"/>
      <c r="B29" s="184"/>
      <c r="C29" s="185"/>
      <c r="D29" s="198"/>
      <c r="E29" s="199" t="s">
        <v>381</v>
      </c>
      <c r="F29" s="201">
        <v>5992.39</v>
      </c>
      <c r="G29" s="196"/>
      <c r="H29" s="197"/>
    </row>
    <row r="30" spans="1:8" ht="12.75" customHeight="1">
      <c r="A30" s="176"/>
      <c r="B30" s="184"/>
      <c r="C30" s="185"/>
      <c r="D30" s="198"/>
      <c r="E30" s="202" t="s">
        <v>382</v>
      </c>
      <c r="F30" s="200">
        <f>F28+F29</f>
        <v>10199.39</v>
      </c>
      <c r="G30" s="196"/>
      <c r="H30" s="197"/>
    </row>
    <row r="31" spans="1:8" ht="25.5">
      <c r="A31" s="176"/>
      <c r="B31" s="184"/>
      <c r="C31" s="185"/>
      <c r="D31" s="198"/>
      <c r="E31" s="199" t="s">
        <v>383</v>
      </c>
      <c r="F31" s="181"/>
      <c r="G31" s="196"/>
      <c r="H31" s="197"/>
    </row>
    <row r="32" spans="1:8" ht="12.75" customHeight="1">
      <c r="A32" s="176"/>
      <c r="B32" s="184"/>
      <c r="C32" s="185"/>
      <c r="D32" s="198"/>
      <c r="E32" s="199" t="s">
        <v>384</v>
      </c>
      <c r="F32" s="181"/>
      <c r="G32" s="196"/>
      <c r="H32" s="197"/>
    </row>
    <row r="33" spans="1:8" ht="12.75" customHeight="1">
      <c r="A33" s="176"/>
      <c r="B33" s="184"/>
      <c r="C33" s="185"/>
      <c r="D33" s="198"/>
      <c r="E33" s="199" t="s">
        <v>385</v>
      </c>
      <c r="F33" s="200">
        <v>84.99</v>
      </c>
      <c r="G33" s="196"/>
      <c r="H33" s="197"/>
    </row>
    <row r="34" spans="1:8" ht="12.75" customHeight="1">
      <c r="A34" s="176"/>
      <c r="B34" s="184"/>
      <c r="C34" s="185"/>
      <c r="D34" s="198"/>
      <c r="E34" s="199" t="s">
        <v>386</v>
      </c>
      <c r="F34" s="200">
        <v>8.6</v>
      </c>
      <c r="G34" s="196"/>
      <c r="H34" s="197"/>
    </row>
    <row r="35" spans="1:8" ht="12.75" customHeight="1">
      <c r="A35" s="176"/>
      <c r="B35" s="184"/>
      <c r="C35" s="185"/>
      <c r="D35" s="198"/>
      <c r="E35" s="199" t="s">
        <v>387</v>
      </c>
      <c r="F35" s="200">
        <v>4.23</v>
      </c>
      <c r="G35" s="196"/>
      <c r="H35" s="197"/>
    </row>
    <row r="36" spans="1:8" ht="12.75" customHeight="1">
      <c r="A36" s="176"/>
      <c r="B36" s="184"/>
      <c r="C36" s="185"/>
      <c r="D36" s="198"/>
      <c r="E36" s="199" t="s">
        <v>388</v>
      </c>
      <c r="F36" s="201">
        <v>16.54</v>
      </c>
      <c r="G36" s="196"/>
      <c r="H36" s="197"/>
    </row>
    <row r="37" spans="1:8" ht="12.75" customHeight="1">
      <c r="A37" s="176"/>
      <c r="B37" s="184"/>
      <c r="C37" s="185"/>
      <c r="D37" s="198"/>
      <c r="E37" s="202" t="s">
        <v>382</v>
      </c>
      <c r="F37" s="200">
        <f>SUM(F33:F36)</f>
        <v>114.36</v>
      </c>
      <c r="G37" s="196"/>
      <c r="H37" s="197"/>
    </row>
    <row r="38" spans="1:8" ht="12.75" customHeight="1">
      <c r="A38" s="176"/>
      <c r="B38" s="184"/>
      <c r="C38" s="185"/>
      <c r="D38" s="198"/>
      <c r="E38" s="202" t="s">
        <v>377</v>
      </c>
      <c r="F38" s="200">
        <f>F30+F37</f>
        <v>10313.75</v>
      </c>
      <c r="G38" s="196"/>
      <c r="H38" s="197"/>
    </row>
    <row r="39" spans="1:8" ht="25.5">
      <c r="A39" s="188">
        <f>MAX(A$2:A31)+1</f>
        <v>6</v>
      </c>
      <c r="B39" s="189" t="s">
        <v>24</v>
      </c>
      <c r="C39" s="217" t="s">
        <v>39</v>
      </c>
      <c r="D39" s="218"/>
      <c r="E39" s="191" t="s">
        <v>40</v>
      </c>
      <c r="F39" s="44"/>
      <c r="G39" s="45" t="s">
        <v>38</v>
      </c>
      <c r="H39" s="219">
        <f>H40</f>
        <v>34914.35</v>
      </c>
    </row>
    <row r="40" spans="1:8" ht="24.75">
      <c r="A40" s="176"/>
      <c r="B40" s="210"/>
      <c r="C40" s="211"/>
      <c r="D40" s="212" t="s">
        <v>39</v>
      </c>
      <c r="E40" s="213" t="s">
        <v>40</v>
      </c>
      <c r="F40" s="214"/>
      <c r="G40" s="215" t="s">
        <v>38</v>
      </c>
      <c r="H40" s="216">
        <f>ROUND(F48,2)</f>
        <v>34914.35</v>
      </c>
    </row>
    <row r="41" spans="1:8" ht="25.5">
      <c r="A41" s="176"/>
      <c r="B41" s="210"/>
      <c r="C41" s="211"/>
      <c r="D41" s="220"/>
      <c r="E41" s="221" t="s">
        <v>389</v>
      </c>
      <c r="F41" s="200">
        <v>4207.12</v>
      </c>
      <c r="G41" s="215"/>
      <c r="H41" s="216"/>
    </row>
    <row r="42" spans="1:8" ht="12.75" customHeight="1">
      <c r="A42" s="176"/>
      <c r="B42" s="210"/>
      <c r="C42" s="211"/>
      <c r="D42" s="220"/>
      <c r="E42" s="221"/>
      <c r="F42" s="200"/>
      <c r="G42" s="215"/>
      <c r="H42" s="216"/>
    </row>
    <row r="43" spans="1:8" ht="25.5">
      <c r="A43" s="176"/>
      <c r="B43" s="210"/>
      <c r="C43" s="211"/>
      <c r="D43" s="220"/>
      <c r="E43" s="221" t="s">
        <v>390</v>
      </c>
      <c r="F43" s="200">
        <f>0.75*630</f>
        <v>472.5</v>
      </c>
      <c r="G43" s="215"/>
      <c r="H43" s="216"/>
    </row>
    <row r="44" spans="1:8" ht="15">
      <c r="A44" s="176"/>
      <c r="B44" s="210"/>
      <c r="C44" s="211"/>
      <c r="D44" s="220"/>
      <c r="E44" s="221" t="s">
        <v>391</v>
      </c>
      <c r="F44" s="200">
        <f>850*13</f>
        <v>11050</v>
      </c>
      <c r="G44" s="215"/>
      <c r="H44" s="216"/>
    </row>
    <row r="45" spans="1:8" ht="15">
      <c r="A45" s="176"/>
      <c r="B45" s="210"/>
      <c r="C45" s="211"/>
      <c r="D45" s="220"/>
      <c r="E45" s="221" t="s">
        <v>392</v>
      </c>
      <c r="F45" s="200">
        <f>850*13</f>
        <v>11050</v>
      </c>
      <c r="G45" s="215"/>
      <c r="H45" s="216"/>
    </row>
    <row r="46" spans="1:8" ht="15">
      <c r="A46" s="176"/>
      <c r="B46" s="210"/>
      <c r="C46" s="211"/>
      <c r="D46" s="220"/>
      <c r="E46" s="221" t="s">
        <v>393</v>
      </c>
      <c r="F46" s="201">
        <v>8134.73</v>
      </c>
      <c r="G46" s="215"/>
      <c r="H46" s="216"/>
    </row>
    <row r="47" spans="1:8" ht="12.75" customHeight="1">
      <c r="A47" s="176"/>
      <c r="B47" s="210"/>
      <c r="C47" s="211"/>
      <c r="D47" s="220"/>
      <c r="E47" s="202" t="s">
        <v>382</v>
      </c>
      <c r="F47" s="200">
        <f>SUM(F43:F46)</f>
        <v>30707.23</v>
      </c>
      <c r="G47" s="215"/>
      <c r="H47" s="216"/>
    </row>
    <row r="48" spans="1:8" ht="12.75" customHeight="1">
      <c r="A48" s="176"/>
      <c r="B48" s="210"/>
      <c r="C48" s="211"/>
      <c r="D48" s="220"/>
      <c r="E48" s="202" t="s">
        <v>377</v>
      </c>
      <c r="F48" s="203">
        <f>F41+F47</f>
        <v>34914.35</v>
      </c>
      <c r="G48" s="215"/>
      <c r="H48" s="216"/>
    </row>
    <row r="49" spans="1:8" ht="25.5">
      <c r="A49" s="188">
        <f>MAX(A$2:A48)+1</f>
        <v>7</v>
      </c>
      <c r="B49" s="189" t="s">
        <v>24</v>
      </c>
      <c r="C49" s="217" t="s">
        <v>41</v>
      </c>
      <c r="D49" s="218"/>
      <c r="E49" s="191" t="s">
        <v>42</v>
      </c>
      <c r="F49" s="44"/>
      <c r="G49" s="45" t="s">
        <v>23</v>
      </c>
      <c r="H49" s="219">
        <f>H50</f>
        <v>1</v>
      </c>
    </row>
    <row r="50" spans="1:8" ht="24.75">
      <c r="A50" s="176"/>
      <c r="B50" s="210"/>
      <c r="C50" s="211"/>
      <c r="D50" s="212" t="s">
        <v>41</v>
      </c>
      <c r="E50" s="213" t="s">
        <v>42</v>
      </c>
      <c r="F50" s="214"/>
      <c r="G50" s="215" t="s">
        <v>23</v>
      </c>
      <c r="H50" s="216">
        <f>F51</f>
        <v>1</v>
      </c>
    </row>
    <row r="51" spans="1:8" ht="25.5">
      <c r="A51" s="176"/>
      <c r="B51" s="210"/>
      <c r="C51" s="211"/>
      <c r="D51" s="220"/>
      <c r="E51" s="221" t="s">
        <v>394</v>
      </c>
      <c r="F51" s="203">
        <v>1</v>
      </c>
      <c r="G51" s="215"/>
      <c r="H51" s="216"/>
    </row>
    <row r="52" spans="1:8" ht="25.5">
      <c r="A52" s="188">
        <f>MAX(A$2:A51)+1</f>
        <v>8</v>
      </c>
      <c r="B52" s="189" t="s">
        <v>24</v>
      </c>
      <c r="C52" s="204" t="s">
        <v>43</v>
      </c>
      <c r="D52" s="205"/>
      <c r="E52" s="222" t="s">
        <v>44</v>
      </c>
      <c r="F52" s="203"/>
      <c r="G52" s="45" t="s">
        <v>45</v>
      </c>
      <c r="H52" s="223">
        <f>H53</f>
        <v>850</v>
      </c>
    </row>
    <row r="53" spans="1:8" ht="12.75" customHeight="1">
      <c r="A53" s="176"/>
      <c r="B53" s="184"/>
      <c r="C53" s="217"/>
      <c r="D53" s="224" t="s">
        <v>43</v>
      </c>
      <c r="E53" s="225" t="s">
        <v>44</v>
      </c>
      <c r="F53" s="226"/>
      <c r="G53" s="215" t="s">
        <v>45</v>
      </c>
      <c r="H53" s="227">
        <f>F54</f>
        <v>850</v>
      </c>
    </row>
    <row r="54" spans="1:8" ht="25.5">
      <c r="A54" s="176"/>
      <c r="B54" s="184"/>
      <c r="C54" s="228"/>
      <c r="D54" s="229"/>
      <c r="E54" s="221" t="s">
        <v>395</v>
      </c>
      <c r="F54" s="203">
        <v>850</v>
      </c>
      <c r="G54" s="230"/>
      <c r="H54" s="231"/>
    </row>
    <row r="55" spans="1:8" ht="12.75">
      <c r="A55" s="188">
        <f>MAX(A$2:A54)+1</f>
        <v>9</v>
      </c>
      <c r="B55" s="189" t="s">
        <v>24</v>
      </c>
      <c r="C55" s="204" t="s">
        <v>46</v>
      </c>
      <c r="D55" s="205"/>
      <c r="E55" s="206" t="s">
        <v>47</v>
      </c>
      <c r="F55" s="203"/>
      <c r="G55" s="45" t="s">
        <v>23</v>
      </c>
      <c r="H55" s="223">
        <f>H56</f>
        <v>1</v>
      </c>
    </row>
    <row r="56" spans="1:8" ht="12.75" customHeight="1">
      <c r="A56" s="176"/>
      <c r="B56" s="184"/>
      <c r="C56" s="217"/>
      <c r="D56" s="224" t="s">
        <v>46</v>
      </c>
      <c r="E56" s="225" t="s">
        <v>47</v>
      </c>
      <c r="F56" s="226"/>
      <c r="G56" s="215" t="s">
        <v>23</v>
      </c>
      <c r="H56" s="227">
        <v>1</v>
      </c>
    </row>
    <row r="57" spans="1:8" ht="15">
      <c r="A57" s="176"/>
      <c r="B57" s="184"/>
      <c r="C57" s="228"/>
      <c r="D57" s="229"/>
      <c r="E57" s="221" t="s">
        <v>396</v>
      </c>
      <c r="F57" s="203"/>
      <c r="G57" s="230"/>
      <c r="H57" s="231"/>
    </row>
    <row r="58" spans="1:8" ht="15">
      <c r="A58" s="176"/>
      <c r="B58" s="184"/>
      <c r="C58" s="228"/>
      <c r="D58" s="229"/>
      <c r="E58" s="221" t="s">
        <v>397</v>
      </c>
      <c r="F58" s="203"/>
      <c r="G58" s="230"/>
      <c r="H58" s="231"/>
    </row>
    <row r="59" spans="1:8" ht="39">
      <c r="A59" s="176"/>
      <c r="B59" s="184"/>
      <c r="C59" s="185"/>
      <c r="D59" s="198"/>
      <c r="E59" s="221" t="s">
        <v>398</v>
      </c>
      <c r="F59" s="181" t="s">
        <v>399</v>
      </c>
      <c r="G59" s="196"/>
      <c r="H59" s="197"/>
    </row>
    <row r="60" spans="1:8" ht="12.75" customHeight="1" thickBot="1">
      <c r="A60" s="232"/>
      <c r="B60" s="233"/>
      <c r="C60" s="234"/>
      <c r="D60" s="235"/>
      <c r="E60" s="236"/>
      <c r="F60" s="237"/>
      <c r="G60" s="238"/>
      <c r="H60" s="239"/>
    </row>
  </sheetData>
  <sheetProtection password="DE7A" sheet="1" objects="1" scenarios="1"/>
  <mergeCells count="6">
    <mergeCell ref="A6:A7"/>
    <mergeCell ref="B6:D6"/>
    <mergeCell ref="E6:F7"/>
    <mergeCell ref="G6:G7"/>
    <mergeCell ref="H6:H7"/>
    <mergeCell ref="B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zoomScalePageLayoutView="0" workbookViewId="0" topLeftCell="A1">
      <selection activeCell="N23" sqref="N23"/>
    </sheetView>
  </sheetViews>
  <sheetFormatPr defaultColWidth="9.125" defaultRowHeight="12.75"/>
  <cols>
    <col min="1" max="1" width="5.75390625" style="52" customWidth="1"/>
    <col min="2" max="2" width="11.75390625" style="22" customWidth="1"/>
    <col min="3" max="3" width="11.75390625" style="23" customWidth="1"/>
    <col min="4" max="4" width="11.75390625" style="24" customWidth="1"/>
    <col min="5" max="5" width="50.75390625" style="17" customWidth="1"/>
    <col min="6" max="6" width="11.75390625" style="54" customWidth="1"/>
    <col min="7" max="7" width="4.75390625" style="53" customWidth="1"/>
    <col min="8" max="8" width="11.75390625" style="21" customWidth="1"/>
    <col min="9" max="16384" width="9.125" style="20" customWidth="1"/>
  </cols>
  <sheetData>
    <row r="1" spans="2:6" ht="30.75">
      <c r="B1" s="17" t="s">
        <v>362</v>
      </c>
      <c r="C1" s="18"/>
      <c r="D1" s="17"/>
      <c r="E1" s="19" t="s">
        <v>363</v>
      </c>
      <c r="F1" s="19"/>
    </row>
    <row r="2" spans="2:5" ht="12.75">
      <c r="B2" s="17"/>
      <c r="C2" s="18"/>
      <c r="D2" s="17"/>
      <c r="E2" s="18"/>
    </row>
    <row r="3" spans="2:5" ht="12.75">
      <c r="B3" s="17" t="s">
        <v>364</v>
      </c>
      <c r="C3" s="18"/>
      <c r="D3" s="17" t="s">
        <v>9</v>
      </c>
      <c r="E3" s="55" t="s">
        <v>400</v>
      </c>
    </row>
    <row r="5" ht="15.75" thickBot="1"/>
    <row r="6" spans="1:8" ht="12">
      <c r="A6" s="598" t="s">
        <v>365</v>
      </c>
      <c r="B6" s="600" t="s">
        <v>366</v>
      </c>
      <c r="C6" s="600"/>
      <c r="D6" s="600"/>
      <c r="E6" s="600" t="s">
        <v>367</v>
      </c>
      <c r="F6" s="600"/>
      <c r="G6" s="602" t="s">
        <v>368</v>
      </c>
      <c r="H6" s="604" t="s">
        <v>369</v>
      </c>
    </row>
    <row r="7" spans="1:8" ht="12">
      <c r="A7" s="599"/>
      <c r="B7" s="601" t="s">
        <v>370</v>
      </c>
      <c r="C7" s="601"/>
      <c r="D7" s="585" t="s">
        <v>371</v>
      </c>
      <c r="E7" s="601"/>
      <c r="F7" s="601"/>
      <c r="G7" s="603"/>
      <c r="H7" s="605"/>
    </row>
    <row r="8" spans="1:8" ht="15">
      <c r="A8" s="56"/>
      <c r="B8" s="57"/>
      <c r="C8" s="25"/>
      <c r="D8" s="26"/>
      <c r="E8" s="27"/>
      <c r="F8" s="58"/>
      <c r="G8" s="28"/>
      <c r="H8" s="29"/>
    </row>
    <row r="9" spans="1:8" ht="30.75">
      <c r="A9" s="56"/>
      <c r="B9" s="59" t="s">
        <v>24</v>
      </c>
      <c r="C9" s="60"/>
      <c r="D9" s="61"/>
      <c r="E9" s="19" t="s">
        <v>401</v>
      </c>
      <c r="F9" s="58"/>
      <c r="G9" s="30"/>
      <c r="H9" s="29"/>
    </row>
    <row r="10" spans="1:8" ht="25.5">
      <c r="A10" s="56">
        <f>MAX(A$2:A9)+1</f>
        <v>1</v>
      </c>
      <c r="B10" s="62" t="s">
        <v>24</v>
      </c>
      <c r="C10" s="63" t="s">
        <v>27</v>
      </c>
      <c r="D10" s="64"/>
      <c r="E10" s="65" t="s">
        <v>1371</v>
      </c>
      <c r="F10" s="65"/>
      <c r="G10" s="66" t="s">
        <v>28</v>
      </c>
      <c r="H10" s="46">
        <f>H11</f>
        <v>104.89</v>
      </c>
    </row>
    <row r="11" spans="1:8" ht="24.75">
      <c r="A11" s="56"/>
      <c r="B11" s="67"/>
      <c r="C11" s="49"/>
      <c r="D11" s="68" t="s">
        <v>27</v>
      </c>
      <c r="E11" s="40" t="s">
        <v>1368</v>
      </c>
      <c r="F11" s="41"/>
      <c r="G11" s="42" t="s">
        <v>28</v>
      </c>
      <c r="H11" s="43">
        <f>F46</f>
        <v>104.89</v>
      </c>
    </row>
    <row r="12" spans="1:8" ht="25.5">
      <c r="A12" s="56">
        <f>MAX(A$2:A11)+1</f>
        <v>2</v>
      </c>
      <c r="B12" s="62" t="s">
        <v>24</v>
      </c>
      <c r="C12" s="63" t="s">
        <v>29</v>
      </c>
      <c r="D12" s="69"/>
      <c r="E12" s="65" t="s">
        <v>1372</v>
      </c>
      <c r="F12" s="65"/>
      <c r="G12" s="66" t="s">
        <v>30</v>
      </c>
      <c r="H12" s="29">
        <f>H13</f>
        <v>223.75</v>
      </c>
    </row>
    <row r="13" spans="1:8" ht="24.75">
      <c r="A13" s="56"/>
      <c r="B13" s="67"/>
      <c r="C13" s="70"/>
      <c r="D13" s="68" t="s">
        <v>29</v>
      </c>
      <c r="E13" s="27" t="s">
        <v>1373</v>
      </c>
      <c r="F13" s="58"/>
      <c r="G13" s="32" t="s">
        <v>30</v>
      </c>
      <c r="H13" s="33">
        <f>H113</f>
        <v>223.75</v>
      </c>
    </row>
    <row r="14" spans="1:10" ht="15">
      <c r="A14" s="56"/>
      <c r="B14" s="71" t="s">
        <v>49</v>
      </c>
      <c r="C14" s="60"/>
      <c r="D14" s="61"/>
      <c r="E14" s="19" t="s">
        <v>402</v>
      </c>
      <c r="F14" s="72"/>
      <c r="G14" s="73"/>
      <c r="H14" s="29"/>
      <c r="J14" s="74"/>
    </row>
    <row r="15" spans="1:10" ht="25.5">
      <c r="A15" s="56">
        <f>MAX(A$2:A14)+1</f>
        <v>3</v>
      </c>
      <c r="B15" s="62" t="s">
        <v>49</v>
      </c>
      <c r="C15" s="63" t="s">
        <v>63</v>
      </c>
      <c r="D15" s="69"/>
      <c r="E15" s="65" t="s">
        <v>64</v>
      </c>
      <c r="F15" s="65"/>
      <c r="G15" s="66" t="s">
        <v>60</v>
      </c>
      <c r="H15" s="29">
        <f>H16</f>
        <v>122</v>
      </c>
      <c r="J15" s="74"/>
    </row>
    <row r="16" spans="1:10" ht="25.5" customHeight="1">
      <c r="A16" s="56"/>
      <c r="B16" s="67"/>
      <c r="C16" s="70"/>
      <c r="D16" s="68" t="s">
        <v>63</v>
      </c>
      <c r="E16" s="27" t="s">
        <v>64</v>
      </c>
      <c r="F16" s="58"/>
      <c r="G16" s="32" t="s">
        <v>60</v>
      </c>
      <c r="H16" s="33">
        <f>F17</f>
        <v>122</v>
      </c>
      <c r="J16" s="74"/>
    </row>
    <row r="17" spans="1:10" ht="15">
      <c r="A17" s="56"/>
      <c r="B17" s="59"/>
      <c r="C17" s="75"/>
      <c r="D17" s="76"/>
      <c r="E17" s="34" t="s">
        <v>403</v>
      </c>
      <c r="F17" s="77">
        <f>61+61</f>
        <v>122</v>
      </c>
      <c r="G17" s="32"/>
      <c r="H17" s="33"/>
      <c r="J17" s="74"/>
    </row>
    <row r="18" spans="1:10" ht="25.5">
      <c r="A18" s="56">
        <f>MAX(A$2:A17)+1</f>
        <v>4</v>
      </c>
      <c r="B18" s="62" t="s">
        <v>49</v>
      </c>
      <c r="C18" s="63" t="s">
        <v>67</v>
      </c>
      <c r="D18" s="78"/>
      <c r="E18" s="39" t="s">
        <v>68</v>
      </c>
      <c r="F18" s="79"/>
      <c r="G18" s="80" t="s">
        <v>38</v>
      </c>
      <c r="H18" s="29">
        <f>H19</f>
        <v>1.4</v>
      </c>
      <c r="J18" s="74"/>
    </row>
    <row r="19" spans="1:10" ht="24.75">
      <c r="A19" s="56"/>
      <c r="B19" s="59"/>
      <c r="C19" s="75"/>
      <c r="D19" s="81" t="s">
        <v>404</v>
      </c>
      <c r="E19" s="82" t="s">
        <v>405</v>
      </c>
      <c r="F19" s="83"/>
      <c r="G19" s="84" t="s">
        <v>38</v>
      </c>
      <c r="H19" s="33">
        <f>ROUND(F20,2)</f>
        <v>1.4</v>
      </c>
      <c r="J19" s="74"/>
    </row>
    <row r="20" spans="1:10" ht="15">
      <c r="A20" s="56"/>
      <c r="B20" s="59"/>
      <c r="C20" s="75"/>
      <c r="D20" s="76"/>
      <c r="E20" s="34" t="s">
        <v>406</v>
      </c>
      <c r="F20" s="77">
        <f>7*0.2</f>
        <v>1.4</v>
      </c>
      <c r="G20" s="32"/>
      <c r="H20" s="33"/>
      <c r="J20" s="74"/>
    </row>
    <row r="21" spans="1:10" ht="25.5">
      <c r="A21" s="56">
        <f>MAX(A$2:A20)+1</f>
        <v>5</v>
      </c>
      <c r="B21" s="62" t="s">
        <v>49</v>
      </c>
      <c r="C21" s="85" t="s">
        <v>69</v>
      </c>
      <c r="D21" s="61"/>
      <c r="E21" s="86" t="s">
        <v>70</v>
      </c>
      <c r="F21" s="58"/>
      <c r="G21" s="30" t="s">
        <v>38</v>
      </c>
      <c r="H21" s="29">
        <f>H22</f>
        <v>124</v>
      </c>
      <c r="J21" s="74"/>
    </row>
    <row r="22" spans="1:10" ht="25.5" customHeight="1">
      <c r="A22" s="56"/>
      <c r="B22" s="67"/>
      <c r="C22" s="75"/>
      <c r="D22" s="87" t="s">
        <v>407</v>
      </c>
      <c r="E22" s="88" t="s">
        <v>408</v>
      </c>
      <c r="F22" s="89"/>
      <c r="G22" s="84" t="s">
        <v>38</v>
      </c>
      <c r="H22" s="33">
        <f>F24</f>
        <v>124</v>
      </c>
      <c r="J22" s="74"/>
    </row>
    <row r="23" spans="1:10" ht="12.75" customHeight="1">
      <c r="A23" s="56"/>
      <c r="B23" s="67"/>
      <c r="C23" s="75"/>
      <c r="D23" s="90"/>
      <c r="E23" s="34" t="s">
        <v>409</v>
      </c>
      <c r="F23" s="89"/>
      <c r="G23" s="84"/>
      <c r="H23" s="33"/>
      <c r="J23" s="74"/>
    </row>
    <row r="24" spans="1:10" ht="15">
      <c r="A24" s="56"/>
      <c r="B24" s="59"/>
      <c r="C24" s="75"/>
      <c r="D24" s="76"/>
      <c r="E24" s="34" t="s">
        <v>410</v>
      </c>
      <c r="F24" s="91">
        <v>124</v>
      </c>
      <c r="G24" s="92"/>
      <c r="H24" s="33"/>
      <c r="J24" s="74"/>
    </row>
    <row r="25" spans="1:10" ht="25.5">
      <c r="A25" s="56">
        <f>MAX(A$2:A24)+1</f>
        <v>6</v>
      </c>
      <c r="B25" s="62" t="s">
        <v>49</v>
      </c>
      <c r="C25" s="85" t="s">
        <v>73</v>
      </c>
      <c r="D25" s="93"/>
      <c r="E25" s="86" t="s">
        <v>74</v>
      </c>
      <c r="F25" s="58"/>
      <c r="G25" s="30" t="s">
        <v>38</v>
      </c>
      <c r="H25" s="29">
        <f>(+H26)</f>
        <v>124</v>
      </c>
      <c r="J25" s="74"/>
    </row>
    <row r="26" spans="1:10" ht="25.5" customHeight="1">
      <c r="A26" s="56"/>
      <c r="B26" s="67"/>
      <c r="C26" s="94"/>
      <c r="D26" s="95" t="s">
        <v>411</v>
      </c>
      <c r="E26" s="96" t="s">
        <v>412</v>
      </c>
      <c r="F26" s="96"/>
      <c r="G26" s="97" t="s">
        <v>38</v>
      </c>
      <c r="H26" s="33">
        <f>F28</f>
        <v>124</v>
      </c>
      <c r="J26" s="74"/>
    </row>
    <row r="27" spans="1:10" ht="12.75" customHeight="1">
      <c r="A27" s="56"/>
      <c r="B27" s="67"/>
      <c r="C27" s="94"/>
      <c r="D27" s="95"/>
      <c r="E27" s="34" t="s">
        <v>409</v>
      </c>
      <c r="F27" s="96"/>
      <c r="G27" s="97"/>
      <c r="H27" s="33"/>
      <c r="J27" s="74"/>
    </row>
    <row r="28" spans="1:10" ht="15">
      <c r="A28" s="56"/>
      <c r="B28" s="59"/>
      <c r="C28" s="75"/>
      <c r="D28" s="76"/>
      <c r="E28" s="34" t="s">
        <v>413</v>
      </c>
      <c r="F28" s="91">
        <f>F24</f>
        <v>124</v>
      </c>
      <c r="G28" s="92"/>
      <c r="H28" s="33"/>
      <c r="J28" s="74"/>
    </row>
    <row r="29" spans="1:10" ht="25.5">
      <c r="A29" s="56">
        <f>MAX(A$2:A28)+1</f>
        <v>7</v>
      </c>
      <c r="B29" s="62" t="s">
        <v>49</v>
      </c>
      <c r="C29" s="85" t="s">
        <v>75</v>
      </c>
      <c r="D29" s="93"/>
      <c r="E29" s="86" t="s">
        <v>76</v>
      </c>
      <c r="F29" s="58"/>
      <c r="G29" s="30" t="s">
        <v>45</v>
      </c>
      <c r="H29" s="29">
        <f>H30</f>
        <v>159</v>
      </c>
      <c r="J29" s="74"/>
    </row>
    <row r="30" spans="1:10" ht="25.5" customHeight="1">
      <c r="A30" s="56"/>
      <c r="B30" s="67"/>
      <c r="C30" s="70"/>
      <c r="D30" s="95" t="s">
        <v>75</v>
      </c>
      <c r="E30" s="96" t="s">
        <v>76</v>
      </c>
      <c r="F30" s="96"/>
      <c r="G30" s="97" t="s">
        <v>45</v>
      </c>
      <c r="H30" s="33">
        <f>ROUND(F34,2)</f>
        <v>159</v>
      </c>
      <c r="J30" s="74"/>
    </row>
    <row r="31" spans="1:10" ht="12.75" customHeight="1">
      <c r="A31" s="56"/>
      <c r="B31" s="59"/>
      <c r="C31" s="75"/>
      <c r="D31" s="76"/>
      <c r="E31" s="34" t="s">
        <v>414</v>
      </c>
      <c r="F31" s="91"/>
      <c r="G31" s="92"/>
      <c r="H31" s="33"/>
      <c r="J31" s="74"/>
    </row>
    <row r="32" spans="1:10" ht="12.75" customHeight="1">
      <c r="A32" s="56"/>
      <c r="B32" s="59"/>
      <c r="C32" s="75"/>
      <c r="D32" s="76"/>
      <c r="E32" s="34" t="s">
        <v>415</v>
      </c>
      <c r="F32" s="91">
        <f>46+35.7+18</f>
        <v>99.7</v>
      </c>
      <c r="G32" s="92"/>
      <c r="H32" s="33"/>
      <c r="J32" s="74"/>
    </row>
    <row r="33" spans="1:10" ht="25.5">
      <c r="A33" s="56"/>
      <c r="B33" s="59"/>
      <c r="C33" s="75"/>
      <c r="D33" s="76"/>
      <c r="E33" s="34" t="s">
        <v>416</v>
      </c>
      <c r="F33" s="98">
        <f>38.3+21</f>
        <v>59.3</v>
      </c>
      <c r="G33" s="92"/>
      <c r="H33" s="33"/>
      <c r="J33" s="74"/>
    </row>
    <row r="34" spans="1:10" ht="15">
      <c r="A34" s="56"/>
      <c r="B34" s="59"/>
      <c r="C34" s="75"/>
      <c r="D34" s="76"/>
      <c r="E34" s="47" t="s">
        <v>417</v>
      </c>
      <c r="F34" s="91">
        <f>SUM(F32:F33)</f>
        <v>159</v>
      </c>
      <c r="G34" s="92"/>
      <c r="H34" s="33"/>
      <c r="J34" s="74"/>
    </row>
    <row r="35" spans="1:10" ht="25.5">
      <c r="A35" s="56">
        <f>MAX(A$2:A34)+1</f>
        <v>8</v>
      </c>
      <c r="B35" s="62" t="s">
        <v>49</v>
      </c>
      <c r="C35" s="85" t="s">
        <v>77</v>
      </c>
      <c r="D35" s="93"/>
      <c r="E35" s="86" t="s">
        <v>78</v>
      </c>
      <c r="F35" s="58"/>
      <c r="G35" s="30" t="s">
        <v>60</v>
      </c>
      <c r="H35" s="29">
        <f>H36</f>
        <v>4</v>
      </c>
      <c r="J35" s="74"/>
    </row>
    <row r="36" spans="1:10" ht="25.5" customHeight="1">
      <c r="A36" s="56"/>
      <c r="B36" s="67"/>
      <c r="C36" s="70"/>
      <c r="D36" s="95" t="s">
        <v>77</v>
      </c>
      <c r="E36" s="96" t="s">
        <v>78</v>
      </c>
      <c r="F36" s="96"/>
      <c r="G36" s="97" t="s">
        <v>60</v>
      </c>
      <c r="H36" s="33">
        <f>F37</f>
        <v>4</v>
      </c>
      <c r="J36" s="74"/>
    </row>
    <row r="37" spans="1:10" ht="12.75" customHeight="1">
      <c r="A37" s="56"/>
      <c r="B37" s="59"/>
      <c r="C37" s="75"/>
      <c r="D37" s="76"/>
      <c r="E37" s="34" t="s">
        <v>418</v>
      </c>
      <c r="F37" s="91">
        <v>4</v>
      </c>
      <c r="G37" s="92"/>
      <c r="H37" s="33"/>
      <c r="J37" s="74"/>
    </row>
    <row r="38" spans="1:10" ht="12.75" customHeight="1">
      <c r="A38" s="56"/>
      <c r="B38" s="59"/>
      <c r="C38" s="75"/>
      <c r="D38" s="76"/>
      <c r="E38" s="34"/>
      <c r="F38" s="91"/>
      <c r="G38" s="92"/>
      <c r="H38" s="33"/>
      <c r="J38" s="74"/>
    </row>
    <row r="39" spans="1:10" ht="12.75">
      <c r="A39" s="56">
        <f>MAX(A$2:A38)+1</f>
        <v>9</v>
      </c>
      <c r="B39" s="62" t="s">
        <v>49</v>
      </c>
      <c r="C39" s="85" t="s">
        <v>79</v>
      </c>
      <c r="D39" s="61"/>
      <c r="E39" s="86" t="s">
        <v>80</v>
      </c>
      <c r="F39" s="58"/>
      <c r="G39" s="30" t="s">
        <v>28</v>
      </c>
      <c r="H39" s="29">
        <f>H40</f>
        <v>433.89</v>
      </c>
      <c r="J39" s="74"/>
    </row>
    <row r="40" spans="1:10" ht="12.75" customHeight="1">
      <c r="A40" s="56"/>
      <c r="B40" s="67"/>
      <c r="C40" s="60"/>
      <c r="D40" s="95" t="s">
        <v>419</v>
      </c>
      <c r="E40" s="96" t="s">
        <v>420</v>
      </c>
      <c r="F40" s="96"/>
      <c r="G40" s="97" t="s">
        <v>28</v>
      </c>
      <c r="H40" s="33">
        <f>ROUND(F53,2)</f>
        <v>433.89</v>
      </c>
      <c r="J40" s="74"/>
    </row>
    <row r="41" spans="1:10" ht="12.75" customHeight="1">
      <c r="A41" s="56"/>
      <c r="B41" s="59"/>
      <c r="C41" s="75"/>
      <c r="D41" s="76"/>
      <c r="E41" s="34" t="s">
        <v>421</v>
      </c>
      <c r="F41" s="91"/>
      <c r="G41" s="92"/>
      <c r="H41" s="33"/>
      <c r="J41" s="74"/>
    </row>
    <row r="42" spans="1:10" ht="12.75" customHeight="1">
      <c r="A42" s="56"/>
      <c r="B42" s="59"/>
      <c r="C42" s="99"/>
      <c r="D42" s="61"/>
      <c r="E42" s="34" t="s">
        <v>1374</v>
      </c>
      <c r="F42" s="91">
        <f>124*0.44</f>
        <v>54.56</v>
      </c>
      <c r="G42" s="30"/>
      <c r="H42" s="29"/>
      <c r="J42" s="74"/>
    </row>
    <row r="43" spans="1:10" ht="15">
      <c r="A43" s="56"/>
      <c r="B43" s="59"/>
      <c r="C43" s="99"/>
      <c r="D43" s="61"/>
      <c r="E43" s="34" t="s">
        <v>422</v>
      </c>
      <c r="F43" s="91">
        <f>124*0.4</f>
        <v>49.6</v>
      </c>
      <c r="G43" s="30"/>
      <c r="H43" s="29"/>
      <c r="J43" s="74"/>
    </row>
    <row r="44" spans="1:10" ht="15">
      <c r="A44" s="56"/>
      <c r="B44" s="59"/>
      <c r="C44" s="99"/>
      <c r="D44" s="61"/>
      <c r="E44" s="34" t="s">
        <v>423</v>
      </c>
      <c r="F44" s="91">
        <f>1.4*0.505</f>
        <v>0.71</v>
      </c>
      <c r="G44" s="30"/>
      <c r="H44" s="29"/>
      <c r="J44" s="74"/>
    </row>
    <row r="45" spans="1:10" ht="15">
      <c r="A45" s="56"/>
      <c r="B45" s="59"/>
      <c r="C45" s="99"/>
      <c r="D45" s="61"/>
      <c r="E45" s="34" t="s">
        <v>424</v>
      </c>
      <c r="F45" s="98">
        <f>122*0.0002</f>
        <v>0.02</v>
      </c>
      <c r="G45" s="30"/>
      <c r="H45" s="29"/>
      <c r="J45" s="74"/>
    </row>
    <row r="46" spans="1:10" ht="15">
      <c r="A46" s="56"/>
      <c r="B46" s="59"/>
      <c r="C46" s="99"/>
      <c r="D46" s="61"/>
      <c r="E46" s="34" t="s">
        <v>425</v>
      </c>
      <c r="F46" s="91">
        <f>SUM(F42:F45)</f>
        <v>104.89</v>
      </c>
      <c r="G46" s="30"/>
      <c r="H46" s="29"/>
      <c r="J46" s="74"/>
    </row>
    <row r="47" spans="1:10" ht="12.75" customHeight="1">
      <c r="A47" s="56"/>
      <c r="B47" s="59"/>
      <c r="C47" s="75"/>
      <c r="D47" s="76"/>
      <c r="E47" s="34" t="s">
        <v>426</v>
      </c>
      <c r="F47" s="91"/>
      <c r="G47" s="92"/>
      <c r="H47" s="33"/>
      <c r="J47" s="74"/>
    </row>
    <row r="48" spans="1:10" ht="12.75" customHeight="1">
      <c r="A48" s="56"/>
      <c r="B48" s="59"/>
      <c r="C48" s="75"/>
      <c r="D48" s="76"/>
      <c r="E48" s="34" t="s">
        <v>427</v>
      </c>
      <c r="F48" s="91">
        <f>1197.5*0.102+568*0.153+138.7*0.229+329.5*0.254</f>
        <v>324.5</v>
      </c>
      <c r="G48" s="92"/>
      <c r="H48" s="33"/>
      <c r="J48" s="74"/>
    </row>
    <row r="49" spans="1:10" ht="12.75" customHeight="1">
      <c r="A49" s="56"/>
      <c r="B49" s="59"/>
      <c r="C49" s="75"/>
      <c r="D49" s="76"/>
      <c r="E49" s="34" t="s">
        <v>428</v>
      </c>
      <c r="F49" s="91"/>
      <c r="G49" s="92"/>
      <c r="H49" s="33"/>
      <c r="J49" s="74"/>
    </row>
    <row r="50" spans="1:10" ht="12.75" customHeight="1">
      <c r="A50" s="56"/>
      <c r="B50" s="59"/>
      <c r="C50" s="75"/>
      <c r="D50" s="76"/>
      <c r="E50" s="34" t="s">
        <v>429</v>
      </c>
      <c r="F50" s="91">
        <f>99.7*0.042</f>
        <v>4.19</v>
      </c>
      <c r="G50" s="92"/>
      <c r="H50" s="33"/>
      <c r="J50" s="74"/>
    </row>
    <row r="51" spans="1:10" ht="12.75" customHeight="1">
      <c r="A51" s="56"/>
      <c r="B51" s="59"/>
      <c r="C51" s="75"/>
      <c r="D51" s="76"/>
      <c r="E51" s="34" t="s">
        <v>430</v>
      </c>
      <c r="F51" s="36">
        <f>31*0.01</f>
        <v>0.31</v>
      </c>
      <c r="G51" s="92"/>
      <c r="H51" s="33"/>
      <c r="I51" s="74"/>
      <c r="J51" s="74"/>
    </row>
    <row r="52" spans="1:10" ht="12.75" customHeight="1">
      <c r="A52" s="56"/>
      <c r="B52" s="59"/>
      <c r="C52" s="75"/>
      <c r="D52" s="76"/>
      <c r="E52" s="34"/>
      <c r="F52" s="35">
        <f>SUM(F50:F51)</f>
        <v>4.5</v>
      </c>
      <c r="G52" s="92"/>
      <c r="H52" s="33"/>
      <c r="I52" s="74"/>
      <c r="J52" s="74"/>
    </row>
    <row r="53" spans="1:10" ht="12.75" customHeight="1">
      <c r="A53" s="56"/>
      <c r="B53" s="59"/>
      <c r="C53" s="75"/>
      <c r="D53" s="76"/>
      <c r="E53" s="34" t="s">
        <v>431</v>
      </c>
      <c r="F53" s="91">
        <f>F46+F48+F52</f>
        <v>433.89</v>
      </c>
      <c r="G53" s="92"/>
      <c r="H53" s="33"/>
      <c r="J53" s="74"/>
    </row>
    <row r="54" spans="1:10" ht="25.5">
      <c r="A54" s="56">
        <f>MAX(A$2:A53)+1</f>
        <v>10</v>
      </c>
      <c r="B54" s="62" t="s">
        <v>49</v>
      </c>
      <c r="C54" s="63" t="s">
        <v>87</v>
      </c>
      <c r="D54" s="64"/>
      <c r="E54" s="65" t="s">
        <v>88</v>
      </c>
      <c r="F54" s="65"/>
      <c r="G54" s="66" t="s">
        <v>38</v>
      </c>
      <c r="H54" s="29">
        <f>H55+H61+H65+H67</f>
        <v>2233.7</v>
      </c>
      <c r="J54" s="74"/>
    </row>
    <row r="55" spans="1:10" ht="24.75">
      <c r="A55" s="56"/>
      <c r="B55" s="67"/>
      <c r="C55" s="100"/>
      <c r="D55" s="95" t="s">
        <v>432</v>
      </c>
      <c r="E55" s="96" t="s">
        <v>433</v>
      </c>
      <c r="F55" s="96"/>
      <c r="G55" s="97" t="s">
        <v>38</v>
      </c>
      <c r="H55" s="33">
        <f>ROUND(F60,2)</f>
        <v>1197.5</v>
      </c>
      <c r="J55" s="74"/>
    </row>
    <row r="56" spans="1:10" ht="12.75">
      <c r="A56" s="56"/>
      <c r="B56" s="67"/>
      <c r="C56" s="100"/>
      <c r="D56" s="101"/>
      <c r="E56" s="34" t="s">
        <v>434</v>
      </c>
      <c r="F56" s="91">
        <f>73+72</f>
        <v>145</v>
      </c>
      <c r="G56" s="97"/>
      <c r="H56" s="33"/>
      <c r="J56" s="74"/>
    </row>
    <row r="57" spans="1:10" ht="12.75">
      <c r="A57" s="56"/>
      <c r="B57" s="67"/>
      <c r="C57" s="100"/>
      <c r="D57" s="101"/>
      <c r="E57" s="34" t="s">
        <v>435</v>
      </c>
      <c r="F57" s="91">
        <f>211+212</f>
        <v>423</v>
      </c>
      <c r="G57" s="97"/>
      <c r="H57" s="33"/>
      <c r="J57" s="74"/>
    </row>
    <row r="58" spans="1:10" ht="15">
      <c r="A58" s="56"/>
      <c r="B58" s="59"/>
      <c r="C58" s="60"/>
      <c r="D58" s="76"/>
      <c r="E58" s="34" t="s">
        <v>436</v>
      </c>
      <c r="F58" s="91">
        <f>54+246</f>
        <v>300</v>
      </c>
      <c r="G58" s="32"/>
      <c r="H58" s="33"/>
      <c r="J58" s="74"/>
    </row>
    <row r="59" spans="1:10" ht="15">
      <c r="A59" s="56"/>
      <c r="B59" s="59"/>
      <c r="C59" s="60"/>
      <c r="D59" s="76"/>
      <c r="E59" s="34" t="s">
        <v>437</v>
      </c>
      <c r="F59" s="98">
        <f>153.5+4*44</f>
        <v>329.5</v>
      </c>
      <c r="G59" s="32"/>
      <c r="H59" s="33"/>
      <c r="J59" s="74"/>
    </row>
    <row r="60" spans="1:10" ht="15">
      <c r="A60" s="56"/>
      <c r="B60" s="59"/>
      <c r="C60" s="60"/>
      <c r="D60" s="76"/>
      <c r="E60" s="34"/>
      <c r="F60" s="77">
        <f>SUM(F56:F59)</f>
        <v>1197.5</v>
      </c>
      <c r="G60" s="32"/>
      <c r="H60" s="33"/>
      <c r="J60" s="74"/>
    </row>
    <row r="61" spans="1:10" ht="24.75">
      <c r="A61" s="56"/>
      <c r="B61" s="67"/>
      <c r="C61" s="100"/>
      <c r="D61" s="95" t="s">
        <v>438</v>
      </c>
      <c r="E61" s="96" t="s">
        <v>439</v>
      </c>
      <c r="F61" s="96"/>
      <c r="G61" s="97" t="s">
        <v>38</v>
      </c>
      <c r="H61" s="33">
        <f>ROUND(F64,2)</f>
        <v>568</v>
      </c>
      <c r="J61" s="74"/>
    </row>
    <row r="62" spans="1:10" ht="12.75">
      <c r="A62" s="56"/>
      <c r="B62" s="67"/>
      <c r="C62" s="100"/>
      <c r="D62" s="95"/>
      <c r="E62" s="34" t="s">
        <v>434</v>
      </c>
      <c r="F62" s="91">
        <f>73+72</f>
        <v>145</v>
      </c>
      <c r="G62" s="97"/>
      <c r="H62" s="33"/>
      <c r="J62" s="74"/>
    </row>
    <row r="63" spans="1:10" ht="12.75">
      <c r="A63" s="56"/>
      <c r="B63" s="67"/>
      <c r="C63" s="100"/>
      <c r="D63" s="101"/>
      <c r="E63" s="34" t="s">
        <v>435</v>
      </c>
      <c r="F63" s="98">
        <f>211+212</f>
        <v>423</v>
      </c>
      <c r="G63" s="97"/>
      <c r="H63" s="33"/>
      <c r="J63" s="74"/>
    </row>
    <row r="64" spans="1:10" ht="15">
      <c r="A64" s="56"/>
      <c r="B64" s="59"/>
      <c r="C64" s="60"/>
      <c r="D64" s="76"/>
      <c r="E64" s="34"/>
      <c r="F64" s="77">
        <f>SUM(F61:F63)</f>
        <v>568</v>
      </c>
      <c r="G64" s="97"/>
      <c r="H64" s="33"/>
      <c r="J64" s="74"/>
    </row>
    <row r="65" spans="1:10" ht="24.75">
      <c r="A65" s="56"/>
      <c r="B65" s="59"/>
      <c r="C65" s="60"/>
      <c r="D65" s="87" t="s">
        <v>440</v>
      </c>
      <c r="E65" s="88" t="s">
        <v>441</v>
      </c>
      <c r="F65" s="89"/>
      <c r="G65" s="84" t="s">
        <v>38</v>
      </c>
      <c r="H65" s="33">
        <f>ROUND(F66,2)</f>
        <v>138.7</v>
      </c>
      <c r="J65" s="74"/>
    </row>
    <row r="66" spans="1:10" ht="15">
      <c r="A66" s="56"/>
      <c r="B66" s="59"/>
      <c r="C66" s="75"/>
      <c r="D66" s="76"/>
      <c r="E66" s="34" t="s">
        <v>442</v>
      </c>
      <c r="F66" s="77">
        <f>73+72+7*4*0.15-10.5*0.5*2</f>
        <v>138.7</v>
      </c>
      <c r="G66" s="97"/>
      <c r="H66" s="33"/>
      <c r="J66" s="74"/>
    </row>
    <row r="67" spans="1:10" ht="24.75">
      <c r="A67" s="56"/>
      <c r="B67" s="59"/>
      <c r="C67" s="75"/>
      <c r="D67" s="87" t="s">
        <v>443</v>
      </c>
      <c r="E67" s="88" t="s">
        <v>444</v>
      </c>
      <c r="F67" s="77"/>
      <c r="G67" s="84" t="s">
        <v>38</v>
      </c>
      <c r="H67" s="33">
        <f>ROUND(F68,2)</f>
        <v>329.5</v>
      </c>
      <c r="J67" s="74"/>
    </row>
    <row r="68" spans="1:10" ht="25.5">
      <c r="A68" s="56"/>
      <c r="B68" s="59"/>
      <c r="C68" s="75"/>
      <c r="D68" s="76"/>
      <c r="E68" s="34" t="s">
        <v>445</v>
      </c>
      <c r="F68" s="77">
        <f>153.5+4*44</f>
        <v>329.5</v>
      </c>
      <c r="G68" s="97"/>
      <c r="H68" s="33"/>
      <c r="J68" s="74"/>
    </row>
    <row r="69" spans="1:10" ht="25.5">
      <c r="A69" s="56">
        <f>MAX(A$2:A66)+1</f>
        <v>11</v>
      </c>
      <c r="B69" s="62" t="s">
        <v>49</v>
      </c>
      <c r="C69" s="63" t="s">
        <v>89</v>
      </c>
      <c r="D69" s="64"/>
      <c r="E69" s="65" t="s">
        <v>90</v>
      </c>
      <c r="F69" s="65"/>
      <c r="G69" s="66" t="s">
        <v>45</v>
      </c>
      <c r="H69" s="29">
        <f>H70</f>
        <v>29.5</v>
      </c>
      <c r="I69" s="74"/>
      <c r="J69" s="74"/>
    </row>
    <row r="70" spans="1:10" ht="24.75">
      <c r="A70" s="56"/>
      <c r="B70" s="67"/>
      <c r="C70" s="100"/>
      <c r="D70" s="95" t="s">
        <v>446</v>
      </c>
      <c r="E70" s="96" t="s">
        <v>447</v>
      </c>
      <c r="F70" s="96"/>
      <c r="G70" s="97" t="s">
        <v>45</v>
      </c>
      <c r="H70" s="33">
        <f>ROUND(F74,2)</f>
        <v>29.5</v>
      </c>
      <c r="I70" s="74"/>
      <c r="J70" s="74"/>
    </row>
    <row r="71" spans="1:11" ht="15">
      <c r="A71" s="56"/>
      <c r="B71" s="59"/>
      <c r="C71" s="75"/>
      <c r="D71" s="76"/>
      <c r="E71" s="34" t="s">
        <v>448</v>
      </c>
      <c r="F71" s="77">
        <v>21</v>
      </c>
      <c r="G71" s="32"/>
      <c r="H71" s="33"/>
      <c r="I71" s="74"/>
      <c r="J71" s="74"/>
      <c r="K71" s="74"/>
    </row>
    <row r="72" spans="1:11" ht="15">
      <c r="A72" s="56"/>
      <c r="B72" s="59"/>
      <c r="C72" s="75"/>
      <c r="D72" s="76"/>
      <c r="E72" s="34" t="s">
        <v>449</v>
      </c>
      <c r="F72" s="77">
        <v>1</v>
      </c>
      <c r="G72" s="32"/>
      <c r="H72" s="33"/>
      <c r="I72" s="74"/>
      <c r="J72" s="74"/>
      <c r="K72" s="74"/>
    </row>
    <row r="73" spans="1:11" ht="25.5">
      <c r="A73" s="56"/>
      <c r="B73" s="59"/>
      <c r="C73" s="75"/>
      <c r="D73" s="76"/>
      <c r="E73" s="34" t="s">
        <v>450</v>
      </c>
      <c r="F73" s="98">
        <v>7.5</v>
      </c>
      <c r="G73" s="32"/>
      <c r="H73" s="33"/>
      <c r="I73" s="74"/>
      <c r="J73" s="74"/>
      <c r="K73" s="74"/>
    </row>
    <row r="74" spans="1:11" ht="15">
      <c r="A74" s="56"/>
      <c r="B74" s="59"/>
      <c r="C74" s="75"/>
      <c r="D74" s="76"/>
      <c r="E74" s="34"/>
      <c r="F74" s="77">
        <f>SUM(F71:F73)</f>
        <v>29.5</v>
      </c>
      <c r="G74" s="32"/>
      <c r="H74" s="33"/>
      <c r="I74" s="74"/>
      <c r="J74" s="74"/>
      <c r="K74" s="74"/>
    </row>
    <row r="75" spans="1:11" ht="25.5">
      <c r="A75" s="56">
        <f>MAX(A$2:A72)+1</f>
        <v>12</v>
      </c>
      <c r="B75" s="62" t="s">
        <v>49</v>
      </c>
      <c r="C75" s="63" t="s">
        <v>91</v>
      </c>
      <c r="D75" s="69"/>
      <c r="E75" s="65" t="s">
        <v>92</v>
      </c>
      <c r="F75" s="65"/>
      <c r="G75" s="66" t="s">
        <v>45</v>
      </c>
      <c r="H75" s="29">
        <f>H76+H81</f>
        <v>262</v>
      </c>
      <c r="J75" s="74"/>
      <c r="K75" s="74"/>
    </row>
    <row r="76" spans="1:11" ht="24.75">
      <c r="A76" s="56"/>
      <c r="B76" s="67"/>
      <c r="C76" s="102"/>
      <c r="D76" s="95" t="s">
        <v>451</v>
      </c>
      <c r="E76" s="96" t="s">
        <v>452</v>
      </c>
      <c r="F76" s="96"/>
      <c r="G76" s="97" t="s">
        <v>45</v>
      </c>
      <c r="H76" s="33">
        <f>ROUND(F80,2)</f>
        <v>218</v>
      </c>
      <c r="I76" s="74"/>
      <c r="J76" s="74"/>
      <c r="K76" s="74"/>
    </row>
    <row r="77" spans="1:11" ht="25.5">
      <c r="A77" s="56"/>
      <c r="B77" s="59"/>
      <c r="C77" s="70"/>
      <c r="D77" s="103"/>
      <c r="E77" s="34" t="s">
        <v>453</v>
      </c>
      <c r="F77" s="91">
        <v>98</v>
      </c>
      <c r="G77" s="92"/>
      <c r="H77" s="33"/>
      <c r="I77" s="74"/>
      <c r="J77" s="74"/>
      <c r="K77" s="74"/>
    </row>
    <row r="78" spans="1:11" ht="25.5">
      <c r="A78" s="56"/>
      <c r="B78" s="59"/>
      <c r="C78" s="70"/>
      <c r="D78" s="103"/>
      <c r="E78" s="34" t="s">
        <v>454</v>
      </c>
      <c r="F78" s="91">
        <v>98</v>
      </c>
      <c r="G78" s="92"/>
      <c r="H78" s="33"/>
      <c r="I78" s="74"/>
      <c r="J78" s="74"/>
      <c r="K78" s="74"/>
    </row>
    <row r="79" spans="1:11" ht="25.5">
      <c r="A79" s="56"/>
      <c r="B79" s="59"/>
      <c r="C79" s="70"/>
      <c r="D79" s="103"/>
      <c r="E79" s="34" t="s">
        <v>455</v>
      </c>
      <c r="F79" s="98">
        <v>22</v>
      </c>
      <c r="G79" s="32"/>
      <c r="H79" s="33"/>
      <c r="I79" s="74"/>
      <c r="J79" s="74"/>
      <c r="K79" s="74"/>
    </row>
    <row r="80" spans="1:11" ht="15">
      <c r="A80" s="56"/>
      <c r="B80" s="59"/>
      <c r="C80" s="60"/>
      <c r="D80" s="76"/>
      <c r="E80" s="34" t="s">
        <v>417</v>
      </c>
      <c r="F80" s="77">
        <f>SUM(F77:F79)</f>
        <v>218</v>
      </c>
      <c r="G80" s="32"/>
      <c r="H80" s="33"/>
      <c r="I80" s="74"/>
      <c r="J80" s="74"/>
      <c r="K80" s="74"/>
    </row>
    <row r="81" spans="1:11" ht="24.75">
      <c r="A81" s="56"/>
      <c r="B81" s="59"/>
      <c r="C81" s="60"/>
      <c r="D81" s="87" t="s">
        <v>456</v>
      </c>
      <c r="E81" s="82" t="s">
        <v>457</v>
      </c>
      <c r="F81" s="83"/>
      <c r="G81" s="84" t="s">
        <v>45</v>
      </c>
      <c r="H81" s="33">
        <f>ROUND(F84,2)</f>
        <v>44</v>
      </c>
      <c r="I81" s="74"/>
      <c r="J81" s="74"/>
      <c r="K81" s="74"/>
    </row>
    <row r="82" spans="1:11" ht="25.5">
      <c r="A82" s="56"/>
      <c r="B82" s="59"/>
      <c r="C82" s="60"/>
      <c r="D82" s="90"/>
      <c r="E82" s="34" t="s">
        <v>458</v>
      </c>
      <c r="F82" s="91">
        <v>22</v>
      </c>
      <c r="G82" s="84"/>
      <c r="H82" s="33"/>
      <c r="I82" s="74"/>
      <c r="J82" s="74"/>
      <c r="K82" s="74"/>
    </row>
    <row r="83" spans="1:11" ht="25.5">
      <c r="A83" s="56"/>
      <c r="B83" s="59"/>
      <c r="C83" s="60"/>
      <c r="D83" s="90"/>
      <c r="E83" s="34" t="s">
        <v>459</v>
      </c>
      <c r="F83" s="98">
        <v>22</v>
      </c>
      <c r="G83" s="84"/>
      <c r="H83" s="33"/>
      <c r="I83" s="74"/>
      <c r="J83" s="74"/>
      <c r="K83" s="74"/>
    </row>
    <row r="84" spans="1:11" ht="15">
      <c r="A84" s="56"/>
      <c r="B84" s="59"/>
      <c r="C84" s="60"/>
      <c r="D84" s="76"/>
      <c r="E84" s="34" t="s">
        <v>417</v>
      </c>
      <c r="F84" s="77">
        <f>SUM(F82:F83)</f>
        <v>44</v>
      </c>
      <c r="G84" s="32"/>
      <c r="H84" s="33"/>
      <c r="I84" s="74"/>
      <c r="J84" s="74"/>
      <c r="K84" s="74"/>
    </row>
    <row r="85" spans="1:11" ht="15">
      <c r="A85" s="56"/>
      <c r="B85" s="71" t="s">
        <v>112</v>
      </c>
      <c r="C85" s="70"/>
      <c r="D85" s="93"/>
      <c r="E85" s="19" t="s">
        <v>460</v>
      </c>
      <c r="F85" s="58"/>
      <c r="G85" s="30"/>
      <c r="H85" s="33"/>
      <c r="I85" s="74"/>
      <c r="J85" s="74"/>
      <c r="K85" s="74"/>
    </row>
    <row r="86" spans="1:11" ht="12.75" customHeight="1">
      <c r="A86" s="56">
        <f>MAX(A$2:A85)+1</f>
        <v>13</v>
      </c>
      <c r="B86" s="62" t="s">
        <v>112</v>
      </c>
      <c r="C86" s="37" t="s">
        <v>113</v>
      </c>
      <c r="D86" s="38"/>
      <c r="E86" s="39" t="s">
        <v>114</v>
      </c>
      <c r="F86" s="79"/>
      <c r="G86" s="80" t="s">
        <v>30</v>
      </c>
      <c r="H86" s="29">
        <f>H87</f>
        <v>14.4</v>
      </c>
      <c r="J86" s="74"/>
      <c r="K86" s="74"/>
    </row>
    <row r="87" spans="1:10" ht="24.75">
      <c r="A87" s="56"/>
      <c r="B87" s="71"/>
      <c r="C87" s="104"/>
      <c r="D87" s="87" t="s">
        <v>461</v>
      </c>
      <c r="E87" s="82" t="s">
        <v>462</v>
      </c>
      <c r="F87" s="83"/>
      <c r="G87" s="84" t="s">
        <v>30</v>
      </c>
      <c r="H87" s="33">
        <f>ROUND(F88,2)</f>
        <v>14.4</v>
      </c>
      <c r="J87" s="74"/>
    </row>
    <row r="88" spans="1:10" ht="12.75" customHeight="1">
      <c r="A88" s="56"/>
      <c r="B88" s="71"/>
      <c r="C88" s="70"/>
      <c r="D88" s="103"/>
      <c r="E88" s="34" t="s">
        <v>463</v>
      </c>
      <c r="F88" s="77">
        <f>0.15*96</f>
        <v>14.4</v>
      </c>
      <c r="G88" s="30"/>
      <c r="H88" s="33"/>
      <c r="J88" s="74"/>
    </row>
    <row r="89" spans="1:10" ht="12.75" customHeight="1">
      <c r="A89" s="56">
        <f>MAX(A$2:A88)+1</f>
        <v>14</v>
      </c>
      <c r="B89" s="62" t="s">
        <v>112</v>
      </c>
      <c r="C89" s="37" t="s">
        <v>115</v>
      </c>
      <c r="D89" s="38"/>
      <c r="E89" s="39" t="s">
        <v>116</v>
      </c>
      <c r="F89" s="79"/>
      <c r="G89" s="80" t="s">
        <v>30</v>
      </c>
      <c r="H89" s="33">
        <f>H90</f>
        <v>14.4</v>
      </c>
      <c r="J89" s="74"/>
    </row>
    <row r="90" spans="1:10" ht="24.75">
      <c r="A90" s="56"/>
      <c r="B90" s="71"/>
      <c r="C90" s="104"/>
      <c r="D90" s="87" t="s">
        <v>464</v>
      </c>
      <c r="E90" s="82" t="s">
        <v>465</v>
      </c>
      <c r="F90" s="83"/>
      <c r="G90" s="84" t="s">
        <v>30</v>
      </c>
      <c r="H90" s="33">
        <f>H87</f>
        <v>14.4</v>
      </c>
      <c r="J90" s="74"/>
    </row>
    <row r="91" spans="1:10" ht="25.5">
      <c r="A91" s="56">
        <f>MAX(A$2:A90)+1</f>
        <v>15</v>
      </c>
      <c r="B91" s="62" t="s">
        <v>112</v>
      </c>
      <c r="C91" s="37" t="s">
        <v>117</v>
      </c>
      <c r="D91" s="38"/>
      <c r="E91" s="39" t="s">
        <v>118</v>
      </c>
      <c r="F91" s="79"/>
      <c r="G91" s="80" t="s">
        <v>38</v>
      </c>
      <c r="H91" s="29">
        <f>H92</f>
        <v>96</v>
      </c>
      <c r="J91" s="74"/>
    </row>
    <row r="92" spans="1:10" ht="24.75">
      <c r="A92" s="56"/>
      <c r="B92" s="71"/>
      <c r="C92" s="70"/>
      <c r="D92" s="87" t="s">
        <v>466</v>
      </c>
      <c r="E92" s="82" t="s">
        <v>467</v>
      </c>
      <c r="F92" s="83"/>
      <c r="G92" s="84" t="s">
        <v>38</v>
      </c>
      <c r="H92" s="33">
        <f>ROUND(F93,2)</f>
        <v>96</v>
      </c>
      <c r="J92" s="74"/>
    </row>
    <row r="93" spans="1:10" ht="12.75" customHeight="1">
      <c r="A93" s="56"/>
      <c r="B93" s="71"/>
      <c r="C93" s="70"/>
      <c r="D93" s="103"/>
      <c r="E93" s="34" t="s">
        <v>468</v>
      </c>
      <c r="F93" s="77">
        <f>54+42</f>
        <v>96</v>
      </c>
      <c r="G93" s="30"/>
      <c r="H93" s="33"/>
      <c r="J93" s="74"/>
    </row>
    <row r="94" spans="1:10" ht="25.5">
      <c r="A94" s="56">
        <f>MAX(A$2:A93)+1</f>
        <v>16</v>
      </c>
      <c r="B94" s="62" t="s">
        <v>112</v>
      </c>
      <c r="C94" s="37" t="s">
        <v>119</v>
      </c>
      <c r="D94" s="38"/>
      <c r="E94" s="39" t="s">
        <v>120</v>
      </c>
      <c r="F94" s="79"/>
      <c r="G94" s="80" t="s">
        <v>38</v>
      </c>
      <c r="H94" s="29">
        <f>H95</f>
        <v>96</v>
      </c>
      <c r="J94" s="74"/>
    </row>
    <row r="95" spans="1:10" ht="24.75">
      <c r="A95" s="56"/>
      <c r="B95" s="71"/>
      <c r="C95" s="70"/>
      <c r="D95" s="87" t="s">
        <v>469</v>
      </c>
      <c r="E95" s="82" t="s">
        <v>470</v>
      </c>
      <c r="F95" s="83"/>
      <c r="G95" s="84" t="s">
        <v>38</v>
      </c>
      <c r="H95" s="33">
        <f>H92</f>
        <v>96</v>
      </c>
      <c r="J95" s="74"/>
    </row>
    <row r="96" spans="1:10" ht="25.5">
      <c r="A96" s="56">
        <f>MAX(A$2:A95)+1</f>
        <v>17</v>
      </c>
      <c r="B96" s="62" t="s">
        <v>112</v>
      </c>
      <c r="C96" s="37" t="s">
        <v>121</v>
      </c>
      <c r="D96" s="38"/>
      <c r="E96" s="39" t="s">
        <v>122</v>
      </c>
      <c r="F96" s="79"/>
      <c r="G96" s="80" t="s">
        <v>38</v>
      </c>
      <c r="H96" s="29">
        <f>H97</f>
        <v>96</v>
      </c>
      <c r="J96" s="74"/>
    </row>
    <row r="97" spans="1:10" ht="24.75">
      <c r="A97" s="56"/>
      <c r="B97" s="71"/>
      <c r="C97" s="70"/>
      <c r="D97" s="87" t="s">
        <v>471</v>
      </c>
      <c r="E97" s="82" t="s">
        <v>472</v>
      </c>
      <c r="F97" s="83"/>
      <c r="G97" s="84" t="s">
        <v>38</v>
      </c>
      <c r="H97" s="33">
        <f>H92</f>
        <v>96</v>
      </c>
      <c r="J97" s="74"/>
    </row>
    <row r="98" spans="1:10" ht="15">
      <c r="A98" s="56"/>
      <c r="B98" s="71" t="s">
        <v>124</v>
      </c>
      <c r="C98" s="60"/>
      <c r="D98" s="61"/>
      <c r="E98" s="19" t="s">
        <v>473</v>
      </c>
      <c r="F98" s="58"/>
      <c r="G98" s="30"/>
      <c r="H98" s="29"/>
      <c r="I98" s="31"/>
      <c r="J98" s="74"/>
    </row>
    <row r="99" spans="1:10" ht="12.75">
      <c r="A99" s="56">
        <f>MAX(A$2:A98)+1</f>
        <v>18</v>
      </c>
      <c r="B99" s="62" t="s">
        <v>124</v>
      </c>
      <c r="C99" s="105" t="s">
        <v>125</v>
      </c>
      <c r="D99" s="93"/>
      <c r="E99" s="86" t="s">
        <v>126</v>
      </c>
      <c r="F99" s="58"/>
      <c r="G99" s="30" t="s">
        <v>30</v>
      </c>
      <c r="H99" s="29">
        <f>(+H100)</f>
        <v>223.75</v>
      </c>
      <c r="I99" s="31"/>
      <c r="J99" s="74"/>
    </row>
    <row r="100" spans="1:10" ht="12.75" customHeight="1">
      <c r="A100" s="56"/>
      <c r="B100" s="67"/>
      <c r="C100" s="70"/>
      <c r="D100" s="95" t="s">
        <v>474</v>
      </c>
      <c r="E100" s="96" t="s">
        <v>475</v>
      </c>
      <c r="F100" s="106"/>
      <c r="G100" s="107" t="s">
        <v>30</v>
      </c>
      <c r="H100" s="33">
        <f>ROUND(F103,2)</f>
        <v>223.75</v>
      </c>
      <c r="I100" s="31"/>
      <c r="J100" s="74"/>
    </row>
    <row r="101" spans="1:10" ht="25.5">
      <c r="A101" s="56"/>
      <c r="B101" s="59"/>
      <c r="C101" s="94"/>
      <c r="D101" s="103"/>
      <c r="E101" s="34" t="s">
        <v>476</v>
      </c>
      <c r="F101" s="108">
        <f>0.5*206.5</f>
        <v>103.25</v>
      </c>
      <c r="G101" s="92"/>
      <c r="H101" s="33"/>
      <c r="I101" s="31"/>
      <c r="J101" s="74"/>
    </row>
    <row r="102" spans="1:10" ht="25.5">
      <c r="A102" s="56"/>
      <c r="B102" s="59"/>
      <c r="C102" s="70"/>
      <c r="D102" s="103"/>
      <c r="E102" s="34" t="s">
        <v>477</v>
      </c>
      <c r="F102" s="109">
        <f>(150+91)*0.5</f>
        <v>120.5</v>
      </c>
      <c r="G102" s="32"/>
      <c r="H102" s="33"/>
      <c r="I102" s="31"/>
      <c r="J102" s="74"/>
    </row>
    <row r="103" spans="1:10" ht="12.75" customHeight="1">
      <c r="A103" s="56"/>
      <c r="B103" s="59"/>
      <c r="C103" s="70"/>
      <c r="D103" s="103"/>
      <c r="E103" s="34"/>
      <c r="F103" s="77">
        <f>SUM(F101:F102)</f>
        <v>223.75</v>
      </c>
      <c r="G103" s="32"/>
      <c r="H103" s="33"/>
      <c r="I103" s="31"/>
      <c r="J103" s="74"/>
    </row>
    <row r="104" spans="1:10" ht="12.75" customHeight="1">
      <c r="A104" s="56">
        <f>MAX(A$2:A103)+1</f>
        <v>19</v>
      </c>
      <c r="B104" s="62" t="s">
        <v>124</v>
      </c>
      <c r="C104" s="37" t="s">
        <v>133</v>
      </c>
      <c r="D104" s="38"/>
      <c r="E104" s="39" t="s">
        <v>134</v>
      </c>
      <c r="F104" s="79"/>
      <c r="G104" s="80" t="s">
        <v>38</v>
      </c>
      <c r="H104" s="29">
        <f>H105</f>
        <v>593.9</v>
      </c>
      <c r="I104" s="31"/>
      <c r="J104" s="74"/>
    </row>
    <row r="105" spans="1:10" ht="12.75" customHeight="1">
      <c r="A105" s="56"/>
      <c r="B105" s="59"/>
      <c r="C105" s="104"/>
      <c r="D105" s="87" t="s">
        <v>478</v>
      </c>
      <c r="E105" s="82" t="s">
        <v>479</v>
      </c>
      <c r="F105" s="83"/>
      <c r="G105" s="84" t="s">
        <v>38</v>
      </c>
      <c r="H105" s="33">
        <f>ROUND(F110,2)</f>
        <v>593.9</v>
      </c>
      <c r="I105" s="31"/>
      <c r="J105" s="74"/>
    </row>
    <row r="106" spans="1:10" ht="25.5">
      <c r="A106" s="56"/>
      <c r="B106" s="59"/>
      <c r="C106" s="104"/>
      <c r="D106" s="87"/>
      <c r="E106" s="34" t="s">
        <v>480</v>
      </c>
      <c r="F106" s="110">
        <f>73+72</f>
        <v>145</v>
      </c>
      <c r="G106" s="84"/>
      <c r="H106" s="33"/>
      <c r="I106" s="31"/>
      <c r="J106" s="74"/>
    </row>
    <row r="107" spans="1:10" ht="12.75" customHeight="1">
      <c r="A107" s="56"/>
      <c r="B107" s="59"/>
      <c r="C107" s="104"/>
      <c r="D107" s="87"/>
      <c r="E107" s="34" t="s">
        <v>481</v>
      </c>
      <c r="F107" s="110">
        <f>79.5+127</f>
        <v>206.5</v>
      </c>
      <c r="G107" s="84"/>
      <c r="H107" s="33"/>
      <c r="I107" s="31"/>
      <c r="J107" s="74"/>
    </row>
    <row r="108" spans="1:10" ht="25.5">
      <c r="A108" s="56"/>
      <c r="B108" s="59"/>
      <c r="C108" s="104"/>
      <c r="D108" s="87"/>
      <c r="E108" s="34" t="s">
        <v>482</v>
      </c>
      <c r="F108" s="110">
        <f>150+91</f>
        <v>241</v>
      </c>
      <c r="G108" s="84"/>
      <c r="H108" s="33"/>
      <c r="I108" s="31"/>
      <c r="J108" s="74"/>
    </row>
    <row r="109" spans="1:10" ht="15">
      <c r="A109" s="56"/>
      <c r="B109" s="59"/>
      <c r="C109" s="104"/>
      <c r="D109" s="87"/>
      <c r="E109" s="34" t="s">
        <v>483</v>
      </c>
      <c r="F109" s="111">
        <f>7*0.2</f>
        <v>1.4</v>
      </c>
      <c r="G109" s="84"/>
      <c r="H109" s="33"/>
      <c r="I109" s="31"/>
      <c r="J109" s="74"/>
    </row>
    <row r="110" spans="1:10" ht="12.75" customHeight="1">
      <c r="A110" s="56"/>
      <c r="B110" s="59"/>
      <c r="C110" s="104"/>
      <c r="D110" s="87"/>
      <c r="E110" s="34"/>
      <c r="F110" s="110">
        <f>SUM(F106:F109)</f>
        <v>593.9</v>
      </c>
      <c r="G110" s="84"/>
      <c r="H110" s="33"/>
      <c r="I110" s="31"/>
      <c r="J110" s="74"/>
    </row>
    <row r="111" spans="1:10" ht="15">
      <c r="A111" s="56"/>
      <c r="B111" s="71" t="s">
        <v>138</v>
      </c>
      <c r="C111" s="70"/>
      <c r="D111" s="93"/>
      <c r="E111" s="19" t="s">
        <v>484</v>
      </c>
      <c r="F111" s="58"/>
      <c r="G111" s="30"/>
      <c r="H111" s="29"/>
      <c r="I111" s="31"/>
      <c r="J111" s="74"/>
    </row>
    <row r="112" spans="1:10" ht="12.75">
      <c r="A112" s="56">
        <f>MAX(A$2:A111)+1</f>
        <v>20</v>
      </c>
      <c r="B112" s="112" t="s">
        <v>138</v>
      </c>
      <c r="C112" s="105" t="s">
        <v>107</v>
      </c>
      <c r="D112" s="93"/>
      <c r="E112" s="86" t="s">
        <v>139</v>
      </c>
      <c r="F112" s="72"/>
      <c r="G112" s="73" t="s">
        <v>30</v>
      </c>
      <c r="H112" s="29">
        <f>(+H113)</f>
        <v>223.75</v>
      </c>
      <c r="J112" s="74"/>
    </row>
    <row r="113" spans="1:10" ht="24.75">
      <c r="A113" s="56"/>
      <c r="B113" s="67"/>
      <c r="C113" s="102"/>
      <c r="D113" s="87" t="s">
        <v>485</v>
      </c>
      <c r="E113" s="82" t="s">
        <v>486</v>
      </c>
      <c r="F113" s="83"/>
      <c r="G113" s="84" t="s">
        <v>30</v>
      </c>
      <c r="H113" s="33">
        <f>ROUND(F116,2)</f>
        <v>223.75</v>
      </c>
      <c r="J113" s="74"/>
    </row>
    <row r="114" spans="1:10" ht="25.5">
      <c r="A114" s="56"/>
      <c r="B114" s="59"/>
      <c r="C114" s="60"/>
      <c r="D114" s="76"/>
      <c r="E114" s="34" t="s">
        <v>487</v>
      </c>
      <c r="F114" s="108">
        <f>F101</f>
        <v>103.25</v>
      </c>
      <c r="G114" s="92"/>
      <c r="H114" s="33"/>
      <c r="J114" s="74"/>
    </row>
    <row r="115" spans="1:10" ht="25.5">
      <c r="A115" s="56"/>
      <c r="B115" s="59"/>
      <c r="C115" s="60"/>
      <c r="D115" s="76"/>
      <c r="E115" s="34" t="s">
        <v>488</v>
      </c>
      <c r="F115" s="109">
        <f>F102</f>
        <v>120.5</v>
      </c>
      <c r="G115" s="32"/>
      <c r="H115" s="33"/>
      <c r="J115" s="74"/>
    </row>
    <row r="116" spans="1:10" ht="15">
      <c r="A116" s="56"/>
      <c r="B116" s="59"/>
      <c r="C116" s="60"/>
      <c r="D116" s="76"/>
      <c r="E116" s="34"/>
      <c r="F116" s="77">
        <f>SUM(F114:F115)</f>
        <v>223.75</v>
      </c>
      <c r="G116" s="32"/>
      <c r="H116" s="33"/>
      <c r="J116" s="74"/>
    </row>
    <row r="117" spans="1:10" ht="30.75">
      <c r="A117" s="56"/>
      <c r="B117" s="71" t="s">
        <v>217</v>
      </c>
      <c r="C117" s="70"/>
      <c r="D117" s="93"/>
      <c r="E117" s="19" t="s">
        <v>489</v>
      </c>
      <c r="F117" s="58"/>
      <c r="G117" s="30"/>
      <c r="H117" s="29"/>
      <c r="I117" s="31"/>
      <c r="J117" s="74"/>
    </row>
    <row r="118" spans="1:10" ht="12.75">
      <c r="A118" s="56">
        <f>MAX(A$2:A117)+1</f>
        <v>21</v>
      </c>
      <c r="B118" s="112" t="s">
        <v>217</v>
      </c>
      <c r="C118" s="37" t="s">
        <v>220</v>
      </c>
      <c r="D118" s="38"/>
      <c r="E118" s="39" t="s">
        <v>221</v>
      </c>
      <c r="F118" s="79"/>
      <c r="G118" s="80" t="s">
        <v>45</v>
      </c>
      <c r="H118" s="29">
        <f>H119</f>
        <v>10</v>
      </c>
      <c r="J118" s="74"/>
    </row>
    <row r="119" spans="1:10" ht="12.75">
      <c r="A119" s="56"/>
      <c r="B119" s="67"/>
      <c r="C119" s="102"/>
      <c r="D119" s="87" t="s">
        <v>490</v>
      </c>
      <c r="E119" s="82" t="s">
        <v>491</v>
      </c>
      <c r="F119" s="83"/>
      <c r="G119" s="84" t="s">
        <v>45</v>
      </c>
      <c r="H119" s="33">
        <f>F120</f>
        <v>10</v>
      </c>
      <c r="J119" s="74"/>
    </row>
    <row r="120" spans="1:10" ht="25.5">
      <c r="A120" s="56"/>
      <c r="B120" s="59"/>
      <c r="C120" s="60"/>
      <c r="D120" s="76"/>
      <c r="E120" s="34" t="s">
        <v>492</v>
      </c>
      <c r="F120" s="77">
        <v>10</v>
      </c>
      <c r="G120" s="32"/>
      <c r="H120" s="33"/>
      <c r="J120" s="74"/>
    </row>
    <row r="121" spans="1:10" ht="30.75">
      <c r="A121" s="56"/>
      <c r="B121" s="71" t="s">
        <v>223</v>
      </c>
      <c r="C121" s="60"/>
      <c r="D121" s="61"/>
      <c r="E121" s="19" t="s">
        <v>493</v>
      </c>
      <c r="F121" s="58"/>
      <c r="G121" s="30"/>
      <c r="H121" s="29"/>
      <c r="J121" s="74"/>
    </row>
    <row r="122" spans="1:10" ht="25.5">
      <c r="A122" s="56">
        <f>MAX(A$2:A121)+1</f>
        <v>22</v>
      </c>
      <c r="B122" s="112" t="s">
        <v>223</v>
      </c>
      <c r="C122" s="63" t="s">
        <v>224</v>
      </c>
      <c r="D122" s="69"/>
      <c r="E122" s="65" t="s">
        <v>225</v>
      </c>
      <c r="F122" s="65"/>
      <c r="G122" s="66" t="s">
        <v>30</v>
      </c>
      <c r="H122" s="29">
        <f>(+H123)</f>
        <v>4.9</v>
      </c>
      <c r="J122" s="74"/>
    </row>
    <row r="123" spans="1:10" ht="37.5">
      <c r="A123" s="56"/>
      <c r="B123" s="67"/>
      <c r="C123" s="102"/>
      <c r="D123" s="87" t="s">
        <v>494</v>
      </c>
      <c r="E123" s="82" t="s">
        <v>495</v>
      </c>
      <c r="F123" s="83"/>
      <c r="G123" s="84" t="s">
        <v>30</v>
      </c>
      <c r="H123" s="33">
        <f>ROUND(F124,2)</f>
        <v>4.9</v>
      </c>
      <c r="J123" s="74"/>
    </row>
    <row r="124" spans="1:10" ht="25.5">
      <c r="A124" s="56"/>
      <c r="B124" s="71"/>
      <c r="C124" s="60"/>
      <c r="D124" s="76"/>
      <c r="E124" s="34" t="s">
        <v>496</v>
      </c>
      <c r="F124" s="58">
        <f>7*0.7</f>
        <v>4.9</v>
      </c>
      <c r="G124" s="30"/>
      <c r="H124" s="29"/>
      <c r="J124" s="74"/>
    </row>
    <row r="125" spans="1:10" ht="25.5" customHeight="1">
      <c r="A125" s="56">
        <f>MAX(A$2:A124)+1</f>
        <v>23</v>
      </c>
      <c r="B125" s="112" t="s">
        <v>223</v>
      </c>
      <c r="C125" s="63" t="s">
        <v>226</v>
      </c>
      <c r="D125" s="69"/>
      <c r="E125" s="65" t="s">
        <v>227</v>
      </c>
      <c r="F125" s="65"/>
      <c r="G125" s="66" t="s">
        <v>38</v>
      </c>
      <c r="H125" s="29">
        <f>H126</f>
        <v>2414.5</v>
      </c>
      <c r="J125" s="74"/>
    </row>
    <row r="126" spans="1:10" ht="24.75">
      <c r="A126" s="56"/>
      <c r="B126" s="59"/>
      <c r="C126" s="102"/>
      <c r="D126" s="95" t="s">
        <v>497</v>
      </c>
      <c r="E126" s="96" t="s">
        <v>498</v>
      </c>
      <c r="F126" s="96"/>
      <c r="G126" s="97" t="s">
        <v>38</v>
      </c>
      <c r="H126" s="33">
        <f>ROUND(F133,2)</f>
        <v>2414.5</v>
      </c>
      <c r="J126" s="74"/>
    </row>
    <row r="127" spans="1:10" ht="12.75" customHeight="1">
      <c r="A127" s="56"/>
      <c r="B127" s="59"/>
      <c r="C127" s="60"/>
      <c r="D127" s="76"/>
      <c r="E127" s="34" t="s">
        <v>499</v>
      </c>
      <c r="F127" s="91"/>
      <c r="G127" s="92"/>
      <c r="H127" s="33"/>
      <c r="J127" s="74"/>
    </row>
    <row r="128" spans="1:10" ht="12.75" customHeight="1">
      <c r="A128" s="56"/>
      <c r="B128" s="59"/>
      <c r="C128" s="60"/>
      <c r="D128" s="76"/>
      <c r="E128" s="34" t="s">
        <v>500</v>
      </c>
      <c r="F128" s="91">
        <f>145+145</f>
        <v>290</v>
      </c>
      <c r="G128" s="92"/>
      <c r="H128" s="33"/>
      <c r="J128" s="74"/>
    </row>
    <row r="129" spans="1:10" ht="12.75" customHeight="1">
      <c r="A129" s="56"/>
      <c r="B129" s="59"/>
      <c r="C129" s="60"/>
      <c r="D129" s="76"/>
      <c r="E129" s="34" t="s">
        <v>501</v>
      </c>
      <c r="F129" s="91">
        <f>423+413</f>
        <v>836</v>
      </c>
      <c r="G129" s="92"/>
      <c r="H129" s="33"/>
      <c r="J129" s="74"/>
    </row>
    <row r="130" spans="1:10" ht="12.75" customHeight="1">
      <c r="A130" s="56"/>
      <c r="B130" s="59"/>
      <c r="C130" s="60"/>
      <c r="D130" s="76"/>
      <c r="E130" s="34" t="s">
        <v>502</v>
      </c>
      <c r="F130" s="91">
        <v>300</v>
      </c>
      <c r="G130" s="92"/>
      <c r="H130" s="33"/>
      <c r="J130" s="74"/>
    </row>
    <row r="131" spans="1:10" ht="12.75" customHeight="1">
      <c r="A131" s="56"/>
      <c r="B131" s="59"/>
      <c r="C131" s="60"/>
      <c r="D131" s="76"/>
      <c r="E131" s="34" t="s">
        <v>503</v>
      </c>
      <c r="F131" s="91">
        <f>329.5*2</f>
        <v>659</v>
      </c>
      <c r="G131" s="92"/>
      <c r="H131" s="33"/>
      <c r="J131" s="74"/>
    </row>
    <row r="132" spans="1:10" ht="12.75" customHeight="1">
      <c r="A132" s="56"/>
      <c r="B132" s="59"/>
      <c r="C132" s="60"/>
      <c r="D132" s="76"/>
      <c r="E132" s="34" t="s">
        <v>504</v>
      </c>
      <c r="F132" s="98">
        <v>329.5</v>
      </c>
      <c r="G132" s="92"/>
      <c r="H132" s="33"/>
      <c r="J132" s="74"/>
    </row>
    <row r="133" spans="1:10" ht="12.75" customHeight="1">
      <c r="A133" s="56"/>
      <c r="B133" s="59"/>
      <c r="C133" s="60"/>
      <c r="D133" s="76"/>
      <c r="E133" s="34"/>
      <c r="F133" s="91">
        <f>SUM(F128:F132)</f>
        <v>2414.5</v>
      </c>
      <c r="G133" s="92"/>
      <c r="H133" s="33"/>
      <c r="J133" s="74"/>
    </row>
    <row r="134" spans="1:10" ht="25.5" customHeight="1">
      <c r="A134" s="56">
        <f>MAX(A$2:A133)+1</f>
        <v>24</v>
      </c>
      <c r="B134" s="112" t="s">
        <v>223</v>
      </c>
      <c r="C134" s="63" t="s">
        <v>228</v>
      </c>
      <c r="D134" s="69"/>
      <c r="E134" s="65" t="s">
        <v>229</v>
      </c>
      <c r="F134" s="113"/>
      <c r="G134" s="114" t="s">
        <v>30</v>
      </c>
      <c r="H134" s="29">
        <f>H135+H138</f>
        <v>79.07</v>
      </c>
      <c r="J134" s="74"/>
    </row>
    <row r="135" spans="1:10" ht="24.75">
      <c r="A135" s="56"/>
      <c r="B135" s="67"/>
      <c r="C135" s="102"/>
      <c r="D135" s="95" t="s">
        <v>505</v>
      </c>
      <c r="E135" s="96" t="s">
        <v>506</v>
      </c>
      <c r="F135" s="106"/>
      <c r="G135" s="107" t="s">
        <v>30</v>
      </c>
      <c r="H135" s="33">
        <f>ROUND(F137,2)</f>
        <v>13.43</v>
      </c>
      <c r="J135" s="74"/>
    </row>
    <row r="136" spans="1:10" ht="12.75" customHeight="1">
      <c r="A136" s="56"/>
      <c r="B136" s="59"/>
      <c r="C136" s="75"/>
      <c r="D136" s="76"/>
      <c r="E136" s="34" t="s">
        <v>507</v>
      </c>
      <c r="F136" s="91"/>
      <c r="G136" s="92"/>
      <c r="H136" s="33"/>
      <c r="J136" s="74"/>
    </row>
    <row r="137" spans="1:10" ht="12.75" customHeight="1">
      <c r="A137" s="56"/>
      <c r="B137" s="59"/>
      <c r="C137" s="75"/>
      <c r="D137" s="76"/>
      <c r="E137" s="34" t="s">
        <v>508</v>
      </c>
      <c r="F137" s="91">
        <f>149.2*0.09</f>
        <v>13.43</v>
      </c>
      <c r="G137" s="92"/>
      <c r="H137" s="33"/>
      <c r="J137" s="74"/>
    </row>
    <row r="138" spans="1:10" ht="24.75">
      <c r="A138" s="56"/>
      <c r="B138" s="59"/>
      <c r="C138" s="75"/>
      <c r="D138" s="87" t="s">
        <v>509</v>
      </c>
      <c r="E138" s="88" t="s">
        <v>510</v>
      </c>
      <c r="F138" s="89"/>
      <c r="G138" s="84" t="s">
        <v>30</v>
      </c>
      <c r="H138" s="33">
        <f>ROUND(F143,2)</f>
        <v>65.64</v>
      </c>
      <c r="J138" s="74"/>
    </row>
    <row r="139" spans="1:10" ht="12.75" customHeight="1">
      <c r="A139" s="56"/>
      <c r="B139" s="59"/>
      <c r="C139" s="75"/>
      <c r="D139" s="76"/>
      <c r="E139" s="34" t="s">
        <v>511</v>
      </c>
      <c r="F139" s="91"/>
      <c r="G139" s="92"/>
      <c r="H139" s="33"/>
      <c r="J139" s="74"/>
    </row>
    <row r="140" spans="1:10" ht="12.75" customHeight="1">
      <c r="A140" s="56"/>
      <c r="B140" s="59"/>
      <c r="C140" s="75"/>
      <c r="D140" s="76"/>
      <c r="E140" s="34" t="s">
        <v>512</v>
      </c>
      <c r="F140" s="91">
        <f>(73+72)*0.06</f>
        <v>8.7</v>
      </c>
      <c r="G140" s="92"/>
      <c r="H140" s="33"/>
      <c r="J140" s="74"/>
    </row>
    <row r="141" spans="1:10" ht="12.75" customHeight="1">
      <c r="A141" s="56"/>
      <c r="B141" s="59"/>
      <c r="C141" s="75"/>
      <c r="D141" s="76"/>
      <c r="E141" s="34" t="s">
        <v>513</v>
      </c>
      <c r="F141" s="91">
        <f>413*0.09</f>
        <v>37.17</v>
      </c>
      <c r="G141" s="92"/>
      <c r="H141" s="33"/>
      <c r="J141" s="74"/>
    </row>
    <row r="142" spans="1:10" ht="12.75" customHeight="1">
      <c r="A142" s="56"/>
      <c r="B142" s="59"/>
      <c r="C142" s="75"/>
      <c r="D142" s="76"/>
      <c r="E142" s="34" t="s">
        <v>514</v>
      </c>
      <c r="F142" s="98">
        <f>329.5*0.06</f>
        <v>19.77</v>
      </c>
      <c r="G142" s="92"/>
      <c r="H142" s="33"/>
      <c r="J142" s="74"/>
    </row>
    <row r="143" spans="1:10" ht="12.75" customHeight="1">
      <c r="A143" s="56"/>
      <c r="B143" s="59"/>
      <c r="C143" s="75"/>
      <c r="D143" s="76"/>
      <c r="E143" s="34" t="s">
        <v>417</v>
      </c>
      <c r="F143" s="91">
        <f>SUM(F140:F142)</f>
        <v>65.64</v>
      </c>
      <c r="G143" s="92"/>
      <c r="H143" s="33"/>
      <c r="J143" s="74"/>
    </row>
    <row r="144" spans="1:10" ht="25.5">
      <c r="A144" s="56">
        <f>MAX(A$2:A143)+1</f>
        <v>25</v>
      </c>
      <c r="B144" s="112" t="s">
        <v>223</v>
      </c>
      <c r="C144" s="63" t="s">
        <v>230</v>
      </c>
      <c r="D144" s="69"/>
      <c r="E144" s="65" t="s">
        <v>231</v>
      </c>
      <c r="F144" s="65"/>
      <c r="G144" s="66" t="s">
        <v>30</v>
      </c>
      <c r="H144" s="29">
        <f>H145</f>
        <v>61.08</v>
      </c>
      <c r="J144" s="74"/>
    </row>
    <row r="145" spans="1:10" ht="24.75">
      <c r="A145" s="56"/>
      <c r="B145" s="59"/>
      <c r="C145" s="94"/>
      <c r="D145" s="95" t="s">
        <v>515</v>
      </c>
      <c r="E145" s="96" t="s">
        <v>516</v>
      </c>
      <c r="F145" s="96"/>
      <c r="G145" s="97" t="s">
        <v>30</v>
      </c>
      <c r="H145" s="33">
        <f>ROUND(F152,2)</f>
        <v>61.08</v>
      </c>
      <c r="J145" s="74"/>
    </row>
    <row r="146" spans="1:10" ht="12.75" customHeight="1">
      <c r="A146" s="56"/>
      <c r="B146" s="59"/>
      <c r="C146" s="60"/>
      <c r="D146" s="76"/>
      <c r="E146" s="34" t="s">
        <v>517</v>
      </c>
      <c r="F146" s="77"/>
      <c r="G146" s="32"/>
      <c r="H146" s="33"/>
      <c r="J146" s="74"/>
    </row>
    <row r="147" spans="1:10" ht="12.75" customHeight="1">
      <c r="A147" s="56"/>
      <c r="B147" s="59"/>
      <c r="C147" s="60"/>
      <c r="D147" s="76"/>
      <c r="E147" s="34" t="s">
        <v>518</v>
      </c>
      <c r="F147" s="77">
        <f>(73+72)*0.04</f>
        <v>5.8</v>
      </c>
      <c r="G147" s="32"/>
      <c r="H147" s="33"/>
      <c r="J147" s="74"/>
    </row>
    <row r="148" spans="1:10" ht="12.75" customHeight="1">
      <c r="A148" s="56"/>
      <c r="B148" s="59"/>
      <c r="C148" s="60"/>
      <c r="D148" s="76"/>
      <c r="E148" s="34" t="s">
        <v>519</v>
      </c>
      <c r="F148" s="77">
        <f>(211+212)*0.04</f>
        <v>16.92</v>
      </c>
      <c r="G148" s="32"/>
      <c r="H148" s="33"/>
      <c r="J148" s="74"/>
    </row>
    <row r="149" spans="1:10" ht="12.75" customHeight="1">
      <c r="A149" s="56"/>
      <c r="B149" s="59"/>
      <c r="C149" s="60"/>
      <c r="D149" s="76"/>
      <c r="E149" s="34" t="s">
        <v>520</v>
      </c>
      <c r="F149" s="77">
        <f>(54+246)*0.04</f>
        <v>12</v>
      </c>
      <c r="G149" s="32"/>
      <c r="H149" s="33"/>
      <c r="J149" s="74"/>
    </row>
    <row r="150" spans="1:10" ht="12.75" customHeight="1">
      <c r="A150" s="56"/>
      <c r="B150" s="59"/>
      <c r="C150" s="60"/>
      <c r="D150" s="76"/>
      <c r="E150" s="34" t="s">
        <v>521</v>
      </c>
      <c r="F150" s="77">
        <f>329.5*0.04</f>
        <v>13.18</v>
      </c>
      <c r="G150" s="32"/>
      <c r="H150" s="33"/>
      <c r="J150" s="74"/>
    </row>
    <row r="151" spans="1:10" ht="12.75" customHeight="1">
      <c r="A151" s="56"/>
      <c r="B151" s="59"/>
      <c r="C151" s="60"/>
      <c r="D151" s="76"/>
      <c r="E151" s="34" t="s">
        <v>522</v>
      </c>
      <c r="F151" s="98">
        <f>329.5*0.04</f>
        <v>13.18</v>
      </c>
      <c r="G151" s="32"/>
      <c r="H151" s="33"/>
      <c r="J151" s="74"/>
    </row>
    <row r="152" spans="1:10" ht="12.75" customHeight="1">
      <c r="A152" s="56"/>
      <c r="B152" s="59"/>
      <c r="C152" s="60"/>
      <c r="D152" s="76"/>
      <c r="E152" s="34"/>
      <c r="F152" s="77">
        <f>SUM(F147:F151)</f>
        <v>61.08</v>
      </c>
      <c r="G152" s="32"/>
      <c r="H152" s="33"/>
      <c r="J152" s="74"/>
    </row>
    <row r="153" spans="1:10" ht="25.5">
      <c r="A153" s="56">
        <f>MAX(A$2:A152)+1</f>
        <v>26</v>
      </c>
      <c r="B153" s="112" t="s">
        <v>223</v>
      </c>
      <c r="C153" s="37" t="s">
        <v>236</v>
      </c>
      <c r="D153" s="38"/>
      <c r="E153" s="39" t="s">
        <v>237</v>
      </c>
      <c r="F153" s="79"/>
      <c r="G153" s="80" t="s">
        <v>45</v>
      </c>
      <c r="H153" s="29">
        <f>H154</f>
        <v>218</v>
      </c>
      <c r="J153" s="74"/>
    </row>
    <row r="154" spans="1:10" ht="24.75">
      <c r="A154" s="56"/>
      <c r="B154" s="59"/>
      <c r="C154" s="60"/>
      <c r="D154" s="87" t="s">
        <v>523</v>
      </c>
      <c r="E154" s="82" t="s">
        <v>524</v>
      </c>
      <c r="F154" s="83"/>
      <c r="G154" s="84" t="s">
        <v>45</v>
      </c>
      <c r="H154" s="33">
        <f>ROUND(F158,2)</f>
        <v>218</v>
      </c>
      <c r="J154" s="74"/>
    </row>
    <row r="155" spans="1:10" ht="25.5">
      <c r="A155" s="56"/>
      <c r="B155" s="59"/>
      <c r="C155" s="60"/>
      <c r="D155" s="90"/>
      <c r="E155" s="34" t="s">
        <v>453</v>
      </c>
      <c r="F155" s="91">
        <v>98</v>
      </c>
      <c r="G155" s="84"/>
      <c r="H155" s="33"/>
      <c r="J155" s="74"/>
    </row>
    <row r="156" spans="1:10" ht="25.5">
      <c r="A156" s="56"/>
      <c r="B156" s="59"/>
      <c r="C156" s="60"/>
      <c r="D156" s="90"/>
      <c r="E156" s="34" t="s">
        <v>454</v>
      </c>
      <c r="F156" s="91">
        <v>98</v>
      </c>
      <c r="G156" s="84"/>
      <c r="H156" s="33"/>
      <c r="J156" s="74"/>
    </row>
    <row r="157" spans="1:10" ht="12.75" customHeight="1">
      <c r="A157" s="56"/>
      <c r="B157" s="59"/>
      <c r="C157" s="60"/>
      <c r="D157" s="76"/>
      <c r="E157" s="34" t="s">
        <v>455</v>
      </c>
      <c r="F157" s="98">
        <v>22</v>
      </c>
      <c r="G157" s="32"/>
      <c r="H157" s="33"/>
      <c r="J157" s="74"/>
    </row>
    <row r="158" spans="1:10" ht="12.75" customHeight="1">
      <c r="A158" s="56"/>
      <c r="B158" s="59"/>
      <c r="C158" s="60"/>
      <c r="D158" s="76"/>
      <c r="E158" s="34" t="s">
        <v>417</v>
      </c>
      <c r="F158" s="77">
        <f>SUM(F155:F157)</f>
        <v>218</v>
      </c>
      <c r="G158" s="32"/>
      <c r="H158" s="33"/>
      <c r="J158" s="74"/>
    </row>
    <row r="159" spans="1:10" ht="25.5">
      <c r="A159" s="56">
        <f>MAX(A$2:A158)+1</f>
        <v>27</v>
      </c>
      <c r="B159" s="112" t="s">
        <v>223</v>
      </c>
      <c r="C159" s="37" t="s">
        <v>244</v>
      </c>
      <c r="D159" s="38"/>
      <c r="E159" s="39" t="s">
        <v>245</v>
      </c>
      <c r="F159" s="79"/>
      <c r="G159" s="80" t="s">
        <v>45</v>
      </c>
      <c r="H159" s="29">
        <f>H160</f>
        <v>36</v>
      </c>
      <c r="I159" s="74"/>
      <c r="J159" s="74"/>
    </row>
    <row r="160" spans="1:10" ht="24.75">
      <c r="A160" s="56"/>
      <c r="B160" s="59"/>
      <c r="C160" s="60"/>
      <c r="D160" s="87" t="s">
        <v>244</v>
      </c>
      <c r="E160" s="82" t="s">
        <v>245</v>
      </c>
      <c r="F160" s="83"/>
      <c r="G160" s="84" t="s">
        <v>45</v>
      </c>
      <c r="H160" s="33">
        <f>F161</f>
        <v>36</v>
      </c>
      <c r="I160" s="74"/>
      <c r="J160" s="74"/>
    </row>
    <row r="161" spans="1:10" ht="12.75" customHeight="1">
      <c r="A161" s="56"/>
      <c r="B161" s="59"/>
      <c r="C161" s="60"/>
      <c r="D161" s="76"/>
      <c r="E161" s="34" t="s">
        <v>525</v>
      </c>
      <c r="F161" s="77">
        <v>36</v>
      </c>
      <c r="G161" s="32"/>
      <c r="H161" s="33"/>
      <c r="I161" s="74"/>
      <c r="J161" s="74"/>
    </row>
    <row r="162" spans="1:10" ht="25.5" customHeight="1">
      <c r="A162" s="56">
        <f>MAX(A$2:A161)+1</f>
        <v>28</v>
      </c>
      <c r="B162" s="112" t="s">
        <v>223</v>
      </c>
      <c r="C162" s="63" t="s">
        <v>246</v>
      </c>
      <c r="D162" s="64"/>
      <c r="E162" s="65" t="s">
        <v>247</v>
      </c>
      <c r="F162" s="65"/>
      <c r="G162" s="66" t="s">
        <v>45</v>
      </c>
      <c r="H162" s="29">
        <f>H163</f>
        <v>123</v>
      </c>
      <c r="I162" s="74"/>
      <c r="J162" s="74"/>
    </row>
    <row r="163" spans="1:10" ht="24.75">
      <c r="A163" s="56"/>
      <c r="B163" s="67"/>
      <c r="C163" s="100"/>
      <c r="D163" s="95" t="s">
        <v>246</v>
      </c>
      <c r="E163" s="96" t="s">
        <v>247</v>
      </c>
      <c r="F163" s="96"/>
      <c r="G163" s="97" t="s">
        <v>45</v>
      </c>
      <c r="H163" s="33">
        <f>ROUND(F166,2)</f>
        <v>123</v>
      </c>
      <c r="I163" s="74"/>
      <c r="J163" s="74"/>
    </row>
    <row r="164" spans="1:10" ht="12.75">
      <c r="A164" s="56"/>
      <c r="B164" s="67"/>
      <c r="C164" s="100"/>
      <c r="D164" s="101"/>
      <c r="E164" s="34" t="s">
        <v>526</v>
      </c>
      <c r="F164" s="77">
        <v>63.7</v>
      </c>
      <c r="G164" s="97"/>
      <c r="H164" s="33"/>
      <c r="I164" s="74"/>
      <c r="J164" s="74"/>
    </row>
    <row r="165" spans="1:10" ht="39">
      <c r="A165" s="56"/>
      <c r="B165" s="59"/>
      <c r="C165" s="60"/>
      <c r="D165" s="76"/>
      <c r="E165" s="34" t="s">
        <v>527</v>
      </c>
      <c r="F165" s="98">
        <v>59.3</v>
      </c>
      <c r="G165" s="32"/>
      <c r="H165" s="33"/>
      <c r="I165" s="74"/>
      <c r="J165" s="74"/>
    </row>
    <row r="166" spans="1:10" ht="15">
      <c r="A166" s="56"/>
      <c r="B166" s="59"/>
      <c r="C166" s="60"/>
      <c r="D166" s="76"/>
      <c r="E166" s="34"/>
      <c r="F166" s="77">
        <f>SUM(F164:F165)</f>
        <v>123</v>
      </c>
      <c r="G166" s="32"/>
      <c r="H166" s="33"/>
      <c r="I166" s="74"/>
      <c r="J166" s="74"/>
    </row>
    <row r="167" spans="1:10" ht="12.75" customHeight="1">
      <c r="A167" s="56"/>
      <c r="B167" s="59"/>
      <c r="C167" s="60"/>
      <c r="D167" s="76"/>
      <c r="E167" s="47" t="s">
        <v>528</v>
      </c>
      <c r="F167" s="77"/>
      <c r="G167" s="32"/>
      <c r="H167" s="33"/>
      <c r="I167" s="74"/>
      <c r="J167" s="74"/>
    </row>
    <row r="168" spans="1:10" ht="39">
      <c r="A168" s="56">
        <f>MAX(A$2:A167)+1</f>
        <v>29</v>
      </c>
      <c r="B168" s="112" t="s">
        <v>223</v>
      </c>
      <c r="C168" s="63" t="s">
        <v>248</v>
      </c>
      <c r="D168" s="69"/>
      <c r="E168" s="65" t="s">
        <v>529</v>
      </c>
      <c r="F168" s="65"/>
      <c r="G168" s="66" t="s">
        <v>60</v>
      </c>
      <c r="H168" s="29">
        <f>H169</f>
        <v>4</v>
      </c>
      <c r="J168" s="74"/>
    </row>
    <row r="169" spans="1:10" ht="24.75">
      <c r="A169" s="56"/>
      <c r="B169" s="67"/>
      <c r="C169" s="102"/>
      <c r="D169" s="95" t="s">
        <v>248</v>
      </c>
      <c r="E169" s="96" t="s">
        <v>530</v>
      </c>
      <c r="F169" s="96"/>
      <c r="G169" s="97" t="s">
        <v>60</v>
      </c>
      <c r="H169" s="33">
        <f>F172</f>
        <v>4</v>
      </c>
      <c r="J169" s="74"/>
    </row>
    <row r="170" spans="1:10" ht="12.75" customHeight="1">
      <c r="A170" s="56"/>
      <c r="B170" s="67"/>
      <c r="C170" s="100"/>
      <c r="D170" s="101"/>
      <c r="E170" s="34" t="s">
        <v>531</v>
      </c>
      <c r="F170" s="77">
        <v>2</v>
      </c>
      <c r="G170" s="97"/>
      <c r="H170" s="33"/>
      <c r="J170" s="74"/>
    </row>
    <row r="171" spans="1:10" ht="25.5">
      <c r="A171" s="56"/>
      <c r="B171" s="59"/>
      <c r="C171" s="60"/>
      <c r="D171" s="76"/>
      <c r="E171" s="34" t="s">
        <v>532</v>
      </c>
      <c r="F171" s="98">
        <v>2</v>
      </c>
      <c r="G171" s="32"/>
      <c r="H171" s="33"/>
      <c r="J171" s="74"/>
    </row>
    <row r="172" spans="1:10" ht="15">
      <c r="A172" s="56"/>
      <c r="B172" s="59"/>
      <c r="C172" s="60"/>
      <c r="D172" s="76"/>
      <c r="E172" s="34"/>
      <c r="F172" s="77">
        <f>SUM(F170:F171)</f>
        <v>4</v>
      </c>
      <c r="G172" s="32"/>
      <c r="H172" s="33"/>
      <c r="J172" s="74"/>
    </row>
    <row r="173" spans="1:10" ht="25.5" customHeight="1">
      <c r="A173" s="56">
        <f>MAX(A$2:A172)+1</f>
        <v>30</v>
      </c>
      <c r="B173" s="112" t="s">
        <v>223</v>
      </c>
      <c r="C173" s="63" t="s">
        <v>250</v>
      </c>
      <c r="D173" s="69"/>
      <c r="E173" s="65" t="s">
        <v>251</v>
      </c>
      <c r="F173" s="65"/>
      <c r="G173" s="66" t="s">
        <v>60</v>
      </c>
      <c r="H173" s="29">
        <f>H174</f>
        <v>130</v>
      </c>
      <c r="J173" s="74"/>
    </row>
    <row r="174" spans="1:10" ht="24.75">
      <c r="A174" s="56"/>
      <c r="B174" s="67"/>
      <c r="C174" s="102"/>
      <c r="D174" s="95" t="s">
        <v>250</v>
      </c>
      <c r="E174" s="96" t="s">
        <v>251</v>
      </c>
      <c r="F174" s="96"/>
      <c r="G174" s="97" t="s">
        <v>60</v>
      </c>
      <c r="H174" s="33">
        <f>F177</f>
        <v>130</v>
      </c>
      <c r="J174" s="74"/>
    </row>
    <row r="175" spans="1:10" ht="15">
      <c r="A175" s="56"/>
      <c r="B175" s="59"/>
      <c r="C175" s="75"/>
      <c r="D175" s="76"/>
      <c r="E175" s="34" t="s">
        <v>533</v>
      </c>
      <c r="F175" s="91">
        <v>65</v>
      </c>
      <c r="G175" s="92"/>
      <c r="H175" s="33"/>
      <c r="J175" s="74"/>
    </row>
    <row r="176" spans="1:10" ht="15">
      <c r="A176" s="56"/>
      <c r="B176" s="59"/>
      <c r="C176" s="75"/>
      <c r="D176" s="76"/>
      <c r="E176" s="34" t="s">
        <v>534</v>
      </c>
      <c r="F176" s="98">
        <v>65</v>
      </c>
      <c r="G176" s="92"/>
      <c r="H176" s="33"/>
      <c r="J176" s="74"/>
    </row>
    <row r="177" spans="1:10" ht="15">
      <c r="A177" s="56"/>
      <c r="B177" s="59"/>
      <c r="C177" s="75"/>
      <c r="D177" s="76"/>
      <c r="E177" s="34" t="s">
        <v>535</v>
      </c>
      <c r="F177" s="91">
        <f>SUM(F175:F176)</f>
        <v>130</v>
      </c>
      <c r="G177" s="92"/>
      <c r="H177" s="33"/>
      <c r="J177" s="74"/>
    </row>
    <row r="178" spans="1:10" ht="25.5" customHeight="1">
      <c r="A178" s="56">
        <f>MAX(A$2:A177)+1</f>
        <v>31</v>
      </c>
      <c r="B178" s="112" t="s">
        <v>223</v>
      </c>
      <c r="C178" s="63" t="s">
        <v>254</v>
      </c>
      <c r="D178" s="69"/>
      <c r="E178" s="65" t="s">
        <v>255</v>
      </c>
      <c r="F178" s="65"/>
      <c r="G178" s="66" t="s">
        <v>60</v>
      </c>
      <c r="H178" s="29">
        <f>H179+H181</f>
        <v>6</v>
      </c>
      <c r="J178" s="74"/>
    </row>
    <row r="179" spans="1:10" ht="25.5" customHeight="1">
      <c r="A179" s="56"/>
      <c r="B179" s="112"/>
      <c r="C179" s="63"/>
      <c r="D179" s="87" t="s">
        <v>536</v>
      </c>
      <c r="E179" s="82" t="s">
        <v>537</v>
      </c>
      <c r="F179" s="83"/>
      <c r="G179" s="84" t="s">
        <v>60</v>
      </c>
      <c r="H179" s="33">
        <f>F180</f>
        <v>2</v>
      </c>
      <c r="J179" s="74"/>
    </row>
    <row r="180" spans="1:10" ht="12.75" customHeight="1">
      <c r="A180" s="56"/>
      <c r="B180" s="112"/>
      <c r="C180" s="63"/>
      <c r="D180" s="69"/>
      <c r="E180" s="34" t="s">
        <v>538</v>
      </c>
      <c r="F180" s="91">
        <v>2</v>
      </c>
      <c r="G180" s="66"/>
      <c r="H180" s="29"/>
      <c r="J180" s="74"/>
    </row>
    <row r="181" spans="1:10" ht="24.75">
      <c r="A181" s="56"/>
      <c r="B181" s="67"/>
      <c r="C181" s="102"/>
      <c r="D181" s="95" t="s">
        <v>539</v>
      </c>
      <c r="E181" s="96" t="s">
        <v>540</v>
      </c>
      <c r="F181" s="96"/>
      <c r="G181" s="97" t="s">
        <v>60</v>
      </c>
      <c r="H181" s="33">
        <f>F182</f>
        <v>4</v>
      </c>
      <c r="J181" s="74"/>
    </row>
    <row r="182" spans="1:10" ht="15">
      <c r="A182" s="56"/>
      <c r="B182" s="59"/>
      <c r="C182" s="75"/>
      <c r="D182" s="76"/>
      <c r="E182" s="34" t="s">
        <v>418</v>
      </c>
      <c r="F182" s="77">
        <v>4</v>
      </c>
      <c r="G182" s="32"/>
      <c r="H182" s="33"/>
      <c r="J182" s="74"/>
    </row>
    <row r="183" spans="1:10" ht="12.75">
      <c r="A183" s="56">
        <f>MAX(A$2:A182)+1</f>
        <v>32</v>
      </c>
      <c r="B183" s="112" t="s">
        <v>223</v>
      </c>
      <c r="C183" s="37" t="s">
        <v>256</v>
      </c>
      <c r="D183" s="38"/>
      <c r="E183" s="48" t="s">
        <v>257</v>
      </c>
      <c r="F183" s="115"/>
      <c r="G183" s="80" t="s">
        <v>60</v>
      </c>
      <c r="H183" s="29">
        <f>H184</f>
        <v>1</v>
      </c>
      <c r="J183" s="74"/>
    </row>
    <row r="184" spans="1:10" ht="24.75">
      <c r="A184" s="56"/>
      <c r="B184" s="59"/>
      <c r="C184" s="75"/>
      <c r="D184" s="87" t="s">
        <v>541</v>
      </c>
      <c r="E184" s="88" t="s">
        <v>542</v>
      </c>
      <c r="F184" s="89"/>
      <c r="G184" s="84" t="s">
        <v>60</v>
      </c>
      <c r="H184" s="33">
        <f>F186</f>
        <v>1</v>
      </c>
      <c r="J184" s="74"/>
    </row>
    <row r="185" spans="1:10" ht="15">
      <c r="A185" s="56"/>
      <c r="B185" s="59"/>
      <c r="C185" s="75"/>
      <c r="D185" s="90"/>
      <c r="E185" s="34" t="s">
        <v>543</v>
      </c>
      <c r="F185" s="89">
        <v>3</v>
      </c>
      <c r="G185" s="84"/>
      <c r="H185" s="33"/>
      <c r="J185" s="74"/>
    </row>
    <row r="186" spans="1:10" ht="15">
      <c r="A186" s="56"/>
      <c r="B186" s="59"/>
      <c r="C186" s="75"/>
      <c r="D186" s="76"/>
      <c r="E186" s="34" t="s">
        <v>544</v>
      </c>
      <c r="F186" s="77">
        <v>1</v>
      </c>
      <c r="G186" s="32"/>
      <c r="H186" s="33"/>
      <c r="J186" s="74"/>
    </row>
    <row r="187" spans="1:10" ht="15">
      <c r="A187" s="56"/>
      <c r="B187" s="59"/>
      <c r="C187" s="75"/>
      <c r="D187" s="76"/>
      <c r="E187" s="34"/>
      <c r="F187" s="77"/>
      <c r="G187" s="32"/>
      <c r="H187" s="33"/>
      <c r="J187" s="74"/>
    </row>
    <row r="188" spans="1:10" ht="30.75">
      <c r="A188" s="56"/>
      <c r="B188" s="71" t="s">
        <v>265</v>
      </c>
      <c r="C188" s="60"/>
      <c r="D188" s="61"/>
      <c r="E188" s="19" t="s">
        <v>545</v>
      </c>
      <c r="F188" s="58"/>
      <c r="G188" s="30"/>
      <c r="H188" s="29"/>
      <c r="J188" s="74"/>
    </row>
    <row r="189" spans="1:10" ht="25.5">
      <c r="A189" s="56">
        <f>MAX(A$2:A188)+1</f>
        <v>33</v>
      </c>
      <c r="B189" s="112" t="s">
        <v>265</v>
      </c>
      <c r="C189" s="63" t="s">
        <v>266</v>
      </c>
      <c r="D189" s="69"/>
      <c r="E189" s="65" t="s">
        <v>267</v>
      </c>
      <c r="F189" s="65"/>
      <c r="G189" s="66" t="s">
        <v>30</v>
      </c>
      <c r="H189" s="29">
        <f>H190</f>
        <v>44.22</v>
      </c>
      <c r="J189" s="74"/>
    </row>
    <row r="190" spans="1:10" ht="12.75" customHeight="1">
      <c r="A190" s="56"/>
      <c r="B190" s="67"/>
      <c r="C190" s="102"/>
      <c r="D190" s="95" t="s">
        <v>266</v>
      </c>
      <c r="E190" s="96" t="s">
        <v>267</v>
      </c>
      <c r="F190" s="96"/>
      <c r="G190" s="97" t="s">
        <v>30</v>
      </c>
      <c r="H190" s="33">
        <f>ROUND(F192,2)</f>
        <v>44.22</v>
      </c>
      <c r="J190" s="74"/>
    </row>
    <row r="191" spans="1:10" ht="12.75" customHeight="1">
      <c r="A191" s="56"/>
      <c r="B191" s="67"/>
      <c r="C191" s="102"/>
      <c r="D191" s="95"/>
      <c r="E191" s="96" t="s">
        <v>546</v>
      </c>
      <c r="F191" s="96"/>
      <c r="G191" s="97"/>
      <c r="H191" s="33"/>
      <c r="J191" s="74"/>
    </row>
    <row r="192" spans="1:10" ht="15">
      <c r="A192" s="56"/>
      <c r="B192" s="59"/>
      <c r="C192" s="70"/>
      <c r="D192" s="103"/>
      <c r="E192" s="34" t="s">
        <v>547</v>
      </c>
      <c r="F192" s="77">
        <f>201*0.22</f>
        <v>44.22</v>
      </c>
      <c r="G192" s="32"/>
      <c r="H192" s="33"/>
      <c r="J192" s="74"/>
    </row>
    <row r="193" spans="1:10" ht="25.5">
      <c r="A193" s="56">
        <f>MAX(A$2:A192)+1</f>
        <v>34</v>
      </c>
      <c r="B193" s="112" t="s">
        <v>265</v>
      </c>
      <c r="C193" s="37" t="s">
        <v>268</v>
      </c>
      <c r="D193" s="38"/>
      <c r="E193" s="48" t="s">
        <v>269</v>
      </c>
      <c r="F193" s="115"/>
      <c r="G193" s="80" t="s">
        <v>30</v>
      </c>
      <c r="H193" s="29">
        <f>H194</f>
        <v>179</v>
      </c>
      <c r="J193" s="74"/>
    </row>
    <row r="194" spans="1:10" ht="24.75">
      <c r="A194" s="56"/>
      <c r="B194" s="59"/>
      <c r="C194" s="94"/>
      <c r="D194" s="87" t="s">
        <v>548</v>
      </c>
      <c r="E194" s="88" t="s">
        <v>549</v>
      </c>
      <c r="F194" s="89"/>
      <c r="G194" s="84" t="s">
        <v>30</v>
      </c>
      <c r="H194" s="33">
        <f>ROUND(F197,2)</f>
        <v>179</v>
      </c>
      <c r="J194" s="74"/>
    </row>
    <row r="195" spans="1:10" ht="25.5">
      <c r="A195" s="56"/>
      <c r="B195" s="59"/>
      <c r="C195" s="94"/>
      <c r="D195" s="103"/>
      <c r="E195" s="34" t="s">
        <v>550</v>
      </c>
      <c r="F195" s="110">
        <f>(79.5+127)*0.4</f>
        <v>82.6</v>
      </c>
      <c r="G195" s="32"/>
      <c r="H195" s="33"/>
      <c r="J195" s="74"/>
    </row>
    <row r="196" spans="1:10" ht="25.5">
      <c r="A196" s="56"/>
      <c r="B196" s="59"/>
      <c r="C196" s="94"/>
      <c r="D196" s="103"/>
      <c r="E196" s="34" t="s">
        <v>551</v>
      </c>
      <c r="F196" s="111">
        <f>(150+91)*0.4</f>
        <v>96.4</v>
      </c>
      <c r="G196" s="32"/>
      <c r="H196" s="33"/>
      <c r="J196" s="74"/>
    </row>
    <row r="197" spans="1:10" ht="15">
      <c r="A197" s="56"/>
      <c r="B197" s="59"/>
      <c r="C197" s="94"/>
      <c r="D197" s="103"/>
      <c r="E197" s="34"/>
      <c r="F197" s="77">
        <f>SUM(F195:F196)</f>
        <v>179</v>
      </c>
      <c r="G197" s="32"/>
      <c r="H197" s="33"/>
      <c r="J197" s="74"/>
    </row>
    <row r="198" spans="1:10" ht="25.5">
      <c r="A198" s="56">
        <f>MAX(A$2:A197)+1</f>
        <v>35</v>
      </c>
      <c r="B198" s="112" t="s">
        <v>265</v>
      </c>
      <c r="C198" s="63" t="s">
        <v>270</v>
      </c>
      <c r="D198" s="69"/>
      <c r="E198" s="65" t="s">
        <v>271</v>
      </c>
      <c r="F198" s="65"/>
      <c r="G198" s="66" t="s">
        <v>30</v>
      </c>
      <c r="H198" s="29">
        <f>H199</f>
        <v>44.75</v>
      </c>
      <c r="J198" s="74"/>
    </row>
    <row r="199" spans="1:10" ht="24.75">
      <c r="A199" s="56"/>
      <c r="B199" s="67"/>
      <c r="C199" s="102"/>
      <c r="D199" s="95" t="s">
        <v>270</v>
      </c>
      <c r="E199" s="96" t="s">
        <v>271</v>
      </c>
      <c r="F199" s="96"/>
      <c r="G199" s="97" t="s">
        <v>30</v>
      </c>
      <c r="H199" s="33">
        <f>ROUND(F202,2)</f>
        <v>44.75</v>
      </c>
      <c r="J199" s="74"/>
    </row>
    <row r="200" spans="1:10" ht="15">
      <c r="A200" s="56"/>
      <c r="B200" s="59"/>
      <c r="C200" s="94"/>
      <c r="D200" s="103"/>
      <c r="E200" s="34" t="s">
        <v>552</v>
      </c>
      <c r="F200" s="110">
        <f>(79.5+127)*0.1</f>
        <v>20.65</v>
      </c>
      <c r="G200" s="32"/>
      <c r="H200" s="33"/>
      <c r="J200" s="74"/>
    </row>
    <row r="201" spans="1:10" ht="15">
      <c r="A201" s="56"/>
      <c r="B201" s="59"/>
      <c r="C201" s="94"/>
      <c r="D201" s="103"/>
      <c r="E201" s="34" t="s">
        <v>553</v>
      </c>
      <c r="F201" s="111">
        <f>(150+91)*0.1</f>
        <v>24.1</v>
      </c>
      <c r="G201" s="32"/>
      <c r="H201" s="33"/>
      <c r="J201" s="74"/>
    </row>
    <row r="202" spans="1:10" ht="12.75" customHeight="1">
      <c r="A202" s="56"/>
      <c r="B202" s="59"/>
      <c r="C202" s="75"/>
      <c r="D202" s="76"/>
      <c r="E202" s="34"/>
      <c r="F202" s="77">
        <f>SUM(F200:F201)</f>
        <v>44.75</v>
      </c>
      <c r="G202" s="32"/>
      <c r="H202" s="33"/>
      <c r="J202" s="74"/>
    </row>
    <row r="203" spans="1:10" ht="39">
      <c r="A203" s="56">
        <f>MAX(A$2:A202)+1</f>
        <v>36</v>
      </c>
      <c r="B203" s="112" t="s">
        <v>265</v>
      </c>
      <c r="C203" s="63" t="s">
        <v>272</v>
      </c>
      <c r="D203" s="69"/>
      <c r="E203" s="65" t="s">
        <v>554</v>
      </c>
      <c r="F203" s="113"/>
      <c r="G203" s="66" t="s">
        <v>30</v>
      </c>
      <c r="H203" s="29">
        <f>(+H204)</f>
        <v>32.36</v>
      </c>
      <c r="J203" s="74"/>
    </row>
    <row r="204" spans="1:10" ht="37.5">
      <c r="A204" s="56"/>
      <c r="B204" s="67"/>
      <c r="C204" s="102"/>
      <c r="D204" s="95" t="s">
        <v>555</v>
      </c>
      <c r="E204" s="96" t="s">
        <v>556</v>
      </c>
      <c r="F204" s="96"/>
      <c r="G204" s="97" t="s">
        <v>30</v>
      </c>
      <c r="H204" s="33">
        <f>ROUND(F205,2)</f>
        <v>32.36</v>
      </c>
      <c r="J204" s="74"/>
    </row>
    <row r="205" spans="1:10" ht="25.5">
      <c r="A205" s="56"/>
      <c r="B205" s="59"/>
      <c r="C205" s="75"/>
      <c r="D205" s="103"/>
      <c r="E205" s="34" t="s">
        <v>557</v>
      </c>
      <c r="F205" s="108">
        <f>161.8*0.2</f>
        <v>32.36</v>
      </c>
      <c r="G205" s="92"/>
      <c r="H205" s="33"/>
      <c r="J205" s="74"/>
    </row>
    <row r="206" spans="1:10" ht="24.75" customHeight="1">
      <c r="A206" s="56">
        <f>MAX(A$2:A205)+1</f>
        <v>37</v>
      </c>
      <c r="B206" s="112" t="s">
        <v>265</v>
      </c>
      <c r="C206" s="63" t="s">
        <v>274</v>
      </c>
      <c r="D206" s="69"/>
      <c r="E206" s="65" t="s">
        <v>558</v>
      </c>
      <c r="F206" s="65"/>
      <c r="G206" s="66" t="s">
        <v>38</v>
      </c>
      <c r="H206" s="29">
        <f>H207</f>
        <v>149.2</v>
      </c>
      <c r="J206" s="74"/>
    </row>
    <row r="207" spans="1:10" ht="24.75">
      <c r="A207" s="56"/>
      <c r="B207" s="67"/>
      <c r="C207" s="102"/>
      <c r="D207" s="95" t="s">
        <v>559</v>
      </c>
      <c r="E207" s="96" t="s">
        <v>560</v>
      </c>
      <c r="F207" s="96"/>
      <c r="G207" s="97" t="s">
        <v>38</v>
      </c>
      <c r="H207" s="33">
        <f>ROUND(F208,2)</f>
        <v>149.2</v>
      </c>
      <c r="J207" s="74"/>
    </row>
    <row r="208" spans="1:11" ht="12.75" customHeight="1">
      <c r="A208" s="56"/>
      <c r="B208" s="59"/>
      <c r="C208" s="94"/>
      <c r="D208" s="103"/>
      <c r="E208" s="34" t="s">
        <v>561</v>
      </c>
      <c r="F208" s="91">
        <v>149.2</v>
      </c>
      <c r="G208" s="92"/>
      <c r="H208" s="33"/>
      <c r="J208" s="74"/>
      <c r="K208" s="74"/>
    </row>
    <row r="209" spans="1:11" ht="15">
      <c r="A209" s="56"/>
      <c r="B209" s="71" t="s">
        <v>295</v>
      </c>
      <c r="C209" s="60"/>
      <c r="D209" s="61"/>
      <c r="E209" s="19" t="s">
        <v>562</v>
      </c>
      <c r="F209" s="58"/>
      <c r="G209" s="30"/>
      <c r="H209" s="29"/>
      <c r="J209" s="74"/>
      <c r="K209" s="74"/>
    </row>
    <row r="210" spans="1:11" ht="25.5">
      <c r="A210" s="56">
        <f>MAX(A$2:A209)+1</f>
        <v>38</v>
      </c>
      <c r="B210" s="112" t="s">
        <v>295</v>
      </c>
      <c r="C210" s="37" t="s">
        <v>296</v>
      </c>
      <c r="D210" s="38"/>
      <c r="E210" s="48" t="s">
        <v>297</v>
      </c>
      <c r="F210" s="115"/>
      <c r="G210" s="80" t="s">
        <v>38</v>
      </c>
      <c r="H210" s="29">
        <f>H211</f>
        <v>447.5</v>
      </c>
      <c r="J210" s="74"/>
      <c r="K210" s="74"/>
    </row>
    <row r="211" spans="1:11" ht="24.75">
      <c r="A211" s="56"/>
      <c r="B211" s="59"/>
      <c r="C211" s="60"/>
      <c r="D211" s="87" t="s">
        <v>563</v>
      </c>
      <c r="E211" s="88" t="s">
        <v>564</v>
      </c>
      <c r="F211" s="91"/>
      <c r="G211" s="84" t="s">
        <v>38</v>
      </c>
      <c r="H211" s="33">
        <f>ROUND(F214,2)</f>
        <v>447.5</v>
      </c>
      <c r="J211" s="74"/>
      <c r="K211" s="74"/>
    </row>
    <row r="212" spans="1:11" ht="12.75" customHeight="1">
      <c r="A212" s="56"/>
      <c r="B212" s="59"/>
      <c r="C212" s="60"/>
      <c r="D212" s="90"/>
      <c r="E212" s="34" t="s">
        <v>565</v>
      </c>
      <c r="F212" s="91">
        <v>206.5</v>
      </c>
      <c r="G212" s="116"/>
      <c r="H212" s="33"/>
      <c r="J212" s="74"/>
      <c r="K212" s="74"/>
    </row>
    <row r="213" spans="1:11" ht="12.75" customHeight="1">
      <c r="A213" s="56"/>
      <c r="B213" s="59"/>
      <c r="C213" s="60"/>
      <c r="D213" s="90"/>
      <c r="E213" s="34" t="s">
        <v>566</v>
      </c>
      <c r="F213" s="98">
        <v>241</v>
      </c>
      <c r="G213" s="116"/>
      <c r="H213" s="33"/>
      <c r="J213" s="74"/>
      <c r="K213" s="74"/>
    </row>
    <row r="214" spans="1:11" ht="12.75" customHeight="1">
      <c r="A214" s="56"/>
      <c r="B214" s="59"/>
      <c r="C214" s="60"/>
      <c r="D214" s="76"/>
      <c r="E214" s="34"/>
      <c r="F214" s="91">
        <f>SUM(F212:F213)</f>
        <v>447.5</v>
      </c>
      <c r="G214" s="92"/>
      <c r="H214" s="33"/>
      <c r="J214" s="74"/>
      <c r="K214" s="74"/>
    </row>
    <row r="215" spans="1:11" ht="12.75" customHeight="1" thickBot="1">
      <c r="A215" s="117"/>
      <c r="B215" s="118"/>
      <c r="C215" s="119"/>
      <c r="D215" s="50"/>
      <c r="E215" s="120"/>
      <c r="F215" s="121"/>
      <c r="G215" s="122"/>
      <c r="H215" s="51"/>
      <c r="J215" s="74"/>
      <c r="K215" s="74"/>
    </row>
  </sheetData>
  <sheetProtection password="DE7A" sheet="1" objects="1" scenarios="1"/>
  <mergeCells count="6">
    <mergeCell ref="A6:A7"/>
    <mergeCell ref="B6:D6"/>
    <mergeCell ref="E6:F7"/>
    <mergeCell ref="G6:G7"/>
    <mergeCell ref="H6:H7"/>
    <mergeCell ref="B7:C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9"/>
  <sheetViews>
    <sheetView zoomScalePageLayoutView="0" workbookViewId="0" topLeftCell="A1">
      <selection activeCell="O33" sqref="O33"/>
    </sheetView>
  </sheetViews>
  <sheetFormatPr defaultColWidth="9.125" defaultRowHeight="12.75"/>
  <cols>
    <col min="1" max="1" width="4.75390625" style="560" bestFit="1" customWidth="1"/>
    <col min="2" max="2" width="10.125" style="173" bestFit="1" customWidth="1"/>
    <col min="3" max="3" width="9.25390625" style="174" bestFit="1" customWidth="1"/>
    <col min="4" max="4" width="11.875" style="175" bestFit="1" customWidth="1"/>
    <col min="5" max="5" width="52.125" style="167" customWidth="1"/>
    <col min="6" max="6" width="12.50390625" style="568" bestFit="1" customWidth="1"/>
    <col min="7" max="7" width="4.75390625" style="569" customWidth="1"/>
    <col min="8" max="8" width="9.50390625" style="246" bestFit="1" customWidth="1"/>
    <col min="9" max="9" width="19.125" style="247" customWidth="1"/>
    <col min="10" max="10" width="9.125" style="170" customWidth="1"/>
    <col min="11" max="11" width="9.50390625" style="170" bestFit="1" customWidth="1"/>
    <col min="12" max="16384" width="9.125" style="170" customWidth="1"/>
  </cols>
  <sheetData>
    <row r="1" spans="1:7" ht="30.75">
      <c r="A1" s="240"/>
      <c r="B1" s="241" t="s">
        <v>362</v>
      </c>
      <c r="C1" s="242"/>
      <c r="D1" s="243"/>
      <c r="E1" s="169" t="s">
        <v>363</v>
      </c>
      <c r="F1" s="244"/>
      <c r="G1" s="245"/>
    </row>
    <row r="2" spans="1:7" ht="6" customHeight="1">
      <c r="A2" s="240"/>
      <c r="B2" s="241"/>
      <c r="C2" s="242"/>
      <c r="D2" s="243"/>
      <c r="E2" s="248"/>
      <c r="F2" s="249"/>
      <c r="G2" s="245"/>
    </row>
    <row r="3" spans="1:7" ht="13.5">
      <c r="A3" s="240"/>
      <c r="B3" s="241" t="s">
        <v>364</v>
      </c>
      <c r="C3" s="242"/>
      <c r="D3" s="250" t="s">
        <v>567</v>
      </c>
      <c r="E3" s="251" t="s">
        <v>568</v>
      </c>
      <c r="F3" s="249"/>
      <c r="G3" s="245"/>
    </row>
    <row r="4" spans="1:7" ht="15.75" thickBot="1">
      <c r="A4" s="252"/>
      <c r="B4" s="253"/>
      <c r="C4" s="254"/>
      <c r="D4" s="255"/>
      <c r="E4" s="256"/>
      <c r="F4" s="249"/>
      <c r="G4" s="245"/>
    </row>
    <row r="5" spans="1:8" ht="12">
      <c r="A5" s="606" t="s">
        <v>365</v>
      </c>
      <c r="B5" s="608" t="s">
        <v>366</v>
      </c>
      <c r="C5" s="608"/>
      <c r="D5" s="608"/>
      <c r="E5" s="608" t="s">
        <v>367</v>
      </c>
      <c r="F5" s="609"/>
      <c r="G5" s="612" t="s">
        <v>368</v>
      </c>
      <c r="H5" s="614" t="s">
        <v>369</v>
      </c>
    </row>
    <row r="6" spans="1:8" ht="12">
      <c r="A6" s="607"/>
      <c r="B6" s="610" t="s">
        <v>370</v>
      </c>
      <c r="C6" s="610"/>
      <c r="D6" s="257" t="s">
        <v>371</v>
      </c>
      <c r="E6" s="610"/>
      <c r="F6" s="611"/>
      <c r="G6" s="613"/>
      <c r="H6" s="615"/>
    </row>
    <row r="7" spans="1:8" ht="15">
      <c r="A7" s="258"/>
      <c r="B7" s="259"/>
      <c r="C7" s="260"/>
      <c r="D7" s="261"/>
      <c r="E7" s="262"/>
      <c r="F7" s="263"/>
      <c r="G7" s="264"/>
      <c r="H7" s="265"/>
    </row>
    <row r="8" spans="1:8" s="274" customFormat="1" ht="13.5">
      <c r="A8" s="266"/>
      <c r="B8" s="267" t="s">
        <v>24</v>
      </c>
      <c r="C8" s="268"/>
      <c r="D8" s="269"/>
      <c r="E8" s="270" t="s">
        <v>401</v>
      </c>
      <c r="F8" s="271"/>
      <c r="G8" s="272"/>
      <c r="H8" s="273"/>
    </row>
    <row r="9" spans="1:8" ht="25.5" customHeight="1">
      <c r="A9" s="275">
        <f>MAX(A$2:A8)+1</f>
        <v>1</v>
      </c>
      <c r="B9" s="276" t="s">
        <v>24</v>
      </c>
      <c r="C9" s="277" t="s">
        <v>27</v>
      </c>
      <c r="D9" s="218"/>
      <c r="E9" s="135" t="s">
        <v>1375</v>
      </c>
      <c r="F9" s="123"/>
      <c r="G9" s="124" t="s">
        <v>28</v>
      </c>
      <c r="H9" s="265">
        <f>H10</f>
        <v>1550.64</v>
      </c>
    </row>
    <row r="10" spans="1:9" s="171" customFormat="1" ht="24.75">
      <c r="A10" s="275"/>
      <c r="B10" s="278"/>
      <c r="C10" s="279"/>
      <c r="D10" s="280" t="s">
        <v>27</v>
      </c>
      <c r="E10" s="281" t="s">
        <v>1368</v>
      </c>
      <c r="F10" s="263"/>
      <c r="G10" s="282" t="s">
        <v>28</v>
      </c>
      <c r="H10" s="283">
        <f>ROUND(F127,2)</f>
        <v>1550.64</v>
      </c>
      <c r="I10" s="284"/>
    </row>
    <row r="11" spans="1:9" s="171" customFormat="1" ht="25.5">
      <c r="A11" s="275">
        <f>MAX(A$2:A10)+1</f>
        <v>2</v>
      </c>
      <c r="B11" s="276" t="s">
        <v>24</v>
      </c>
      <c r="C11" s="277" t="s">
        <v>29</v>
      </c>
      <c r="D11" s="218"/>
      <c r="E11" s="191" t="s">
        <v>1376</v>
      </c>
      <c r="F11" s="123"/>
      <c r="G11" s="124" t="s">
        <v>30</v>
      </c>
      <c r="H11" s="265">
        <f>H12</f>
        <v>24.21</v>
      </c>
      <c r="I11" s="284"/>
    </row>
    <row r="12" spans="1:12" ht="24.75">
      <c r="A12" s="258"/>
      <c r="B12" s="285"/>
      <c r="C12" s="279"/>
      <c r="D12" s="280" t="s">
        <v>29</v>
      </c>
      <c r="E12" s="262" t="s">
        <v>1369</v>
      </c>
      <c r="F12" s="263"/>
      <c r="G12" s="282" t="s">
        <v>30</v>
      </c>
      <c r="H12" s="286">
        <f>H281</f>
        <v>24.21</v>
      </c>
      <c r="L12" s="170" t="s">
        <v>399</v>
      </c>
    </row>
    <row r="13" spans="1:8" ht="25.5" customHeight="1">
      <c r="A13" s="275">
        <f>MAX(A$2:A12)+1</f>
        <v>3</v>
      </c>
      <c r="B13" s="276" t="s">
        <v>24</v>
      </c>
      <c r="C13" s="277" t="s">
        <v>31</v>
      </c>
      <c r="D13" s="218"/>
      <c r="E13" s="135" t="s">
        <v>1377</v>
      </c>
      <c r="F13" s="123"/>
      <c r="G13" s="124" t="s">
        <v>30</v>
      </c>
      <c r="H13" s="265">
        <f>H14</f>
        <v>8.64</v>
      </c>
    </row>
    <row r="14" spans="1:8" ht="24.75">
      <c r="A14" s="258"/>
      <c r="B14" s="285"/>
      <c r="C14" s="279"/>
      <c r="D14" s="280" t="s">
        <v>31</v>
      </c>
      <c r="E14" s="262" t="s">
        <v>1378</v>
      </c>
      <c r="F14" s="263"/>
      <c r="G14" s="282" t="s">
        <v>30</v>
      </c>
      <c r="H14" s="283">
        <f>ROUND(F15,2)</f>
        <v>8.64</v>
      </c>
    </row>
    <row r="15" spans="1:8" ht="15">
      <c r="A15" s="258"/>
      <c r="B15" s="285"/>
      <c r="C15" s="279"/>
      <c r="D15" s="280"/>
      <c r="E15" s="287" t="s">
        <v>569</v>
      </c>
      <c r="F15" s="288">
        <f>86.4*0.1</f>
        <v>8.64</v>
      </c>
      <c r="G15" s="282"/>
      <c r="H15" s="283"/>
    </row>
    <row r="16" spans="1:8" s="247" customFormat="1" ht="13.5">
      <c r="A16" s="289"/>
      <c r="B16" s="267" t="s">
        <v>49</v>
      </c>
      <c r="C16" s="268"/>
      <c r="D16" s="269"/>
      <c r="E16" s="290" t="s">
        <v>402</v>
      </c>
      <c r="F16" s="291"/>
      <c r="G16" s="292"/>
      <c r="H16" s="293"/>
    </row>
    <row r="17" spans="1:10" s="300" customFormat="1" ht="12.75" customHeight="1">
      <c r="A17" s="275">
        <f>MAX(A$2:A16)+1</f>
        <v>4</v>
      </c>
      <c r="B17" s="276" t="s">
        <v>49</v>
      </c>
      <c r="C17" s="294" t="s">
        <v>50</v>
      </c>
      <c r="D17" s="277"/>
      <c r="E17" s="295" t="s">
        <v>51</v>
      </c>
      <c r="F17" s="296"/>
      <c r="G17" s="137" t="s">
        <v>30</v>
      </c>
      <c r="H17" s="297">
        <f>H18</f>
        <v>42.85</v>
      </c>
      <c r="I17" s="298"/>
      <c r="J17" s="299"/>
    </row>
    <row r="18" spans="1:14" s="300" customFormat="1" ht="12.75" customHeight="1">
      <c r="A18" s="301"/>
      <c r="B18" s="302"/>
      <c r="C18" s="205"/>
      <c r="D18" s="303" t="s">
        <v>50</v>
      </c>
      <c r="E18" s="304" t="s">
        <v>51</v>
      </c>
      <c r="F18" s="305"/>
      <c r="G18" s="306" t="s">
        <v>30</v>
      </c>
      <c r="H18" s="283">
        <f>F27</f>
        <v>42.85</v>
      </c>
      <c r="I18" s="307" t="s">
        <v>399</v>
      </c>
      <c r="J18" s="308"/>
      <c r="K18" s="295" t="s">
        <v>399</v>
      </c>
      <c r="L18" s="295"/>
      <c r="M18" s="309" t="s">
        <v>399</v>
      </c>
      <c r="N18" s="310" t="str">
        <f>N19</f>
        <v> </v>
      </c>
    </row>
    <row r="19" spans="1:14" ht="12.75" customHeight="1">
      <c r="A19" s="258"/>
      <c r="B19" s="311"/>
      <c r="C19" s="312"/>
      <c r="D19" s="313"/>
      <c r="E19" s="287" t="s">
        <v>570</v>
      </c>
      <c r="F19" s="288"/>
      <c r="G19" s="314"/>
      <c r="H19" s="315"/>
      <c r="J19" s="195" t="s">
        <v>399</v>
      </c>
      <c r="K19" s="195" t="s">
        <v>399</v>
      </c>
      <c r="L19" s="195"/>
      <c r="M19" s="195" t="s">
        <v>399</v>
      </c>
      <c r="N19" s="195" t="str">
        <f>L23</f>
        <v> </v>
      </c>
    </row>
    <row r="20" spans="1:11" ht="12.75" customHeight="1">
      <c r="A20" s="258"/>
      <c r="B20" s="311"/>
      <c r="C20" s="312"/>
      <c r="D20" s="313"/>
      <c r="E20" s="287" t="s">
        <v>571</v>
      </c>
      <c r="F20" s="288">
        <f>6*0.1*10.62+6*0.1*10.15</f>
        <v>12.46</v>
      </c>
      <c r="G20" s="314" t="s">
        <v>399</v>
      </c>
      <c r="H20" s="315"/>
      <c r="K20" s="170" t="s">
        <v>399</v>
      </c>
    </row>
    <row r="21" spans="1:12" ht="12.75" customHeight="1">
      <c r="A21" s="258"/>
      <c r="B21" s="311"/>
      <c r="C21" s="312"/>
      <c r="D21" s="313"/>
      <c r="E21" s="287" t="s">
        <v>572</v>
      </c>
      <c r="F21" s="288"/>
      <c r="G21" s="314"/>
      <c r="H21" s="315"/>
      <c r="K21" s="170" t="s">
        <v>399</v>
      </c>
      <c r="L21" s="170" t="s">
        <v>399</v>
      </c>
    </row>
    <row r="22" spans="1:12" ht="12.75" customHeight="1">
      <c r="A22" s="258"/>
      <c r="B22" s="311"/>
      <c r="C22" s="312"/>
      <c r="D22" s="313"/>
      <c r="E22" s="287" t="s">
        <v>573</v>
      </c>
      <c r="F22" s="288">
        <f>57.5*1.215*0.2</f>
        <v>13.97</v>
      </c>
      <c r="G22" s="314" t="s">
        <v>399</v>
      </c>
      <c r="H22" s="315"/>
      <c r="K22" s="170" t="s">
        <v>399</v>
      </c>
      <c r="L22" s="170" t="s">
        <v>399</v>
      </c>
    </row>
    <row r="23" spans="1:12" ht="12.75" customHeight="1">
      <c r="A23" s="258"/>
      <c r="B23" s="311"/>
      <c r="C23" s="312"/>
      <c r="D23" s="313"/>
      <c r="E23" s="287" t="s">
        <v>574</v>
      </c>
      <c r="F23" s="288">
        <f>0.2*(63.04+104.04+131.85)*1.08*0.2</f>
        <v>12.91</v>
      </c>
      <c r="G23" s="314" t="s">
        <v>399</v>
      </c>
      <c r="H23" s="315"/>
      <c r="K23" s="170" t="s">
        <v>399</v>
      </c>
      <c r="L23" s="170" t="s">
        <v>399</v>
      </c>
    </row>
    <row r="24" spans="1:8" ht="12.75" customHeight="1">
      <c r="A24" s="258"/>
      <c r="B24" s="311"/>
      <c r="C24" s="312"/>
      <c r="D24" s="313"/>
      <c r="E24" s="287" t="s">
        <v>575</v>
      </c>
      <c r="F24" s="288"/>
      <c r="G24" s="314"/>
      <c r="H24" s="315"/>
    </row>
    <row r="25" spans="1:8" ht="12.75" customHeight="1">
      <c r="A25" s="258"/>
      <c r="B25" s="311"/>
      <c r="C25" s="312"/>
      <c r="D25" s="313"/>
      <c r="E25" s="287" t="s">
        <v>576</v>
      </c>
      <c r="F25" s="288"/>
      <c r="G25" s="314"/>
      <c r="H25" s="315"/>
    </row>
    <row r="26" spans="1:8" ht="12.75" customHeight="1">
      <c r="A26" s="258"/>
      <c r="B26" s="311"/>
      <c r="C26" s="312"/>
      <c r="D26" s="313"/>
      <c r="E26" s="287" t="s">
        <v>577</v>
      </c>
      <c r="F26" s="316">
        <f>0.2*81.3*1.08*0.2</f>
        <v>3.51</v>
      </c>
      <c r="G26" s="314" t="s">
        <v>399</v>
      </c>
      <c r="H26" s="315"/>
    </row>
    <row r="27" spans="1:8" ht="15">
      <c r="A27" s="258"/>
      <c r="B27" s="311"/>
      <c r="C27" s="317"/>
      <c r="D27" s="318"/>
      <c r="E27" s="319" t="s">
        <v>377</v>
      </c>
      <c r="F27" s="288">
        <f>F20+F22+F23+F26</f>
        <v>42.85</v>
      </c>
      <c r="G27" s="282"/>
      <c r="H27" s="320"/>
    </row>
    <row r="28" spans="1:9" s="300" customFormat="1" ht="25.5">
      <c r="A28" s="275">
        <f>MAX(A$2:A27)+1</f>
        <v>5</v>
      </c>
      <c r="B28" s="276" t="s">
        <v>49</v>
      </c>
      <c r="C28" s="294" t="s">
        <v>52</v>
      </c>
      <c r="D28" s="277"/>
      <c r="E28" s="295" t="s">
        <v>53</v>
      </c>
      <c r="F28" s="296"/>
      <c r="G28" s="137" t="s">
        <v>30</v>
      </c>
      <c r="H28" s="297">
        <f>H29</f>
        <v>29.89</v>
      </c>
      <c r="I28" s="298"/>
    </row>
    <row r="29" spans="1:9" s="300" customFormat="1" ht="12.75" customHeight="1">
      <c r="A29" s="301"/>
      <c r="B29" s="321"/>
      <c r="C29" s="322"/>
      <c r="D29" s="303" t="s">
        <v>52</v>
      </c>
      <c r="E29" s="304" t="s">
        <v>53</v>
      </c>
      <c r="F29" s="305"/>
      <c r="G29" s="306" t="s">
        <v>30</v>
      </c>
      <c r="H29" s="283">
        <f>ROUND(F36,2)</f>
        <v>29.89</v>
      </c>
      <c r="I29" s="298"/>
    </row>
    <row r="30" spans="1:8" ht="12.75" customHeight="1">
      <c r="A30" s="258"/>
      <c r="B30" s="311"/>
      <c r="C30" s="312"/>
      <c r="D30" s="313"/>
      <c r="E30" s="287" t="s">
        <v>578</v>
      </c>
      <c r="F30" s="288"/>
      <c r="G30" s="314"/>
      <c r="H30" s="315"/>
    </row>
    <row r="31" spans="1:8" ht="12.75" customHeight="1">
      <c r="A31" s="258"/>
      <c r="B31" s="311"/>
      <c r="C31" s="312"/>
      <c r="D31" s="313"/>
      <c r="E31" s="287" t="s">
        <v>579</v>
      </c>
      <c r="F31" s="288">
        <f>6*0.1*10.62+6*0.271*10.15</f>
        <v>22.88</v>
      </c>
      <c r="G31" s="314" t="s">
        <v>399</v>
      </c>
      <c r="H31" s="315"/>
    </row>
    <row r="32" spans="1:8" ht="12.75" customHeight="1">
      <c r="A32" s="258"/>
      <c r="B32" s="311"/>
      <c r="C32" s="312"/>
      <c r="D32" s="313"/>
      <c r="E32" s="287" t="s">
        <v>580</v>
      </c>
      <c r="F32" s="288"/>
      <c r="G32" s="314"/>
      <c r="H32" s="315"/>
    </row>
    <row r="33" spans="1:8" ht="12.75" customHeight="1">
      <c r="A33" s="258"/>
      <c r="B33" s="311"/>
      <c r="C33" s="312"/>
      <c r="D33" s="313"/>
      <c r="E33" s="287" t="s">
        <v>581</v>
      </c>
      <c r="F33" s="288">
        <f>1.5*1*0.22*12*1.2</f>
        <v>4.75</v>
      </c>
      <c r="G33" s="314"/>
      <c r="H33" s="315"/>
    </row>
    <row r="34" spans="1:8" ht="12.75" customHeight="1">
      <c r="A34" s="258"/>
      <c r="B34" s="311"/>
      <c r="C34" s="312"/>
      <c r="D34" s="313"/>
      <c r="E34" s="287" t="s">
        <v>582</v>
      </c>
      <c r="F34" s="288"/>
      <c r="G34" s="314"/>
      <c r="H34" s="315"/>
    </row>
    <row r="35" spans="1:8" ht="64.5">
      <c r="A35" s="258"/>
      <c r="B35" s="311"/>
      <c r="C35" s="312"/>
      <c r="D35" s="313"/>
      <c r="E35" s="287" t="s">
        <v>583</v>
      </c>
      <c r="F35" s="316">
        <f>(1.9*0.25-0.03*0.03*0.5-0.03*0.125*0.5)*0.6+0.57*0.1*4.1+0.4*0.25*3.5+(1.9*0.25-0.03*0.03*0.5-0.03*0.125*0.5)*0.6+0.57*0.1*4.3+0.4*0.25*3.7+(1*0.25*0.7+1*0.1*0.7)*2</f>
        <v>2.26</v>
      </c>
      <c r="G35" s="314"/>
      <c r="H35" s="315"/>
    </row>
    <row r="36" spans="1:8" ht="12.75" customHeight="1">
      <c r="A36" s="258"/>
      <c r="B36" s="285"/>
      <c r="C36" s="279"/>
      <c r="D36" s="280"/>
      <c r="E36" s="319" t="s">
        <v>377</v>
      </c>
      <c r="F36" s="288">
        <f>SUM(F31:F35)</f>
        <v>29.89</v>
      </c>
      <c r="G36" s="282"/>
      <c r="H36" s="286"/>
    </row>
    <row r="37" spans="1:8" ht="25.5">
      <c r="A37" s="275">
        <f>MAX(A$2:A36)+1</f>
        <v>6</v>
      </c>
      <c r="B37" s="276" t="s">
        <v>49</v>
      </c>
      <c r="C37" s="294" t="s">
        <v>54</v>
      </c>
      <c r="D37" s="277"/>
      <c r="E37" s="323" t="s">
        <v>55</v>
      </c>
      <c r="F37" s="123"/>
      <c r="G37" s="137" t="s">
        <v>30</v>
      </c>
      <c r="H37" s="297">
        <f>H38</f>
        <v>476.77</v>
      </c>
    </row>
    <row r="38" spans="1:8" ht="24.75">
      <c r="A38" s="258"/>
      <c r="B38" s="285"/>
      <c r="C38" s="322"/>
      <c r="D38" s="303" t="s">
        <v>54</v>
      </c>
      <c r="E38" s="324" t="s">
        <v>55</v>
      </c>
      <c r="F38" s="305"/>
      <c r="G38" s="306" t="s">
        <v>30</v>
      </c>
      <c r="H38" s="283">
        <f>ROUND(F52,2)</f>
        <v>476.77</v>
      </c>
    </row>
    <row r="39" spans="1:8" ht="15">
      <c r="A39" s="258"/>
      <c r="B39" s="311"/>
      <c r="C39" s="312"/>
      <c r="D39" s="313"/>
      <c r="E39" s="287" t="s">
        <v>584</v>
      </c>
      <c r="F39" s="288"/>
      <c r="G39" s="314"/>
      <c r="H39" s="315"/>
    </row>
    <row r="40" spans="1:8" ht="12.75" customHeight="1">
      <c r="A40" s="258"/>
      <c r="B40" s="311"/>
      <c r="C40" s="312"/>
      <c r="D40" s="313"/>
      <c r="E40" s="287" t="s">
        <v>585</v>
      </c>
      <c r="F40" s="288">
        <f>8*1.38*0.65+9*0.35*0.5*(0.404+0.154)+9*0.282*0.054</f>
        <v>8.19</v>
      </c>
      <c r="G40" s="314" t="s">
        <v>399</v>
      </c>
      <c r="H40" s="315"/>
    </row>
    <row r="41" spans="1:8" ht="15">
      <c r="A41" s="258"/>
      <c r="B41" s="311"/>
      <c r="C41" s="312"/>
      <c r="D41" s="313"/>
      <c r="E41" s="287" t="s">
        <v>586</v>
      </c>
      <c r="F41" s="288"/>
      <c r="G41" s="314"/>
      <c r="H41" s="315"/>
    </row>
    <row r="42" spans="1:8" ht="12.75" customHeight="1">
      <c r="A42" s="258"/>
      <c r="B42" s="311"/>
      <c r="C42" s="312"/>
      <c r="D42" s="313"/>
      <c r="E42" s="287" t="s">
        <v>587</v>
      </c>
      <c r="F42" s="288">
        <f>24*0.12*(0.288*0.4-3.14*0.08*0.08)+0.288*0.4*0.12</f>
        <v>0.29</v>
      </c>
      <c r="G42" s="314"/>
      <c r="H42" s="315"/>
    </row>
    <row r="43" spans="1:8" ht="12.75" customHeight="1">
      <c r="A43" s="258"/>
      <c r="B43" s="311"/>
      <c r="C43" s="312"/>
      <c r="D43" s="313"/>
      <c r="E43" s="287" t="s">
        <v>588</v>
      </c>
      <c r="F43" s="288"/>
      <c r="G43" s="314"/>
      <c r="H43" s="315"/>
    </row>
    <row r="44" spans="1:8" ht="12.75" customHeight="1">
      <c r="A44" s="258"/>
      <c r="B44" s="311"/>
      <c r="C44" s="312"/>
      <c r="D44" s="313"/>
      <c r="E44" s="287" t="s">
        <v>589</v>
      </c>
      <c r="F44" s="288">
        <f>0.325*0.6*12.95</f>
        <v>2.53</v>
      </c>
      <c r="G44" s="314" t="s">
        <v>399</v>
      </c>
      <c r="H44" s="315"/>
    </row>
    <row r="45" spans="1:8" ht="12.75" customHeight="1">
      <c r="A45" s="258"/>
      <c r="B45" s="311"/>
      <c r="C45" s="312"/>
      <c r="D45" s="313"/>
      <c r="E45" s="287" t="s">
        <v>590</v>
      </c>
      <c r="F45" s="288"/>
      <c r="G45" s="314"/>
      <c r="H45" s="315"/>
    </row>
    <row r="46" spans="1:8" ht="12.75" customHeight="1">
      <c r="A46" s="258"/>
      <c r="B46" s="311"/>
      <c r="C46" s="312"/>
      <c r="D46" s="313"/>
      <c r="E46" s="287" t="s">
        <v>591</v>
      </c>
      <c r="F46" s="288">
        <f>(1.04*0.15*(1.15+2*0.288)+4*0.22*0.21*0.075)*50</f>
        <v>14.16</v>
      </c>
      <c r="G46" s="314"/>
      <c r="H46" s="315"/>
    </row>
    <row r="47" spans="1:8" ht="12.75" customHeight="1">
      <c r="A47" s="258"/>
      <c r="B47" s="311"/>
      <c r="C47" s="312"/>
      <c r="D47" s="313"/>
      <c r="E47" s="287" t="s">
        <v>592</v>
      </c>
      <c r="F47" s="288"/>
      <c r="G47" s="314"/>
      <c r="H47" s="315"/>
    </row>
    <row r="48" spans="1:8" ht="12.75" customHeight="1">
      <c r="A48" s="258"/>
      <c r="B48" s="311"/>
      <c r="C48" s="312"/>
      <c r="D48" s="313"/>
      <c r="E48" s="287" t="s">
        <v>593</v>
      </c>
      <c r="F48" s="288">
        <f>631.42*0.7*0.1</f>
        <v>44.2</v>
      </c>
      <c r="G48" s="314" t="s">
        <v>399</v>
      </c>
      <c r="H48" s="315"/>
    </row>
    <row r="49" spans="1:8" ht="12.75" customHeight="1">
      <c r="A49" s="258"/>
      <c r="B49" s="311"/>
      <c r="C49" s="312"/>
      <c r="D49" s="313"/>
      <c r="E49" s="287" t="s">
        <v>594</v>
      </c>
      <c r="F49" s="288">
        <f>641.73*0.7*0.1</f>
        <v>44.92</v>
      </c>
      <c r="G49" s="314" t="s">
        <v>399</v>
      </c>
      <c r="H49" s="315"/>
    </row>
    <row r="50" spans="1:8" ht="12.75" customHeight="1">
      <c r="A50" s="258"/>
      <c r="B50" s="311"/>
      <c r="C50" s="312"/>
      <c r="D50" s="313"/>
      <c r="E50" s="287" t="s">
        <v>595</v>
      </c>
      <c r="F50" s="288">
        <f>0.15*(635.84-1.5-1.25-1.5)</f>
        <v>94.74</v>
      </c>
      <c r="G50" s="314"/>
      <c r="H50" s="315"/>
    </row>
    <row r="51" spans="1:8" ht="12.75" customHeight="1">
      <c r="A51" s="258"/>
      <c r="B51" s="311"/>
      <c r="C51" s="312"/>
      <c r="D51" s="313"/>
      <c r="E51" s="287" t="s">
        <v>596</v>
      </c>
      <c r="F51" s="316">
        <f>0.42*(641.73-1.5-1.25-1.5)</f>
        <v>267.74</v>
      </c>
      <c r="G51" s="314"/>
      <c r="H51" s="315"/>
    </row>
    <row r="52" spans="1:8" ht="12.75" customHeight="1">
      <c r="A52" s="258"/>
      <c r="B52" s="311"/>
      <c r="C52" s="312"/>
      <c r="D52" s="313"/>
      <c r="E52" s="319" t="s">
        <v>377</v>
      </c>
      <c r="F52" s="288">
        <f>SUM(F40:F51)</f>
        <v>476.77</v>
      </c>
      <c r="G52" s="314"/>
      <c r="H52" s="315"/>
    </row>
    <row r="53" spans="1:9" s="171" customFormat="1" ht="12.75" customHeight="1">
      <c r="A53" s="275">
        <f>MAX(A$2:A52)+1</f>
        <v>7</v>
      </c>
      <c r="B53" s="276" t="s">
        <v>49</v>
      </c>
      <c r="C53" s="294" t="s">
        <v>56</v>
      </c>
      <c r="D53" s="277"/>
      <c r="E53" s="295" t="s">
        <v>57</v>
      </c>
      <c r="F53" s="123"/>
      <c r="G53" s="137" t="s">
        <v>38</v>
      </c>
      <c r="H53" s="297">
        <f>H54</f>
        <v>8288.17</v>
      </c>
      <c r="I53" s="284"/>
    </row>
    <row r="54" spans="1:9" s="1" customFormat="1" ht="12.75">
      <c r="A54" s="325"/>
      <c r="B54" s="326"/>
      <c r="C54" s="327"/>
      <c r="D54" s="328" t="s">
        <v>56</v>
      </c>
      <c r="E54" s="329" t="s">
        <v>57</v>
      </c>
      <c r="F54" s="147"/>
      <c r="G54" s="129" t="s">
        <v>38</v>
      </c>
      <c r="H54" s="283">
        <f>ROUND(F62,2)</f>
        <v>8288.17</v>
      </c>
      <c r="I54" s="274"/>
    </row>
    <row r="55" spans="1:8" ht="25.5">
      <c r="A55" s="330"/>
      <c r="B55" s="331"/>
      <c r="C55" s="332"/>
      <c r="D55" s="186"/>
      <c r="E55" s="199" t="s">
        <v>597</v>
      </c>
      <c r="F55" s="333"/>
      <c r="G55" s="198"/>
      <c r="H55" s="286"/>
    </row>
    <row r="56" spans="1:8" ht="12.75" customHeight="1">
      <c r="A56" s="330"/>
      <c r="B56" s="331"/>
      <c r="C56" s="332"/>
      <c r="D56" s="186"/>
      <c r="E56" s="199" t="s">
        <v>598</v>
      </c>
      <c r="F56" s="333" t="s">
        <v>399</v>
      </c>
      <c r="G56" s="198" t="s">
        <v>399</v>
      </c>
      <c r="H56" s="286"/>
    </row>
    <row r="57" spans="1:8" ht="12.75" customHeight="1">
      <c r="A57" s="330"/>
      <c r="B57" s="331"/>
      <c r="C57" s="332"/>
      <c r="D57" s="186"/>
      <c r="E57" s="199" t="s">
        <v>599</v>
      </c>
      <c r="F57" s="333">
        <f>1260.51*0.2</f>
        <v>252.1</v>
      </c>
      <c r="G57" s="198"/>
      <c r="H57" s="286"/>
    </row>
    <row r="58" spans="1:8" ht="12.75" customHeight="1">
      <c r="A58" s="330"/>
      <c r="B58" s="331"/>
      <c r="C58" s="332"/>
      <c r="D58" s="186"/>
      <c r="E58" s="199" t="s">
        <v>600</v>
      </c>
      <c r="F58" s="333"/>
      <c r="G58" s="198"/>
      <c r="H58" s="286"/>
    </row>
    <row r="59" spans="1:8" ht="12.75" customHeight="1">
      <c r="A59" s="330"/>
      <c r="B59" s="331"/>
      <c r="C59" s="332"/>
      <c r="D59" s="186"/>
      <c r="E59" s="199" t="s">
        <v>601</v>
      </c>
      <c r="F59" s="333">
        <v>3457.63</v>
      </c>
      <c r="G59" s="198"/>
      <c r="H59" s="286"/>
    </row>
    <row r="60" spans="1:8" ht="12.75" customHeight="1">
      <c r="A60" s="330"/>
      <c r="B60" s="331"/>
      <c r="C60" s="332"/>
      <c r="D60" s="186"/>
      <c r="E60" s="199" t="s">
        <v>602</v>
      </c>
      <c r="F60" s="316">
        <v>4578.44</v>
      </c>
      <c r="G60" s="198"/>
      <c r="H60" s="286"/>
    </row>
    <row r="61" spans="1:8" ht="12.75" customHeight="1">
      <c r="A61" s="258"/>
      <c r="B61" s="285"/>
      <c r="C61" s="279"/>
      <c r="D61" s="318"/>
      <c r="E61" s="319" t="s">
        <v>382</v>
      </c>
      <c r="F61" s="316">
        <f>F59+F60</f>
        <v>8036.07</v>
      </c>
      <c r="G61" s="280"/>
      <c r="H61" s="286"/>
    </row>
    <row r="62" spans="1:8" ht="12.75" customHeight="1">
      <c r="A62" s="258"/>
      <c r="B62" s="285"/>
      <c r="C62" s="279"/>
      <c r="D62" s="318"/>
      <c r="E62" s="319" t="s">
        <v>377</v>
      </c>
      <c r="F62" s="333">
        <f>F57+F61</f>
        <v>8288.17</v>
      </c>
      <c r="G62" s="280"/>
      <c r="H62" s="286"/>
    </row>
    <row r="63" spans="1:8" ht="12.75">
      <c r="A63" s="275">
        <f>MAX(A$2:A62)+1</f>
        <v>8</v>
      </c>
      <c r="B63" s="276" t="s">
        <v>49</v>
      </c>
      <c r="C63" s="204" t="s">
        <v>58</v>
      </c>
      <c r="D63" s="205"/>
      <c r="E63" s="206" t="s">
        <v>59</v>
      </c>
      <c r="F63" s="334"/>
      <c r="G63" s="335" t="s">
        <v>60</v>
      </c>
      <c r="H63" s="265">
        <f>H64</f>
        <v>4136</v>
      </c>
    </row>
    <row r="64" spans="1:9" s="1" customFormat="1" ht="12.75" customHeight="1">
      <c r="A64" s="325"/>
      <c r="B64" s="336"/>
      <c r="C64" s="337"/>
      <c r="D64" s="337" t="s">
        <v>58</v>
      </c>
      <c r="E64" s="338" t="s">
        <v>59</v>
      </c>
      <c r="F64" s="339"/>
      <c r="G64" s="340" t="s">
        <v>60</v>
      </c>
      <c r="H64" s="283">
        <f>ROUND(F68,2)</f>
        <v>4136</v>
      </c>
      <c r="I64" s="274"/>
    </row>
    <row r="65" spans="1:8" ht="12.75" customHeight="1">
      <c r="A65" s="330"/>
      <c r="B65" s="331"/>
      <c r="C65" s="332"/>
      <c r="D65" s="186"/>
      <c r="E65" s="199" t="s">
        <v>603</v>
      </c>
      <c r="F65" s="333"/>
      <c r="G65" s="198"/>
      <c r="H65" s="286"/>
    </row>
    <row r="66" spans="1:8" ht="12.75" customHeight="1">
      <c r="A66" s="330"/>
      <c r="B66" s="331"/>
      <c r="C66" s="332"/>
      <c r="D66" s="186"/>
      <c r="E66" s="199" t="s">
        <v>604</v>
      </c>
      <c r="F66" s="333">
        <f>2*22*(67+19)</f>
        <v>3784</v>
      </c>
      <c r="G66" s="198"/>
      <c r="H66" s="286"/>
    </row>
    <row r="67" spans="1:8" ht="12.75" customHeight="1">
      <c r="A67" s="330"/>
      <c r="B67" s="331"/>
      <c r="C67" s="332"/>
      <c r="D67" s="186"/>
      <c r="E67" s="199" t="s">
        <v>605</v>
      </c>
      <c r="F67" s="341">
        <f>2*22*(2+6)</f>
        <v>352</v>
      </c>
      <c r="G67" s="198"/>
      <c r="H67" s="286"/>
    </row>
    <row r="68" spans="1:8" ht="12.75" customHeight="1">
      <c r="A68" s="330"/>
      <c r="B68" s="331"/>
      <c r="C68" s="332"/>
      <c r="D68" s="186"/>
      <c r="E68" s="342" t="s">
        <v>377</v>
      </c>
      <c r="F68" s="333">
        <f>SUM(F66:F67)</f>
        <v>4136</v>
      </c>
      <c r="G68" s="198"/>
      <c r="H68" s="286"/>
    </row>
    <row r="69" spans="1:9" s="344" customFormat="1" ht="12.75" customHeight="1">
      <c r="A69" s="275">
        <f>MAX(A$2:A68)+1</f>
        <v>9</v>
      </c>
      <c r="B69" s="276" t="s">
        <v>49</v>
      </c>
      <c r="C69" s="294" t="s">
        <v>61</v>
      </c>
      <c r="D69" s="277"/>
      <c r="E69" s="323" t="s">
        <v>62</v>
      </c>
      <c r="F69" s="296"/>
      <c r="G69" s="137" t="s">
        <v>60</v>
      </c>
      <c r="H69" s="297">
        <f>H70</f>
        <v>101</v>
      </c>
      <c r="I69" s="343"/>
    </row>
    <row r="70" spans="1:9" s="344" customFormat="1" ht="25.5" customHeight="1">
      <c r="A70" s="345"/>
      <c r="B70" s="346"/>
      <c r="C70" s="157"/>
      <c r="D70" s="347" t="s">
        <v>61</v>
      </c>
      <c r="E70" s="329" t="s">
        <v>62</v>
      </c>
      <c r="F70" s="348"/>
      <c r="G70" s="129" t="s">
        <v>60</v>
      </c>
      <c r="H70" s="283">
        <f>F76</f>
        <v>101</v>
      </c>
      <c r="I70" s="343"/>
    </row>
    <row r="71" spans="1:8" ht="12.75" customHeight="1">
      <c r="A71" s="330"/>
      <c r="B71" s="331"/>
      <c r="C71" s="332"/>
      <c r="D71" s="186"/>
      <c r="E71" s="199" t="s">
        <v>606</v>
      </c>
      <c r="F71" s="333">
        <v>46</v>
      </c>
      <c r="G71" s="198"/>
      <c r="H71" s="286"/>
    </row>
    <row r="72" spans="1:8" ht="12.75" customHeight="1">
      <c r="A72" s="330"/>
      <c r="B72" s="331"/>
      <c r="C72" s="332"/>
      <c r="D72" s="186"/>
      <c r="E72" s="199" t="s">
        <v>607</v>
      </c>
      <c r="F72" s="333">
        <v>38</v>
      </c>
      <c r="G72" s="198"/>
      <c r="H72" s="286"/>
    </row>
    <row r="73" spans="1:8" ht="12.75" customHeight="1">
      <c r="A73" s="330"/>
      <c r="B73" s="331"/>
      <c r="C73" s="332"/>
      <c r="D73" s="186"/>
      <c r="E73" s="199" t="s">
        <v>608</v>
      </c>
      <c r="F73" s="333">
        <v>12</v>
      </c>
      <c r="G73" s="198"/>
      <c r="H73" s="286"/>
    </row>
    <row r="74" spans="1:10" ht="25.5">
      <c r="A74" s="330"/>
      <c r="B74" s="331"/>
      <c r="C74" s="332"/>
      <c r="D74" s="186"/>
      <c r="E74" s="199" t="s">
        <v>609</v>
      </c>
      <c r="F74" s="333">
        <v>4</v>
      </c>
      <c r="G74" s="198"/>
      <c r="H74" s="286"/>
      <c r="J74" s="247"/>
    </row>
    <row r="75" spans="1:8" ht="12.75" customHeight="1">
      <c r="A75" s="330"/>
      <c r="B75" s="331"/>
      <c r="C75" s="332"/>
      <c r="D75" s="186"/>
      <c r="E75" s="199" t="s">
        <v>610</v>
      </c>
      <c r="F75" s="341">
        <v>1</v>
      </c>
      <c r="G75" s="198"/>
      <c r="H75" s="286"/>
    </row>
    <row r="76" spans="1:8" ht="12.75" customHeight="1">
      <c r="A76" s="330"/>
      <c r="B76" s="331"/>
      <c r="C76" s="332"/>
      <c r="D76" s="186"/>
      <c r="E76" s="342" t="s">
        <v>377</v>
      </c>
      <c r="F76" s="333">
        <f>SUM(F71:F75)</f>
        <v>101</v>
      </c>
      <c r="G76" s="198"/>
      <c r="H76" s="286"/>
    </row>
    <row r="77" spans="1:9" s="344" customFormat="1" ht="25.5">
      <c r="A77" s="275">
        <f>MAX(A$2:A76)+1</f>
        <v>10</v>
      </c>
      <c r="B77" s="276" t="s">
        <v>49</v>
      </c>
      <c r="C77" s="294" t="s">
        <v>65</v>
      </c>
      <c r="D77" s="277"/>
      <c r="E77" s="323" t="s">
        <v>66</v>
      </c>
      <c r="F77" s="296"/>
      <c r="G77" s="137" t="s">
        <v>38</v>
      </c>
      <c r="H77" s="297">
        <f>H78</f>
        <v>20767.75</v>
      </c>
      <c r="I77" s="343"/>
    </row>
    <row r="78" spans="1:9" s="344" customFormat="1" ht="25.5" customHeight="1">
      <c r="A78" s="345"/>
      <c r="B78" s="346"/>
      <c r="C78" s="157"/>
      <c r="D78" s="347" t="s">
        <v>611</v>
      </c>
      <c r="E78" s="329" t="s">
        <v>612</v>
      </c>
      <c r="F78" s="348"/>
      <c r="G78" s="129" t="s">
        <v>38</v>
      </c>
      <c r="H78" s="283">
        <f>ROUND(F91,2)</f>
        <v>20767.75</v>
      </c>
      <c r="I78" s="343"/>
    </row>
    <row r="79" spans="1:8" ht="12.75" customHeight="1">
      <c r="A79" s="330"/>
      <c r="B79" s="331"/>
      <c r="C79" s="332"/>
      <c r="D79" s="186"/>
      <c r="E79" s="199" t="s">
        <v>613</v>
      </c>
      <c r="F79" s="333"/>
      <c r="G79" s="198"/>
      <c r="H79" s="286"/>
    </row>
    <row r="80" spans="1:8" ht="12.75" customHeight="1">
      <c r="A80" s="330"/>
      <c r="B80" s="331"/>
      <c r="C80" s="332"/>
      <c r="D80" s="186"/>
      <c r="E80" s="199" t="s">
        <v>614</v>
      </c>
      <c r="F80" s="333">
        <v>2779.5</v>
      </c>
      <c r="G80" s="198"/>
      <c r="H80" s="286"/>
    </row>
    <row r="81" spans="1:8" ht="12.75" customHeight="1">
      <c r="A81" s="330"/>
      <c r="B81" s="331"/>
      <c r="C81" s="332"/>
      <c r="D81" s="186"/>
      <c r="E81" s="349" t="s">
        <v>615</v>
      </c>
      <c r="F81" s="341">
        <v>3680.78</v>
      </c>
      <c r="G81" s="198"/>
      <c r="H81" s="286"/>
    </row>
    <row r="82" spans="1:8" ht="12.75" customHeight="1">
      <c r="A82" s="330"/>
      <c r="B82" s="331"/>
      <c r="C82" s="332"/>
      <c r="D82" s="186"/>
      <c r="E82" s="342" t="s">
        <v>382</v>
      </c>
      <c r="F82" s="333">
        <f>F81+F80</f>
        <v>6460.28</v>
      </c>
      <c r="G82" s="198"/>
      <c r="H82" s="286"/>
    </row>
    <row r="83" spans="1:8" ht="12.75" customHeight="1">
      <c r="A83" s="330"/>
      <c r="B83" s="331"/>
      <c r="C83" s="332"/>
      <c r="D83" s="186"/>
      <c r="E83" s="199" t="s">
        <v>616</v>
      </c>
      <c r="F83" s="333" t="s">
        <v>399</v>
      </c>
      <c r="G83" s="198"/>
      <c r="H83" s="286"/>
    </row>
    <row r="84" spans="1:8" ht="12.75" customHeight="1">
      <c r="A84" s="330"/>
      <c r="B84" s="331"/>
      <c r="C84" s="332"/>
      <c r="D84" s="186"/>
      <c r="E84" s="199" t="s">
        <v>617</v>
      </c>
      <c r="F84" s="333">
        <f>12.19*271.096</f>
        <v>3304.66</v>
      </c>
      <c r="G84" s="198"/>
      <c r="H84" s="286"/>
    </row>
    <row r="85" spans="1:8" ht="12.75" customHeight="1">
      <c r="A85" s="330"/>
      <c r="B85" s="331"/>
      <c r="C85" s="332"/>
      <c r="D85" s="186"/>
      <c r="E85" s="199" t="s">
        <v>618</v>
      </c>
      <c r="F85" s="341">
        <f>12.65*359.093</f>
        <v>4542.53</v>
      </c>
      <c r="G85" s="198"/>
      <c r="H85" s="286"/>
    </row>
    <row r="86" spans="1:8" ht="12.75" customHeight="1">
      <c r="A86" s="330"/>
      <c r="B86" s="331"/>
      <c r="C86" s="332"/>
      <c r="D86" s="186"/>
      <c r="E86" s="342" t="s">
        <v>382</v>
      </c>
      <c r="F86" s="333">
        <f>F84+F85</f>
        <v>7847.19</v>
      </c>
      <c r="G86" s="198"/>
      <c r="H86" s="286"/>
    </row>
    <row r="87" spans="1:8" ht="12.75" customHeight="1">
      <c r="A87" s="330"/>
      <c r="B87" s="331"/>
      <c r="C87" s="332"/>
      <c r="D87" s="186"/>
      <c r="E87" s="199" t="s">
        <v>619</v>
      </c>
      <c r="F87" s="333"/>
      <c r="G87" s="198"/>
      <c r="H87" s="286"/>
    </row>
    <row r="88" spans="1:8" ht="12.75" customHeight="1">
      <c r="A88" s="330"/>
      <c r="B88" s="331"/>
      <c r="C88" s="332"/>
      <c r="D88" s="186"/>
      <c r="E88" s="199" t="s">
        <v>614</v>
      </c>
      <c r="F88" s="333">
        <v>2779.5</v>
      </c>
      <c r="G88" s="198"/>
      <c r="H88" s="286"/>
    </row>
    <row r="89" spans="1:8" ht="12.75" customHeight="1">
      <c r="A89" s="330"/>
      <c r="B89" s="331"/>
      <c r="C89" s="332"/>
      <c r="D89" s="186"/>
      <c r="E89" s="349" t="s">
        <v>615</v>
      </c>
      <c r="F89" s="333">
        <v>3680.78</v>
      </c>
      <c r="G89" s="198"/>
      <c r="H89" s="286"/>
    </row>
    <row r="90" spans="1:8" ht="12.75" customHeight="1">
      <c r="A90" s="258"/>
      <c r="B90" s="285"/>
      <c r="C90" s="279"/>
      <c r="D90" s="318"/>
      <c r="E90" s="342" t="s">
        <v>382</v>
      </c>
      <c r="F90" s="341">
        <f>F89+F88</f>
        <v>6460.28</v>
      </c>
      <c r="G90" s="280"/>
      <c r="H90" s="286"/>
    </row>
    <row r="91" spans="1:8" ht="12.75" customHeight="1">
      <c r="A91" s="258"/>
      <c r="B91" s="285"/>
      <c r="C91" s="279"/>
      <c r="D91" s="318"/>
      <c r="E91" s="342" t="s">
        <v>377</v>
      </c>
      <c r="F91" s="333">
        <f>F82+F86+F90</f>
        <v>20767.75</v>
      </c>
      <c r="G91" s="280"/>
      <c r="H91" s="286"/>
    </row>
    <row r="92" spans="1:9" s="344" customFormat="1" ht="25.5">
      <c r="A92" s="275">
        <f>MAX(A$2:A91)+1</f>
        <v>11</v>
      </c>
      <c r="B92" s="276" t="s">
        <v>49</v>
      </c>
      <c r="C92" s="350" t="s">
        <v>69</v>
      </c>
      <c r="D92" s="218"/>
      <c r="E92" s="135" t="s">
        <v>70</v>
      </c>
      <c r="F92" s="123"/>
      <c r="G92" s="137" t="s">
        <v>38</v>
      </c>
      <c r="H92" s="144">
        <f>H93</f>
        <v>17.6</v>
      </c>
      <c r="I92" s="343"/>
    </row>
    <row r="93" spans="1:9" s="344" customFormat="1" ht="24.75">
      <c r="A93" s="345"/>
      <c r="B93" s="346"/>
      <c r="C93" s="125"/>
      <c r="D93" s="126" t="s">
        <v>620</v>
      </c>
      <c r="E93" s="127" t="s">
        <v>621</v>
      </c>
      <c r="F93" s="128"/>
      <c r="G93" s="129" t="s">
        <v>38</v>
      </c>
      <c r="H93" s="283">
        <f>ROUND(F97,2)</f>
        <v>17.6</v>
      </c>
      <c r="I93" s="343"/>
    </row>
    <row r="94" spans="1:8" ht="12.75" customHeight="1">
      <c r="A94" s="330"/>
      <c r="B94" s="331"/>
      <c r="C94" s="332"/>
      <c r="D94" s="186"/>
      <c r="E94" s="199" t="s">
        <v>622</v>
      </c>
      <c r="F94" s="333"/>
      <c r="G94" s="198"/>
      <c r="H94" s="286"/>
    </row>
    <row r="95" spans="1:8" ht="12.75" customHeight="1">
      <c r="A95" s="330"/>
      <c r="B95" s="331"/>
      <c r="C95" s="332"/>
      <c r="D95" s="186"/>
      <c r="E95" s="349" t="s">
        <v>623</v>
      </c>
      <c r="F95" s="333">
        <f>10.432+3.578</f>
        <v>14.01</v>
      </c>
      <c r="G95" s="198"/>
      <c r="H95" s="286"/>
    </row>
    <row r="96" spans="1:8" ht="12.75" customHeight="1">
      <c r="A96" s="330"/>
      <c r="B96" s="331"/>
      <c r="C96" s="332"/>
      <c r="D96" s="186"/>
      <c r="E96" s="199" t="s">
        <v>624</v>
      </c>
      <c r="F96" s="341">
        <v>3.59</v>
      </c>
      <c r="G96" s="198"/>
      <c r="H96" s="286"/>
    </row>
    <row r="97" spans="1:8" ht="12.75" customHeight="1">
      <c r="A97" s="330"/>
      <c r="B97" s="331"/>
      <c r="C97" s="332"/>
      <c r="D97" s="186"/>
      <c r="E97" s="342" t="s">
        <v>377</v>
      </c>
      <c r="F97" s="333">
        <f>F95+F96</f>
        <v>17.6</v>
      </c>
      <c r="G97" s="198"/>
      <c r="H97" s="286"/>
    </row>
    <row r="98" spans="1:9" s="344" customFormat="1" ht="25.5">
      <c r="A98" s="275">
        <f>MAX(A$2:A97)+1</f>
        <v>12</v>
      </c>
      <c r="B98" s="276" t="s">
        <v>49</v>
      </c>
      <c r="C98" s="351" t="s">
        <v>71</v>
      </c>
      <c r="D98" s="277"/>
      <c r="E98" s="323" t="s">
        <v>72</v>
      </c>
      <c r="F98" s="296"/>
      <c r="G98" s="137" t="s">
        <v>38</v>
      </c>
      <c r="H98" s="297">
        <f>H99</f>
        <v>8036.07</v>
      </c>
      <c r="I98" s="343"/>
    </row>
    <row r="99" spans="1:9" s="344" customFormat="1" ht="24.75">
      <c r="A99" s="345"/>
      <c r="B99" s="346"/>
      <c r="C99" s="322"/>
      <c r="D99" s="347" t="s">
        <v>625</v>
      </c>
      <c r="E99" s="329" t="s">
        <v>626</v>
      </c>
      <c r="F99" s="348"/>
      <c r="G99" s="129" t="s">
        <v>38</v>
      </c>
      <c r="H99" s="283">
        <f>ROUND(F103,2)</f>
        <v>8036.07</v>
      </c>
      <c r="I99" s="343"/>
    </row>
    <row r="100" spans="1:8" ht="12.75" customHeight="1">
      <c r="A100" s="330"/>
      <c r="B100" s="331"/>
      <c r="C100" s="332"/>
      <c r="D100" s="186"/>
      <c r="E100" s="199" t="s">
        <v>627</v>
      </c>
      <c r="F100" s="333"/>
      <c r="G100" s="198"/>
      <c r="H100" s="286"/>
    </row>
    <row r="101" spans="1:8" ht="12.75" customHeight="1">
      <c r="A101" s="330"/>
      <c r="B101" s="331"/>
      <c r="C101" s="332"/>
      <c r="D101" s="186"/>
      <c r="E101" s="349" t="s">
        <v>628</v>
      </c>
      <c r="F101" s="333">
        <v>3457.63</v>
      </c>
      <c r="G101" s="198"/>
      <c r="H101" s="286"/>
    </row>
    <row r="102" spans="1:8" ht="12.75" customHeight="1">
      <c r="A102" s="330"/>
      <c r="B102" s="331"/>
      <c r="C102" s="332"/>
      <c r="D102" s="186"/>
      <c r="E102" s="199" t="s">
        <v>629</v>
      </c>
      <c r="F102" s="341">
        <v>4578.44</v>
      </c>
      <c r="G102" s="198"/>
      <c r="H102" s="286"/>
    </row>
    <row r="103" spans="1:8" ht="12.75" customHeight="1">
      <c r="A103" s="330"/>
      <c r="B103" s="331"/>
      <c r="C103" s="332"/>
      <c r="D103" s="186"/>
      <c r="E103" s="342" t="s">
        <v>377</v>
      </c>
      <c r="F103" s="333">
        <f>F101+F102</f>
        <v>8036.07</v>
      </c>
      <c r="G103" s="198"/>
      <c r="H103" s="286"/>
    </row>
    <row r="104" spans="1:9" s="344" customFormat="1" ht="25.5" customHeight="1">
      <c r="A104" s="275">
        <f>MAX(A$2:A103)+1</f>
        <v>13</v>
      </c>
      <c r="B104" s="276" t="s">
        <v>49</v>
      </c>
      <c r="C104" s="294" t="s">
        <v>75</v>
      </c>
      <c r="D104" s="277"/>
      <c r="E104" s="323" t="s">
        <v>76</v>
      </c>
      <c r="F104" s="296"/>
      <c r="G104" s="137" t="s">
        <v>45</v>
      </c>
      <c r="H104" s="297">
        <f>H105</f>
        <v>1943.45</v>
      </c>
      <c r="I104" s="343"/>
    </row>
    <row r="105" spans="1:9" s="344" customFormat="1" ht="25.5" customHeight="1">
      <c r="A105" s="345"/>
      <c r="B105" s="352"/>
      <c r="C105" s="294"/>
      <c r="D105" s="347" t="s">
        <v>75</v>
      </c>
      <c r="E105" s="329" t="s">
        <v>76</v>
      </c>
      <c r="F105" s="348"/>
      <c r="G105" s="129" t="s">
        <v>45</v>
      </c>
      <c r="H105" s="283">
        <f>ROUND(F113,2)</f>
        <v>1943.45</v>
      </c>
      <c r="I105" s="343"/>
    </row>
    <row r="106" spans="1:8" ht="25.5">
      <c r="A106" s="330"/>
      <c r="B106" s="331"/>
      <c r="C106" s="332"/>
      <c r="D106" s="186"/>
      <c r="E106" s="199" t="s">
        <v>630</v>
      </c>
      <c r="F106" s="333">
        <v>636.5</v>
      </c>
      <c r="G106" s="198"/>
      <c r="H106" s="286"/>
    </row>
    <row r="107" spans="1:8" ht="25.5">
      <c r="A107" s="330"/>
      <c r="B107" s="331"/>
      <c r="C107" s="332"/>
      <c r="D107" s="186"/>
      <c r="E107" s="349" t="s">
        <v>631</v>
      </c>
      <c r="F107" s="341">
        <v>641.8</v>
      </c>
      <c r="G107" s="198"/>
      <c r="H107" s="286"/>
    </row>
    <row r="108" spans="1:8" ht="12.75" customHeight="1">
      <c r="A108" s="330"/>
      <c r="B108" s="331"/>
      <c r="C108" s="332"/>
      <c r="D108" s="186"/>
      <c r="E108" s="342" t="s">
        <v>382</v>
      </c>
      <c r="F108" s="333">
        <f>F106+F107</f>
        <v>1278.3</v>
      </c>
      <c r="G108" s="198"/>
      <c r="H108" s="286"/>
    </row>
    <row r="109" spans="1:8" ht="12.75" customHeight="1">
      <c r="A109" s="258"/>
      <c r="B109" s="285"/>
      <c r="C109" s="279"/>
      <c r="D109" s="318"/>
      <c r="E109" s="199" t="s">
        <v>632</v>
      </c>
      <c r="F109" s="353"/>
      <c r="G109" s="280"/>
      <c r="H109" s="286"/>
    </row>
    <row r="110" spans="1:8" ht="12.75" customHeight="1">
      <c r="A110" s="330"/>
      <c r="B110" s="331"/>
      <c r="C110" s="332"/>
      <c r="D110" s="186"/>
      <c r="E110" s="199" t="s">
        <v>633</v>
      </c>
      <c r="F110" s="333">
        <f>4.85+4.3+14.5</f>
        <v>23.65</v>
      </c>
      <c r="G110" s="198" t="s">
        <v>399</v>
      </c>
      <c r="H110" s="286"/>
    </row>
    <row r="111" spans="1:8" ht="12.75" customHeight="1">
      <c r="A111" s="330"/>
      <c r="B111" s="331"/>
      <c r="C111" s="332"/>
      <c r="D111" s="186"/>
      <c r="E111" s="349" t="s">
        <v>634</v>
      </c>
      <c r="F111" s="341">
        <v>641.5</v>
      </c>
      <c r="G111" s="198"/>
      <c r="H111" s="286"/>
    </row>
    <row r="112" spans="1:8" ht="12.75" customHeight="1">
      <c r="A112" s="330"/>
      <c r="B112" s="331"/>
      <c r="C112" s="332"/>
      <c r="D112" s="186"/>
      <c r="E112" s="342" t="s">
        <v>382</v>
      </c>
      <c r="F112" s="333">
        <f>SUM(F110:F111)</f>
        <v>665.15</v>
      </c>
      <c r="G112" s="198"/>
      <c r="H112" s="286"/>
    </row>
    <row r="113" spans="1:8" ht="12.75" customHeight="1">
      <c r="A113" s="330"/>
      <c r="B113" s="331"/>
      <c r="C113" s="332"/>
      <c r="D113" s="186"/>
      <c r="E113" s="342" t="s">
        <v>635</v>
      </c>
      <c r="F113" s="333">
        <f>F108+F112</f>
        <v>1943.45</v>
      </c>
      <c r="G113" s="198"/>
      <c r="H113" s="286"/>
    </row>
    <row r="114" spans="1:9" s="344" customFormat="1" ht="25.5" customHeight="1">
      <c r="A114" s="275">
        <f>MAX(A$2:A113)+1</f>
        <v>14</v>
      </c>
      <c r="B114" s="276" t="s">
        <v>49</v>
      </c>
      <c r="C114" s="294" t="s">
        <v>77</v>
      </c>
      <c r="D114" s="277"/>
      <c r="E114" s="323" t="s">
        <v>78</v>
      </c>
      <c r="F114" s="296"/>
      <c r="G114" s="137" t="s">
        <v>60</v>
      </c>
      <c r="H114" s="144">
        <f>H115</f>
        <v>4</v>
      </c>
      <c r="I114" s="343"/>
    </row>
    <row r="115" spans="1:9" s="344" customFormat="1" ht="24.75">
      <c r="A115" s="345"/>
      <c r="B115" s="352"/>
      <c r="C115" s="294"/>
      <c r="D115" s="347" t="s">
        <v>77</v>
      </c>
      <c r="E115" s="329" t="s">
        <v>78</v>
      </c>
      <c r="F115" s="348"/>
      <c r="G115" s="129" t="s">
        <v>60</v>
      </c>
      <c r="H115" s="141">
        <f>F118</f>
        <v>4</v>
      </c>
      <c r="I115" s="343"/>
    </row>
    <row r="116" spans="1:8" ht="15">
      <c r="A116" s="258"/>
      <c r="B116" s="311"/>
      <c r="C116" s="317"/>
      <c r="D116" s="354"/>
      <c r="E116" s="199" t="s">
        <v>636</v>
      </c>
      <c r="F116" s="333">
        <v>2</v>
      </c>
      <c r="G116" s="355"/>
      <c r="H116" s="356"/>
    </row>
    <row r="117" spans="1:8" ht="12.75" customHeight="1">
      <c r="A117" s="258"/>
      <c r="B117" s="311"/>
      <c r="C117" s="317"/>
      <c r="D117" s="318"/>
      <c r="E117" s="349" t="s">
        <v>637</v>
      </c>
      <c r="F117" s="341">
        <v>2</v>
      </c>
      <c r="G117" s="357"/>
      <c r="H117" s="315"/>
    </row>
    <row r="118" spans="1:8" ht="12.75" customHeight="1">
      <c r="A118" s="258"/>
      <c r="B118" s="285"/>
      <c r="C118" s="279"/>
      <c r="D118" s="318"/>
      <c r="E118" s="342" t="s">
        <v>377</v>
      </c>
      <c r="F118" s="333">
        <f>F116+F117</f>
        <v>4</v>
      </c>
      <c r="G118" s="357"/>
      <c r="H118" s="315"/>
    </row>
    <row r="119" spans="1:9" s="344" customFormat="1" ht="14.25">
      <c r="A119" s="275">
        <f>MAX(A$2:A118)+1</f>
        <v>15</v>
      </c>
      <c r="B119" s="276" t="s">
        <v>49</v>
      </c>
      <c r="C119" s="294" t="s">
        <v>79</v>
      </c>
      <c r="D119" s="277"/>
      <c r="E119" s="323" t="s">
        <v>80</v>
      </c>
      <c r="F119" s="296"/>
      <c r="G119" s="137" t="s">
        <v>28</v>
      </c>
      <c r="H119" s="144">
        <f>H120</f>
        <v>4053.96</v>
      </c>
      <c r="I119" s="343"/>
    </row>
    <row r="120" spans="1:9" s="344" customFormat="1" ht="12.75" customHeight="1">
      <c r="A120" s="345"/>
      <c r="B120" s="352"/>
      <c r="C120" s="294"/>
      <c r="D120" s="347" t="s">
        <v>419</v>
      </c>
      <c r="E120" s="329" t="s">
        <v>420</v>
      </c>
      <c r="F120" s="348"/>
      <c r="G120" s="129" t="s">
        <v>28</v>
      </c>
      <c r="H120" s="283">
        <f>ROUND(F143,2)</f>
        <v>4053.96</v>
      </c>
      <c r="I120" s="343"/>
    </row>
    <row r="121" spans="1:9" ht="25.5">
      <c r="A121" s="258"/>
      <c r="B121" s="311"/>
      <c r="C121" s="317"/>
      <c r="D121" s="354"/>
      <c r="E121" s="199" t="s">
        <v>638</v>
      </c>
      <c r="F121" s="333"/>
      <c r="G121" s="355"/>
      <c r="H121" s="356"/>
      <c r="I121" s="247" t="s">
        <v>399</v>
      </c>
    </row>
    <row r="122" spans="1:10" ht="12.75" customHeight="1">
      <c r="A122" s="330"/>
      <c r="B122" s="331"/>
      <c r="C122" s="332"/>
      <c r="D122" s="186"/>
      <c r="E122" s="199" t="s">
        <v>639</v>
      </c>
      <c r="F122" s="333">
        <f>42.86*2.3</f>
        <v>98.58</v>
      </c>
      <c r="G122" s="198"/>
      <c r="H122" s="286"/>
      <c r="I122" s="247" t="s">
        <v>399</v>
      </c>
      <c r="J122" s="170" t="s">
        <v>399</v>
      </c>
    </row>
    <row r="123" spans="1:8" ht="12.75" customHeight="1">
      <c r="A123" s="330"/>
      <c r="B123" s="331"/>
      <c r="C123" s="332"/>
      <c r="D123" s="186"/>
      <c r="E123" s="199" t="s">
        <v>640</v>
      </c>
      <c r="F123" s="333">
        <f>(29.88+476.76)*2.5</f>
        <v>1266.6</v>
      </c>
      <c r="G123" s="198"/>
      <c r="H123" s="286"/>
    </row>
    <row r="124" spans="1:8" ht="12.75" customHeight="1">
      <c r="A124" s="330"/>
      <c r="B124" s="331"/>
      <c r="C124" s="332"/>
      <c r="D124" s="186"/>
      <c r="E124" s="199" t="s">
        <v>641</v>
      </c>
      <c r="F124" s="333">
        <f>17.6*0.66</f>
        <v>11.62</v>
      </c>
      <c r="G124" s="198"/>
      <c r="H124" s="286"/>
    </row>
    <row r="125" spans="1:8" ht="12.75" customHeight="1">
      <c r="A125" s="330"/>
      <c r="B125" s="331"/>
      <c r="C125" s="332"/>
      <c r="D125" s="186"/>
      <c r="E125" s="199" t="s">
        <v>642</v>
      </c>
      <c r="F125" s="333">
        <f>2009.02*0.056</f>
        <v>112.51</v>
      </c>
      <c r="G125" s="198"/>
      <c r="H125" s="286"/>
    </row>
    <row r="126" spans="1:9" ht="12.75" customHeight="1">
      <c r="A126" s="330"/>
      <c r="B126" s="331"/>
      <c r="C126" s="332"/>
      <c r="D126" s="186"/>
      <c r="E126" s="199" t="s">
        <v>643</v>
      </c>
      <c r="F126" s="341">
        <f>8288.17*0.0074</f>
        <v>61.33</v>
      </c>
      <c r="G126" s="198"/>
      <c r="H126" s="286"/>
      <c r="I126" s="247" t="s">
        <v>399</v>
      </c>
    </row>
    <row r="127" spans="1:10" ht="12.75" customHeight="1">
      <c r="A127" s="258"/>
      <c r="B127" s="285"/>
      <c r="C127" s="279"/>
      <c r="D127" s="318"/>
      <c r="E127" s="342" t="s">
        <v>382</v>
      </c>
      <c r="F127" s="333">
        <f>SUM(F122:F126)</f>
        <v>1550.64</v>
      </c>
      <c r="G127" s="280"/>
      <c r="H127" s="286"/>
      <c r="I127" s="358" t="s">
        <v>399</v>
      </c>
      <c r="J127" s="359" t="s">
        <v>399</v>
      </c>
    </row>
    <row r="128" spans="1:9" ht="25.5">
      <c r="A128" s="330"/>
      <c r="B128" s="331"/>
      <c r="C128" s="332"/>
      <c r="D128" s="186"/>
      <c r="E128" s="199" t="s">
        <v>644</v>
      </c>
      <c r="F128" s="333">
        <f>(6460.28+7847.19)*0.102+6460.28*0.127</f>
        <v>2279.82</v>
      </c>
      <c r="G128" s="198"/>
      <c r="H128" s="286"/>
      <c r="I128" s="247" t="s">
        <v>399</v>
      </c>
    </row>
    <row r="129" spans="1:8" ht="12.75" customHeight="1">
      <c r="A129" s="330"/>
      <c r="B129" s="331"/>
      <c r="C129" s="332"/>
      <c r="D129" s="186"/>
      <c r="E129" s="199" t="s">
        <v>645</v>
      </c>
      <c r="F129" s="333"/>
      <c r="G129" s="198"/>
      <c r="H129" s="286"/>
    </row>
    <row r="130" spans="1:8" ht="12.75">
      <c r="A130" s="330"/>
      <c r="B130" s="331"/>
      <c r="C130" s="332"/>
      <c r="D130" s="186"/>
      <c r="E130" s="199" t="s">
        <v>646</v>
      </c>
      <c r="F130" s="333">
        <f>46*0.1</f>
        <v>4.6</v>
      </c>
      <c r="G130" s="198"/>
      <c r="H130" s="286"/>
    </row>
    <row r="131" spans="1:8" ht="12.75">
      <c r="A131" s="330"/>
      <c r="B131" s="331"/>
      <c r="C131" s="332"/>
      <c r="D131" s="186"/>
      <c r="E131" s="199" t="s">
        <v>647</v>
      </c>
      <c r="F131" s="333">
        <f>12*0.02</f>
        <v>0.24</v>
      </c>
      <c r="G131" s="198"/>
      <c r="H131" s="286"/>
    </row>
    <row r="132" spans="1:8" ht="25.5">
      <c r="A132" s="330"/>
      <c r="B132" s="331"/>
      <c r="C132" s="332"/>
      <c r="D132" s="186"/>
      <c r="E132" s="199" t="s">
        <v>648</v>
      </c>
      <c r="F132" s="333">
        <f>4*0.01</f>
        <v>0.04</v>
      </c>
      <c r="G132" s="198"/>
      <c r="H132" s="286"/>
    </row>
    <row r="133" spans="1:8" ht="12.75">
      <c r="A133" s="330"/>
      <c r="B133" s="331"/>
      <c r="C133" s="332"/>
      <c r="D133" s="186"/>
      <c r="E133" s="199" t="s">
        <v>649</v>
      </c>
      <c r="F133" s="333">
        <f>635.8*0.01</f>
        <v>6.36</v>
      </c>
      <c r="G133" s="198"/>
      <c r="H133" s="286"/>
    </row>
    <row r="134" spans="1:8" ht="12.75">
      <c r="A134" s="330"/>
      <c r="B134" s="331"/>
      <c r="C134" s="332"/>
      <c r="D134" s="186"/>
      <c r="E134" s="199" t="s">
        <v>650</v>
      </c>
      <c r="F134" s="333">
        <f>641.5*0.075</f>
        <v>48.11</v>
      </c>
      <c r="G134" s="198"/>
      <c r="H134" s="286"/>
    </row>
    <row r="135" spans="1:8" ht="12.75">
      <c r="A135" s="330"/>
      <c r="B135" s="331"/>
      <c r="C135" s="332"/>
      <c r="D135" s="186"/>
      <c r="E135" s="199" t="s">
        <v>651</v>
      </c>
      <c r="F135" s="333">
        <f>38*0.05</f>
        <v>1.9</v>
      </c>
      <c r="G135" s="198"/>
      <c r="H135" s="286"/>
    </row>
    <row r="136" spans="1:11" ht="12.75">
      <c r="A136" s="330"/>
      <c r="B136" s="331"/>
      <c r="C136" s="332"/>
      <c r="D136" s="186"/>
      <c r="E136" s="199" t="s">
        <v>652</v>
      </c>
      <c r="F136" s="341">
        <f>12.95*0.2</f>
        <v>2.59</v>
      </c>
      <c r="G136" s="198"/>
      <c r="H136" s="286"/>
      <c r="J136" s="170" t="s">
        <v>399</v>
      </c>
      <c r="K136" s="170" t="s">
        <v>399</v>
      </c>
    </row>
    <row r="137" spans="1:8" ht="12.75">
      <c r="A137" s="330"/>
      <c r="B137" s="331"/>
      <c r="C137" s="332"/>
      <c r="D137" s="198"/>
      <c r="E137" s="342" t="s">
        <v>382</v>
      </c>
      <c r="F137" s="333">
        <f>SUM(F130:F136)</f>
        <v>63.84</v>
      </c>
      <c r="G137" s="198"/>
      <c r="H137" s="286"/>
    </row>
    <row r="138" spans="1:8" ht="12.75" customHeight="1">
      <c r="A138" s="330"/>
      <c r="B138" s="331"/>
      <c r="C138" s="332"/>
      <c r="D138" s="186"/>
      <c r="E138" s="199" t="s">
        <v>653</v>
      </c>
      <c r="F138" s="333"/>
      <c r="G138" s="198"/>
      <c r="H138" s="286"/>
    </row>
    <row r="139" spans="1:8" ht="12.75" customHeight="1">
      <c r="A139" s="330"/>
      <c r="B139" s="331"/>
      <c r="C139" s="332"/>
      <c r="D139" s="186"/>
      <c r="E139" s="199" t="s">
        <v>654</v>
      </c>
      <c r="F139" s="333"/>
      <c r="G139" s="198"/>
      <c r="H139" s="286"/>
    </row>
    <row r="140" spans="1:8" ht="12.75">
      <c r="A140" s="330"/>
      <c r="B140" s="331"/>
      <c r="C140" s="332"/>
      <c r="D140" s="186"/>
      <c r="E140" s="199" t="s">
        <v>655</v>
      </c>
      <c r="F140" s="333">
        <f>636.5*0.15</f>
        <v>95.48</v>
      </c>
      <c r="G140" s="198"/>
      <c r="H140" s="286"/>
    </row>
    <row r="141" spans="1:11" ht="12.75">
      <c r="A141" s="330"/>
      <c r="B141" s="331"/>
      <c r="C141" s="332"/>
      <c r="D141" s="186"/>
      <c r="E141" s="199" t="s">
        <v>656</v>
      </c>
      <c r="F141" s="341">
        <f>641.8*0.1</f>
        <v>64.18</v>
      </c>
      <c r="G141" s="198"/>
      <c r="H141" s="286"/>
      <c r="I141" s="247" t="s">
        <v>399</v>
      </c>
      <c r="J141" s="170" t="s">
        <v>399</v>
      </c>
      <c r="K141" s="170" t="s">
        <v>399</v>
      </c>
    </row>
    <row r="142" spans="1:8" ht="12.75" customHeight="1">
      <c r="A142" s="258"/>
      <c r="B142" s="285"/>
      <c r="C142" s="279"/>
      <c r="D142" s="318"/>
      <c r="E142" s="342" t="s">
        <v>657</v>
      </c>
      <c r="F142" s="333">
        <f>SUM(F140:F141)</f>
        <v>159.66</v>
      </c>
      <c r="G142" s="280"/>
      <c r="H142" s="286"/>
    </row>
    <row r="143" spans="1:8" ht="12.75" customHeight="1">
      <c r="A143" s="258"/>
      <c r="B143" s="285"/>
      <c r="C143" s="279"/>
      <c r="D143" s="318"/>
      <c r="E143" s="342" t="s">
        <v>658</v>
      </c>
      <c r="F143" s="333">
        <f>F127+F128+F137+F142</f>
        <v>4053.96</v>
      </c>
      <c r="G143" s="280"/>
      <c r="H143" s="286"/>
    </row>
    <row r="144" spans="1:9" s="344" customFormat="1" ht="25.5">
      <c r="A144" s="275">
        <f>MAX(A$2:A143)+1</f>
        <v>16</v>
      </c>
      <c r="B144" s="276" t="s">
        <v>49</v>
      </c>
      <c r="C144" s="294" t="s">
        <v>81</v>
      </c>
      <c r="D144" s="277"/>
      <c r="E144" s="323" t="s">
        <v>82</v>
      </c>
      <c r="F144" s="296"/>
      <c r="G144" s="137" t="s">
        <v>38</v>
      </c>
      <c r="H144" s="297">
        <f>H145</f>
        <v>39013.2</v>
      </c>
      <c r="I144" s="343"/>
    </row>
    <row r="145" spans="1:9" s="344" customFormat="1" ht="24.75">
      <c r="A145" s="345"/>
      <c r="B145" s="346"/>
      <c r="C145" s="322"/>
      <c r="D145" s="347" t="s">
        <v>659</v>
      </c>
      <c r="E145" s="329" t="s">
        <v>660</v>
      </c>
      <c r="F145" s="348"/>
      <c r="G145" s="360" t="s">
        <v>38</v>
      </c>
      <c r="H145" s="283">
        <f>ROUND(F157,2)</f>
        <v>39013.2</v>
      </c>
      <c r="I145" s="343"/>
    </row>
    <row r="146" spans="1:8" ht="12.75" customHeight="1">
      <c r="A146" s="258"/>
      <c r="B146" s="285"/>
      <c r="C146" s="279"/>
      <c r="D146" s="318"/>
      <c r="E146" s="199" t="s">
        <v>661</v>
      </c>
      <c r="F146" s="361"/>
      <c r="G146" s="280"/>
      <c r="H146" s="286"/>
    </row>
    <row r="147" spans="1:8" ht="12.75" customHeight="1">
      <c r="A147" s="258"/>
      <c r="B147" s="285"/>
      <c r="C147" s="279"/>
      <c r="D147" s="318"/>
      <c r="E147" s="199" t="s">
        <v>662</v>
      </c>
      <c r="F147" s="361"/>
      <c r="G147" s="280"/>
      <c r="H147" s="286"/>
    </row>
    <row r="148" spans="1:8" ht="39">
      <c r="A148" s="258"/>
      <c r="B148" s="285"/>
      <c r="C148" s="279"/>
      <c r="D148" s="318"/>
      <c r="E148" s="199" t="s">
        <v>663</v>
      </c>
      <c r="F148" s="333">
        <f>2*93.809+2*184.85+2*180.507+2*86.346+2*5.47+6*(19.04-1.28)</f>
        <v>1208.52</v>
      </c>
      <c r="G148" s="280"/>
      <c r="H148" s="286"/>
    </row>
    <row r="149" spans="1:8" ht="25.5">
      <c r="A149" s="258"/>
      <c r="B149" s="285"/>
      <c r="C149" s="279"/>
      <c r="D149" s="318"/>
      <c r="E149" s="199" t="s">
        <v>664</v>
      </c>
      <c r="F149" s="333">
        <f>(43.786+87.578+87.775+43.858)*(5.35+4.95)*0.5</f>
        <v>1354.43</v>
      </c>
      <c r="G149" s="280"/>
      <c r="H149" s="286"/>
    </row>
    <row r="150" spans="1:8" ht="25.5">
      <c r="A150" s="258"/>
      <c r="B150" s="285"/>
      <c r="C150" s="279"/>
      <c r="D150" s="318"/>
      <c r="E150" s="199" t="s">
        <v>665</v>
      </c>
      <c r="F150" s="341">
        <f>(43.665+87.306+87.496+43.721)*(5.35+4.95)*0.5</f>
        <v>1350.27</v>
      </c>
      <c r="G150" s="280"/>
      <c r="H150" s="286"/>
    </row>
    <row r="151" spans="1:8" ht="12.75" customHeight="1">
      <c r="A151" s="258"/>
      <c r="B151" s="285"/>
      <c r="C151" s="279"/>
      <c r="D151" s="318"/>
      <c r="E151" s="362" t="s">
        <v>382</v>
      </c>
      <c r="F151" s="333">
        <f>SUM(F148:F150)</f>
        <v>3913.22</v>
      </c>
      <c r="G151" s="280"/>
      <c r="H151" s="286"/>
    </row>
    <row r="152" spans="1:8" ht="15">
      <c r="A152" s="258"/>
      <c r="B152" s="285"/>
      <c r="C152" s="279"/>
      <c r="D152" s="318"/>
      <c r="E152" s="199" t="s">
        <v>661</v>
      </c>
      <c r="F152" s="333"/>
      <c r="G152" s="280"/>
      <c r="H152" s="286"/>
    </row>
    <row r="153" spans="1:8" ht="25.5">
      <c r="A153" s="258"/>
      <c r="B153" s="285"/>
      <c r="C153" s="279"/>
      <c r="D153" s="318"/>
      <c r="E153" s="199" t="s">
        <v>666</v>
      </c>
      <c r="F153" s="333">
        <f>8249.704+8292.726+36.65+970.906</f>
        <v>17549.99</v>
      </c>
      <c r="G153" s="280"/>
      <c r="H153" s="286"/>
    </row>
    <row r="154" spans="1:8" ht="15">
      <c r="A154" s="258"/>
      <c r="B154" s="285"/>
      <c r="C154" s="279"/>
      <c r="D154" s="318"/>
      <c r="E154" s="199" t="s">
        <v>667</v>
      </c>
      <c r="F154" s="333"/>
      <c r="G154" s="280"/>
      <c r="H154" s="286"/>
    </row>
    <row r="155" spans="1:8" ht="25.5">
      <c r="A155" s="258"/>
      <c r="B155" s="285"/>
      <c r="C155" s="279"/>
      <c r="D155" s="318"/>
      <c r="E155" s="199" t="s">
        <v>668</v>
      </c>
      <c r="F155" s="341">
        <f>8249.704+8292.726+36.65+970.906</f>
        <v>17549.99</v>
      </c>
      <c r="G155" s="280"/>
      <c r="H155" s="286"/>
    </row>
    <row r="156" spans="1:8" ht="12.75" customHeight="1">
      <c r="A156" s="258"/>
      <c r="B156" s="285"/>
      <c r="C156" s="279"/>
      <c r="D156" s="318"/>
      <c r="E156" s="362" t="s">
        <v>382</v>
      </c>
      <c r="F156" s="333">
        <f>SUM(F153:F155)</f>
        <v>35099.98</v>
      </c>
      <c r="G156" s="280"/>
      <c r="H156" s="286"/>
    </row>
    <row r="157" spans="1:8" ht="12.75" customHeight="1">
      <c r="A157" s="258"/>
      <c r="B157" s="285"/>
      <c r="C157" s="279"/>
      <c r="D157" s="318"/>
      <c r="E157" s="362" t="s">
        <v>417</v>
      </c>
      <c r="F157" s="363">
        <f>F151+F156</f>
        <v>39013.2</v>
      </c>
      <c r="G157" s="280"/>
      <c r="H157" s="286"/>
    </row>
    <row r="158" spans="1:9" s="344" customFormat="1" ht="25.5">
      <c r="A158" s="275">
        <f>MAX(A$2:A156)+1</f>
        <v>17</v>
      </c>
      <c r="B158" s="276" t="s">
        <v>49</v>
      </c>
      <c r="C158" s="294" t="s">
        <v>83</v>
      </c>
      <c r="D158" s="277"/>
      <c r="E158" s="323" t="s">
        <v>84</v>
      </c>
      <c r="F158" s="296"/>
      <c r="G158" s="137" t="s">
        <v>30</v>
      </c>
      <c r="H158" s="297">
        <f>H159</f>
        <v>11.25</v>
      </c>
      <c r="I158" s="343"/>
    </row>
    <row r="159" spans="1:9" s="344" customFormat="1" ht="24.75">
      <c r="A159" s="345"/>
      <c r="B159" s="352"/>
      <c r="C159" s="294"/>
      <c r="D159" s="347" t="s">
        <v>669</v>
      </c>
      <c r="E159" s="329" t="s">
        <v>84</v>
      </c>
      <c r="F159" s="348"/>
      <c r="G159" s="360" t="s">
        <v>30</v>
      </c>
      <c r="H159" s="283">
        <f>ROUND(F164,2)</f>
        <v>11.25</v>
      </c>
      <c r="I159" s="343"/>
    </row>
    <row r="160" spans="1:8" ht="25.5">
      <c r="A160" s="258"/>
      <c r="B160" s="285"/>
      <c r="C160" s="279"/>
      <c r="D160" s="318"/>
      <c r="E160" s="199" t="s">
        <v>670</v>
      </c>
      <c r="F160" s="333"/>
      <c r="G160" s="280"/>
      <c r="H160" s="286"/>
    </row>
    <row r="161" spans="1:8" ht="15">
      <c r="A161" s="258"/>
      <c r="B161" s="285"/>
      <c r="C161" s="279"/>
      <c r="D161" s="318"/>
      <c r="E161" s="199" t="s">
        <v>585</v>
      </c>
      <c r="F161" s="333">
        <f>8*1.38*0.65+9*0.35*0.5*(0.404+0.154)+9*0.282*0.054</f>
        <v>8.19</v>
      </c>
      <c r="G161" s="280"/>
      <c r="H161" s="286"/>
    </row>
    <row r="162" spans="1:8" ht="12.75" customHeight="1">
      <c r="A162" s="258"/>
      <c r="B162" s="311"/>
      <c r="C162" s="317"/>
      <c r="D162" s="364"/>
      <c r="E162" s="199" t="s">
        <v>671</v>
      </c>
      <c r="F162" s="353"/>
      <c r="G162" s="280"/>
      <c r="H162" s="286"/>
    </row>
    <row r="163" spans="1:8" ht="15">
      <c r="A163" s="258"/>
      <c r="B163" s="285"/>
      <c r="C163" s="279"/>
      <c r="D163" s="318"/>
      <c r="E163" s="199" t="s">
        <v>672</v>
      </c>
      <c r="F163" s="341">
        <f>0.3*0.4*12.75*2</f>
        <v>3.06</v>
      </c>
      <c r="G163" s="280"/>
      <c r="H163" s="286"/>
    </row>
    <row r="164" spans="1:8" ht="12.75" customHeight="1">
      <c r="A164" s="258"/>
      <c r="B164" s="285"/>
      <c r="C164" s="279"/>
      <c r="D164" s="364"/>
      <c r="E164" s="362" t="s">
        <v>377</v>
      </c>
      <c r="F164" s="333">
        <f>SUM(F161:F163)</f>
        <v>11.25</v>
      </c>
      <c r="G164" s="280"/>
      <c r="H164" s="286"/>
    </row>
    <row r="165" spans="1:9" s="300" customFormat="1" ht="14.25">
      <c r="A165" s="275">
        <f>MAX(A$2:A164)+1</f>
        <v>18</v>
      </c>
      <c r="B165" s="276" t="s">
        <v>49</v>
      </c>
      <c r="C165" s="294" t="s">
        <v>85</v>
      </c>
      <c r="D165" s="277"/>
      <c r="E165" s="295" t="s">
        <v>86</v>
      </c>
      <c r="F165" s="296"/>
      <c r="G165" s="137" t="s">
        <v>38</v>
      </c>
      <c r="H165" s="297">
        <f>H166+H171</f>
        <v>2024.44</v>
      </c>
      <c r="I165" s="298"/>
    </row>
    <row r="166" spans="1:9" s="344" customFormat="1" ht="24.75">
      <c r="A166" s="345"/>
      <c r="B166" s="346"/>
      <c r="C166" s="157"/>
      <c r="D166" s="347" t="s">
        <v>673</v>
      </c>
      <c r="E166" s="329" t="s">
        <v>674</v>
      </c>
      <c r="F166" s="348"/>
      <c r="G166" s="129" t="s">
        <v>38</v>
      </c>
      <c r="H166" s="283">
        <f>ROUND(F170,2)</f>
        <v>2009.02</v>
      </c>
      <c r="I166" s="343"/>
    </row>
    <row r="167" spans="1:8" ht="25.5">
      <c r="A167" s="258"/>
      <c r="B167" s="285"/>
      <c r="C167" s="279"/>
      <c r="D167" s="318"/>
      <c r="E167" s="199" t="s">
        <v>675</v>
      </c>
      <c r="F167" s="333"/>
      <c r="G167" s="280"/>
      <c r="H167" s="286"/>
    </row>
    <row r="168" spans="1:8" ht="15">
      <c r="A168" s="258"/>
      <c r="B168" s="285"/>
      <c r="C168" s="279"/>
      <c r="D168" s="318"/>
      <c r="E168" s="199" t="s">
        <v>676</v>
      </c>
      <c r="F168" s="333">
        <f>0.25*3457.63</f>
        <v>864.41</v>
      </c>
      <c r="G168" s="280"/>
      <c r="H168" s="286"/>
    </row>
    <row r="169" spans="1:8" ht="15">
      <c r="A169" s="258"/>
      <c r="B169" s="285"/>
      <c r="C169" s="279"/>
      <c r="D169" s="318"/>
      <c r="E169" s="199" t="s">
        <v>677</v>
      </c>
      <c r="F169" s="341">
        <f>0.25*4578.44</f>
        <v>1144.61</v>
      </c>
      <c r="G169" s="280"/>
      <c r="H169" s="286"/>
    </row>
    <row r="170" spans="1:8" ht="12.75" customHeight="1">
      <c r="A170" s="258"/>
      <c r="B170" s="285"/>
      <c r="C170" s="279"/>
      <c r="D170" s="318"/>
      <c r="E170" s="362" t="s">
        <v>377</v>
      </c>
      <c r="F170" s="333">
        <f>F168+F169</f>
        <v>2009.02</v>
      </c>
      <c r="G170" s="280"/>
      <c r="H170" s="286"/>
    </row>
    <row r="171" spans="1:8" ht="24.75">
      <c r="A171" s="258"/>
      <c r="B171" s="285"/>
      <c r="C171" s="279"/>
      <c r="D171" s="337" t="s">
        <v>678</v>
      </c>
      <c r="E171" s="338" t="s">
        <v>679</v>
      </c>
      <c r="F171" s="365"/>
      <c r="G171" s="340" t="s">
        <v>38</v>
      </c>
      <c r="H171" s="283">
        <f>ROUND(F177,2)</f>
        <v>15.42</v>
      </c>
    </row>
    <row r="172" spans="1:8" ht="12.75" customHeight="1">
      <c r="A172" s="258"/>
      <c r="B172" s="285"/>
      <c r="C172" s="279"/>
      <c r="D172" s="318"/>
      <c r="E172" s="199" t="s">
        <v>680</v>
      </c>
      <c r="F172" s="363"/>
      <c r="G172" s="280"/>
      <c r="H172" s="286"/>
    </row>
    <row r="173" spans="1:8" ht="12.75" customHeight="1">
      <c r="A173" s="258"/>
      <c r="B173" s="285"/>
      <c r="C173" s="279"/>
      <c r="D173" s="318"/>
      <c r="E173" s="199" t="s">
        <v>681</v>
      </c>
      <c r="F173" s="363">
        <f>0.0543*16</f>
        <v>0.87</v>
      </c>
      <c r="G173" s="280"/>
      <c r="H173" s="286"/>
    </row>
    <row r="174" spans="1:8" ht="12.75" customHeight="1">
      <c r="A174" s="258"/>
      <c r="B174" s="285"/>
      <c r="C174" s="279"/>
      <c r="D174" s="318"/>
      <c r="E174" s="199" t="s">
        <v>682</v>
      </c>
      <c r="F174" s="363">
        <f>0.0543*108</f>
        <v>5.86</v>
      </c>
      <c r="G174" s="280"/>
      <c r="H174" s="286"/>
    </row>
    <row r="175" spans="1:8" ht="12.75" customHeight="1">
      <c r="A175" s="258"/>
      <c r="B175" s="285"/>
      <c r="C175" s="279"/>
      <c r="D175" s="318"/>
      <c r="E175" s="199" t="s">
        <v>683</v>
      </c>
      <c r="F175" s="363">
        <f>0.0543*64</f>
        <v>3.48</v>
      </c>
      <c r="G175" s="280"/>
      <c r="H175" s="286"/>
    </row>
    <row r="176" spans="1:8" ht="12.75" customHeight="1">
      <c r="A176" s="258"/>
      <c r="B176" s="285"/>
      <c r="C176" s="279"/>
      <c r="D176" s="318"/>
      <c r="E176" s="199" t="s">
        <v>684</v>
      </c>
      <c r="F176" s="341">
        <f>0.0543*96</f>
        <v>5.21</v>
      </c>
      <c r="G176" s="280"/>
      <c r="H176" s="286"/>
    </row>
    <row r="177" spans="1:8" ht="12.75" customHeight="1">
      <c r="A177" s="258"/>
      <c r="B177" s="285"/>
      <c r="C177" s="279"/>
      <c r="D177" s="318"/>
      <c r="E177" s="199"/>
      <c r="F177" s="363">
        <f>SUM(F173:F176)</f>
        <v>15.42</v>
      </c>
      <c r="G177" s="280"/>
      <c r="H177" s="286"/>
    </row>
    <row r="178" spans="1:9" s="344" customFormat="1" ht="25.5">
      <c r="A178" s="275">
        <f>MAX(A$2:A170)+1</f>
        <v>19</v>
      </c>
      <c r="B178" s="276" t="s">
        <v>49</v>
      </c>
      <c r="C178" s="294" t="s">
        <v>89</v>
      </c>
      <c r="D178" s="277"/>
      <c r="E178" s="323" t="s">
        <v>90</v>
      </c>
      <c r="F178" s="296"/>
      <c r="G178" s="137" t="s">
        <v>45</v>
      </c>
      <c r="H178" s="297">
        <f>H179+H183</f>
        <v>486.78</v>
      </c>
      <c r="I178" s="343"/>
    </row>
    <row r="179" spans="1:9" s="344" customFormat="1" ht="24.75">
      <c r="A179" s="345"/>
      <c r="B179" s="352"/>
      <c r="C179" s="294"/>
      <c r="D179" s="347" t="s">
        <v>685</v>
      </c>
      <c r="E179" s="329" t="s">
        <v>686</v>
      </c>
      <c r="F179" s="348"/>
      <c r="G179" s="360" t="s">
        <v>45</v>
      </c>
      <c r="H179" s="283">
        <f>ROUND(F181,2)</f>
        <v>393.48</v>
      </c>
      <c r="I179" s="343"/>
    </row>
    <row r="180" spans="1:8" ht="12.75" customHeight="1">
      <c r="A180" s="258"/>
      <c r="B180" s="285"/>
      <c r="C180" s="279"/>
      <c r="D180" s="318"/>
      <c r="E180" s="199" t="s">
        <v>687</v>
      </c>
      <c r="F180" s="333"/>
      <c r="G180" s="280"/>
      <c r="H180" s="286"/>
    </row>
    <row r="181" spans="1:8" ht="12.75" customHeight="1">
      <c r="A181" s="258"/>
      <c r="B181" s="285"/>
      <c r="C181" s="279"/>
      <c r="D181" s="318"/>
      <c r="E181" s="199" t="s">
        <v>688</v>
      </c>
      <c r="F181" s="333">
        <f>(42+48)*(0.952+3.42)</f>
        <v>393.48</v>
      </c>
      <c r="G181" s="280"/>
      <c r="H181" s="286"/>
    </row>
    <row r="182" spans="1:8" ht="12.75" customHeight="1">
      <c r="A182" s="258"/>
      <c r="B182" s="285"/>
      <c r="C182" s="279"/>
      <c r="D182" s="318"/>
      <c r="E182" s="366"/>
      <c r="F182" s="353"/>
      <c r="G182" s="280"/>
      <c r="H182" s="286"/>
    </row>
    <row r="183" spans="1:9" s="344" customFormat="1" ht="24.75">
      <c r="A183" s="345"/>
      <c r="B183" s="346"/>
      <c r="C183" s="322"/>
      <c r="D183" s="367" t="s">
        <v>689</v>
      </c>
      <c r="E183" s="368" t="s">
        <v>690</v>
      </c>
      <c r="F183" s="339"/>
      <c r="G183" s="303"/>
      <c r="H183" s="283">
        <f>ROUND(F188,2)</f>
        <v>93.3</v>
      </c>
      <c r="I183" s="343"/>
    </row>
    <row r="184" spans="1:8" ht="25.5">
      <c r="A184" s="258"/>
      <c r="B184" s="285"/>
      <c r="C184" s="279"/>
      <c r="D184" s="318"/>
      <c r="E184" s="199" t="s">
        <v>691</v>
      </c>
      <c r="F184" s="333">
        <f>1.5*1*12*2</f>
        <v>36</v>
      </c>
      <c r="G184" s="280"/>
      <c r="H184" s="286"/>
    </row>
    <row r="185" spans="1:8" ht="12.75" customHeight="1">
      <c r="A185" s="258"/>
      <c r="B185" s="285"/>
      <c r="C185" s="279"/>
      <c r="D185" s="318"/>
      <c r="E185" s="199" t="s">
        <v>692</v>
      </c>
      <c r="F185" s="333"/>
      <c r="G185" s="280"/>
      <c r="H185" s="286" t="s">
        <v>399</v>
      </c>
    </row>
    <row r="186" spans="1:8" ht="12.75" customHeight="1">
      <c r="A186" s="258"/>
      <c r="B186" s="285"/>
      <c r="C186" s="279"/>
      <c r="D186" s="318"/>
      <c r="E186" s="199" t="s">
        <v>693</v>
      </c>
      <c r="F186" s="333">
        <v>50</v>
      </c>
      <c r="G186" s="280"/>
      <c r="H186" s="286"/>
    </row>
    <row r="187" spans="1:8" ht="12.75" customHeight="1">
      <c r="A187" s="258"/>
      <c r="B187" s="285"/>
      <c r="C187" s="279"/>
      <c r="D187" s="318"/>
      <c r="E187" s="199" t="s">
        <v>694</v>
      </c>
      <c r="F187" s="341">
        <v>7.3</v>
      </c>
      <c r="G187" s="280" t="s">
        <v>399</v>
      </c>
      <c r="H187" s="286"/>
    </row>
    <row r="188" spans="1:8" ht="12.75" customHeight="1">
      <c r="A188" s="258"/>
      <c r="B188" s="285"/>
      <c r="C188" s="279"/>
      <c r="D188" s="318"/>
      <c r="E188" s="362" t="s">
        <v>377</v>
      </c>
      <c r="F188" s="333">
        <f>SUM(F184:F187)</f>
        <v>93.3</v>
      </c>
      <c r="G188" s="280"/>
      <c r="H188" s="286"/>
    </row>
    <row r="189" spans="1:9" s="344" customFormat="1" ht="14.25">
      <c r="A189" s="275">
        <f>MAX(A$2:A188)+1</f>
        <v>20</v>
      </c>
      <c r="B189" s="276" t="s">
        <v>49</v>
      </c>
      <c r="C189" s="294" t="s">
        <v>93</v>
      </c>
      <c r="D189" s="277"/>
      <c r="E189" s="323" t="s">
        <v>94</v>
      </c>
      <c r="F189" s="296"/>
      <c r="G189" s="137" t="s">
        <v>45</v>
      </c>
      <c r="H189" s="144">
        <f>H190+H192+H200+H205+H210</f>
        <v>1043.35</v>
      </c>
      <c r="I189" s="343"/>
    </row>
    <row r="190" spans="1:9" s="344" customFormat="1" ht="14.25">
      <c r="A190" s="275"/>
      <c r="B190" s="369"/>
      <c r="C190" s="294"/>
      <c r="D190" s="337" t="s">
        <v>695</v>
      </c>
      <c r="E190" s="338" t="s">
        <v>696</v>
      </c>
      <c r="F190" s="365"/>
      <c r="G190" s="340" t="s">
        <v>45</v>
      </c>
      <c r="H190" s="283">
        <f>ROUND(F191,2)</f>
        <v>126.9</v>
      </c>
      <c r="I190" s="343"/>
    </row>
    <row r="191" spans="1:9" s="344" customFormat="1" ht="14.25">
      <c r="A191" s="275"/>
      <c r="B191" s="369"/>
      <c r="C191" s="294"/>
      <c r="D191" s="277"/>
      <c r="E191" s="199" t="s">
        <v>697</v>
      </c>
      <c r="F191" s="333">
        <v>126.9</v>
      </c>
      <c r="G191" s="137"/>
      <c r="H191" s="144"/>
      <c r="I191" s="343"/>
    </row>
    <row r="192" spans="1:9" s="344" customFormat="1" ht="14.25">
      <c r="A192" s="275"/>
      <c r="B192" s="369"/>
      <c r="C192" s="294"/>
      <c r="D192" s="337" t="s">
        <v>698</v>
      </c>
      <c r="E192" s="338" t="s">
        <v>699</v>
      </c>
      <c r="F192" s="365"/>
      <c r="G192" s="340" t="s">
        <v>45</v>
      </c>
      <c r="H192" s="283">
        <f>ROUND(F199,2)</f>
        <v>773.56</v>
      </c>
      <c r="I192" s="343"/>
    </row>
    <row r="193" spans="1:8" ht="12.75" customHeight="1">
      <c r="A193" s="258"/>
      <c r="B193" s="285"/>
      <c r="C193" s="279"/>
      <c r="D193" s="318"/>
      <c r="E193" s="199" t="s">
        <v>700</v>
      </c>
      <c r="F193" s="333">
        <v>753.34</v>
      </c>
      <c r="G193" s="280"/>
      <c r="H193" s="286"/>
    </row>
    <row r="194" spans="1:8" ht="12.75" customHeight="1">
      <c r="A194" s="258"/>
      <c r="B194" s="285"/>
      <c r="C194" s="279"/>
      <c r="D194" s="318"/>
      <c r="E194" s="199" t="s">
        <v>701</v>
      </c>
      <c r="F194" s="333"/>
      <c r="G194" s="280"/>
      <c r="H194" s="286"/>
    </row>
    <row r="195" spans="1:8" ht="12.75" customHeight="1">
      <c r="A195" s="258"/>
      <c r="B195" s="285"/>
      <c r="C195" s="279"/>
      <c r="D195" s="318"/>
      <c r="E195" s="199" t="s">
        <v>702</v>
      </c>
      <c r="F195" s="333">
        <f>22*0.45</f>
        <v>9.9</v>
      </c>
      <c r="G195" s="280"/>
      <c r="H195" s="286"/>
    </row>
    <row r="196" spans="1:8" ht="12.75" customHeight="1">
      <c r="A196" s="258"/>
      <c r="B196" s="285"/>
      <c r="C196" s="279"/>
      <c r="D196" s="318"/>
      <c r="E196" s="199" t="s">
        <v>703</v>
      </c>
      <c r="F196" s="333">
        <f>24*0.37</f>
        <v>8.88</v>
      </c>
      <c r="G196" s="280"/>
      <c r="H196" s="286"/>
    </row>
    <row r="197" spans="1:8" ht="12.75" customHeight="1">
      <c r="A197" s="258"/>
      <c r="B197" s="285"/>
      <c r="C197" s="279"/>
      <c r="D197" s="318"/>
      <c r="E197" s="199" t="s">
        <v>704</v>
      </c>
      <c r="F197" s="341">
        <f>12*0.12</f>
        <v>1.44</v>
      </c>
      <c r="G197" s="280"/>
      <c r="H197" s="286"/>
    </row>
    <row r="198" spans="1:8" ht="12.75" customHeight="1">
      <c r="A198" s="258"/>
      <c r="B198" s="285"/>
      <c r="C198" s="279"/>
      <c r="D198" s="318"/>
      <c r="E198" s="362" t="s">
        <v>382</v>
      </c>
      <c r="F198" s="333">
        <f>SUM(F195:F197)</f>
        <v>20.22</v>
      </c>
      <c r="G198" s="280"/>
      <c r="H198" s="286"/>
    </row>
    <row r="199" spans="1:8" ht="12.75" customHeight="1">
      <c r="A199" s="258"/>
      <c r="B199" s="285"/>
      <c r="C199" s="279"/>
      <c r="D199" s="318"/>
      <c r="E199" s="362" t="s">
        <v>635</v>
      </c>
      <c r="F199" s="333">
        <f>F198+F193</f>
        <v>773.56</v>
      </c>
      <c r="G199" s="280"/>
      <c r="H199" s="286"/>
    </row>
    <row r="200" spans="1:9" s="344" customFormat="1" ht="14.25">
      <c r="A200" s="275"/>
      <c r="B200" s="369"/>
      <c r="C200" s="294"/>
      <c r="D200" s="337" t="s">
        <v>705</v>
      </c>
      <c r="E200" s="338" t="s">
        <v>706</v>
      </c>
      <c r="F200" s="365"/>
      <c r="G200" s="340" t="s">
        <v>45</v>
      </c>
      <c r="H200" s="283">
        <f>ROUND(F203,2)</f>
        <v>103.64</v>
      </c>
      <c r="I200" s="343"/>
    </row>
    <row r="201" spans="1:8" ht="12.75" customHeight="1">
      <c r="A201" s="258"/>
      <c r="B201" s="285"/>
      <c r="C201" s="279"/>
      <c r="D201" s="318"/>
      <c r="E201" s="199" t="s">
        <v>707</v>
      </c>
      <c r="F201" s="333">
        <v>29.28</v>
      </c>
      <c r="G201" s="280"/>
      <c r="H201" s="286"/>
    </row>
    <row r="202" spans="1:8" ht="12.75" customHeight="1">
      <c r="A202" s="258"/>
      <c r="B202" s="285"/>
      <c r="C202" s="279"/>
      <c r="D202" s="318"/>
      <c r="E202" s="199" t="s">
        <v>708</v>
      </c>
      <c r="F202" s="341">
        <v>74.36</v>
      </c>
      <c r="G202" s="280"/>
      <c r="H202" s="286"/>
    </row>
    <row r="203" spans="1:8" ht="12.75" customHeight="1">
      <c r="A203" s="258"/>
      <c r="B203" s="285"/>
      <c r="C203" s="279"/>
      <c r="D203" s="318"/>
      <c r="E203" s="199"/>
      <c r="F203" s="333">
        <f>SUM(F201:F202)</f>
        <v>103.64</v>
      </c>
      <c r="G203" s="280"/>
      <c r="H203" s="286"/>
    </row>
    <row r="204" spans="1:8" ht="12.75" customHeight="1">
      <c r="A204" s="258"/>
      <c r="B204" s="285"/>
      <c r="C204" s="279"/>
      <c r="D204" s="318"/>
      <c r="E204" s="199"/>
      <c r="F204" s="333"/>
      <c r="G204" s="280"/>
      <c r="H204" s="286"/>
    </row>
    <row r="205" spans="1:9" s="344" customFormat="1" ht="15">
      <c r="A205" s="345"/>
      <c r="B205" s="352"/>
      <c r="C205" s="294"/>
      <c r="D205" s="337" t="s">
        <v>709</v>
      </c>
      <c r="E205" s="338" t="s">
        <v>710</v>
      </c>
      <c r="F205" s="348"/>
      <c r="G205" s="340" t="s">
        <v>45</v>
      </c>
      <c r="H205" s="283">
        <f>ROUND(F209,2)</f>
        <v>21.5</v>
      </c>
      <c r="I205" s="343"/>
    </row>
    <row r="206" spans="1:8" ht="12.75" customHeight="1">
      <c r="A206" s="258"/>
      <c r="B206" s="285"/>
      <c r="C206" s="279"/>
      <c r="D206" s="318"/>
      <c r="E206" s="199" t="s">
        <v>711</v>
      </c>
      <c r="F206" s="333"/>
      <c r="G206" s="280"/>
      <c r="H206" s="286"/>
    </row>
    <row r="207" spans="1:8" ht="12.75" customHeight="1">
      <c r="A207" s="258"/>
      <c r="B207" s="285"/>
      <c r="C207" s="279"/>
      <c r="D207" s="318"/>
      <c r="E207" s="199" t="s">
        <v>712</v>
      </c>
      <c r="F207" s="333">
        <f>21*0.395</f>
        <v>8.3</v>
      </c>
      <c r="G207" s="280"/>
      <c r="H207" s="286"/>
    </row>
    <row r="208" spans="1:8" ht="12.75" customHeight="1">
      <c r="A208" s="258"/>
      <c r="B208" s="285"/>
      <c r="C208" s="279"/>
      <c r="D208" s="318"/>
      <c r="E208" s="199" t="s">
        <v>713</v>
      </c>
      <c r="F208" s="341">
        <f>24*(0.43+0.12)</f>
        <v>13.2</v>
      </c>
      <c r="G208" s="280"/>
      <c r="H208" s="286"/>
    </row>
    <row r="209" spans="1:8" ht="12.75" customHeight="1">
      <c r="A209" s="258"/>
      <c r="B209" s="285"/>
      <c r="C209" s="279"/>
      <c r="D209" s="318"/>
      <c r="E209" s="362" t="s">
        <v>635</v>
      </c>
      <c r="F209" s="333">
        <f>SUM(F207:F208)</f>
        <v>21.5</v>
      </c>
      <c r="G209" s="280"/>
      <c r="H209" s="286"/>
    </row>
    <row r="210" spans="1:8" ht="12.75" customHeight="1">
      <c r="A210" s="258"/>
      <c r="B210" s="285"/>
      <c r="C210" s="279"/>
      <c r="D210" s="337" t="s">
        <v>714</v>
      </c>
      <c r="E210" s="338" t="s">
        <v>715</v>
      </c>
      <c r="F210" s="365"/>
      <c r="G210" s="340" t="s">
        <v>45</v>
      </c>
      <c r="H210" s="283">
        <f>ROUND(F211,2)</f>
        <v>17.75</v>
      </c>
    </row>
    <row r="211" spans="1:8" ht="12.75" customHeight="1">
      <c r="A211" s="258"/>
      <c r="B211" s="285"/>
      <c r="C211" s="279"/>
      <c r="D211" s="318"/>
      <c r="E211" s="199" t="s">
        <v>716</v>
      </c>
      <c r="F211" s="363">
        <v>17.75</v>
      </c>
      <c r="G211" s="280"/>
      <c r="H211" s="286"/>
    </row>
    <row r="212" spans="1:8" ht="12.75" customHeight="1">
      <c r="A212" s="275">
        <f>MAX(A$2:A209)+1</f>
        <v>21</v>
      </c>
      <c r="B212" s="276" t="s">
        <v>49</v>
      </c>
      <c r="C212" s="204" t="s">
        <v>95</v>
      </c>
      <c r="D212" s="205"/>
      <c r="E212" s="222" t="s">
        <v>96</v>
      </c>
      <c r="F212" s="370"/>
      <c r="G212" s="335" t="s">
        <v>45</v>
      </c>
      <c r="H212" s="219">
        <f>H213</f>
        <v>618.96</v>
      </c>
    </row>
    <row r="213" spans="1:8" ht="12.75" customHeight="1">
      <c r="A213" s="258"/>
      <c r="B213" s="285"/>
      <c r="C213" s="204"/>
      <c r="D213" s="337" t="s">
        <v>717</v>
      </c>
      <c r="E213" s="371" t="s">
        <v>718</v>
      </c>
      <c r="F213" s="370"/>
      <c r="G213" s="340" t="s">
        <v>45</v>
      </c>
      <c r="H213" s="216">
        <f>ROUND(F229,2)</f>
        <v>618.96</v>
      </c>
    </row>
    <row r="214" spans="1:8" ht="25.5">
      <c r="A214" s="258"/>
      <c r="B214" s="285"/>
      <c r="C214" s="279"/>
      <c r="D214" s="318"/>
      <c r="E214" s="199" t="s">
        <v>719</v>
      </c>
      <c r="F214" s="333"/>
      <c r="G214" s="280"/>
      <c r="H214" s="286"/>
    </row>
    <row r="215" spans="1:8" ht="12.75" customHeight="1">
      <c r="A215" s="258"/>
      <c r="B215" s="285"/>
      <c r="C215" s="279"/>
      <c r="D215" s="318"/>
      <c r="E215" s="199" t="s">
        <v>720</v>
      </c>
      <c r="F215" s="333">
        <f>(22+21)*0.25</f>
        <v>10.75</v>
      </c>
      <c r="G215" s="280"/>
      <c r="H215" s="286"/>
    </row>
    <row r="216" spans="1:8" ht="25.5">
      <c r="A216" s="258"/>
      <c r="B216" s="285"/>
      <c r="C216" s="279"/>
      <c r="D216" s="318"/>
      <c r="E216" s="199" t="s">
        <v>721</v>
      </c>
      <c r="F216" s="333"/>
      <c r="G216" s="280"/>
      <c r="H216" s="286"/>
    </row>
    <row r="217" spans="1:8" ht="12.75" customHeight="1">
      <c r="A217" s="258"/>
      <c r="B217" s="285"/>
      <c r="C217" s="279"/>
      <c r="D217" s="318"/>
      <c r="E217" s="199" t="s">
        <v>722</v>
      </c>
      <c r="F217" s="333">
        <f>2230*0.16</f>
        <v>356.8</v>
      </c>
      <c r="G217" s="280"/>
      <c r="H217" s="286"/>
    </row>
    <row r="218" spans="1:8" ht="25.5">
      <c r="A218" s="258"/>
      <c r="B218" s="285"/>
      <c r="C218" s="279"/>
      <c r="D218" s="318"/>
      <c r="E218" s="199" t="s">
        <v>723</v>
      </c>
      <c r="F218" s="333">
        <f>16*0.12</f>
        <v>1.92</v>
      </c>
      <c r="G218" s="280"/>
      <c r="H218" s="286"/>
    </row>
    <row r="219" spans="1:8" ht="15">
      <c r="A219" s="258"/>
      <c r="B219" s="285"/>
      <c r="C219" s="279"/>
      <c r="D219" s="318"/>
      <c r="E219" s="199" t="s">
        <v>724</v>
      </c>
      <c r="F219" s="333"/>
      <c r="G219" s="280"/>
      <c r="H219" s="286"/>
    </row>
    <row r="220" spans="1:8" ht="12.75" customHeight="1">
      <c r="A220" s="258"/>
      <c r="B220" s="285"/>
      <c r="C220" s="279"/>
      <c r="D220" s="318"/>
      <c r="E220" s="199" t="s">
        <v>725</v>
      </c>
      <c r="F220" s="333">
        <f>1296*0.12</f>
        <v>155.52</v>
      </c>
      <c r="G220" s="280"/>
      <c r="H220" s="286"/>
    </row>
    <row r="221" spans="1:8" ht="15">
      <c r="A221" s="258"/>
      <c r="B221" s="285"/>
      <c r="C221" s="279"/>
      <c r="D221" s="318"/>
      <c r="E221" s="199" t="s">
        <v>726</v>
      </c>
      <c r="F221" s="333"/>
      <c r="G221" s="280"/>
      <c r="H221" s="286"/>
    </row>
    <row r="222" spans="1:8" ht="12.75" customHeight="1">
      <c r="A222" s="258"/>
      <c r="B222" s="285"/>
      <c r="C222" s="279"/>
      <c r="D222" s="318"/>
      <c r="E222" s="199" t="s">
        <v>727</v>
      </c>
      <c r="F222" s="333">
        <f>12*6*0.1</f>
        <v>7.2</v>
      </c>
      <c r="G222" s="280"/>
      <c r="H222" s="286"/>
    </row>
    <row r="223" spans="1:8" ht="12.75" customHeight="1">
      <c r="A223" s="258"/>
      <c r="B223" s="285"/>
      <c r="C223" s="279"/>
      <c r="D223" s="318"/>
      <c r="E223" s="199" t="s">
        <v>728</v>
      </c>
      <c r="F223" s="333"/>
      <c r="G223" s="280"/>
      <c r="H223" s="286"/>
    </row>
    <row r="224" spans="1:8" ht="12.75" customHeight="1">
      <c r="A224" s="258"/>
      <c r="B224" s="285"/>
      <c r="C224" s="279"/>
      <c r="D224" s="318"/>
      <c r="E224" s="199" t="s">
        <v>729</v>
      </c>
      <c r="F224" s="333">
        <f>128*0.3</f>
        <v>38.4</v>
      </c>
      <c r="G224" s="280"/>
      <c r="H224" s="286"/>
    </row>
    <row r="225" spans="1:8" ht="25.5">
      <c r="A225" s="258"/>
      <c r="B225" s="285"/>
      <c r="C225" s="279"/>
      <c r="D225" s="318"/>
      <c r="E225" s="199" t="s">
        <v>730</v>
      </c>
      <c r="F225" s="333">
        <f>21*4*0.11</f>
        <v>9.24</v>
      </c>
      <c r="G225" s="280"/>
      <c r="H225" s="286"/>
    </row>
    <row r="226" spans="1:8" ht="25.5">
      <c r="A226" s="258"/>
      <c r="B226" s="285"/>
      <c r="C226" s="279"/>
      <c r="D226" s="318"/>
      <c r="E226" s="221" t="s">
        <v>731</v>
      </c>
      <c r="F226" s="200">
        <f>0.15*144</f>
        <v>21.6</v>
      </c>
      <c r="G226" s="280"/>
      <c r="H226" s="286"/>
    </row>
    <row r="227" spans="1:8" ht="25.5">
      <c r="A227" s="258"/>
      <c r="B227" s="285"/>
      <c r="C227" s="279"/>
      <c r="D227" s="318"/>
      <c r="E227" s="221" t="s">
        <v>732</v>
      </c>
      <c r="F227" s="200">
        <f>0.15*72</f>
        <v>10.8</v>
      </c>
      <c r="G227" s="280"/>
      <c r="H227" s="286"/>
    </row>
    <row r="228" spans="1:8" ht="12.75" customHeight="1">
      <c r="A228" s="258"/>
      <c r="B228" s="285"/>
      <c r="C228" s="279"/>
      <c r="D228" s="318"/>
      <c r="E228" s="199" t="s">
        <v>733</v>
      </c>
      <c r="F228" s="341">
        <f>74*0.091</f>
        <v>6.73</v>
      </c>
      <c r="G228" s="280"/>
      <c r="H228" s="286"/>
    </row>
    <row r="229" spans="1:8" ht="12.75" customHeight="1">
      <c r="A229" s="258"/>
      <c r="B229" s="285"/>
      <c r="C229" s="279"/>
      <c r="D229" s="318"/>
      <c r="E229" s="362" t="s">
        <v>377</v>
      </c>
      <c r="F229" s="333">
        <f>SUM(F214:F228)</f>
        <v>618.96</v>
      </c>
      <c r="G229" s="280"/>
      <c r="H229" s="286"/>
    </row>
    <row r="230" spans="1:8" s="247" customFormat="1" ht="13.5">
      <c r="A230" s="289"/>
      <c r="B230" s="267" t="s">
        <v>98</v>
      </c>
      <c r="C230" s="268"/>
      <c r="D230" s="269"/>
      <c r="E230" s="290" t="s">
        <v>734</v>
      </c>
      <c r="F230" s="291"/>
      <c r="G230" s="292"/>
      <c r="H230" s="293"/>
    </row>
    <row r="231" spans="1:9" s="344" customFormat="1" ht="12.75" customHeight="1">
      <c r="A231" s="275">
        <f>MAX(A$2:A230)+1</f>
        <v>22</v>
      </c>
      <c r="B231" s="276" t="s">
        <v>98</v>
      </c>
      <c r="C231" s="294" t="s">
        <v>99</v>
      </c>
      <c r="D231" s="277"/>
      <c r="E231" s="323" t="s">
        <v>100</v>
      </c>
      <c r="F231" s="296"/>
      <c r="G231" s="137" t="s">
        <v>38</v>
      </c>
      <c r="H231" s="297">
        <f>H232</f>
        <v>4000</v>
      </c>
      <c r="I231" s="343"/>
    </row>
    <row r="232" spans="1:9" s="344" customFormat="1" ht="15">
      <c r="A232" s="345"/>
      <c r="B232" s="352"/>
      <c r="C232" s="294"/>
      <c r="D232" s="347" t="s">
        <v>99</v>
      </c>
      <c r="E232" s="329" t="s">
        <v>100</v>
      </c>
      <c r="F232" s="348"/>
      <c r="G232" s="360" t="s">
        <v>38</v>
      </c>
      <c r="H232" s="283">
        <f>F234</f>
        <v>4000</v>
      </c>
      <c r="I232" s="343"/>
    </row>
    <row r="233" spans="1:8" ht="12.75" customHeight="1">
      <c r="A233" s="258"/>
      <c r="B233" s="285"/>
      <c r="C233" s="279"/>
      <c r="D233" s="318"/>
      <c r="E233" s="199" t="s">
        <v>735</v>
      </c>
      <c r="F233" s="333"/>
      <c r="G233" s="280"/>
      <c r="H233" s="286"/>
    </row>
    <row r="234" spans="1:8" ht="12.75" customHeight="1">
      <c r="A234" s="258"/>
      <c r="B234" s="285"/>
      <c r="C234" s="279"/>
      <c r="D234" s="318"/>
      <c r="E234" s="199" t="s">
        <v>736</v>
      </c>
      <c r="F234" s="333">
        <f>70*40+40*30</f>
        <v>4000</v>
      </c>
      <c r="G234" s="280"/>
      <c r="H234" s="286"/>
    </row>
    <row r="235" spans="1:9" s="344" customFormat="1" ht="12.75" customHeight="1">
      <c r="A235" s="275">
        <f>MAX(A$2:A234)+1</f>
        <v>23</v>
      </c>
      <c r="B235" s="276" t="s">
        <v>98</v>
      </c>
      <c r="C235" s="294" t="s">
        <v>101</v>
      </c>
      <c r="D235" s="277"/>
      <c r="E235" s="323" t="s">
        <v>102</v>
      </c>
      <c r="F235" s="296"/>
      <c r="G235" s="137" t="s">
        <v>38</v>
      </c>
      <c r="H235" s="297">
        <f>(+H236)</f>
        <v>86.04</v>
      </c>
      <c r="I235" s="343"/>
    </row>
    <row r="236" spans="1:9" s="344" customFormat="1" ht="12.75" customHeight="1">
      <c r="A236" s="345"/>
      <c r="B236" s="372"/>
      <c r="C236" s="157"/>
      <c r="D236" s="347" t="s">
        <v>737</v>
      </c>
      <c r="E236" s="329" t="s">
        <v>738</v>
      </c>
      <c r="F236" s="348"/>
      <c r="G236" s="129" t="s">
        <v>38</v>
      </c>
      <c r="H236" s="283">
        <f>ROUND(F238,2)</f>
        <v>86.04</v>
      </c>
      <c r="I236" s="343"/>
    </row>
    <row r="237" spans="1:9" ht="12.75" customHeight="1">
      <c r="A237" s="258"/>
      <c r="B237" s="285"/>
      <c r="C237" s="279"/>
      <c r="D237" s="318"/>
      <c r="E237" s="199" t="s">
        <v>739</v>
      </c>
      <c r="F237" s="333" t="s">
        <v>399</v>
      </c>
      <c r="G237" s="280"/>
      <c r="H237" s="286"/>
      <c r="I237" s="247" t="s">
        <v>399</v>
      </c>
    </row>
    <row r="238" spans="1:8" ht="12.75" customHeight="1">
      <c r="A238" s="258"/>
      <c r="B238" s="285"/>
      <c r="C238" s="279"/>
      <c r="D238" s="318"/>
      <c r="E238" s="199" t="s">
        <v>740</v>
      </c>
      <c r="F238" s="333">
        <f>(5.55+5.5*0.5+71.37)*1.08</f>
        <v>86.04</v>
      </c>
      <c r="G238" s="280"/>
      <c r="H238" s="286"/>
    </row>
    <row r="239" spans="1:9" s="344" customFormat="1" ht="12.75" customHeight="1">
      <c r="A239" s="275">
        <f>MAX(A$2:A238)+1</f>
        <v>24</v>
      </c>
      <c r="B239" s="276" t="s">
        <v>98</v>
      </c>
      <c r="C239" s="204" t="s">
        <v>103</v>
      </c>
      <c r="D239" s="205"/>
      <c r="E239" s="373" t="s">
        <v>104</v>
      </c>
      <c r="F239" s="334"/>
      <c r="G239" s="335" t="s">
        <v>60</v>
      </c>
      <c r="H239" s="297">
        <f>H240</f>
        <v>3</v>
      </c>
      <c r="I239" s="343"/>
    </row>
    <row r="240" spans="1:9" s="344" customFormat="1" ht="12.75" customHeight="1">
      <c r="A240" s="345"/>
      <c r="B240" s="372"/>
      <c r="C240" s="303"/>
      <c r="D240" s="337" t="s">
        <v>741</v>
      </c>
      <c r="E240" s="368" t="s">
        <v>742</v>
      </c>
      <c r="F240" s="339"/>
      <c r="G240" s="340" t="s">
        <v>60</v>
      </c>
      <c r="H240" s="283">
        <f>F241</f>
        <v>3</v>
      </c>
      <c r="I240" s="343"/>
    </row>
    <row r="241" spans="1:8" ht="12.75" customHeight="1">
      <c r="A241" s="258"/>
      <c r="B241" s="285"/>
      <c r="C241" s="279"/>
      <c r="D241" s="318"/>
      <c r="E241" s="199" t="s">
        <v>743</v>
      </c>
      <c r="F241" s="333">
        <v>3</v>
      </c>
      <c r="G241" s="280"/>
      <c r="H241" s="286"/>
    </row>
    <row r="242" spans="1:9" s="344" customFormat="1" ht="12.75" customHeight="1">
      <c r="A242" s="275">
        <f>MAX(A$2:A241)+1</f>
        <v>25</v>
      </c>
      <c r="B242" s="276" t="s">
        <v>98</v>
      </c>
      <c r="C242" s="204" t="s">
        <v>105</v>
      </c>
      <c r="D242" s="205"/>
      <c r="E242" s="373" t="s">
        <v>106</v>
      </c>
      <c r="F242" s="334"/>
      <c r="G242" s="335" t="s">
        <v>60</v>
      </c>
      <c r="H242" s="297">
        <f>H243</f>
        <v>3</v>
      </c>
      <c r="I242" s="343"/>
    </row>
    <row r="243" spans="1:9" s="344" customFormat="1" ht="12.75" customHeight="1">
      <c r="A243" s="345"/>
      <c r="B243" s="372"/>
      <c r="C243" s="303"/>
      <c r="D243" s="337" t="s">
        <v>744</v>
      </c>
      <c r="E243" s="368" t="s">
        <v>745</v>
      </c>
      <c r="F243" s="339"/>
      <c r="G243" s="340" t="s">
        <v>60</v>
      </c>
      <c r="H243" s="283">
        <f>F244</f>
        <v>3</v>
      </c>
      <c r="I243" s="343"/>
    </row>
    <row r="244" spans="1:8" ht="12.75" customHeight="1">
      <c r="A244" s="258"/>
      <c r="B244" s="285"/>
      <c r="C244" s="279"/>
      <c r="D244" s="318"/>
      <c r="E244" s="199" t="s">
        <v>743</v>
      </c>
      <c r="F244" s="333">
        <v>3</v>
      </c>
      <c r="G244" s="280"/>
      <c r="H244" s="286"/>
    </row>
    <row r="245" spans="1:9" s="344" customFormat="1" ht="12.75" customHeight="1">
      <c r="A245" s="275">
        <f>MAX(A$2:A244)+1</f>
        <v>26</v>
      </c>
      <c r="B245" s="276" t="s">
        <v>98</v>
      </c>
      <c r="C245" s="204" t="s">
        <v>107</v>
      </c>
      <c r="D245" s="205"/>
      <c r="E245" s="206" t="s">
        <v>108</v>
      </c>
      <c r="F245" s="296"/>
      <c r="G245" s="137" t="s">
        <v>30</v>
      </c>
      <c r="H245" s="297">
        <f>H246+H248+H250+H252</f>
        <v>18.38</v>
      </c>
      <c r="I245" s="343"/>
    </row>
    <row r="246" spans="1:9" s="344" customFormat="1" ht="12.75" customHeight="1">
      <c r="A246" s="345"/>
      <c r="B246" s="352"/>
      <c r="C246" s="294"/>
      <c r="D246" s="337" t="s">
        <v>746</v>
      </c>
      <c r="E246" s="338" t="s">
        <v>747</v>
      </c>
      <c r="F246" s="339"/>
      <c r="G246" s="340" t="s">
        <v>30</v>
      </c>
      <c r="H246" s="283">
        <f>ROUND(F247,2)</f>
        <v>2.28</v>
      </c>
      <c r="I246" s="343"/>
    </row>
    <row r="247" spans="1:8" ht="12.75" customHeight="1">
      <c r="A247" s="258"/>
      <c r="B247" s="285"/>
      <c r="C247" s="279"/>
      <c r="D247" s="318"/>
      <c r="E247" s="199" t="s">
        <v>748</v>
      </c>
      <c r="F247" s="333">
        <f>0.76*3</f>
        <v>2.28</v>
      </c>
      <c r="G247" s="280"/>
      <c r="H247" s="286"/>
    </row>
    <row r="248" spans="1:9" s="344" customFormat="1" ht="12.75" customHeight="1">
      <c r="A248" s="345"/>
      <c r="B248" s="352"/>
      <c r="C248" s="294"/>
      <c r="D248" s="337" t="s">
        <v>749</v>
      </c>
      <c r="E248" s="338" t="s">
        <v>750</v>
      </c>
      <c r="F248" s="339"/>
      <c r="G248" s="340" t="s">
        <v>30</v>
      </c>
      <c r="H248" s="283">
        <f>ROUND(F249,2)</f>
        <v>4.5</v>
      </c>
      <c r="I248" s="343"/>
    </row>
    <row r="249" spans="1:8" ht="12.75" customHeight="1">
      <c r="A249" s="258"/>
      <c r="B249" s="285"/>
      <c r="C249" s="279"/>
      <c r="D249" s="318"/>
      <c r="E249" s="199" t="s">
        <v>751</v>
      </c>
      <c r="F249" s="333">
        <f>1.5*3</f>
        <v>4.5</v>
      </c>
      <c r="G249" s="280"/>
      <c r="H249" s="286"/>
    </row>
    <row r="250" spans="1:9" s="344" customFormat="1" ht="12.75" customHeight="1">
      <c r="A250" s="345"/>
      <c r="B250" s="352"/>
      <c r="C250" s="294"/>
      <c r="D250" s="337" t="s">
        <v>752</v>
      </c>
      <c r="E250" s="338" t="s">
        <v>753</v>
      </c>
      <c r="F250" s="339"/>
      <c r="G250" s="340" t="s">
        <v>30</v>
      </c>
      <c r="H250" s="283">
        <f>ROUND(F251,2)</f>
        <v>3</v>
      </c>
      <c r="I250" s="343"/>
    </row>
    <row r="251" spans="1:8" ht="12.75" customHeight="1">
      <c r="A251" s="258"/>
      <c r="B251" s="285"/>
      <c r="C251" s="279"/>
      <c r="D251" s="318"/>
      <c r="E251" s="199" t="s">
        <v>754</v>
      </c>
      <c r="F251" s="333">
        <f>1*3</f>
        <v>3</v>
      </c>
      <c r="G251" s="280"/>
      <c r="H251" s="286"/>
    </row>
    <row r="252" spans="1:9" s="344" customFormat="1" ht="12.75" customHeight="1">
      <c r="A252" s="345"/>
      <c r="B252" s="372"/>
      <c r="C252" s="157"/>
      <c r="D252" s="337" t="s">
        <v>755</v>
      </c>
      <c r="E252" s="338" t="s">
        <v>756</v>
      </c>
      <c r="F252" s="348"/>
      <c r="G252" s="129" t="s">
        <v>30</v>
      </c>
      <c r="H252" s="283">
        <f>ROUND(F253,2)</f>
        <v>8.6</v>
      </c>
      <c r="I252" s="343"/>
    </row>
    <row r="253" spans="1:8" ht="15">
      <c r="A253" s="252"/>
      <c r="B253" s="285"/>
      <c r="C253" s="374"/>
      <c r="D253" s="375"/>
      <c r="E253" s="199" t="s">
        <v>757</v>
      </c>
      <c r="F253" s="333">
        <f>(5.55+5.5*0.5+71.37)*1.08*0.1</f>
        <v>8.6</v>
      </c>
      <c r="G253" s="355"/>
      <c r="H253" s="286"/>
    </row>
    <row r="254" spans="1:8" ht="25.5">
      <c r="A254" s="275">
        <f>MAX(A$2:A253)+1</f>
        <v>27</v>
      </c>
      <c r="B254" s="276" t="s">
        <v>98</v>
      </c>
      <c r="C254" s="294" t="s">
        <v>109</v>
      </c>
      <c r="D254" s="154"/>
      <c r="E254" s="376" t="s">
        <v>110</v>
      </c>
      <c r="F254" s="377"/>
      <c r="G254" s="137" t="s">
        <v>30</v>
      </c>
      <c r="H254" s="265">
        <f>H255</f>
        <v>1</v>
      </c>
    </row>
    <row r="255" spans="1:8" ht="24.75">
      <c r="A255" s="252"/>
      <c r="B255" s="285"/>
      <c r="C255" s="303"/>
      <c r="D255" s="337" t="s">
        <v>758</v>
      </c>
      <c r="E255" s="338" t="s">
        <v>759</v>
      </c>
      <c r="F255" s="339"/>
      <c r="G255" s="340" t="s">
        <v>30</v>
      </c>
      <c r="H255" s="283">
        <f>ROUND(F257,2)</f>
        <v>1</v>
      </c>
    </row>
    <row r="256" spans="1:8" ht="12.75" customHeight="1">
      <c r="A256" s="258"/>
      <c r="B256" s="285"/>
      <c r="C256" s="279"/>
      <c r="D256" s="318"/>
      <c r="E256" s="199" t="s">
        <v>760</v>
      </c>
      <c r="F256" s="333"/>
      <c r="G256" s="280"/>
      <c r="H256" s="286"/>
    </row>
    <row r="257" spans="1:8" ht="12.75" customHeight="1">
      <c r="A257" s="258"/>
      <c r="B257" s="285"/>
      <c r="C257" s="279"/>
      <c r="D257" s="318"/>
      <c r="E257" s="199" t="s">
        <v>761</v>
      </c>
      <c r="F257" s="333">
        <f>1*2*0.5</f>
        <v>1</v>
      </c>
      <c r="G257" s="280"/>
      <c r="H257" s="286"/>
    </row>
    <row r="258" spans="1:9" s="382" customFormat="1" ht="15">
      <c r="A258" s="378"/>
      <c r="B258" s="285" t="s">
        <v>124</v>
      </c>
      <c r="C258" s="379"/>
      <c r="D258" s="130"/>
      <c r="E258" s="380" t="s">
        <v>473</v>
      </c>
      <c r="F258" s="131"/>
      <c r="G258" s="138"/>
      <c r="H258" s="132"/>
      <c r="I258" s="381"/>
    </row>
    <row r="259" spans="1:9" s="344" customFormat="1" ht="12.75" customHeight="1">
      <c r="A259" s="275">
        <f>MAX(A$2:A258)+1</f>
        <v>28</v>
      </c>
      <c r="B259" s="383" t="s">
        <v>124</v>
      </c>
      <c r="C259" s="294" t="s">
        <v>125</v>
      </c>
      <c r="D259" s="277"/>
      <c r="E259" s="323" t="s">
        <v>126</v>
      </c>
      <c r="F259" s="296"/>
      <c r="G259" s="137" t="s">
        <v>30</v>
      </c>
      <c r="H259" s="297">
        <f>(+H260)</f>
        <v>11.76</v>
      </c>
      <c r="I259" s="343"/>
    </row>
    <row r="260" spans="1:9" s="344" customFormat="1" ht="12.75" customHeight="1">
      <c r="A260" s="345"/>
      <c r="B260" s="372"/>
      <c r="C260" s="157"/>
      <c r="D260" s="347" t="s">
        <v>474</v>
      </c>
      <c r="E260" s="329" t="s">
        <v>475</v>
      </c>
      <c r="F260" s="348"/>
      <c r="G260" s="129" t="s">
        <v>30</v>
      </c>
      <c r="H260" s="283">
        <f>ROUND(F265,2)</f>
        <v>11.76</v>
      </c>
      <c r="I260" s="343"/>
    </row>
    <row r="261" spans="1:8" ht="12.75" customHeight="1">
      <c r="A261" s="258"/>
      <c r="B261" s="285"/>
      <c r="C261" s="279"/>
      <c r="D261" s="318"/>
      <c r="E261" s="199" t="s">
        <v>762</v>
      </c>
      <c r="F261" s="333"/>
      <c r="G261" s="280"/>
      <c r="H261" s="286"/>
    </row>
    <row r="262" spans="1:8" ht="12.75" customHeight="1">
      <c r="A262" s="258"/>
      <c r="B262" s="285"/>
      <c r="C262" s="279"/>
      <c r="D262" s="318"/>
      <c r="E262" s="199" t="s">
        <v>763</v>
      </c>
      <c r="F262" s="333">
        <f>1*0.76*1*2</f>
        <v>1.52</v>
      </c>
      <c r="G262" s="280"/>
      <c r="H262" s="286"/>
    </row>
    <row r="263" spans="1:8" ht="12.75" customHeight="1">
      <c r="A263" s="258"/>
      <c r="B263" s="285"/>
      <c r="C263" s="279"/>
      <c r="D263" s="318"/>
      <c r="E263" s="199" t="s">
        <v>764</v>
      </c>
      <c r="F263" s="333"/>
      <c r="G263" s="280"/>
      <c r="H263" s="286"/>
    </row>
    <row r="264" spans="1:8" ht="12.75" customHeight="1">
      <c r="A264" s="258"/>
      <c r="B264" s="285"/>
      <c r="C264" s="279"/>
      <c r="D264" s="318"/>
      <c r="E264" s="199" t="s">
        <v>765</v>
      </c>
      <c r="F264" s="341">
        <f>1*1.347*(3.5+4.1)</f>
        <v>10.24</v>
      </c>
      <c r="G264" s="280"/>
      <c r="H264" s="286"/>
    </row>
    <row r="265" spans="1:8" ht="12.75" customHeight="1">
      <c r="A265" s="258"/>
      <c r="B265" s="384"/>
      <c r="C265" s="157"/>
      <c r="D265" s="347"/>
      <c r="E265" s="362" t="s">
        <v>377</v>
      </c>
      <c r="F265" s="333">
        <f>SUM(F262:F264)</f>
        <v>11.76</v>
      </c>
      <c r="G265" s="129"/>
      <c r="H265" s="286"/>
    </row>
    <row r="266" spans="1:8" ht="12.75">
      <c r="A266" s="275">
        <f>MAX(A$2:A265)+1</f>
        <v>29</v>
      </c>
      <c r="B266" s="383" t="s">
        <v>124</v>
      </c>
      <c r="C266" s="204" t="s">
        <v>127</v>
      </c>
      <c r="D266" s="205"/>
      <c r="E266" s="206" t="s">
        <v>128</v>
      </c>
      <c r="F266" s="334"/>
      <c r="G266" s="335" t="s">
        <v>30</v>
      </c>
      <c r="H266" s="265">
        <f>H267</f>
        <v>0.41</v>
      </c>
    </row>
    <row r="267" spans="1:8" ht="13.5">
      <c r="A267" s="258"/>
      <c r="B267" s="384"/>
      <c r="C267" s="157"/>
      <c r="D267" s="337" t="s">
        <v>766</v>
      </c>
      <c r="E267" s="338" t="s">
        <v>767</v>
      </c>
      <c r="F267" s="339"/>
      <c r="G267" s="340" t="s">
        <v>30</v>
      </c>
      <c r="H267" s="283">
        <f>ROUND(F268,2)</f>
        <v>0.41</v>
      </c>
    </row>
    <row r="268" spans="1:8" ht="14.25">
      <c r="A268" s="258"/>
      <c r="B268" s="384"/>
      <c r="C268" s="157"/>
      <c r="D268" s="347"/>
      <c r="E268" s="199" t="s">
        <v>768</v>
      </c>
      <c r="F268" s="333">
        <f>(8+2+3)*(0.25*0.25*0.5)</f>
        <v>0.41</v>
      </c>
      <c r="G268" s="385"/>
      <c r="H268" s="286"/>
    </row>
    <row r="269" spans="1:8" ht="12.75">
      <c r="A269" s="275">
        <f>MAX(A$2:A268)+1</f>
        <v>30</v>
      </c>
      <c r="B269" s="383" t="s">
        <v>124</v>
      </c>
      <c r="C269" s="204" t="s">
        <v>129</v>
      </c>
      <c r="D269" s="205"/>
      <c r="E269" s="206" t="s">
        <v>130</v>
      </c>
      <c r="F269" s="334"/>
      <c r="G269" s="335" t="s">
        <v>30</v>
      </c>
      <c r="H269" s="265">
        <f>H270</f>
        <v>6.84</v>
      </c>
    </row>
    <row r="270" spans="1:8" ht="13.5">
      <c r="A270" s="258"/>
      <c r="B270" s="384"/>
      <c r="C270" s="157"/>
      <c r="D270" s="337" t="s">
        <v>769</v>
      </c>
      <c r="E270" s="338" t="s">
        <v>770</v>
      </c>
      <c r="F270" s="339"/>
      <c r="G270" s="340" t="s">
        <v>30</v>
      </c>
      <c r="H270" s="283">
        <f>ROUND(F271,2)</f>
        <v>6.84</v>
      </c>
    </row>
    <row r="271" spans="1:8" ht="25.5">
      <c r="A271" s="258"/>
      <c r="B271" s="384"/>
      <c r="C271" s="157"/>
      <c r="D271" s="347"/>
      <c r="E271" s="199" t="s">
        <v>771</v>
      </c>
      <c r="F271" s="363">
        <f>17.1*0.8*0.5</f>
        <v>6.84</v>
      </c>
      <c r="G271" s="385"/>
      <c r="H271" s="286"/>
    </row>
    <row r="272" spans="1:8" ht="12.75">
      <c r="A272" s="275">
        <f>MAX(A$2:A271)+1</f>
        <v>31</v>
      </c>
      <c r="B272" s="383" t="s">
        <v>124</v>
      </c>
      <c r="C272" s="204" t="s">
        <v>131</v>
      </c>
      <c r="D272" s="205"/>
      <c r="E272" s="206" t="s">
        <v>132</v>
      </c>
      <c r="F272" s="334"/>
      <c r="G272" s="335" t="s">
        <v>30</v>
      </c>
      <c r="H272" s="265">
        <f>H273</f>
        <v>5.2</v>
      </c>
    </row>
    <row r="273" spans="1:8" ht="13.5">
      <c r="A273" s="258"/>
      <c r="B273" s="384"/>
      <c r="C273" s="204"/>
      <c r="D273" s="337" t="s">
        <v>772</v>
      </c>
      <c r="E273" s="338" t="s">
        <v>773</v>
      </c>
      <c r="F273" s="339"/>
      <c r="G273" s="340" t="s">
        <v>30</v>
      </c>
      <c r="H273" s="283">
        <f>ROUND(F274,2)</f>
        <v>5.2</v>
      </c>
    </row>
    <row r="274" spans="1:8" ht="14.25">
      <c r="A274" s="258"/>
      <c r="B274" s="384"/>
      <c r="C274" s="157"/>
      <c r="D274" s="347"/>
      <c r="E274" s="199" t="s">
        <v>774</v>
      </c>
      <c r="F274" s="333">
        <f>1.6*2.6*1.25</f>
        <v>5.2</v>
      </c>
      <c r="G274" s="385"/>
      <c r="H274" s="286"/>
    </row>
    <row r="275" spans="1:8" ht="12.75">
      <c r="A275" s="275">
        <f>MAX(A$2:A274)+1</f>
        <v>32</v>
      </c>
      <c r="B275" s="383" t="s">
        <v>124</v>
      </c>
      <c r="C275" s="294" t="s">
        <v>135</v>
      </c>
      <c r="D275" s="277"/>
      <c r="E275" s="323" t="s">
        <v>136</v>
      </c>
      <c r="F275" s="296"/>
      <c r="G275" s="137" t="s">
        <v>38</v>
      </c>
      <c r="H275" s="265">
        <f>H276</f>
        <v>86.04</v>
      </c>
    </row>
    <row r="276" spans="1:8" ht="12.75" customHeight="1">
      <c r="A276" s="258"/>
      <c r="B276" s="384"/>
      <c r="C276" s="386"/>
      <c r="D276" s="347" t="s">
        <v>775</v>
      </c>
      <c r="E276" s="387" t="s">
        <v>776</v>
      </c>
      <c r="F276" s="348"/>
      <c r="G276" s="388" t="s">
        <v>38</v>
      </c>
      <c r="H276" s="283">
        <f>ROUND(F278,2)</f>
        <v>86.04</v>
      </c>
    </row>
    <row r="277" spans="1:8" ht="25.5">
      <c r="A277" s="258"/>
      <c r="B277" s="384"/>
      <c r="C277" s="386"/>
      <c r="D277" s="347"/>
      <c r="E277" s="199" t="s">
        <v>777</v>
      </c>
      <c r="F277" s="389"/>
      <c r="G277" s="388"/>
      <c r="H277" s="286"/>
    </row>
    <row r="278" spans="1:8" ht="12.75" customHeight="1">
      <c r="A278" s="258"/>
      <c r="B278" s="384"/>
      <c r="C278" s="386"/>
      <c r="D278" s="347"/>
      <c r="E278" s="199" t="s">
        <v>740</v>
      </c>
      <c r="F278" s="333">
        <f>(5.55+5.5*0.5+71.37)*1.08</f>
        <v>86.04</v>
      </c>
      <c r="G278" s="388"/>
      <c r="H278" s="286"/>
    </row>
    <row r="279" spans="1:9" s="382" customFormat="1" ht="15">
      <c r="A279" s="378"/>
      <c r="B279" s="285" t="s">
        <v>138</v>
      </c>
      <c r="C279" s="379"/>
      <c r="D279" s="130"/>
      <c r="E279" s="380" t="s">
        <v>778</v>
      </c>
      <c r="F279" s="131"/>
      <c r="G279" s="138"/>
      <c r="H279" s="132"/>
      <c r="I279" s="381"/>
    </row>
    <row r="280" spans="1:8" ht="12.75">
      <c r="A280" s="275">
        <f>MAX(A$2:A279)+1</f>
        <v>33</v>
      </c>
      <c r="B280" s="383" t="s">
        <v>138</v>
      </c>
      <c r="C280" s="204" t="s">
        <v>107</v>
      </c>
      <c r="D280" s="205"/>
      <c r="E280" s="206" t="s">
        <v>108</v>
      </c>
      <c r="F280" s="334"/>
      <c r="G280" s="335" t="s">
        <v>30</v>
      </c>
      <c r="H280" s="265">
        <f>H281</f>
        <v>24.21</v>
      </c>
    </row>
    <row r="281" spans="1:8" ht="24.75">
      <c r="A281" s="258"/>
      <c r="B281" s="384"/>
      <c r="C281" s="303"/>
      <c r="D281" s="337" t="s">
        <v>485</v>
      </c>
      <c r="E281" s="338" t="s">
        <v>779</v>
      </c>
      <c r="F281" s="339"/>
      <c r="G281" s="340" t="s">
        <v>30</v>
      </c>
      <c r="H281" s="283">
        <f>ROUND(F282,2)</f>
        <v>24.21</v>
      </c>
    </row>
    <row r="282" spans="1:8" ht="12.75" customHeight="1">
      <c r="A282" s="258"/>
      <c r="B282" s="384"/>
      <c r="C282" s="386"/>
      <c r="D282" s="347"/>
      <c r="E282" s="199" t="s">
        <v>780</v>
      </c>
      <c r="F282" s="333">
        <f>11.76+0.41+6.84+5.2</f>
        <v>24.21</v>
      </c>
      <c r="G282" s="388"/>
      <c r="H282" s="286"/>
    </row>
    <row r="283" spans="1:9" s="382" customFormat="1" ht="15">
      <c r="A283" s="378"/>
      <c r="B283" s="285" t="s">
        <v>141</v>
      </c>
      <c r="C283" s="379"/>
      <c r="D283" s="130"/>
      <c r="E283" s="380" t="s">
        <v>781</v>
      </c>
      <c r="F283" s="131"/>
      <c r="G283" s="138"/>
      <c r="H283" s="132"/>
      <c r="I283" s="381"/>
    </row>
    <row r="284" spans="1:9" s="344" customFormat="1" ht="14.25">
      <c r="A284" s="345">
        <f>MAX(A$2:A282)+1</f>
        <v>34</v>
      </c>
      <c r="B284" s="390" t="s">
        <v>141</v>
      </c>
      <c r="C284" s="294" t="s">
        <v>142</v>
      </c>
      <c r="D284" s="277"/>
      <c r="E284" s="323" t="s">
        <v>143</v>
      </c>
      <c r="F284" s="296"/>
      <c r="G284" s="137" t="s">
        <v>30</v>
      </c>
      <c r="H284" s="297">
        <f>H285+H291</f>
        <v>9.85</v>
      </c>
      <c r="I284" s="343"/>
    </row>
    <row r="285" spans="1:9" s="344" customFormat="1" ht="15">
      <c r="A285" s="345"/>
      <c r="B285" s="391"/>
      <c r="C285" s="294"/>
      <c r="D285" s="337" t="s">
        <v>782</v>
      </c>
      <c r="E285" s="368" t="s">
        <v>783</v>
      </c>
      <c r="F285" s="339"/>
      <c r="G285" s="388" t="s">
        <v>30</v>
      </c>
      <c r="H285" s="283">
        <f>ROUND(F290,2)</f>
        <v>3.01</v>
      </c>
      <c r="I285" s="343"/>
    </row>
    <row r="286" spans="1:8" ht="12.75" customHeight="1">
      <c r="A286" s="258"/>
      <c r="B286" s="384"/>
      <c r="C286" s="386"/>
      <c r="D286" s="347"/>
      <c r="E286" s="199" t="s">
        <v>784</v>
      </c>
      <c r="F286" s="333">
        <f>7.2*0.3*0.3</f>
        <v>0.65</v>
      </c>
      <c r="G286" s="388" t="s">
        <v>399</v>
      </c>
      <c r="H286" s="286"/>
    </row>
    <row r="287" spans="1:8" ht="12.75" customHeight="1">
      <c r="A287" s="258"/>
      <c r="B287" s="384"/>
      <c r="C287" s="386"/>
      <c r="D287" s="347"/>
      <c r="E287" s="199" t="s">
        <v>785</v>
      </c>
      <c r="F287" s="333">
        <f>11.2*0.3*0.3</f>
        <v>1.01</v>
      </c>
      <c r="G287" s="388" t="s">
        <v>399</v>
      </c>
      <c r="H287" s="286"/>
    </row>
    <row r="288" spans="1:8" ht="12.75" customHeight="1">
      <c r="A288" s="258"/>
      <c r="B288" s="384"/>
      <c r="C288" s="386"/>
      <c r="D288" s="347"/>
      <c r="E288" s="199" t="s">
        <v>786</v>
      </c>
      <c r="F288" s="333">
        <f>3.9*0.3*0.3</f>
        <v>0.35</v>
      </c>
      <c r="G288" s="388" t="s">
        <v>399</v>
      </c>
      <c r="H288" s="286"/>
    </row>
    <row r="289" spans="1:8" ht="12.75" customHeight="1">
      <c r="A289" s="258"/>
      <c r="B289" s="384"/>
      <c r="C289" s="386"/>
      <c r="D289" s="347"/>
      <c r="E289" s="199" t="s">
        <v>787</v>
      </c>
      <c r="F289" s="341">
        <f>(5.6+2*2.75)*0.3*0.3</f>
        <v>1</v>
      </c>
      <c r="G289" s="388" t="s">
        <v>399</v>
      </c>
      <c r="H289" s="286"/>
    </row>
    <row r="290" spans="1:8" ht="12.75" customHeight="1">
      <c r="A290" s="258"/>
      <c r="B290" s="392"/>
      <c r="C290" s="294"/>
      <c r="D290" s="277"/>
      <c r="E290" s="362" t="s">
        <v>377</v>
      </c>
      <c r="F290" s="333">
        <f>SUM(F286:F289)</f>
        <v>3.01</v>
      </c>
      <c r="G290" s="393"/>
      <c r="H290" s="394"/>
    </row>
    <row r="291" spans="1:8" ht="12.75" customHeight="1">
      <c r="A291" s="258"/>
      <c r="B291" s="392"/>
      <c r="C291" s="294"/>
      <c r="D291" s="395" t="s">
        <v>788</v>
      </c>
      <c r="E291" s="396" t="s">
        <v>789</v>
      </c>
      <c r="F291" s="397"/>
      <c r="G291" s="388" t="s">
        <v>30</v>
      </c>
      <c r="H291" s="283">
        <f>ROUND(F293,2)</f>
        <v>6.84</v>
      </c>
    </row>
    <row r="292" spans="1:8" ht="12.75" customHeight="1">
      <c r="A292" s="258"/>
      <c r="B292" s="384"/>
      <c r="C292" s="386"/>
      <c r="D292" s="347"/>
      <c r="E292" s="199" t="s">
        <v>790</v>
      </c>
      <c r="F292" s="333"/>
      <c r="G292" s="388"/>
      <c r="H292" s="286"/>
    </row>
    <row r="293" spans="1:8" ht="12.75" customHeight="1">
      <c r="A293" s="258"/>
      <c r="B293" s="392"/>
      <c r="C293" s="294"/>
      <c r="D293" s="277"/>
      <c r="E293" s="199" t="s">
        <v>791</v>
      </c>
      <c r="F293" s="363">
        <f>17.1*0.8*0.5</f>
        <v>6.84</v>
      </c>
      <c r="G293" s="393"/>
      <c r="H293" s="394"/>
    </row>
    <row r="294" spans="1:9" s="300" customFormat="1" ht="14.25">
      <c r="A294" s="345">
        <f>MAX(A$2:A292)+1</f>
        <v>35</v>
      </c>
      <c r="B294" s="369" t="s">
        <v>141</v>
      </c>
      <c r="C294" s="204" t="s">
        <v>144</v>
      </c>
      <c r="D294" s="205"/>
      <c r="E294" s="206" t="s">
        <v>145</v>
      </c>
      <c r="F294" s="398"/>
      <c r="G294" s="335" t="s">
        <v>30</v>
      </c>
      <c r="H294" s="297">
        <f>H295+H298</f>
        <v>12.3</v>
      </c>
      <c r="I294" s="298"/>
    </row>
    <row r="295" spans="1:9" s="344" customFormat="1" ht="14.25">
      <c r="A295" s="345"/>
      <c r="B295" s="390"/>
      <c r="C295" s="204"/>
      <c r="D295" s="337" t="s">
        <v>792</v>
      </c>
      <c r="E295" s="368" t="s">
        <v>793</v>
      </c>
      <c r="F295" s="339"/>
      <c r="G295" s="388" t="s">
        <v>30</v>
      </c>
      <c r="H295" s="283">
        <f>ROUND(F297,2)</f>
        <v>0.41</v>
      </c>
      <c r="I295" s="343"/>
    </row>
    <row r="296" spans="1:8" ht="12.75" customHeight="1">
      <c r="A296" s="258"/>
      <c r="B296" s="384"/>
      <c r="C296" s="386"/>
      <c r="D296" s="347"/>
      <c r="E296" s="199" t="s">
        <v>794</v>
      </c>
      <c r="F296" s="333"/>
      <c r="G296" s="388"/>
      <c r="H296" s="286"/>
    </row>
    <row r="297" spans="1:8" ht="12.75" customHeight="1">
      <c r="A297" s="258"/>
      <c r="B297" s="384"/>
      <c r="C297" s="386"/>
      <c r="D297" s="347"/>
      <c r="E297" s="199" t="s">
        <v>795</v>
      </c>
      <c r="F297" s="333">
        <f>(8+2+3)*(0.25*0.25*0.5)</f>
        <v>0.41</v>
      </c>
      <c r="G297" s="388" t="s">
        <v>399</v>
      </c>
      <c r="H297" s="286"/>
    </row>
    <row r="298" spans="1:9" s="344" customFormat="1" ht="15">
      <c r="A298" s="345"/>
      <c r="B298" s="391"/>
      <c r="C298" s="294"/>
      <c r="D298" s="337" t="s">
        <v>796</v>
      </c>
      <c r="E298" s="368" t="s">
        <v>797</v>
      </c>
      <c r="F298" s="399"/>
      <c r="G298" s="388" t="s">
        <v>30</v>
      </c>
      <c r="H298" s="283">
        <f>ROUND(F301,2)</f>
        <v>11.89</v>
      </c>
      <c r="I298" s="343"/>
    </row>
    <row r="299" spans="1:8" ht="12.75" customHeight="1">
      <c r="A299" s="258"/>
      <c r="B299" s="384"/>
      <c r="C299" s="386"/>
      <c r="D299" s="347"/>
      <c r="E299" s="199" t="s">
        <v>798</v>
      </c>
      <c r="F299" s="333">
        <f>2*0.76*1*1</f>
        <v>1.52</v>
      </c>
      <c r="G299" s="388"/>
      <c r="H299" s="286"/>
    </row>
    <row r="300" spans="1:8" ht="12.75" customHeight="1">
      <c r="A300" s="258"/>
      <c r="B300" s="384"/>
      <c r="C300" s="386"/>
      <c r="D300" s="347"/>
      <c r="E300" s="199" t="s">
        <v>799</v>
      </c>
      <c r="F300" s="341">
        <f>3.5*1*1.347+1*1.347*4.2</f>
        <v>10.37</v>
      </c>
      <c r="G300" s="388"/>
      <c r="H300" s="286"/>
    </row>
    <row r="301" spans="1:8" ht="12.75">
      <c r="A301" s="258"/>
      <c r="B301" s="400"/>
      <c r="C301" s="317"/>
      <c r="D301" s="401"/>
      <c r="E301" s="362" t="s">
        <v>377</v>
      </c>
      <c r="F301" s="333">
        <f>F299+F300</f>
        <v>11.89</v>
      </c>
      <c r="G301" s="402"/>
      <c r="H301" s="403"/>
    </row>
    <row r="302" spans="1:9" s="300" customFormat="1" ht="25.5">
      <c r="A302" s="345">
        <f>MAX(A$2:A300)+1</f>
        <v>36</v>
      </c>
      <c r="B302" s="369" t="s">
        <v>141</v>
      </c>
      <c r="C302" s="294" t="s">
        <v>146</v>
      </c>
      <c r="D302" s="277"/>
      <c r="E302" s="295" t="s">
        <v>147</v>
      </c>
      <c r="F302" s="404"/>
      <c r="G302" s="137" t="s">
        <v>30</v>
      </c>
      <c r="H302" s="297">
        <f>H303</f>
        <v>517.8</v>
      </c>
      <c r="I302" s="298"/>
    </row>
    <row r="303" spans="1:9" s="344" customFormat="1" ht="24.75">
      <c r="A303" s="345"/>
      <c r="B303" s="372"/>
      <c r="C303" s="405"/>
      <c r="D303" s="347" t="s">
        <v>800</v>
      </c>
      <c r="E303" s="329" t="s">
        <v>801</v>
      </c>
      <c r="F303" s="348"/>
      <c r="G303" s="388" t="s">
        <v>30</v>
      </c>
      <c r="H303" s="283">
        <f>ROUND(F309,2)</f>
        <v>517.8</v>
      </c>
      <c r="I303" s="343"/>
    </row>
    <row r="304" spans="1:8" ht="12.75" customHeight="1">
      <c r="A304" s="258"/>
      <c r="B304" s="384"/>
      <c r="C304" s="386"/>
      <c r="D304" s="347"/>
      <c r="E304" s="199" t="s">
        <v>802</v>
      </c>
      <c r="F304" s="333"/>
      <c r="G304" s="388"/>
      <c r="H304" s="286"/>
    </row>
    <row r="305" spans="1:8" ht="12.75" customHeight="1">
      <c r="A305" s="258"/>
      <c r="B305" s="384"/>
      <c r="C305" s="386"/>
      <c r="D305" s="347"/>
      <c r="E305" s="199" t="s">
        <v>803</v>
      </c>
      <c r="F305" s="333">
        <f>0.23*273.8</f>
        <v>62.97</v>
      </c>
      <c r="G305" s="388"/>
      <c r="H305" s="286"/>
    </row>
    <row r="306" spans="1:8" ht="12.75" customHeight="1">
      <c r="A306" s="258"/>
      <c r="B306" s="384"/>
      <c r="C306" s="386"/>
      <c r="D306" s="347"/>
      <c r="E306" s="199" t="s">
        <v>804</v>
      </c>
      <c r="F306" s="333">
        <f>0.187*362.1</f>
        <v>67.71</v>
      </c>
      <c r="G306" s="388"/>
      <c r="H306" s="286"/>
    </row>
    <row r="307" spans="1:8" ht="12.75" customHeight="1">
      <c r="A307" s="258"/>
      <c r="B307" s="384"/>
      <c r="C307" s="386"/>
      <c r="D307" s="347"/>
      <c r="E307" s="199" t="s">
        <v>805</v>
      </c>
      <c r="F307" s="333">
        <f>0.631*277.3</f>
        <v>174.98</v>
      </c>
      <c r="G307" s="388"/>
      <c r="H307" s="286"/>
    </row>
    <row r="308" spans="1:8" ht="12.75" customHeight="1">
      <c r="A308" s="258"/>
      <c r="B308" s="384"/>
      <c r="C308" s="386"/>
      <c r="D308" s="347"/>
      <c r="E308" s="199" t="s">
        <v>806</v>
      </c>
      <c r="F308" s="341">
        <f>0.582*364.5</f>
        <v>212.14</v>
      </c>
      <c r="G308" s="388"/>
      <c r="H308" s="286"/>
    </row>
    <row r="309" spans="1:8" ht="12.75" customHeight="1">
      <c r="A309" s="258"/>
      <c r="B309" s="400"/>
      <c r="C309" s="317"/>
      <c r="D309" s="401"/>
      <c r="E309" s="362" t="s">
        <v>377</v>
      </c>
      <c r="F309" s="333">
        <f>SUM(F305:F308)</f>
        <v>517.8</v>
      </c>
      <c r="G309" s="402"/>
      <c r="H309" s="403"/>
    </row>
    <row r="310" spans="1:9" s="300" customFormat="1" ht="25.5">
      <c r="A310" s="345">
        <f>MAX(A$2:A308)+1</f>
        <v>37</v>
      </c>
      <c r="B310" s="369" t="s">
        <v>141</v>
      </c>
      <c r="C310" s="294">
        <v>11050612</v>
      </c>
      <c r="D310" s="277"/>
      <c r="E310" s="295" t="s">
        <v>149</v>
      </c>
      <c r="F310" s="296"/>
      <c r="G310" s="137" t="s">
        <v>38</v>
      </c>
      <c r="H310" s="144">
        <f>H311</f>
        <v>1343.46</v>
      </c>
      <c r="I310" s="298"/>
    </row>
    <row r="311" spans="1:9" s="344" customFormat="1" ht="24.75">
      <c r="A311" s="345"/>
      <c r="B311" s="372"/>
      <c r="C311" s="405"/>
      <c r="D311" s="347" t="s">
        <v>807</v>
      </c>
      <c r="E311" s="329" t="s">
        <v>808</v>
      </c>
      <c r="F311" s="348"/>
      <c r="G311" s="388" t="s">
        <v>38</v>
      </c>
      <c r="H311" s="283">
        <f>ROUND(F332,2)</f>
        <v>1343.46</v>
      </c>
      <c r="I311" s="343"/>
    </row>
    <row r="312" spans="1:8" ht="12.75" customHeight="1">
      <c r="A312" s="258"/>
      <c r="B312" s="384"/>
      <c r="C312" s="386"/>
      <c r="D312" s="347"/>
      <c r="E312" s="199" t="s">
        <v>809</v>
      </c>
      <c r="F312" s="333">
        <f>0.262*273.8+0.23*4</f>
        <v>72.66</v>
      </c>
      <c r="G312" s="388"/>
      <c r="H312" s="286"/>
    </row>
    <row r="313" spans="1:8" ht="12.75" customHeight="1">
      <c r="A313" s="258"/>
      <c r="B313" s="384"/>
      <c r="C313" s="386"/>
      <c r="D313" s="347"/>
      <c r="E313" s="199" t="s">
        <v>810</v>
      </c>
      <c r="F313" s="333">
        <f>0.187*4+0.242*362.1</f>
        <v>88.38</v>
      </c>
      <c r="G313" s="388"/>
      <c r="H313" s="286"/>
    </row>
    <row r="314" spans="1:8" ht="12.75" customHeight="1">
      <c r="A314" s="258"/>
      <c r="B314" s="384"/>
      <c r="C314" s="386"/>
      <c r="D314" s="347"/>
      <c r="E314" s="199" t="s">
        <v>811</v>
      </c>
      <c r="F314" s="333">
        <f>0.631*4+277.3*1.51</f>
        <v>421.25</v>
      </c>
      <c r="G314" s="388"/>
      <c r="H314" s="286"/>
    </row>
    <row r="315" spans="1:8" ht="12.75" customHeight="1">
      <c r="A315" s="258"/>
      <c r="B315" s="384"/>
      <c r="C315" s="386"/>
      <c r="D315" s="347"/>
      <c r="E315" s="199" t="s">
        <v>812</v>
      </c>
      <c r="F315" s="341">
        <f>0.582*4+364.5*1.559</f>
        <v>570.58</v>
      </c>
      <c r="G315" s="388"/>
      <c r="H315" s="286"/>
    </row>
    <row r="316" spans="1:8" ht="12.75" customHeight="1">
      <c r="A316" s="258"/>
      <c r="B316" s="400"/>
      <c r="C316" s="317"/>
      <c r="D316" s="401"/>
      <c r="E316" s="362" t="s">
        <v>382</v>
      </c>
      <c r="F316" s="333">
        <f>SUM(F312:F315)</f>
        <v>1152.87</v>
      </c>
      <c r="G316" s="402"/>
      <c r="H316" s="403"/>
    </row>
    <row r="317" spans="1:8" ht="12.75" customHeight="1">
      <c r="A317" s="258"/>
      <c r="B317" s="384"/>
      <c r="C317" s="386"/>
      <c r="D317" s="347"/>
      <c r="E317" s="199" t="s">
        <v>813</v>
      </c>
      <c r="F317" s="333"/>
      <c r="G317" s="388"/>
      <c r="H317" s="286"/>
    </row>
    <row r="318" spans="1:8" ht="12.75" customHeight="1">
      <c r="A318" s="258"/>
      <c r="B318" s="384"/>
      <c r="C318" s="386"/>
      <c r="D318" s="347"/>
      <c r="E318" s="199" t="s">
        <v>814</v>
      </c>
      <c r="F318" s="333">
        <f>(21.02+9.8+255.686+358.01+10+10)*0.045*2</f>
        <v>59.81</v>
      </c>
      <c r="G318" s="388" t="s">
        <v>399</v>
      </c>
      <c r="H318" s="286"/>
    </row>
    <row r="319" spans="1:8" ht="25.5">
      <c r="A319" s="258"/>
      <c r="B319" s="384"/>
      <c r="C319" s="386"/>
      <c r="D319" s="347"/>
      <c r="E319" s="199" t="s">
        <v>815</v>
      </c>
      <c r="F319" s="333"/>
      <c r="G319" s="388"/>
      <c r="H319" s="286"/>
    </row>
    <row r="320" spans="1:8" ht="51.75">
      <c r="A320" s="258"/>
      <c r="B320" s="384"/>
      <c r="C320" s="386"/>
      <c r="D320" s="347"/>
      <c r="E320" s="199" t="s">
        <v>816</v>
      </c>
      <c r="F320" s="333">
        <f>0.04*((641.69-1-1.25-1.25)+(637.42-1-1.25-1.25))</f>
        <v>50.88</v>
      </c>
      <c r="G320" s="388" t="s">
        <v>399</v>
      </c>
      <c r="H320" s="286"/>
    </row>
    <row r="321" spans="1:8" ht="25.5">
      <c r="A321" s="258"/>
      <c r="B321" s="384"/>
      <c r="C321" s="386"/>
      <c r="D321" s="347"/>
      <c r="E321" s="199" t="s">
        <v>817</v>
      </c>
      <c r="F321" s="341">
        <f>0.045*((641.69-1-1.25-1.25)+(637.42-1-1.25-1.25))</f>
        <v>57.24</v>
      </c>
      <c r="G321" s="388" t="s">
        <v>399</v>
      </c>
      <c r="H321" s="286"/>
    </row>
    <row r="322" spans="1:8" ht="12.75" customHeight="1">
      <c r="A322" s="258"/>
      <c r="B322" s="400"/>
      <c r="C322" s="317"/>
      <c r="D322" s="401"/>
      <c r="E322" s="362" t="s">
        <v>382</v>
      </c>
      <c r="F322" s="333">
        <f>F318+F320+F321</f>
        <v>167.93</v>
      </c>
      <c r="G322" s="402"/>
      <c r="H322" s="403"/>
    </row>
    <row r="323" spans="1:8" ht="12.75" customHeight="1">
      <c r="A323" s="258"/>
      <c r="B323" s="384"/>
      <c r="C323" s="386"/>
      <c r="D323" s="347"/>
      <c r="E323" s="199" t="s">
        <v>818</v>
      </c>
      <c r="F323" s="333"/>
      <c r="G323" s="388"/>
      <c r="H323" s="286"/>
    </row>
    <row r="324" spans="1:8" ht="12.75" customHeight="1">
      <c r="A324" s="258"/>
      <c r="B324" s="384"/>
      <c r="C324" s="386"/>
      <c r="D324" s="347"/>
      <c r="E324" s="199" t="s">
        <v>819</v>
      </c>
      <c r="F324" s="333">
        <f>9*0.174</f>
        <v>1.57</v>
      </c>
      <c r="G324" s="388"/>
      <c r="H324" s="286"/>
    </row>
    <row r="325" spans="1:8" ht="12.75" customHeight="1">
      <c r="A325" s="258"/>
      <c r="B325" s="384"/>
      <c r="C325" s="386"/>
      <c r="D325" s="347"/>
      <c r="E325" s="199" t="s">
        <v>820</v>
      </c>
      <c r="F325" s="341">
        <f>9*0.576</f>
        <v>5.18</v>
      </c>
      <c r="G325" s="388"/>
      <c r="H325" s="286"/>
    </row>
    <row r="326" spans="1:8" ht="12.75" customHeight="1">
      <c r="A326" s="258"/>
      <c r="B326" s="400"/>
      <c r="C326" s="317"/>
      <c r="D326" s="401"/>
      <c r="E326" s="362" t="s">
        <v>382</v>
      </c>
      <c r="F326" s="333">
        <f>F324+F325</f>
        <v>6.75</v>
      </c>
      <c r="G326" s="402"/>
      <c r="H326" s="403"/>
    </row>
    <row r="327" spans="1:8" ht="12.75" customHeight="1">
      <c r="A327" s="258"/>
      <c r="B327" s="384"/>
      <c r="C327" s="386"/>
      <c r="D327" s="347"/>
      <c r="E327" s="199" t="s">
        <v>821</v>
      </c>
      <c r="F327" s="333"/>
      <c r="G327" s="388"/>
      <c r="H327" s="286"/>
    </row>
    <row r="328" spans="1:8" ht="12.75" customHeight="1">
      <c r="A328" s="258"/>
      <c r="B328" s="384"/>
      <c r="C328" s="386"/>
      <c r="D328" s="347"/>
      <c r="E328" s="199" t="s">
        <v>822</v>
      </c>
      <c r="F328" s="333">
        <f>3.5*1+1.347*1+1*4.2+1.347*1</f>
        <v>10.39</v>
      </c>
      <c r="G328" s="388"/>
      <c r="H328" s="286"/>
    </row>
    <row r="329" spans="1:8" ht="12.75" customHeight="1">
      <c r="A329" s="258"/>
      <c r="B329" s="384"/>
      <c r="C329" s="386"/>
      <c r="D329" s="347"/>
      <c r="E329" s="199" t="s">
        <v>823</v>
      </c>
      <c r="F329" s="333"/>
      <c r="G329" s="388"/>
      <c r="H329" s="286"/>
    </row>
    <row r="330" spans="1:8" ht="12.75" customHeight="1">
      <c r="A330" s="258"/>
      <c r="B330" s="384"/>
      <c r="C330" s="386"/>
      <c r="D330" s="347"/>
      <c r="E330" s="199" t="s">
        <v>824</v>
      </c>
      <c r="F330" s="341">
        <f>(2*1*1+1*0.76)*2</f>
        <v>5.52</v>
      </c>
      <c r="G330" s="388"/>
      <c r="H330" s="286"/>
    </row>
    <row r="331" spans="1:8" ht="12.75" customHeight="1">
      <c r="A331" s="258"/>
      <c r="B331" s="400"/>
      <c r="C331" s="317"/>
      <c r="D331" s="401"/>
      <c r="E331" s="362" t="s">
        <v>382</v>
      </c>
      <c r="F331" s="333">
        <f>F328+F330</f>
        <v>15.91</v>
      </c>
      <c r="G331" s="402"/>
      <c r="H331" s="403"/>
    </row>
    <row r="332" spans="1:8" ht="12.75" customHeight="1">
      <c r="A332" s="258"/>
      <c r="B332" s="400"/>
      <c r="C332" s="317"/>
      <c r="D332" s="401"/>
      <c r="E332" s="362" t="s">
        <v>377</v>
      </c>
      <c r="F332" s="333">
        <f>F326+F331+F322+F316</f>
        <v>1343.46</v>
      </c>
      <c r="G332" s="402"/>
      <c r="H332" s="403"/>
    </row>
    <row r="333" spans="1:10" s="344" customFormat="1" ht="25.5">
      <c r="A333" s="301">
        <f>MAX(A$2:A332)+1</f>
        <v>38</v>
      </c>
      <c r="B333" s="369" t="s">
        <v>141</v>
      </c>
      <c r="C333" s="294" t="s">
        <v>150</v>
      </c>
      <c r="D333" s="277"/>
      <c r="E333" s="323" t="s">
        <v>151</v>
      </c>
      <c r="F333" s="296"/>
      <c r="G333" s="137" t="s">
        <v>38</v>
      </c>
      <c r="H333" s="297">
        <f>H334</f>
        <v>157.8</v>
      </c>
      <c r="I333" s="406" t="s">
        <v>399</v>
      </c>
      <c r="J333" s="407" t="s">
        <v>399</v>
      </c>
    </row>
    <row r="334" spans="1:9" s="344" customFormat="1" ht="24.75">
      <c r="A334" s="345"/>
      <c r="B334" s="372"/>
      <c r="C334" s="405"/>
      <c r="D334" s="347" t="s">
        <v>825</v>
      </c>
      <c r="E334" s="329" t="s">
        <v>826</v>
      </c>
      <c r="F334" s="348"/>
      <c r="G334" s="388" t="s">
        <v>38</v>
      </c>
      <c r="H334" s="283">
        <f>ROUND(F336,2)</f>
        <v>157.8</v>
      </c>
      <c r="I334" s="343"/>
    </row>
    <row r="335" spans="1:8" ht="12.75" customHeight="1">
      <c r="A335" s="258"/>
      <c r="B335" s="384"/>
      <c r="C335" s="386"/>
      <c r="D335" s="347"/>
      <c r="E335" s="199" t="s">
        <v>827</v>
      </c>
      <c r="F335" s="333"/>
      <c r="G335" s="388"/>
      <c r="H335" s="286"/>
    </row>
    <row r="336" spans="1:8" ht="12.75" customHeight="1">
      <c r="A336" s="258"/>
      <c r="B336" s="384"/>
      <c r="C336" s="386"/>
      <c r="D336" s="347"/>
      <c r="E336" s="199" t="s">
        <v>828</v>
      </c>
      <c r="F336" s="333">
        <f>631.2*0.25</f>
        <v>157.8</v>
      </c>
      <c r="G336" s="388"/>
      <c r="H336" s="286"/>
    </row>
    <row r="337" spans="1:9" s="344" customFormat="1" ht="25.5">
      <c r="A337" s="301">
        <f>MAX(A$2:A336)+1</f>
        <v>39</v>
      </c>
      <c r="B337" s="369" t="s">
        <v>141</v>
      </c>
      <c r="C337" s="294">
        <v>11050621</v>
      </c>
      <c r="D337" s="277"/>
      <c r="E337" s="323" t="s">
        <v>153</v>
      </c>
      <c r="F337" s="296"/>
      <c r="G337" s="137" t="s">
        <v>28</v>
      </c>
      <c r="H337" s="297">
        <f>H338</f>
        <v>101.79</v>
      </c>
      <c r="I337" s="343"/>
    </row>
    <row r="338" spans="1:9" s="344" customFormat="1" ht="24.75">
      <c r="A338" s="345"/>
      <c r="B338" s="372"/>
      <c r="C338" s="405"/>
      <c r="D338" s="347" t="s">
        <v>829</v>
      </c>
      <c r="E338" s="329" t="s">
        <v>830</v>
      </c>
      <c r="F338" s="348"/>
      <c r="G338" s="388" t="s">
        <v>28</v>
      </c>
      <c r="H338" s="283">
        <f>ROUND(F343,2)</f>
        <v>101.79</v>
      </c>
      <c r="I338" s="343"/>
    </row>
    <row r="339" spans="1:8" ht="12.75" customHeight="1">
      <c r="A339" s="258"/>
      <c r="B339" s="384"/>
      <c r="C339" s="386"/>
      <c r="D339" s="347"/>
      <c r="E339" s="199" t="s">
        <v>831</v>
      </c>
      <c r="F339" s="333"/>
      <c r="G339" s="388"/>
      <c r="H339" s="286"/>
    </row>
    <row r="340" spans="1:8" ht="12.75" customHeight="1">
      <c r="A340" s="258"/>
      <c r="B340" s="384"/>
      <c r="C340" s="386"/>
      <c r="D340" s="347"/>
      <c r="E340" s="199" t="s">
        <v>832</v>
      </c>
      <c r="F340" s="333">
        <v>18.12</v>
      </c>
      <c r="G340" s="388"/>
      <c r="H340" s="286"/>
    </row>
    <row r="341" spans="1:8" ht="12.75" customHeight="1">
      <c r="A341" s="258"/>
      <c r="B341" s="384"/>
      <c r="C341" s="386"/>
      <c r="D341" s="347"/>
      <c r="E341" s="199" t="s">
        <v>833</v>
      </c>
      <c r="F341" s="333">
        <v>33.82</v>
      </c>
      <c r="G341" s="388"/>
      <c r="H341" s="286"/>
    </row>
    <row r="342" spans="1:8" ht="12.75" customHeight="1">
      <c r="A342" s="258"/>
      <c r="B342" s="384"/>
      <c r="C342" s="386"/>
      <c r="D342" s="347"/>
      <c r="E342" s="199" t="s">
        <v>834</v>
      </c>
      <c r="F342" s="341">
        <v>49.85</v>
      </c>
      <c r="G342" s="388"/>
      <c r="H342" s="286"/>
    </row>
    <row r="343" spans="1:8" ht="12.75" customHeight="1">
      <c r="A343" s="258"/>
      <c r="B343" s="400"/>
      <c r="C343" s="317"/>
      <c r="D343" s="401"/>
      <c r="E343" s="362" t="s">
        <v>377</v>
      </c>
      <c r="F343" s="333">
        <f>SUM(F340:F342)</f>
        <v>101.79</v>
      </c>
      <c r="G343" s="402"/>
      <c r="H343" s="403"/>
    </row>
    <row r="344" spans="1:9" s="344" customFormat="1" ht="25.5">
      <c r="A344" s="301">
        <f>MAX(A$2:A343)+1</f>
        <v>40</v>
      </c>
      <c r="B344" s="369" t="s">
        <v>141</v>
      </c>
      <c r="C344" s="133" t="s">
        <v>154</v>
      </c>
      <c r="D344" s="134"/>
      <c r="E344" s="135" t="s">
        <v>155</v>
      </c>
      <c r="F344" s="136"/>
      <c r="G344" s="137" t="s">
        <v>30</v>
      </c>
      <c r="H344" s="144">
        <f>H345+H351</f>
        <v>50.18</v>
      </c>
      <c r="I344" s="343"/>
    </row>
    <row r="345" spans="1:14" s="344" customFormat="1" ht="24.75">
      <c r="A345" s="345"/>
      <c r="B345" s="372"/>
      <c r="C345" s="138"/>
      <c r="D345" s="149" t="s">
        <v>835</v>
      </c>
      <c r="E345" s="127" t="s">
        <v>836</v>
      </c>
      <c r="F345" s="139"/>
      <c r="G345" s="140" t="s">
        <v>30</v>
      </c>
      <c r="H345" s="283">
        <f>ROUND(F350,2)</f>
        <v>12.79</v>
      </c>
      <c r="I345" s="343"/>
      <c r="N345" s="408"/>
    </row>
    <row r="346" spans="1:8" ht="12.75" customHeight="1">
      <c r="A346" s="258"/>
      <c r="B346" s="384"/>
      <c r="C346" s="386"/>
      <c r="D346" s="347"/>
      <c r="E346" s="199" t="s">
        <v>837</v>
      </c>
      <c r="F346" s="333"/>
      <c r="G346" s="388"/>
      <c r="H346" s="286"/>
    </row>
    <row r="347" spans="1:8" ht="12.75" customHeight="1">
      <c r="A347" s="258"/>
      <c r="B347" s="384"/>
      <c r="C347" s="386"/>
      <c r="D347" s="347"/>
      <c r="E347" s="199" t="s">
        <v>838</v>
      </c>
      <c r="F347" s="333">
        <f>10.72*6.1*0.1</f>
        <v>6.54</v>
      </c>
      <c r="G347" s="388" t="s">
        <v>399</v>
      </c>
      <c r="H347" s="286"/>
    </row>
    <row r="348" spans="1:8" ht="12.75" customHeight="1">
      <c r="A348" s="258"/>
      <c r="B348" s="384"/>
      <c r="C348" s="386"/>
      <c r="D348" s="347"/>
      <c r="E348" s="199" t="s">
        <v>839</v>
      </c>
      <c r="F348" s="333"/>
      <c r="G348" s="388"/>
      <c r="H348" s="286"/>
    </row>
    <row r="349" spans="1:8" ht="12.75" customHeight="1">
      <c r="A349" s="258"/>
      <c r="B349" s="384"/>
      <c r="C349" s="386"/>
      <c r="D349" s="347"/>
      <c r="E349" s="199" t="s">
        <v>840</v>
      </c>
      <c r="F349" s="341">
        <f>10.25*6.1*0.1</f>
        <v>6.25</v>
      </c>
      <c r="G349" s="388" t="s">
        <v>399</v>
      </c>
      <c r="H349" s="286"/>
    </row>
    <row r="350" spans="1:8" ht="12.75" customHeight="1">
      <c r="A350" s="258"/>
      <c r="B350" s="400"/>
      <c r="C350" s="317"/>
      <c r="D350" s="401"/>
      <c r="E350" s="362" t="s">
        <v>377</v>
      </c>
      <c r="F350" s="333">
        <f>F347+F349</f>
        <v>12.79</v>
      </c>
      <c r="G350" s="402"/>
      <c r="H350" s="403"/>
    </row>
    <row r="351" spans="1:9" s="344" customFormat="1" ht="24.75">
      <c r="A351" s="345"/>
      <c r="B351" s="372"/>
      <c r="C351" s="133"/>
      <c r="D351" s="149" t="s">
        <v>841</v>
      </c>
      <c r="E351" s="127" t="s">
        <v>842</v>
      </c>
      <c r="F351" s="139"/>
      <c r="G351" s="140" t="s">
        <v>30</v>
      </c>
      <c r="H351" s="283">
        <f>ROUND(F356,2)</f>
        <v>37.39</v>
      </c>
      <c r="I351" s="343"/>
    </row>
    <row r="352" spans="1:8" ht="12.75" customHeight="1">
      <c r="A352" s="258"/>
      <c r="B352" s="384"/>
      <c r="C352" s="386"/>
      <c r="D352" s="347"/>
      <c r="E352" s="199" t="s">
        <v>843</v>
      </c>
      <c r="F352" s="333"/>
      <c r="G352" s="388"/>
      <c r="H352" s="286"/>
    </row>
    <row r="353" spans="1:8" ht="12.75" customHeight="1">
      <c r="A353" s="258"/>
      <c r="B353" s="384"/>
      <c r="C353" s="386"/>
      <c r="D353" s="347"/>
      <c r="E353" s="199" t="s">
        <v>844</v>
      </c>
      <c r="F353" s="333">
        <f>10.62*6*0.3</f>
        <v>19.12</v>
      </c>
      <c r="G353" s="388" t="s">
        <v>399</v>
      </c>
      <c r="H353" s="286"/>
    </row>
    <row r="354" spans="1:8" ht="12.75" customHeight="1">
      <c r="A354" s="258"/>
      <c r="B354" s="384"/>
      <c r="C354" s="386"/>
      <c r="D354" s="347"/>
      <c r="E354" s="199" t="s">
        <v>845</v>
      </c>
      <c r="F354" s="333"/>
      <c r="G354" s="388"/>
      <c r="H354" s="286"/>
    </row>
    <row r="355" spans="1:8" ht="12.75" customHeight="1">
      <c r="A355" s="258"/>
      <c r="B355" s="384"/>
      <c r="C355" s="386"/>
      <c r="D355" s="347"/>
      <c r="E355" s="199" t="s">
        <v>846</v>
      </c>
      <c r="F355" s="341">
        <f>10.15*6*0.3</f>
        <v>18.27</v>
      </c>
      <c r="G355" s="388" t="s">
        <v>399</v>
      </c>
      <c r="H355" s="286"/>
    </row>
    <row r="356" spans="1:8" ht="12.75" customHeight="1">
      <c r="A356" s="258"/>
      <c r="B356" s="400"/>
      <c r="C356" s="317"/>
      <c r="D356" s="401"/>
      <c r="E356" s="362" t="s">
        <v>377</v>
      </c>
      <c r="F356" s="333">
        <f>F353+F355</f>
        <v>37.39</v>
      </c>
      <c r="G356" s="402"/>
      <c r="H356" s="403"/>
    </row>
    <row r="357" spans="1:9" s="344" customFormat="1" ht="25.5">
      <c r="A357" s="301">
        <f>MAX(A$2:A356)+1</f>
        <v>41</v>
      </c>
      <c r="B357" s="369" t="s">
        <v>141</v>
      </c>
      <c r="C357" s="133" t="s">
        <v>156</v>
      </c>
      <c r="D357" s="134"/>
      <c r="E357" s="135" t="s">
        <v>157</v>
      </c>
      <c r="F357" s="136"/>
      <c r="G357" s="137" t="s">
        <v>28</v>
      </c>
      <c r="H357" s="144">
        <f>H358</f>
        <v>5.91</v>
      </c>
      <c r="I357" s="343"/>
    </row>
    <row r="358" spans="1:9" s="344" customFormat="1" ht="24.75">
      <c r="A358" s="345"/>
      <c r="B358" s="372"/>
      <c r="C358" s="138"/>
      <c r="D358" s="149" t="s">
        <v>847</v>
      </c>
      <c r="E358" s="127" t="s">
        <v>848</v>
      </c>
      <c r="F358" s="139"/>
      <c r="G358" s="140" t="s">
        <v>28</v>
      </c>
      <c r="H358" s="141">
        <f>F361</f>
        <v>5.91</v>
      </c>
      <c r="I358" s="343"/>
    </row>
    <row r="359" spans="1:8" ht="12.75" customHeight="1">
      <c r="A359" s="258"/>
      <c r="B359" s="384"/>
      <c r="C359" s="386"/>
      <c r="D359" s="347"/>
      <c r="E359" s="199" t="s">
        <v>849</v>
      </c>
      <c r="F359" s="333">
        <v>3.02</v>
      </c>
      <c r="G359" s="388" t="s">
        <v>399</v>
      </c>
      <c r="H359" s="286"/>
    </row>
    <row r="360" spans="1:8" ht="12.75" customHeight="1">
      <c r="A360" s="258"/>
      <c r="B360" s="384"/>
      <c r="C360" s="386"/>
      <c r="D360" s="347"/>
      <c r="E360" s="199" t="s">
        <v>850</v>
      </c>
      <c r="F360" s="341">
        <v>2.89</v>
      </c>
      <c r="G360" s="388" t="s">
        <v>399</v>
      </c>
      <c r="H360" s="286"/>
    </row>
    <row r="361" spans="1:8" ht="12.75" customHeight="1">
      <c r="A361" s="258"/>
      <c r="B361" s="400"/>
      <c r="C361" s="317"/>
      <c r="D361" s="401"/>
      <c r="E361" s="362" t="s">
        <v>377</v>
      </c>
      <c r="F361" s="333">
        <f>SUM(F359:F360)</f>
        <v>5.91</v>
      </c>
      <c r="G361" s="402"/>
      <c r="H361" s="403"/>
    </row>
    <row r="362" spans="1:9" s="300" customFormat="1" ht="25.5">
      <c r="A362" s="301">
        <f>MAX(A$2:A361)+1</f>
        <v>42</v>
      </c>
      <c r="B362" s="369" t="s">
        <v>141</v>
      </c>
      <c r="C362" s="205" t="s">
        <v>158</v>
      </c>
      <c r="D362" s="303"/>
      <c r="E362" s="409" t="s">
        <v>159</v>
      </c>
      <c r="F362" s="305"/>
      <c r="G362" s="410" t="s">
        <v>30</v>
      </c>
      <c r="H362" s="297">
        <f>H363+H373</f>
        <v>772.79</v>
      </c>
      <c r="I362" s="298"/>
    </row>
    <row r="363" spans="1:9" s="344" customFormat="1" ht="25.5" customHeight="1">
      <c r="A363" s="345"/>
      <c r="B363" s="346"/>
      <c r="C363" s="322"/>
      <c r="D363" s="303" t="s">
        <v>851</v>
      </c>
      <c r="E363" s="324" t="s">
        <v>852</v>
      </c>
      <c r="F363" s="305"/>
      <c r="G363" s="306" t="s">
        <v>30</v>
      </c>
      <c r="H363" s="283">
        <f>ROUND(F372,2)</f>
        <v>765.54</v>
      </c>
      <c r="I363" s="343"/>
    </row>
    <row r="364" spans="1:8" ht="12.75" customHeight="1">
      <c r="A364" s="258"/>
      <c r="B364" s="384"/>
      <c r="C364" s="386"/>
      <c r="D364" s="347"/>
      <c r="E364" s="199" t="s">
        <v>853</v>
      </c>
      <c r="F364" s="333"/>
      <c r="G364" s="388"/>
      <c r="H364" s="286"/>
    </row>
    <row r="365" spans="1:8" ht="12.75" customHeight="1">
      <c r="A365" s="258"/>
      <c r="B365" s="384"/>
      <c r="C365" s="386"/>
      <c r="D365" s="347"/>
      <c r="E365" s="199" t="s">
        <v>854</v>
      </c>
      <c r="F365" s="333">
        <f>0.924*271.096*1.2</f>
        <v>300.59</v>
      </c>
      <c r="G365" s="388"/>
      <c r="H365" s="286"/>
    </row>
    <row r="366" spans="1:8" ht="12.75" customHeight="1">
      <c r="A366" s="258"/>
      <c r="B366" s="384"/>
      <c r="C366" s="386"/>
      <c r="D366" s="347"/>
      <c r="E366" s="199" t="s">
        <v>855</v>
      </c>
      <c r="F366" s="341">
        <f>9010/25*1.25</f>
        <v>450.5</v>
      </c>
      <c r="G366" s="388"/>
      <c r="H366" s="286"/>
    </row>
    <row r="367" spans="1:8" ht="12.75" customHeight="1">
      <c r="A367" s="258"/>
      <c r="B367" s="400"/>
      <c r="C367" s="317"/>
      <c r="D367" s="401"/>
      <c r="E367" s="362" t="s">
        <v>382</v>
      </c>
      <c r="F367" s="333">
        <f>F365+F366</f>
        <v>751.09</v>
      </c>
      <c r="G367" s="402"/>
      <c r="H367" s="403"/>
    </row>
    <row r="368" spans="1:8" ht="12.75" customHeight="1">
      <c r="A368" s="258"/>
      <c r="B368" s="384"/>
      <c r="C368" s="386"/>
      <c r="D368" s="347"/>
      <c r="E368" s="199" t="s">
        <v>590</v>
      </c>
      <c r="F368" s="333"/>
      <c r="G368" s="388"/>
      <c r="H368" s="286"/>
    </row>
    <row r="369" spans="1:8" ht="12.75" customHeight="1">
      <c r="A369" s="258"/>
      <c r="B369" s="384"/>
      <c r="C369" s="386"/>
      <c r="D369" s="347"/>
      <c r="E369" s="199" t="s">
        <v>591</v>
      </c>
      <c r="F369" s="333">
        <f>(1.04*0.15*(1.15+2*0.288)+4*0.22*0.21*0.075)*50</f>
        <v>14.16</v>
      </c>
      <c r="G369" s="388"/>
      <c r="H369" s="286"/>
    </row>
    <row r="370" spans="1:8" ht="12.75" customHeight="1">
      <c r="A370" s="258"/>
      <c r="B370" s="384"/>
      <c r="C370" s="386"/>
      <c r="D370" s="347"/>
      <c r="E370" s="199" t="s">
        <v>856</v>
      </c>
      <c r="F370" s="333"/>
      <c r="G370" s="388"/>
      <c r="H370" s="286"/>
    </row>
    <row r="371" spans="1:8" ht="12.75" customHeight="1">
      <c r="A371" s="258"/>
      <c r="B371" s="384"/>
      <c r="C371" s="386"/>
      <c r="D371" s="347"/>
      <c r="E371" s="199" t="s">
        <v>587</v>
      </c>
      <c r="F371" s="333">
        <f>24*0.12*(0.288*0.4-3.14*0.08*0.08)+0.12*0.288*0.4</f>
        <v>0.29</v>
      </c>
      <c r="G371" s="388"/>
      <c r="H371" s="286"/>
    </row>
    <row r="372" spans="1:8" ht="12.75" customHeight="1">
      <c r="A372" s="258"/>
      <c r="B372" s="400"/>
      <c r="C372" s="317"/>
      <c r="D372" s="401"/>
      <c r="E372" s="362" t="s">
        <v>377</v>
      </c>
      <c r="F372" s="333">
        <f>F367+F369+F371</f>
        <v>765.54</v>
      </c>
      <c r="G372" s="402"/>
      <c r="H372" s="403"/>
    </row>
    <row r="373" spans="1:9" s="344" customFormat="1" ht="25.5" customHeight="1">
      <c r="A373" s="345"/>
      <c r="B373" s="346"/>
      <c r="C373" s="322"/>
      <c r="D373" s="303" t="s">
        <v>857</v>
      </c>
      <c r="E373" s="324" t="s">
        <v>858</v>
      </c>
      <c r="F373" s="305"/>
      <c r="G373" s="306" t="s">
        <v>30</v>
      </c>
      <c r="H373" s="283">
        <f>ROUND(F376,2)</f>
        <v>7.25</v>
      </c>
      <c r="I373" s="343"/>
    </row>
    <row r="374" spans="1:8" ht="12.75" customHeight="1">
      <c r="A374" s="258"/>
      <c r="B374" s="384"/>
      <c r="C374" s="386"/>
      <c r="D374" s="347"/>
      <c r="E374" s="199" t="s">
        <v>859</v>
      </c>
      <c r="F374" s="333">
        <v>2.5</v>
      </c>
      <c r="G374" s="388"/>
      <c r="H374" s="286"/>
    </row>
    <row r="375" spans="1:8" ht="25.5">
      <c r="A375" s="258"/>
      <c r="B375" s="384"/>
      <c r="C375" s="386"/>
      <c r="D375" s="347"/>
      <c r="E375" s="199" t="s">
        <v>860</v>
      </c>
      <c r="F375" s="341">
        <f>12*1.5*1*0.22*1.2</f>
        <v>4.75</v>
      </c>
      <c r="G375" s="388"/>
      <c r="H375" s="286"/>
    </row>
    <row r="376" spans="1:8" ht="12.75" customHeight="1">
      <c r="A376" s="258"/>
      <c r="B376" s="384"/>
      <c r="C376" s="386"/>
      <c r="D376" s="347"/>
      <c r="E376" s="199"/>
      <c r="F376" s="363">
        <f>SUM(F374:F375)</f>
        <v>7.25</v>
      </c>
      <c r="G376" s="388"/>
      <c r="H376" s="286"/>
    </row>
    <row r="377" spans="1:9" s="344" customFormat="1" ht="25.5">
      <c r="A377" s="301">
        <f>MAX(A$2:A374)+1</f>
        <v>43</v>
      </c>
      <c r="B377" s="369" t="s">
        <v>141</v>
      </c>
      <c r="C377" s="205" t="s">
        <v>160</v>
      </c>
      <c r="D377" s="303"/>
      <c r="E377" s="411" t="s">
        <v>161</v>
      </c>
      <c r="F377" s="305"/>
      <c r="G377" s="410" t="s">
        <v>38</v>
      </c>
      <c r="H377" s="297">
        <f>H378</f>
        <v>351.15</v>
      </c>
      <c r="I377" s="343" t="s">
        <v>399</v>
      </c>
    </row>
    <row r="378" spans="1:9" s="344" customFormat="1" ht="25.5" customHeight="1">
      <c r="A378" s="345"/>
      <c r="B378" s="346"/>
      <c r="C378" s="322"/>
      <c r="D378" s="303" t="s">
        <v>861</v>
      </c>
      <c r="E378" s="324" t="s">
        <v>862</v>
      </c>
      <c r="F378" s="305"/>
      <c r="G378" s="306" t="s">
        <v>38</v>
      </c>
      <c r="H378" s="283">
        <f>ROUND(F390,2)</f>
        <v>351.15</v>
      </c>
      <c r="I378" s="343"/>
    </row>
    <row r="379" spans="1:8" ht="12.75" customHeight="1">
      <c r="A379" s="258"/>
      <c r="B379" s="384"/>
      <c r="C379" s="386"/>
      <c r="D379" s="347"/>
      <c r="E379" s="199" t="s">
        <v>863</v>
      </c>
      <c r="F379" s="333"/>
      <c r="G379" s="388"/>
      <c r="H379" s="286"/>
    </row>
    <row r="380" spans="1:8" ht="12.75" customHeight="1">
      <c r="A380" s="258"/>
      <c r="B380" s="384"/>
      <c r="C380" s="386"/>
      <c r="D380" s="347"/>
      <c r="E380" s="199" t="s">
        <v>864</v>
      </c>
      <c r="F380" s="333">
        <f>24*(0.288*0.4-3.14*0.08*0.08)+0.288*0.4</f>
        <v>2.4</v>
      </c>
      <c r="G380" s="388"/>
      <c r="H380" s="286"/>
    </row>
    <row r="381" spans="1:8" ht="12.75" customHeight="1">
      <c r="A381" s="258"/>
      <c r="B381" s="384"/>
      <c r="C381" s="386"/>
      <c r="D381" s="347"/>
      <c r="E381" s="199" t="s">
        <v>865</v>
      </c>
      <c r="F381" s="333"/>
      <c r="G381" s="388"/>
      <c r="H381" s="286"/>
    </row>
    <row r="382" spans="1:8" ht="12.75" customHeight="1">
      <c r="A382" s="258"/>
      <c r="B382" s="384"/>
      <c r="C382" s="386"/>
      <c r="D382" s="347"/>
      <c r="E382" s="199" t="s">
        <v>866</v>
      </c>
      <c r="F382" s="333">
        <f>16.735+1.312*8+2*0.271</f>
        <v>27.77</v>
      </c>
      <c r="G382" s="388" t="s">
        <v>399</v>
      </c>
      <c r="H382" s="286"/>
    </row>
    <row r="383" spans="1:8" ht="12.75" customHeight="1">
      <c r="A383" s="258"/>
      <c r="B383" s="384"/>
      <c r="C383" s="386"/>
      <c r="D383" s="347"/>
      <c r="E383" s="199" t="s">
        <v>867</v>
      </c>
      <c r="F383" s="333"/>
      <c r="G383" s="388"/>
      <c r="H383" s="286"/>
    </row>
    <row r="384" spans="1:8" ht="12.75" customHeight="1">
      <c r="A384" s="258"/>
      <c r="B384" s="384"/>
      <c r="C384" s="386"/>
      <c r="D384" s="347"/>
      <c r="E384" s="199" t="s">
        <v>868</v>
      </c>
      <c r="F384" s="333">
        <f>0.325*0.68*2+0.325*12.75*2</f>
        <v>8.73</v>
      </c>
      <c r="G384" s="388" t="s">
        <v>399</v>
      </c>
      <c r="H384" s="286"/>
    </row>
    <row r="385" spans="1:8" ht="12.75" customHeight="1">
      <c r="A385" s="258"/>
      <c r="B385" s="384"/>
      <c r="C385" s="386"/>
      <c r="D385" s="347"/>
      <c r="E385" s="199" t="s">
        <v>869</v>
      </c>
      <c r="F385" s="333"/>
      <c r="G385" s="388"/>
      <c r="H385" s="286"/>
    </row>
    <row r="386" spans="1:8" ht="12.75" customHeight="1">
      <c r="A386" s="258"/>
      <c r="B386" s="384"/>
      <c r="C386" s="386"/>
      <c r="D386" s="347"/>
      <c r="E386" s="199" t="s">
        <v>870</v>
      </c>
      <c r="F386" s="333">
        <f>12*1.5*1</f>
        <v>18</v>
      </c>
      <c r="G386" s="388"/>
      <c r="H386" s="286"/>
    </row>
    <row r="387" spans="1:8" ht="12.75" customHeight="1">
      <c r="A387" s="258"/>
      <c r="B387" s="384"/>
      <c r="C387" s="386"/>
      <c r="D387" s="347"/>
      <c r="E387" s="199" t="s">
        <v>871</v>
      </c>
      <c r="F387" s="333"/>
      <c r="G387" s="388"/>
      <c r="H387" s="286"/>
    </row>
    <row r="388" spans="1:8" ht="12.75" customHeight="1">
      <c r="A388" s="258"/>
      <c r="B388" s="384"/>
      <c r="C388" s="386"/>
      <c r="D388" s="347"/>
      <c r="E388" s="199" t="s">
        <v>872</v>
      </c>
      <c r="F388" s="333">
        <f>(2*0.2*271.1+2*0.2*359.1+0.15*12.75)*1.1</f>
        <v>279.39</v>
      </c>
      <c r="G388" s="388"/>
      <c r="H388" s="286"/>
    </row>
    <row r="389" spans="1:8" ht="25.5">
      <c r="A389" s="258"/>
      <c r="B389" s="384"/>
      <c r="C389" s="386"/>
      <c r="D389" s="347"/>
      <c r="E389" s="199" t="s">
        <v>873</v>
      </c>
      <c r="F389" s="341">
        <f>2*0.3*10.62+2*0.3*10.15+2*2*2*0.3</f>
        <v>14.86</v>
      </c>
      <c r="G389" s="388"/>
      <c r="H389" s="286"/>
    </row>
    <row r="390" spans="1:8" ht="12.75" customHeight="1">
      <c r="A390" s="258"/>
      <c r="B390" s="400"/>
      <c r="C390" s="317"/>
      <c r="D390" s="401"/>
      <c r="E390" s="362" t="s">
        <v>377</v>
      </c>
      <c r="F390" s="333">
        <f>SUM(F379:F389)</f>
        <v>351.15</v>
      </c>
      <c r="G390" s="402"/>
      <c r="H390" s="403"/>
    </row>
    <row r="391" spans="1:9" s="344" customFormat="1" ht="25.5">
      <c r="A391" s="301">
        <f>MAX(A$2:A390)+1</f>
        <v>44</v>
      </c>
      <c r="B391" s="369" t="s">
        <v>141</v>
      </c>
      <c r="C391" s="205" t="s">
        <v>162</v>
      </c>
      <c r="D391" s="303"/>
      <c r="E391" s="411" t="s">
        <v>163</v>
      </c>
      <c r="F391" s="305"/>
      <c r="G391" s="410" t="s">
        <v>28</v>
      </c>
      <c r="H391" s="265">
        <f>H392+H400</f>
        <v>64.9</v>
      </c>
      <c r="I391" s="343" t="s">
        <v>399</v>
      </c>
    </row>
    <row r="392" spans="1:9" s="344" customFormat="1" ht="25.5" customHeight="1">
      <c r="A392" s="345"/>
      <c r="B392" s="346"/>
      <c r="C392" s="322"/>
      <c r="D392" s="303" t="s">
        <v>874</v>
      </c>
      <c r="E392" s="324" t="s">
        <v>875</v>
      </c>
      <c r="F392" s="305"/>
      <c r="G392" s="306" t="s">
        <v>28</v>
      </c>
      <c r="H392" s="283">
        <f>ROUND(F399,2)</f>
        <v>12.31</v>
      </c>
      <c r="I392" s="343" t="s">
        <v>399</v>
      </c>
    </row>
    <row r="393" spans="1:8" ht="12.75" customHeight="1">
      <c r="A393" s="258"/>
      <c r="B393" s="384"/>
      <c r="C393" s="386"/>
      <c r="D393" s="347"/>
      <c r="E393" s="199" t="s">
        <v>876</v>
      </c>
      <c r="F393" s="333">
        <v>6.42</v>
      </c>
      <c r="G393" s="388"/>
      <c r="H393" s="286"/>
    </row>
    <row r="394" spans="1:8" ht="12.75" customHeight="1">
      <c r="A394" s="258"/>
      <c r="B394" s="384"/>
      <c r="C394" s="386"/>
      <c r="D394" s="347"/>
      <c r="E394" s="199" t="s">
        <v>877</v>
      </c>
      <c r="F394" s="333">
        <f>0.0487*50</f>
        <v>2.44</v>
      </c>
      <c r="G394" s="388"/>
      <c r="H394" s="286"/>
    </row>
    <row r="395" spans="1:8" ht="12.75" customHeight="1">
      <c r="A395" s="258"/>
      <c r="B395" s="384"/>
      <c r="C395" s="386"/>
      <c r="D395" s="347"/>
      <c r="E395" s="221" t="s">
        <v>878</v>
      </c>
      <c r="F395" s="200">
        <v>0.95</v>
      </c>
      <c r="G395" s="388"/>
      <c r="H395" s="286"/>
    </row>
    <row r="396" spans="1:8" ht="25.5">
      <c r="A396" s="258"/>
      <c r="B396" s="384"/>
      <c r="C396" s="386"/>
      <c r="D396" s="347"/>
      <c r="E396" s="221" t="s">
        <v>879</v>
      </c>
      <c r="F396" s="200">
        <v>0.7</v>
      </c>
      <c r="G396" s="388"/>
      <c r="H396" s="286"/>
    </row>
    <row r="397" spans="1:8" ht="15">
      <c r="A397" s="258"/>
      <c r="B397" s="384"/>
      <c r="C397" s="386"/>
      <c r="D397" s="347"/>
      <c r="E397" s="221" t="s">
        <v>880</v>
      </c>
      <c r="F397" s="200">
        <v>1.2</v>
      </c>
      <c r="G397" s="388"/>
      <c r="H397" s="286"/>
    </row>
    <row r="398" spans="1:8" ht="12.75" customHeight="1">
      <c r="A398" s="258"/>
      <c r="B398" s="384"/>
      <c r="C398" s="386"/>
      <c r="D398" s="347"/>
      <c r="E398" s="221" t="s">
        <v>881</v>
      </c>
      <c r="F398" s="201">
        <v>0.6</v>
      </c>
      <c r="G398" s="388"/>
      <c r="H398" s="286"/>
    </row>
    <row r="399" spans="1:11" ht="12.75" customHeight="1">
      <c r="A399" s="258"/>
      <c r="B399" s="400"/>
      <c r="C399" s="317"/>
      <c r="D399" s="401"/>
      <c r="E399" s="362" t="s">
        <v>377</v>
      </c>
      <c r="F399" s="333">
        <f>SUM(F393:F398)</f>
        <v>12.31</v>
      </c>
      <c r="G399" s="402"/>
      <c r="H399" s="403"/>
      <c r="I399" s="247" t="s">
        <v>399</v>
      </c>
      <c r="J399" s="170" t="s">
        <v>399</v>
      </c>
      <c r="K399" s="170" t="s">
        <v>399</v>
      </c>
    </row>
    <row r="400" spans="1:11" s="344" customFormat="1" ht="25.5" customHeight="1">
      <c r="A400" s="345"/>
      <c r="B400" s="346"/>
      <c r="C400" s="322"/>
      <c r="D400" s="303" t="s">
        <v>882</v>
      </c>
      <c r="E400" s="324" t="s">
        <v>883</v>
      </c>
      <c r="F400" s="305"/>
      <c r="G400" s="306" t="s">
        <v>28</v>
      </c>
      <c r="H400" s="283">
        <f>F401</f>
        <v>52.59</v>
      </c>
      <c r="I400" s="343" t="s">
        <v>399</v>
      </c>
      <c r="J400" s="344" t="s">
        <v>399</v>
      </c>
      <c r="K400" s="344" t="s">
        <v>399</v>
      </c>
    </row>
    <row r="401" spans="1:8" ht="12.75" customHeight="1">
      <c r="A401" s="258"/>
      <c r="B401" s="384"/>
      <c r="C401" s="386"/>
      <c r="D401" s="347"/>
      <c r="E401" s="199" t="s">
        <v>884</v>
      </c>
      <c r="F401" s="200">
        <f>47.81*1.1</f>
        <v>52.59</v>
      </c>
      <c r="G401" s="388"/>
      <c r="H401" s="286"/>
    </row>
    <row r="402" spans="1:9" s="344" customFormat="1" ht="25.5">
      <c r="A402" s="301">
        <f>MAX(A$2:A401)+1</f>
        <v>45</v>
      </c>
      <c r="B402" s="369" t="s">
        <v>141</v>
      </c>
      <c r="C402" s="205" t="s">
        <v>164</v>
      </c>
      <c r="D402" s="303"/>
      <c r="E402" s="411" t="s">
        <v>165</v>
      </c>
      <c r="F402" s="305"/>
      <c r="G402" s="410" t="s">
        <v>30</v>
      </c>
      <c r="H402" s="265">
        <f>H403+H405</f>
        <v>10.81</v>
      </c>
      <c r="I402" s="343"/>
    </row>
    <row r="403" spans="1:9" s="344" customFormat="1" ht="25.5" customHeight="1">
      <c r="A403" s="345"/>
      <c r="B403" s="352"/>
      <c r="C403" s="205"/>
      <c r="D403" s="303" t="s">
        <v>885</v>
      </c>
      <c r="E403" s="324" t="s">
        <v>886</v>
      </c>
      <c r="F403" s="305"/>
      <c r="G403" s="306" t="s">
        <v>30</v>
      </c>
      <c r="H403" s="283">
        <f>ROUND(F404,2)</f>
        <v>2.62</v>
      </c>
      <c r="I403" s="343"/>
    </row>
    <row r="404" spans="1:8" ht="12.75" customHeight="1">
      <c r="A404" s="258"/>
      <c r="B404" s="384"/>
      <c r="C404" s="386"/>
      <c r="D404" s="347"/>
      <c r="E404" s="199" t="s">
        <v>887</v>
      </c>
      <c r="F404" s="333">
        <f>0.202*12.95</f>
        <v>2.62</v>
      </c>
      <c r="G404" s="388" t="s">
        <v>399</v>
      </c>
      <c r="H404" s="286"/>
    </row>
    <row r="405" spans="1:9" s="344" customFormat="1" ht="25.5" customHeight="1">
      <c r="A405" s="345"/>
      <c r="B405" s="352"/>
      <c r="C405" s="205"/>
      <c r="D405" s="303" t="s">
        <v>888</v>
      </c>
      <c r="E405" s="324" t="s">
        <v>889</v>
      </c>
      <c r="F405" s="305"/>
      <c r="G405" s="306" t="s">
        <v>30</v>
      </c>
      <c r="H405" s="283">
        <f>ROUND(F407,2)</f>
        <v>8.19</v>
      </c>
      <c r="I405" s="343"/>
    </row>
    <row r="406" spans="1:8" ht="12.75" customHeight="1">
      <c r="A406" s="258"/>
      <c r="B406" s="384"/>
      <c r="C406" s="386"/>
      <c r="D406" s="347"/>
      <c r="E406" s="199" t="s">
        <v>890</v>
      </c>
      <c r="F406" s="333"/>
      <c r="G406" s="388"/>
      <c r="H406" s="286"/>
    </row>
    <row r="407" spans="1:8" ht="12.75" customHeight="1">
      <c r="A407" s="258"/>
      <c r="B407" s="384"/>
      <c r="C407" s="386"/>
      <c r="D407" s="347"/>
      <c r="E407" s="199" t="s">
        <v>585</v>
      </c>
      <c r="F407" s="333">
        <f>8*1.38*0.65+9*0.35*0.5*(0.404+0.154)+9*0.282*0.054</f>
        <v>8.19</v>
      </c>
      <c r="G407" s="388" t="s">
        <v>399</v>
      </c>
      <c r="H407" s="286"/>
    </row>
    <row r="408" spans="1:8" ht="25.5">
      <c r="A408" s="301">
        <f>MAX(A$2:A407)+1</f>
        <v>46</v>
      </c>
      <c r="B408" s="369" t="s">
        <v>141</v>
      </c>
      <c r="C408" s="204" t="s">
        <v>166</v>
      </c>
      <c r="D408" s="205"/>
      <c r="E408" s="206" t="s">
        <v>167</v>
      </c>
      <c r="F408" s="412"/>
      <c r="G408" s="335" t="s">
        <v>30</v>
      </c>
      <c r="H408" s="265">
        <f>H409</f>
        <v>13.17</v>
      </c>
    </row>
    <row r="409" spans="1:8" ht="24.75">
      <c r="A409" s="258"/>
      <c r="B409" s="384"/>
      <c r="C409" s="386"/>
      <c r="D409" s="395" t="s">
        <v>891</v>
      </c>
      <c r="E409" s="396" t="s">
        <v>892</v>
      </c>
      <c r="F409" s="413"/>
      <c r="G409" s="388" t="s">
        <v>30</v>
      </c>
      <c r="H409" s="283">
        <f>ROUND(F415,2)</f>
        <v>13.17</v>
      </c>
    </row>
    <row r="410" spans="1:8" ht="12.75" customHeight="1">
      <c r="A410" s="258"/>
      <c r="B410" s="384"/>
      <c r="C410" s="386"/>
      <c r="D410" s="347"/>
      <c r="E410" s="199" t="s">
        <v>893</v>
      </c>
      <c r="F410" s="363"/>
      <c r="G410" s="388"/>
      <c r="H410" s="286"/>
    </row>
    <row r="411" spans="1:8" ht="12.75" customHeight="1">
      <c r="A411" s="258"/>
      <c r="B411" s="384"/>
      <c r="C411" s="386"/>
      <c r="D411" s="347"/>
      <c r="E411" s="199" t="s">
        <v>894</v>
      </c>
      <c r="F411" s="363">
        <f>1*1.52</f>
        <v>1.52</v>
      </c>
      <c r="G411" s="388"/>
      <c r="H411" s="286"/>
    </row>
    <row r="412" spans="1:8" ht="12.75" customHeight="1">
      <c r="A412" s="258"/>
      <c r="B412" s="384"/>
      <c r="C412" s="386"/>
      <c r="D412" s="347"/>
      <c r="E412" s="199" t="s">
        <v>895</v>
      </c>
      <c r="F412" s="363">
        <f>4*1.386</f>
        <v>5.54</v>
      </c>
      <c r="G412" s="388"/>
      <c r="H412" s="286"/>
    </row>
    <row r="413" spans="1:8" ht="12.75" customHeight="1">
      <c r="A413" s="258"/>
      <c r="B413" s="384"/>
      <c r="C413" s="386"/>
      <c r="D413" s="347"/>
      <c r="E413" s="199" t="s">
        <v>896</v>
      </c>
      <c r="F413" s="363">
        <f>4*1.155</f>
        <v>4.62</v>
      </c>
      <c r="G413" s="388"/>
      <c r="H413" s="286"/>
    </row>
    <row r="414" spans="1:8" ht="12.75" customHeight="1">
      <c r="A414" s="258"/>
      <c r="B414" s="384"/>
      <c r="C414" s="386"/>
      <c r="D414" s="347"/>
      <c r="E414" s="199" t="s">
        <v>897</v>
      </c>
      <c r="F414" s="341">
        <f>1*1.49</f>
        <v>1.49</v>
      </c>
      <c r="G414" s="388"/>
      <c r="H414" s="286"/>
    </row>
    <row r="415" spans="1:8" ht="12.75" customHeight="1">
      <c r="A415" s="258"/>
      <c r="B415" s="384"/>
      <c r="C415" s="386"/>
      <c r="D415" s="347"/>
      <c r="E415" s="362" t="s">
        <v>377</v>
      </c>
      <c r="F415" s="363">
        <f>SUM(F411:F414)</f>
        <v>13.17</v>
      </c>
      <c r="G415" s="388"/>
      <c r="H415" s="286"/>
    </row>
    <row r="416" spans="1:8" ht="25.5">
      <c r="A416" s="301">
        <f>MAX(A$2:A415)+1</f>
        <v>47</v>
      </c>
      <c r="B416" s="369" t="s">
        <v>141</v>
      </c>
      <c r="C416" s="204" t="s">
        <v>168</v>
      </c>
      <c r="D416" s="205"/>
      <c r="E416" s="206" t="s">
        <v>169</v>
      </c>
      <c r="F416" s="412"/>
      <c r="G416" s="335" t="s">
        <v>30</v>
      </c>
      <c r="H416" s="265">
        <f>H417</f>
        <v>155.98</v>
      </c>
    </row>
    <row r="417" spans="1:8" ht="24.75">
      <c r="A417" s="258"/>
      <c r="B417" s="384"/>
      <c r="C417" s="386"/>
      <c r="D417" s="395" t="s">
        <v>898</v>
      </c>
      <c r="E417" s="396" t="s">
        <v>899</v>
      </c>
      <c r="F417" s="413"/>
      <c r="G417" s="388" t="s">
        <v>30</v>
      </c>
      <c r="H417" s="283">
        <f>ROUND(F424,2)</f>
        <v>155.98</v>
      </c>
    </row>
    <row r="418" spans="1:8" ht="12.75" customHeight="1">
      <c r="A418" s="258"/>
      <c r="B418" s="384"/>
      <c r="C418" s="386"/>
      <c r="D418" s="347"/>
      <c r="E418" s="199" t="s">
        <v>900</v>
      </c>
      <c r="F418" s="363"/>
      <c r="G418" s="388"/>
      <c r="H418" s="286"/>
    </row>
    <row r="419" spans="1:8" ht="12.75" customHeight="1">
      <c r="A419" s="258"/>
      <c r="B419" s="384"/>
      <c r="C419" s="386"/>
      <c r="D419" s="347"/>
      <c r="E419" s="199" t="s">
        <v>901</v>
      </c>
      <c r="F419" s="363">
        <f>2*4.62</f>
        <v>9.24</v>
      </c>
      <c r="G419" s="388"/>
      <c r="H419" s="286"/>
    </row>
    <row r="420" spans="1:8" ht="12.75" customHeight="1">
      <c r="A420" s="258"/>
      <c r="B420" s="384"/>
      <c r="C420" s="386"/>
      <c r="D420" s="347"/>
      <c r="E420" s="199" t="s">
        <v>902</v>
      </c>
      <c r="F420" s="363">
        <f>2*10.34</f>
        <v>20.68</v>
      </c>
      <c r="G420" s="388"/>
      <c r="H420" s="286"/>
    </row>
    <row r="421" spans="1:8" ht="12.75" customHeight="1">
      <c r="A421" s="258"/>
      <c r="B421" s="384"/>
      <c r="C421" s="386"/>
      <c r="D421" s="347"/>
      <c r="E421" s="199" t="s">
        <v>903</v>
      </c>
      <c r="F421" s="363">
        <f>4*15.18</f>
        <v>60.72</v>
      </c>
      <c r="G421" s="388"/>
      <c r="H421" s="286"/>
    </row>
    <row r="422" spans="1:8" ht="12.75" customHeight="1">
      <c r="A422" s="258"/>
      <c r="B422" s="384"/>
      <c r="C422" s="386"/>
      <c r="D422" s="347"/>
      <c r="E422" s="199" t="s">
        <v>904</v>
      </c>
      <c r="F422" s="363">
        <f>4*9.68</f>
        <v>38.72</v>
      </c>
      <c r="G422" s="388"/>
      <c r="H422" s="286"/>
    </row>
    <row r="423" spans="1:8" ht="12.75" customHeight="1">
      <c r="A423" s="258"/>
      <c r="B423" s="384"/>
      <c r="C423" s="386"/>
      <c r="D423" s="347"/>
      <c r="E423" s="199" t="s">
        <v>905</v>
      </c>
      <c r="F423" s="341">
        <f>2*13.31</f>
        <v>26.62</v>
      </c>
      <c r="G423" s="388"/>
      <c r="H423" s="286"/>
    </row>
    <row r="424" spans="1:8" ht="12.75" customHeight="1">
      <c r="A424" s="258"/>
      <c r="B424" s="384"/>
      <c r="C424" s="386"/>
      <c r="D424" s="347"/>
      <c r="E424" s="362" t="s">
        <v>377</v>
      </c>
      <c r="F424" s="363">
        <f>SUM(F419:F423)</f>
        <v>155.98</v>
      </c>
      <c r="G424" s="388"/>
      <c r="H424" s="286"/>
    </row>
    <row r="425" spans="1:8" ht="25.5">
      <c r="A425" s="301">
        <f>MAX(A$2:A424)+1</f>
        <v>48</v>
      </c>
      <c r="B425" s="369" t="s">
        <v>141</v>
      </c>
      <c r="C425" s="204" t="s">
        <v>170</v>
      </c>
      <c r="D425" s="205"/>
      <c r="E425" s="206" t="s">
        <v>171</v>
      </c>
      <c r="F425" s="412"/>
      <c r="G425" s="335" t="s">
        <v>38</v>
      </c>
      <c r="H425" s="265">
        <f>H426</f>
        <v>396.33</v>
      </c>
    </row>
    <row r="426" spans="1:8" ht="24.75">
      <c r="A426" s="258"/>
      <c r="B426" s="384"/>
      <c r="C426" s="303"/>
      <c r="D426" s="337" t="s">
        <v>906</v>
      </c>
      <c r="E426" s="338" t="s">
        <v>907</v>
      </c>
      <c r="F426" s="365"/>
      <c r="G426" s="340" t="s">
        <v>38</v>
      </c>
      <c r="H426" s="283">
        <f>ROUND(F440,2)</f>
        <v>396.33</v>
      </c>
    </row>
    <row r="427" spans="1:8" ht="12.75" customHeight="1">
      <c r="A427" s="258"/>
      <c r="B427" s="384"/>
      <c r="C427" s="386"/>
      <c r="D427" s="347"/>
      <c r="E427" s="199" t="s">
        <v>908</v>
      </c>
      <c r="F427" s="363"/>
      <c r="G427" s="388"/>
      <c r="H427" s="286"/>
    </row>
    <row r="428" spans="1:8" ht="12.75" customHeight="1">
      <c r="A428" s="258"/>
      <c r="B428" s="384"/>
      <c r="C428" s="386"/>
      <c r="D428" s="347"/>
      <c r="E428" s="199" t="s">
        <v>909</v>
      </c>
      <c r="F428" s="363">
        <f>1*11.66</f>
        <v>11.66</v>
      </c>
      <c r="G428" s="388"/>
      <c r="H428" s="286"/>
    </row>
    <row r="429" spans="1:8" ht="12.75" customHeight="1">
      <c r="A429" s="258"/>
      <c r="B429" s="384"/>
      <c r="C429" s="386"/>
      <c r="D429" s="347"/>
      <c r="E429" s="199" t="s">
        <v>910</v>
      </c>
      <c r="F429" s="363">
        <f>4*10.12</f>
        <v>40.48</v>
      </c>
      <c r="G429" s="388"/>
      <c r="H429" s="286"/>
    </row>
    <row r="430" spans="1:8" ht="12.75" customHeight="1">
      <c r="A430" s="258"/>
      <c r="B430" s="384"/>
      <c r="C430" s="386"/>
      <c r="D430" s="347"/>
      <c r="E430" s="199" t="s">
        <v>911</v>
      </c>
      <c r="F430" s="363">
        <f>4*8.25</f>
        <v>33</v>
      </c>
      <c r="G430" s="388"/>
      <c r="H430" s="286"/>
    </row>
    <row r="431" spans="1:8" ht="12.75" customHeight="1">
      <c r="A431" s="258"/>
      <c r="B431" s="384"/>
      <c r="C431" s="386"/>
      <c r="D431" s="347"/>
      <c r="E431" s="199" t="s">
        <v>912</v>
      </c>
      <c r="F431" s="341">
        <f>1*11.33</f>
        <v>11.33</v>
      </c>
      <c r="G431" s="388"/>
      <c r="H431" s="286"/>
    </row>
    <row r="432" spans="1:8" ht="12.75" customHeight="1">
      <c r="A432" s="258"/>
      <c r="B432" s="384"/>
      <c r="C432" s="386"/>
      <c r="D432" s="347"/>
      <c r="E432" s="362" t="s">
        <v>382</v>
      </c>
      <c r="F432" s="363">
        <f>SUM(F428:F431)</f>
        <v>96.47</v>
      </c>
      <c r="G432" s="388"/>
      <c r="H432" s="286"/>
    </row>
    <row r="433" spans="1:8" ht="12.75" customHeight="1">
      <c r="A433" s="258"/>
      <c r="B433" s="384"/>
      <c r="C433" s="386"/>
      <c r="D433" s="347"/>
      <c r="E433" s="199" t="s">
        <v>913</v>
      </c>
      <c r="F433" s="363"/>
      <c r="G433" s="388"/>
      <c r="H433" s="286"/>
    </row>
    <row r="434" spans="1:8" ht="12.75" customHeight="1">
      <c r="A434" s="258"/>
      <c r="B434" s="384"/>
      <c r="C434" s="386"/>
      <c r="D434" s="347"/>
      <c r="E434" s="199" t="s">
        <v>914</v>
      </c>
      <c r="F434" s="363">
        <f>2*10.12</f>
        <v>20.24</v>
      </c>
      <c r="G434" s="388"/>
      <c r="H434" s="286"/>
    </row>
    <row r="435" spans="1:8" ht="12.75" customHeight="1">
      <c r="A435" s="258"/>
      <c r="B435" s="384"/>
      <c r="C435" s="386"/>
      <c r="D435" s="347"/>
      <c r="E435" s="199" t="s">
        <v>915</v>
      </c>
      <c r="F435" s="363">
        <f>2*21.12</f>
        <v>42.24</v>
      </c>
      <c r="G435" s="388"/>
      <c r="H435" s="286"/>
    </row>
    <row r="436" spans="1:8" ht="12.75" customHeight="1">
      <c r="A436" s="258"/>
      <c r="B436" s="384"/>
      <c r="C436" s="386"/>
      <c r="D436" s="347"/>
      <c r="E436" s="199" t="s">
        <v>916</v>
      </c>
      <c r="F436" s="363">
        <f>4*24.31</f>
        <v>97.24</v>
      </c>
      <c r="G436" s="388"/>
      <c r="H436" s="286"/>
    </row>
    <row r="437" spans="1:8" ht="12.75" customHeight="1">
      <c r="A437" s="258"/>
      <c r="B437" s="384"/>
      <c r="C437" s="386"/>
      <c r="D437" s="347"/>
      <c r="E437" s="199" t="s">
        <v>917</v>
      </c>
      <c r="F437" s="363">
        <f>4*23.87</f>
        <v>95.48</v>
      </c>
      <c r="G437" s="388"/>
      <c r="H437" s="286"/>
    </row>
    <row r="438" spans="1:8" ht="12.75" customHeight="1">
      <c r="A438" s="258"/>
      <c r="B438" s="384"/>
      <c r="C438" s="386"/>
      <c r="D438" s="347"/>
      <c r="E438" s="199" t="s">
        <v>918</v>
      </c>
      <c r="F438" s="341">
        <f>2*22.33</f>
        <v>44.66</v>
      </c>
      <c r="G438" s="388"/>
      <c r="H438" s="286"/>
    </row>
    <row r="439" spans="1:8" ht="12.75" customHeight="1">
      <c r="A439" s="258"/>
      <c r="B439" s="384"/>
      <c r="C439" s="386"/>
      <c r="D439" s="347"/>
      <c r="E439" s="362" t="s">
        <v>382</v>
      </c>
      <c r="F439" s="363">
        <f>SUM(F434:F438)</f>
        <v>299.86</v>
      </c>
      <c r="G439" s="388"/>
      <c r="H439" s="286"/>
    </row>
    <row r="440" spans="1:8" ht="12.75" customHeight="1">
      <c r="A440" s="258"/>
      <c r="B440" s="384"/>
      <c r="C440" s="386"/>
      <c r="D440" s="347"/>
      <c r="E440" s="362" t="s">
        <v>377</v>
      </c>
      <c r="F440" s="363">
        <f>F432+F439</f>
        <v>396.33</v>
      </c>
      <c r="G440" s="388"/>
      <c r="H440" s="286"/>
    </row>
    <row r="441" spans="1:8" ht="12.75" customHeight="1">
      <c r="A441" s="258"/>
      <c r="B441" s="384"/>
      <c r="C441" s="386"/>
      <c r="D441" s="347"/>
      <c r="E441" s="414" t="s">
        <v>919</v>
      </c>
      <c r="F441" s="363"/>
      <c r="G441" s="388"/>
      <c r="H441" s="286"/>
    </row>
    <row r="442" spans="1:8" ht="12.75" customHeight="1">
      <c r="A442" s="258"/>
      <c r="B442" s="384"/>
      <c r="C442" s="386"/>
      <c r="D442" s="347"/>
      <c r="E442" s="414" t="s">
        <v>920</v>
      </c>
      <c r="F442" s="363"/>
      <c r="G442" s="388"/>
      <c r="H442" s="286"/>
    </row>
    <row r="443" spans="1:8" ht="12.75" customHeight="1">
      <c r="A443" s="258"/>
      <c r="B443" s="384"/>
      <c r="C443" s="386"/>
      <c r="D443" s="347"/>
      <c r="E443" s="414" t="s">
        <v>921</v>
      </c>
      <c r="F443" s="363"/>
      <c r="G443" s="388"/>
      <c r="H443" s="286"/>
    </row>
    <row r="444" spans="1:8" ht="12.75" customHeight="1">
      <c r="A444" s="258"/>
      <c r="B444" s="384"/>
      <c r="C444" s="386"/>
      <c r="D444" s="347"/>
      <c r="E444" s="414" t="s">
        <v>922</v>
      </c>
      <c r="F444" s="363"/>
      <c r="G444" s="388"/>
      <c r="H444" s="286"/>
    </row>
    <row r="445" spans="1:8" ht="12.75" customHeight="1">
      <c r="A445" s="258"/>
      <c r="B445" s="384"/>
      <c r="C445" s="386"/>
      <c r="D445" s="347"/>
      <c r="E445" s="414" t="s">
        <v>923</v>
      </c>
      <c r="F445" s="363"/>
      <c r="G445" s="388"/>
      <c r="H445" s="286"/>
    </row>
    <row r="446" spans="1:8" ht="12.75" customHeight="1">
      <c r="A446" s="258"/>
      <c r="B446" s="384"/>
      <c r="C446" s="386"/>
      <c r="D446" s="347"/>
      <c r="E446" s="414" t="s">
        <v>924</v>
      </c>
      <c r="F446" s="363"/>
      <c r="G446" s="388"/>
      <c r="H446" s="286"/>
    </row>
    <row r="447" spans="1:8" ht="12.75" customHeight="1">
      <c r="A447" s="258"/>
      <c r="B447" s="384"/>
      <c r="C447" s="386"/>
      <c r="D447" s="347"/>
      <c r="E447" s="414" t="s">
        <v>925</v>
      </c>
      <c r="F447" s="363"/>
      <c r="G447" s="388"/>
      <c r="H447" s="286"/>
    </row>
    <row r="448" spans="1:8" ht="12.75" customHeight="1">
      <c r="A448" s="258"/>
      <c r="B448" s="384"/>
      <c r="C448" s="386"/>
      <c r="D448" s="347"/>
      <c r="E448" s="415" t="s">
        <v>926</v>
      </c>
      <c r="F448" s="363"/>
      <c r="G448" s="388"/>
      <c r="H448" s="286"/>
    </row>
    <row r="449" spans="1:8" ht="25.5">
      <c r="A449" s="301">
        <f>MAX(A$2:A440)+1</f>
        <v>49</v>
      </c>
      <c r="B449" s="369" t="s">
        <v>141</v>
      </c>
      <c r="C449" s="204" t="s">
        <v>172</v>
      </c>
      <c r="D449" s="205"/>
      <c r="E449" s="206" t="s">
        <v>173</v>
      </c>
      <c r="F449" s="412"/>
      <c r="G449" s="335" t="s">
        <v>28</v>
      </c>
      <c r="H449" s="265">
        <f>H450</f>
        <v>23.85</v>
      </c>
    </row>
    <row r="450" spans="1:8" ht="24.75">
      <c r="A450" s="258"/>
      <c r="B450" s="384"/>
      <c r="C450" s="386"/>
      <c r="D450" s="337" t="s">
        <v>927</v>
      </c>
      <c r="E450" s="338" t="s">
        <v>928</v>
      </c>
      <c r="F450" s="365"/>
      <c r="G450" s="340" t="s">
        <v>28</v>
      </c>
      <c r="H450" s="283">
        <f>ROUND(F464,2)</f>
        <v>23.85</v>
      </c>
    </row>
    <row r="451" spans="1:8" ht="12.75" customHeight="1">
      <c r="A451" s="258"/>
      <c r="B451" s="384"/>
      <c r="C451" s="386"/>
      <c r="D451" s="347"/>
      <c r="E451" s="199" t="s">
        <v>929</v>
      </c>
      <c r="F451" s="363"/>
      <c r="G451" s="388"/>
      <c r="H451" s="286"/>
    </row>
    <row r="452" spans="1:8" ht="12.75" customHeight="1">
      <c r="A452" s="258"/>
      <c r="B452" s="384"/>
      <c r="C452" s="386"/>
      <c r="D452" s="347"/>
      <c r="E452" s="199" t="s">
        <v>930</v>
      </c>
      <c r="F452" s="363">
        <f>1*0.24</f>
        <v>0.24</v>
      </c>
      <c r="G452" s="388"/>
      <c r="H452" s="286"/>
    </row>
    <row r="453" spans="1:8" ht="12.75" customHeight="1">
      <c r="A453" s="258"/>
      <c r="B453" s="384"/>
      <c r="C453" s="386"/>
      <c r="D453" s="347"/>
      <c r="E453" s="199" t="s">
        <v>931</v>
      </c>
      <c r="F453" s="363">
        <f>4*0.207</f>
        <v>0.83</v>
      </c>
      <c r="G453" s="388"/>
      <c r="H453" s="286"/>
    </row>
    <row r="454" spans="1:8" ht="12.75" customHeight="1">
      <c r="A454" s="258"/>
      <c r="B454" s="384"/>
      <c r="C454" s="386"/>
      <c r="D454" s="347"/>
      <c r="E454" s="199" t="s">
        <v>932</v>
      </c>
      <c r="F454" s="363">
        <f>4*0.193</f>
        <v>0.77</v>
      </c>
      <c r="G454" s="388"/>
      <c r="H454" s="286"/>
    </row>
    <row r="455" spans="1:8" ht="12.75" customHeight="1">
      <c r="A455" s="258"/>
      <c r="B455" s="384"/>
      <c r="C455" s="386"/>
      <c r="D455" s="347"/>
      <c r="E455" s="199" t="s">
        <v>933</v>
      </c>
      <c r="F455" s="341">
        <f>1*0.23</f>
        <v>0.23</v>
      </c>
      <c r="G455" s="388"/>
      <c r="H455" s="286"/>
    </row>
    <row r="456" spans="1:8" ht="12.75" customHeight="1">
      <c r="A456" s="258"/>
      <c r="B456" s="384"/>
      <c r="C456" s="386"/>
      <c r="D456" s="347"/>
      <c r="E456" s="362" t="s">
        <v>382</v>
      </c>
      <c r="F456" s="363">
        <f>SUM(F452:F455)</f>
        <v>2.07</v>
      </c>
      <c r="G456" s="388"/>
      <c r="H456" s="286"/>
    </row>
    <row r="457" spans="1:8" ht="12.75" customHeight="1">
      <c r="A457" s="258"/>
      <c r="B457" s="384"/>
      <c r="C457" s="386"/>
      <c r="D457" s="347"/>
      <c r="E457" s="199" t="s">
        <v>913</v>
      </c>
      <c r="F457" s="363"/>
      <c r="G457" s="388"/>
      <c r="H457" s="286"/>
    </row>
    <row r="458" spans="1:8" ht="12.75" customHeight="1">
      <c r="A458" s="258"/>
      <c r="B458" s="384"/>
      <c r="C458" s="386"/>
      <c r="D458" s="347"/>
      <c r="E458" s="199" t="s">
        <v>934</v>
      </c>
      <c r="F458" s="363">
        <f>2*0.725</f>
        <v>1.45</v>
      </c>
      <c r="G458" s="388"/>
      <c r="H458" s="286"/>
    </row>
    <row r="459" spans="1:8" ht="12.75" customHeight="1">
      <c r="A459" s="258"/>
      <c r="B459" s="384"/>
      <c r="C459" s="386"/>
      <c r="D459" s="347"/>
      <c r="E459" s="199" t="s">
        <v>935</v>
      </c>
      <c r="F459" s="363">
        <f>2*1.12</f>
        <v>2.24</v>
      </c>
      <c r="G459" s="388"/>
      <c r="H459" s="286"/>
    </row>
    <row r="460" spans="1:8" ht="12.75" customHeight="1">
      <c r="A460" s="258"/>
      <c r="B460" s="384"/>
      <c r="C460" s="386"/>
      <c r="D460" s="347"/>
      <c r="E460" s="199" t="s">
        <v>936</v>
      </c>
      <c r="F460" s="363">
        <f>4*2.415</f>
        <v>9.66</v>
      </c>
      <c r="G460" s="388"/>
      <c r="H460" s="286"/>
    </row>
    <row r="461" spans="1:8" ht="12.75" customHeight="1">
      <c r="A461" s="258"/>
      <c r="B461" s="384"/>
      <c r="C461" s="386"/>
      <c r="D461" s="347"/>
      <c r="E461" s="199" t="s">
        <v>937</v>
      </c>
      <c r="F461" s="363">
        <f>4*1.447</f>
        <v>5.79</v>
      </c>
      <c r="G461" s="388"/>
      <c r="H461" s="286"/>
    </row>
    <row r="462" spans="1:8" ht="12.75" customHeight="1">
      <c r="A462" s="258"/>
      <c r="B462" s="384"/>
      <c r="C462" s="386"/>
      <c r="D462" s="347"/>
      <c r="E462" s="199" t="s">
        <v>938</v>
      </c>
      <c r="F462" s="341">
        <f>2*1.32</f>
        <v>2.64</v>
      </c>
      <c r="G462" s="388"/>
      <c r="H462" s="286"/>
    </row>
    <row r="463" spans="1:8" ht="12.75" customHeight="1">
      <c r="A463" s="258"/>
      <c r="B463" s="384"/>
      <c r="C463" s="386"/>
      <c r="D463" s="347"/>
      <c r="E463" s="362" t="s">
        <v>382</v>
      </c>
      <c r="F463" s="363">
        <f>SUM(F458:F462)</f>
        <v>21.78</v>
      </c>
      <c r="G463" s="388"/>
      <c r="H463" s="286"/>
    </row>
    <row r="464" spans="1:8" ht="12.75" customHeight="1">
      <c r="A464" s="258"/>
      <c r="B464" s="384"/>
      <c r="C464" s="386"/>
      <c r="D464" s="347"/>
      <c r="E464" s="362" t="s">
        <v>377</v>
      </c>
      <c r="F464" s="363">
        <f>F456+F463</f>
        <v>23.85</v>
      </c>
      <c r="G464" s="388"/>
      <c r="H464" s="286"/>
    </row>
    <row r="465" spans="1:8" ht="25.5">
      <c r="A465" s="301">
        <f>MAX(A$2:A464)+1</f>
        <v>50</v>
      </c>
      <c r="B465" s="369" t="s">
        <v>141</v>
      </c>
      <c r="C465" s="204" t="s">
        <v>174</v>
      </c>
      <c r="D465" s="205"/>
      <c r="E465" s="206" t="s">
        <v>175</v>
      </c>
      <c r="F465" s="412"/>
      <c r="G465" s="335" t="s">
        <v>28</v>
      </c>
      <c r="H465" s="265">
        <f>H466+H493</f>
        <v>54.55</v>
      </c>
    </row>
    <row r="466" spans="1:8" ht="24.75">
      <c r="A466" s="258"/>
      <c r="B466" s="384"/>
      <c r="C466" s="386"/>
      <c r="D466" s="337" t="s">
        <v>939</v>
      </c>
      <c r="E466" s="338" t="s">
        <v>940</v>
      </c>
      <c r="F466" s="365"/>
      <c r="G466" s="340" t="s">
        <v>28</v>
      </c>
      <c r="H466" s="283">
        <f>ROUND(F492,2)</f>
        <v>16.16</v>
      </c>
    </row>
    <row r="467" spans="1:8" ht="12.75" customHeight="1">
      <c r="A467" s="258"/>
      <c r="B467" s="384"/>
      <c r="C467" s="386"/>
      <c r="D467" s="347"/>
      <c r="E467" s="199" t="s">
        <v>941</v>
      </c>
      <c r="F467" s="363"/>
      <c r="G467" s="388"/>
      <c r="H467" s="286"/>
    </row>
    <row r="468" spans="1:8" ht="12.75" customHeight="1">
      <c r="A468" s="258"/>
      <c r="B468" s="384"/>
      <c r="C468" s="386"/>
      <c r="D468" s="347"/>
      <c r="E468" s="199" t="s">
        <v>942</v>
      </c>
      <c r="F468" s="363">
        <v>1.72</v>
      </c>
      <c r="G468" s="388"/>
      <c r="H468" s="286"/>
    </row>
    <row r="469" spans="1:8" ht="12.75" customHeight="1">
      <c r="A469" s="258"/>
      <c r="B469" s="384"/>
      <c r="C469" s="386"/>
      <c r="D469" s="347"/>
      <c r="E469" s="199" t="s">
        <v>943</v>
      </c>
      <c r="F469" s="363">
        <f>2*0.375</f>
        <v>0.75</v>
      </c>
      <c r="G469" s="388"/>
      <c r="H469" s="286"/>
    </row>
    <row r="470" spans="1:8" ht="12.75" customHeight="1">
      <c r="A470" s="258"/>
      <c r="B470" s="384"/>
      <c r="C470" s="386"/>
      <c r="D470" s="347"/>
      <c r="E470" s="199" t="s">
        <v>944</v>
      </c>
      <c r="F470" s="363">
        <f>2*0.48</f>
        <v>0.96</v>
      </c>
      <c r="G470" s="388"/>
      <c r="H470" s="286"/>
    </row>
    <row r="471" spans="1:8" ht="12.75" customHeight="1">
      <c r="A471" s="258"/>
      <c r="B471" s="384"/>
      <c r="C471" s="386"/>
      <c r="D471" s="347"/>
      <c r="E471" s="199" t="s">
        <v>945</v>
      </c>
      <c r="F471" s="363">
        <f>2*2.575</f>
        <v>5.15</v>
      </c>
      <c r="G471" s="388"/>
      <c r="H471" s="286"/>
    </row>
    <row r="472" spans="1:8" ht="12.75" customHeight="1">
      <c r="A472" s="258"/>
      <c r="B472" s="384"/>
      <c r="C472" s="386"/>
      <c r="D472" s="347"/>
      <c r="E472" s="199" t="s">
        <v>946</v>
      </c>
      <c r="F472" s="363">
        <f>4*0.535</f>
        <v>2.14</v>
      </c>
      <c r="G472" s="388"/>
      <c r="H472" s="286"/>
    </row>
    <row r="473" spans="1:8" ht="12.75" customHeight="1">
      <c r="A473" s="258"/>
      <c r="B473" s="384"/>
      <c r="C473" s="386"/>
      <c r="D473" s="347"/>
      <c r="E473" s="199" t="s">
        <v>947</v>
      </c>
      <c r="F473" s="341">
        <f>1*0.52</f>
        <v>0.52</v>
      </c>
      <c r="G473" s="388"/>
      <c r="H473" s="286"/>
    </row>
    <row r="474" spans="1:8" ht="12.75" customHeight="1">
      <c r="A474" s="258"/>
      <c r="B474" s="384"/>
      <c r="C474" s="386"/>
      <c r="D474" s="347"/>
      <c r="E474" s="362" t="s">
        <v>382</v>
      </c>
      <c r="F474" s="363">
        <f>SUM(F468:F473)</f>
        <v>11.24</v>
      </c>
      <c r="G474" s="388"/>
      <c r="H474" s="286"/>
    </row>
    <row r="475" spans="1:8" ht="12.75" customHeight="1">
      <c r="A475" s="258"/>
      <c r="B475" s="384"/>
      <c r="C475" s="386"/>
      <c r="D475" s="347"/>
      <c r="E475" s="199" t="s">
        <v>948</v>
      </c>
      <c r="F475" s="363"/>
      <c r="G475" s="388"/>
      <c r="H475" s="286"/>
    </row>
    <row r="476" spans="1:8" ht="12.75" customHeight="1">
      <c r="A476" s="258"/>
      <c r="B476" s="384"/>
      <c r="C476" s="386"/>
      <c r="D476" s="347"/>
      <c r="E476" s="199" t="s">
        <v>949</v>
      </c>
      <c r="F476" s="363"/>
      <c r="G476" s="388"/>
      <c r="H476" s="286"/>
    </row>
    <row r="477" spans="1:8" ht="12.75" customHeight="1">
      <c r="A477" s="258"/>
      <c r="B477" s="384"/>
      <c r="C477" s="386"/>
      <c r="D477" s="347"/>
      <c r="E477" s="199" t="s">
        <v>950</v>
      </c>
      <c r="F477" s="363"/>
      <c r="G477" s="388"/>
      <c r="H477" s="286"/>
    </row>
    <row r="478" spans="1:8" ht="12.75" customHeight="1">
      <c r="A478" s="258"/>
      <c r="B478" s="384"/>
      <c r="C478" s="386"/>
      <c r="D478" s="347"/>
      <c r="E478" s="199" t="s">
        <v>951</v>
      </c>
      <c r="F478" s="363"/>
      <c r="G478" s="388"/>
      <c r="H478" s="286"/>
    </row>
    <row r="479" spans="1:8" ht="12.75" customHeight="1">
      <c r="A479" s="258"/>
      <c r="B479" s="384"/>
      <c r="C479" s="386"/>
      <c r="D479" s="347"/>
      <c r="E479" s="199" t="s">
        <v>952</v>
      </c>
      <c r="F479" s="363"/>
      <c r="G479" s="388"/>
      <c r="H479" s="286"/>
    </row>
    <row r="480" spans="1:8" ht="12.75" customHeight="1">
      <c r="A480" s="258"/>
      <c r="B480" s="384"/>
      <c r="C480" s="386"/>
      <c r="D480" s="347"/>
      <c r="E480" s="199" t="s">
        <v>953</v>
      </c>
      <c r="F480" s="363"/>
      <c r="G480" s="388"/>
      <c r="H480" s="286"/>
    </row>
    <row r="481" spans="1:8" ht="12.75" customHeight="1">
      <c r="A481" s="258"/>
      <c r="B481" s="384"/>
      <c r="C481" s="386"/>
      <c r="D481" s="347"/>
      <c r="E481" s="199" t="s">
        <v>954</v>
      </c>
      <c r="F481" s="363"/>
      <c r="G481" s="388"/>
      <c r="H481" s="286"/>
    </row>
    <row r="482" spans="1:9" ht="12.75" customHeight="1">
      <c r="A482" s="258"/>
      <c r="B482" s="384"/>
      <c r="C482" s="386"/>
      <c r="D482" s="347"/>
      <c r="E482" s="199" t="s">
        <v>955</v>
      </c>
      <c r="F482" s="363">
        <f>2*0.737</f>
        <v>1.47</v>
      </c>
      <c r="G482" s="388"/>
      <c r="H482" s="286"/>
      <c r="I482" s="416"/>
    </row>
    <row r="483" spans="1:8" ht="12.75" customHeight="1">
      <c r="A483" s="258"/>
      <c r="B483" s="384"/>
      <c r="C483" s="386"/>
      <c r="D483" s="347"/>
      <c r="E483" s="199" t="s">
        <v>956</v>
      </c>
      <c r="F483" s="363">
        <f>2*0.13</f>
        <v>0.26</v>
      </c>
      <c r="G483" s="388"/>
      <c r="H483" s="286"/>
    </row>
    <row r="484" spans="1:8" ht="12.75" customHeight="1">
      <c r="A484" s="258"/>
      <c r="B484" s="384"/>
      <c r="C484" s="386"/>
      <c r="D484" s="347"/>
      <c r="E484" s="199" t="s">
        <v>957</v>
      </c>
      <c r="F484" s="363">
        <f>2*0.905</f>
        <v>1.81</v>
      </c>
      <c r="G484" s="388"/>
      <c r="H484" s="286"/>
    </row>
    <row r="485" spans="1:8" ht="12.75" customHeight="1">
      <c r="A485" s="258"/>
      <c r="B485" s="384"/>
      <c r="C485" s="386"/>
      <c r="D485" s="347"/>
      <c r="E485" s="199" t="s">
        <v>958</v>
      </c>
      <c r="F485" s="341">
        <f>4*0.345</f>
        <v>1.38</v>
      </c>
      <c r="G485" s="388"/>
      <c r="H485" s="286"/>
    </row>
    <row r="486" spans="1:8" ht="12.75" customHeight="1">
      <c r="A486" s="258"/>
      <c r="B486" s="384"/>
      <c r="C486" s="386"/>
      <c r="D486" s="347"/>
      <c r="E486" s="362" t="s">
        <v>382</v>
      </c>
      <c r="F486" s="363">
        <f>SUM(F482:F485)</f>
        <v>4.92</v>
      </c>
      <c r="G486" s="388"/>
      <c r="H486" s="286"/>
    </row>
    <row r="487" spans="1:8" ht="12.75" customHeight="1">
      <c r="A487" s="258"/>
      <c r="B487" s="384"/>
      <c r="C487" s="386"/>
      <c r="D487" s="347"/>
      <c r="E487" s="199" t="s">
        <v>948</v>
      </c>
      <c r="F487" s="363"/>
      <c r="G487" s="388"/>
      <c r="H487" s="286"/>
    </row>
    <row r="488" spans="1:8" ht="12.75" customHeight="1">
      <c r="A488" s="258"/>
      <c r="B488" s="384"/>
      <c r="C488" s="386"/>
      <c r="D488" s="347"/>
      <c r="E488" s="199" t="s">
        <v>959</v>
      </c>
      <c r="F488" s="363"/>
      <c r="G488" s="388"/>
      <c r="H488" s="286"/>
    </row>
    <row r="489" spans="1:8" ht="12.75" customHeight="1">
      <c r="A489" s="258"/>
      <c r="B489" s="384"/>
      <c r="C489" s="386"/>
      <c r="D489" s="347"/>
      <c r="E489" s="199" t="s">
        <v>960</v>
      </c>
      <c r="F489" s="363"/>
      <c r="G489" s="388"/>
      <c r="H489" s="286"/>
    </row>
    <row r="490" spans="1:8" ht="12.75" customHeight="1">
      <c r="A490" s="258"/>
      <c r="B490" s="384"/>
      <c r="C490" s="386"/>
      <c r="D490" s="347"/>
      <c r="E490" s="199" t="s">
        <v>961</v>
      </c>
      <c r="F490" s="363"/>
      <c r="G490" s="388"/>
      <c r="H490" s="286"/>
    </row>
    <row r="491" spans="1:8" ht="25.5">
      <c r="A491" s="258"/>
      <c r="B491" s="384"/>
      <c r="C491" s="386"/>
      <c r="D491" s="347"/>
      <c r="E491" s="199" t="s">
        <v>962</v>
      </c>
      <c r="F491" s="363"/>
      <c r="G491" s="388"/>
      <c r="H491" s="286"/>
    </row>
    <row r="492" spans="1:8" ht="12.75" customHeight="1">
      <c r="A492" s="258"/>
      <c r="B492" s="384"/>
      <c r="C492" s="386"/>
      <c r="D492" s="347"/>
      <c r="E492" s="362" t="s">
        <v>377</v>
      </c>
      <c r="F492" s="363">
        <f>F474+F486</f>
        <v>16.16</v>
      </c>
      <c r="G492" s="388"/>
      <c r="H492" s="286"/>
    </row>
    <row r="493" spans="1:8" ht="24.75">
      <c r="A493" s="301"/>
      <c r="B493" s="369"/>
      <c r="C493" s="386"/>
      <c r="D493" s="337" t="s">
        <v>963</v>
      </c>
      <c r="E493" s="338" t="s">
        <v>964</v>
      </c>
      <c r="F493" s="365"/>
      <c r="G493" s="340" t="s">
        <v>28</v>
      </c>
      <c r="H493" s="286">
        <f>F494</f>
        <v>38.39</v>
      </c>
    </row>
    <row r="494" spans="1:8" ht="12.75" customHeight="1">
      <c r="A494" s="258"/>
      <c r="B494" s="384"/>
      <c r="C494" s="386"/>
      <c r="D494" s="347"/>
      <c r="E494" s="199" t="s">
        <v>1360</v>
      </c>
      <c r="F494" s="363">
        <v>38.39</v>
      </c>
      <c r="G494" s="388"/>
      <c r="H494" s="286"/>
    </row>
    <row r="495" spans="1:8" ht="12.75" customHeight="1">
      <c r="A495" s="258"/>
      <c r="B495" s="384"/>
      <c r="C495" s="386"/>
      <c r="D495" s="347"/>
      <c r="E495" s="199" t="s">
        <v>948</v>
      </c>
      <c r="F495" s="363"/>
      <c r="G495" s="388"/>
      <c r="H495" s="286"/>
    </row>
    <row r="496" spans="1:8" ht="12.75" customHeight="1">
      <c r="A496" s="258"/>
      <c r="B496" s="384"/>
      <c r="C496" s="386"/>
      <c r="D496" s="347"/>
      <c r="E496" s="199" t="s">
        <v>965</v>
      </c>
      <c r="F496" s="363"/>
      <c r="G496" s="388"/>
      <c r="H496" s="286"/>
    </row>
    <row r="497" spans="1:8" ht="12.75" customHeight="1">
      <c r="A497" s="258"/>
      <c r="B497" s="384"/>
      <c r="C497" s="386"/>
      <c r="D497" s="347"/>
      <c r="E497" s="199" t="s">
        <v>966</v>
      </c>
      <c r="F497" s="363"/>
      <c r="G497" s="388"/>
      <c r="H497" s="286"/>
    </row>
    <row r="498" spans="1:9" s="344" customFormat="1" ht="14.25">
      <c r="A498" s="301">
        <f>MAX(A$2:A497)+1</f>
        <v>51</v>
      </c>
      <c r="B498" s="369" t="s">
        <v>141</v>
      </c>
      <c r="C498" s="205">
        <v>15020404</v>
      </c>
      <c r="D498" s="303"/>
      <c r="E498" s="411" t="s">
        <v>177</v>
      </c>
      <c r="F498" s="305"/>
      <c r="G498" s="410" t="s">
        <v>30</v>
      </c>
      <c r="H498" s="144">
        <f>H499</f>
        <v>17.67</v>
      </c>
      <c r="I498" s="343"/>
    </row>
    <row r="499" spans="1:9" s="344" customFormat="1" ht="12.75" customHeight="1">
      <c r="A499" s="345"/>
      <c r="B499" s="352"/>
      <c r="C499" s="205"/>
      <c r="D499" s="303">
        <v>15020404</v>
      </c>
      <c r="E499" s="324" t="s">
        <v>177</v>
      </c>
      <c r="F499" s="305"/>
      <c r="G499" s="306" t="s">
        <v>30</v>
      </c>
      <c r="H499" s="283">
        <f>ROUND(F501,2)</f>
        <v>17.67</v>
      </c>
      <c r="I499" s="343"/>
    </row>
    <row r="500" spans="1:8" ht="12.75" customHeight="1">
      <c r="A500" s="258"/>
      <c r="B500" s="384"/>
      <c r="C500" s="386"/>
      <c r="D500" s="347"/>
      <c r="E500" s="199" t="s">
        <v>967</v>
      </c>
      <c r="F500" s="333"/>
      <c r="G500" s="388"/>
      <c r="H500" s="286"/>
    </row>
    <row r="501" spans="1:8" ht="12.75" customHeight="1">
      <c r="A501" s="258"/>
      <c r="B501" s="384"/>
      <c r="C501" s="386"/>
      <c r="D501" s="347"/>
      <c r="E501" s="199" t="s">
        <v>968</v>
      </c>
      <c r="F501" s="333">
        <f>631.2*0.7*0.04</f>
        <v>17.67</v>
      </c>
      <c r="G501" s="388"/>
      <c r="H501" s="286"/>
    </row>
    <row r="502" spans="1:8" ht="12.75" customHeight="1">
      <c r="A502" s="301">
        <f>MAX(A$2:A501)+1</f>
        <v>52</v>
      </c>
      <c r="B502" s="369" t="s">
        <v>141</v>
      </c>
      <c r="C502" s="204" t="s">
        <v>178</v>
      </c>
      <c r="D502" s="303"/>
      <c r="E502" s="206" t="s">
        <v>179</v>
      </c>
      <c r="F502" s="412"/>
      <c r="G502" s="335" t="s">
        <v>28</v>
      </c>
      <c r="H502" s="265">
        <f>H503</f>
        <v>6.49</v>
      </c>
    </row>
    <row r="503" spans="1:8" ht="12.75" customHeight="1">
      <c r="A503" s="301"/>
      <c r="B503" s="369"/>
      <c r="C503" s="386"/>
      <c r="D503" s="337" t="s">
        <v>178</v>
      </c>
      <c r="E503" s="338" t="s">
        <v>179</v>
      </c>
      <c r="F503" s="365"/>
      <c r="G503" s="340" t="s">
        <v>28</v>
      </c>
      <c r="H503" s="283">
        <f>ROUND(F507,2)</f>
        <v>6.49</v>
      </c>
    </row>
    <row r="504" spans="1:8" ht="12.75" customHeight="1">
      <c r="A504" s="258"/>
      <c r="B504" s="384"/>
      <c r="C504" s="386"/>
      <c r="D504" s="347"/>
      <c r="E504" s="199" t="s">
        <v>969</v>
      </c>
      <c r="F504" s="363">
        <v>1.45</v>
      </c>
      <c r="G504" s="388"/>
      <c r="H504" s="286"/>
    </row>
    <row r="505" spans="1:8" ht="25.5">
      <c r="A505" s="258"/>
      <c r="B505" s="384"/>
      <c r="C505" s="386"/>
      <c r="D505" s="347"/>
      <c r="E505" s="199" t="s">
        <v>970</v>
      </c>
      <c r="F505" s="363">
        <v>0.14</v>
      </c>
      <c r="G505" s="388"/>
      <c r="H505" s="286"/>
    </row>
    <row r="506" spans="1:8" ht="12.75" customHeight="1">
      <c r="A506" s="258"/>
      <c r="B506" s="384"/>
      <c r="C506" s="386"/>
      <c r="D506" s="347"/>
      <c r="E506" s="199" t="s">
        <v>971</v>
      </c>
      <c r="F506" s="341">
        <v>4.9</v>
      </c>
      <c r="G506" s="388"/>
      <c r="H506" s="286"/>
    </row>
    <row r="507" spans="1:8" ht="12.75" customHeight="1">
      <c r="A507" s="258"/>
      <c r="B507" s="384"/>
      <c r="C507" s="386"/>
      <c r="D507" s="347"/>
      <c r="E507" s="199"/>
      <c r="F507" s="363">
        <f>SUM(F504:F506)</f>
        <v>6.49</v>
      </c>
      <c r="G507" s="388"/>
      <c r="H507" s="286"/>
    </row>
    <row r="508" spans="1:9" s="344" customFormat="1" ht="25.5">
      <c r="A508" s="301">
        <f>MAX(A$2:A504)+1</f>
        <v>53</v>
      </c>
      <c r="B508" s="369" t="s">
        <v>141</v>
      </c>
      <c r="C508" s="205" t="s">
        <v>180</v>
      </c>
      <c r="D508" s="410"/>
      <c r="E508" s="417" t="s">
        <v>181</v>
      </c>
      <c r="F508" s="334"/>
      <c r="G508" s="410" t="s">
        <v>38</v>
      </c>
      <c r="H508" s="297">
        <f>H509</f>
        <v>143.2</v>
      </c>
      <c r="I508" s="343"/>
    </row>
    <row r="509" spans="1:9" s="344" customFormat="1" ht="24.75">
      <c r="A509" s="345"/>
      <c r="B509" s="352"/>
      <c r="C509" s="205"/>
      <c r="D509" s="303" t="s">
        <v>180</v>
      </c>
      <c r="E509" s="324" t="s">
        <v>181</v>
      </c>
      <c r="F509" s="305"/>
      <c r="G509" s="306" t="s">
        <v>38</v>
      </c>
      <c r="H509" s="283">
        <f>ROUND(F519,2)</f>
        <v>143.2</v>
      </c>
      <c r="I509" s="343"/>
    </row>
    <row r="510" spans="1:8" ht="12.75" customHeight="1">
      <c r="A510" s="258"/>
      <c r="B510" s="384"/>
      <c r="C510" s="386"/>
      <c r="D510" s="347"/>
      <c r="E510" s="199" t="s">
        <v>972</v>
      </c>
      <c r="F510" s="333"/>
      <c r="G510" s="388"/>
      <c r="H510" s="286"/>
    </row>
    <row r="511" spans="1:8" ht="12.75" customHeight="1">
      <c r="A511" s="258"/>
      <c r="B511" s="384"/>
      <c r="C511" s="386"/>
      <c r="D511" s="347"/>
      <c r="E511" s="199" t="s">
        <v>973</v>
      </c>
      <c r="F511" s="333">
        <f>(0.5+0.5)*12.65</f>
        <v>12.65</v>
      </c>
      <c r="G511" s="388" t="s">
        <v>399</v>
      </c>
      <c r="H511" s="286"/>
    </row>
    <row r="512" spans="1:8" ht="12.75" customHeight="1">
      <c r="A512" s="258"/>
      <c r="B512" s="384"/>
      <c r="C512" s="386"/>
      <c r="D512" s="347"/>
      <c r="E512" s="199" t="s">
        <v>974</v>
      </c>
      <c r="F512" s="333"/>
      <c r="G512" s="388"/>
      <c r="H512" s="286"/>
    </row>
    <row r="513" spans="1:8" ht="12.75" customHeight="1">
      <c r="A513" s="258"/>
      <c r="B513" s="384"/>
      <c r="C513" s="386"/>
      <c r="D513" s="347"/>
      <c r="E513" s="199" t="s">
        <v>975</v>
      </c>
      <c r="F513" s="333">
        <f>646*0.11*0.17</f>
        <v>12.08</v>
      </c>
      <c r="G513" s="388" t="s">
        <v>399</v>
      </c>
      <c r="H513" s="286"/>
    </row>
    <row r="514" spans="1:8" ht="12.75" customHeight="1">
      <c r="A514" s="258"/>
      <c r="B514" s="384"/>
      <c r="C514" s="386"/>
      <c r="D514" s="347"/>
      <c r="E514" s="199" t="s">
        <v>976</v>
      </c>
      <c r="F514" s="333"/>
      <c r="G514" s="388"/>
      <c r="H514" s="286"/>
    </row>
    <row r="515" spans="1:8" ht="12.75" customHeight="1">
      <c r="A515" s="258"/>
      <c r="B515" s="384"/>
      <c r="C515" s="386"/>
      <c r="D515" s="347"/>
      <c r="E515" s="199" t="s">
        <v>977</v>
      </c>
      <c r="F515" s="333">
        <f>336*0.099</f>
        <v>33.26</v>
      </c>
      <c r="G515" s="388"/>
      <c r="H515" s="286"/>
    </row>
    <row r="516" spans="1:8" ht="12.75" customHeight="1">
      <c r="A516" s="258"/>
      <c r="B516" s="384"/>
      <c r="C516" s="386"/>
      <c r="D516" s="347"/>
      <c r="E516" s="199" t="s">
        <v>978</v>
      </c>
      <c r="F516" s="333">
        <f>508*0.084</f>
        <v>42.67</v>
      </c>
      <c r="G516" s="388"/>
      <c r="H516" s="286"/>
    </row>
    <row r="517" spans="1:8" ht="39">
      <c r="A517" s="258"/>
      <c r="B517" s="384"/>
      <c r="C517" s="386"/>
      <c r="D517" s="347"/>
      <c r="E517" s="199" t="s">
        <v>979</v>
      </c>
      <c r="F517" s="333">
        <f>(0.16*0.185*(192+2*(16+12+64))+0.24*0.17*(48+48+112+112))*1.2</f>
        <v>29.02</v>
      </c>
      <c r="G517" s="388"/>
      <c r="H517" s="286"/>
    </row>
    <row r="518" spans="1:8" ht="12.75" customHeight="1">
      <c r="A518" s="258"/>
      <c r="B518" s="400"/>
      <c r="C518" s="317"/>
      <c r="D518" s="401"/>
      <c r="E518" s="199" t="s">
        <v>980</v>
      </c>
      <c r="F518" s="341">
        <f>2*8*2*(0.44*0.8)*1.2</f>
        <v>13.52</v>
      </c>
      <c r="G518" s="402"/>
      <c r="H518" s="403"/>
    </row>
    <row r="519" spans="1:8" ht="12.75" customHeight="1">
      <c r="A519" s="258"/>
      <c r="B519" s="400"/>
      <c r="C519" s="317"/>
      <c r="D519" s="401"/>
      <c r="E519" s="362" t="s">
        <v>377</v>
      </c>
      <c r="F519" s="333">
        <f>SUM(F511:F518)</f>
        <v>143.2</v>
      </c>
      <c r="G519" s="402"/>
      <c r="H519" s="403"/>
    </row>
    <row r="520" spans="1:9" s="344" customFormat="1" ht="14.25">
      <c r="A520" s="301">
        <f>MAX(A$2:A518)+1</f>
        <v>54</v>
      </c>
      <c r="B520" s="369" t="s">
        <v>141</v>
      </c>
      <c r="C520" s="205">
        <v>21250206</v>
      </c>
      <c r="D520" s="410"/>
      <c r="E520" s="417" t="s">
        <v>185</v>
      </c>
      <c r="F520" s="334"/>
      <c r="G520" s="410" t="s">
        <v>45</v>
      </c>
      <c r="H520" s="297">
        <f>H521</f>
        <v>641.5</v>
      </c>
      <c r="I520" s="343"/>
    </row>
    <row r="521" spans="1:9" s="344" customFormat="1" ht="12.75" customHeight="1">
      <c r="A521" s="345"/>
      <c r="B521" s="352"/>
      <c r="C521" s="205"/>
      <c r="D521" s="303">
        <v>21250206</v>
      </c>
      <c r="E521" s="324" t="s">
        <v>185</v>
      </c>
      <c r="F521" s="305"/>
      <c r="G521" s="306" t="s">
        <v>45</v>
      </c>
      <c r="H521" s="141">
        <f>F522</f>
        <v>641.5</v>
      </c>
      <c r="I521" s="343"/>
    </row>
    <row r="522" spans="1:8" ht="12.75" customHeight="1">
      <c r="A522" s="258"/>
      <c r="B522" s="384"/>
      <c r="C522" s="386"/>
      <c r="D522" s="347"/>
      <c r="E522" s="199" t="s">
        <v>981</v>
      </c>
      <c r="F522" s="333">
        <v>641.5</v>
      </c>
      <c r="G522" s="388"/>
      <c r="H522" s="286"/>
    </row>
    <row r="523" spans="1:9" s="344" customFormat="1" ht="25.5">
      <c r="A523" s="301">
        <f>MAX(A$2:A522)+1</f>
        <v>55</v>
      </c>
      <c r="B523" s="369" t="s">
        <v>141</v>
      </c>
      <c r="C523" s="205" t="s">
        <v>186</v>
      </c>
      <c r="D523" s="410"/>
      <c r="E523" s="417" t="s">
        <v>187</v>
      </c>
      <c r="F523" s="334"/>
      <c r="G523" s="410" t="s">
        <v>60</v>
      </c>
      <c r="H523" s="297">
        <f>H524</f>
        <v>45</v>
      </c>
      <c r="I523" s="343"/>
    </row>
    <row r="524" spans="1:9" s="344" customFormat="1" ht="12.75" customHeight="1">
      <c r="A524" s="345"/>
      <c r="B524" s="352"/>
      <c r="C524" s="205"/>
      <c r="D524" s="303" t="s">
        <v>186</v>
      </c>
      <c r="E524" s="324" t="s">
        <v>187</v>
      </c>
      <c r="F524" s="305"/>
      <c r="G524" s="306" t="s">
        <v>60</v>
      </c>
      <c r="H524" s="141">
        <f>F528</f>
        <v>45</v>
      </c>
      <c r="I524" s="343"/>
    </row>
    <row r="525" spans="1:8" ht="12.75" customHeight="1">
      <c r="A525" s="258"/>
      <c r="B525" s="384"/>
      <c r="C525" s="386"/>
      <c r="D525" s="347"/>
      <c r="E525" s="199" t="s">
        <v>982</v>
      </c>
      <c r="F525" s="333"/>
      <c r="G525" s="388"/>
      <c r="H525" s="286"/>
    </row>
    <row r="526" spans="1:8" ht="12.75" customHeight="1">
      <c r="A526" s="258"/>
      <c r="B526" s="384"/>
      <c r="C526" s="386"/>
      <c r="D526" s="347"/>
      <c r="E526" s="199" t="s">
        <v>983</v>
      </c>
      <c r="F526" s="333">
        <v>2</v>
      </c>
      <c r="G526" s="388"/>
      <c r="H526" s="286"/>
    </row>
    <row r="527" spans="1:8" ht="12.75" customHeight="1">
      <c r="A527" s="258"/>
      <c r="B527" s="384"/>
      <c r="C527" s="386"/>
      <c r="D527" s="347"/>
      <c r="E527" s="199" t="s">
        <v>984</v>
      </c>
      <c r="F527" s="341">
        <v>43</v>
      </c>
      <c r="G527" s="388"/>
      <c r="H527" s="286"/>
    </row>
    <row r="528" spans="1:8" ht="12.75" customHeight="1">
      <c r="A528" s="258"/>
      <c r="B528" s="400"/>
      <c r="C528" s="317"/>
      <c r="D528" s="401"/>
      <c r="E528" s="362" t="s">
        <v>377</v>
      </c>
      <c r="F528" s="333">
        <f>SUM(F526:F527)</f>
        <v>45</v>
      </c>
      <c r="G528" s="402"/>
      <c r="H528" s="403"/>
    </row>
    <row r="529" spans="1:9" s="344" customFormat="1" ht="25.5">
      <c r="A529" s="301">
        <f>MAX(A$2:A528)+1</f>
        <v>56</v>
      </c>
      <c r="B529" s="369" t="s">
        <v>141</v>
      </c>
      <c r="C529" s="205" t="s">
        <v>188</v>
      </c>
      <c r="D529" s="410"/>
      <c r="E529" s="417" t="s">
        <v>189</v>
      </c>
      <c r="F529" s="334"/>
      <c r="G529" s="410" t="s">
        <v>45</v>
      </c>
      <c r="H529" s="297">
        <f>H530</f>
        <v>132.88</v>
      </c>
      <c r="I529" s="343"/>
    </row>
    <row r="530" spans="1:9" s="344" customFormat="1" ht="24.75">
      <c r="A530" s="345"/>
      <c r="B530" s="352"/>
      <c r="C530" s="205"/>
      <c r="D530" s="303" t="s">
        <v>188</v>
      </c>
      <c r="E530" s="324" t="s">
        <v>189</v>
      </c>
      <c r="F530" s="305"/>
      <c r="G530" s="306" t="s">
        <v>45</v>
      </c>
      <c r="H530" s="283">
        <f>ROUND(F536,2)</f>
        <v>132.88</v>
      </c>
      <c r="I530" s="343"/>
    </row>
    <row r="531" spans="1:8" ht="12.75" customHeight="1">
      <c r="A531" s="258"/>
      <c r="B531" s="384"/>
      <c r="C531" s="386"/>
      <c r="D531" s="347"/>
      <c r="E531" s="199" t="s">
        <v>985</v>
      </c>
      <c r="F531" s="333"/>
      <c r="G531" s="388"/>
      <c r="H531" s="286"/>
    </row>
    <row r="532" spans="1:8" ht="12.75" customHeight="1">
      <c r="A532" s="258"/>
      <c r="B532" s="384"/>
      <c r="C532" s="386"/>
      <c r="D532" s="347"/>
      <c r="E532" s="199" t="s">
        <v>986</v>
      </c>
      <c r="F532" s="333">
        <f>22*0.6+24*(1.34+0.46)+12*0.28</f>
        <v>59.76</v>
      </c>
      <c r="G532" s="388" t="s">
        <v>399</v>
      </c>
      <c r="H532" s="286"/>
    </row>
    <row r="533" spans="1:8" ht="12.75" customHeight="1">
      <c r="A533" s="258"/>
      <c r="B533" s="384"/>
      <c r="C533" s="386"/>
      <c r="D533" s="347"/>
      <c r="E533" s="199" t="s">
        <v>987</v>
      </c>
      <c r="F533" s="333"/>
      <c r="G533" s="388"/>
      <c r="H533" s="286"/>
    </row>
    <row r="534" spans="1:8" ht="12.75" customHeight="1">
      <c r="A534" s="258"/>
      <c r="B534" s="384"/>
      <c r="C534" s="386"/>
      <c r="D534" s="347"/>
      <c r="E534" s="199" t="s">
        <v>988</v>
      </c>
      <c r="F534" s="333">
        <f>21*1.5</f>
        <v>31.5</v>
      </c>
      <c r="G534" s="388"/>
      <c r="H534" s="286"/>
    </row>
    <row r="535" spans="1:8" ht="12.75" customHeight="1">
      <c r="A535" s="258"/>
      <c r="B535" s="384"/>
      <c r="C535" s="386"/>
      <c r="D535" s="347"/>
      <c r="E535" s="199" t="s">
        <v>989</v>
      </c>
      <c r="F535" s="341">
        <f>24*(1.47+0.24+0.024)</f>
        <v>41.62</v>
      </c>
      <c r="G535" s="388"/>
      <c r="H535" s="286"/>
    </row>
    <row r="536" spans="1:8" ht="12.75" customHeight="1">
      <c r="A536" s="258"/>
      <c r="B536" s="400"/>
      <c r="C536" s="317"/>
      <c r="D536" s="401"/>
      <c r="E536" s="362" t="s">
        <v>377</v>
      </c>
      <c r="F536" s="333">
        <f>F532+F534+F535</f>
        <v>132.88</v>
      </c>
      <c r="G536" s="402"/>
      <c r="H536" s="403"/>
    </row>
    <row r="537" spans="1:9" s="344" customFormat="1" ht="25.5">
      <c r="A537" s="301">
        <f>MAX(A$2:A536)+1</f>
        <v>57</v>
      </c>
      <c r="B537" s="369" t="s">
        <v>141</v>
      </c>
      <c r="C537" s="205" t="s">
        <v>190</v>
      </c>
      <c r="D537" s="303"/>
      <c r="E537" s="411" t="s">
        <v>191</v>
      </c>
      <c r="F537" s="305"/>
      <c r="G537" s="410" t="s">
        <v>38</v>
      </c>
      <c r="H537" s="297">
        <f>H538</f>
        <v>86.75</v>
      </c>
      <c r="I537" s="343"/>
    </row>
    <row r="538" spans="1:9" s="344" customFormat="1" ht="24.75">
      <c r="A538" s="345"/>
      <c r="B538" s="352"/>
      <c r="C538" s="205"/>
      <c r="D538" s="157" t="s">
        <v>990</v>
      </c>
      <c r="E538" s="127" t="s">
        <v>991</v>
      </c>
      <c r="F538" s="128"/>
      <c r="G538" s="140" t="s">
        <v>38</v>
      </c>
      <c r="H538" s="283">
        <f>ROUND(F543,2)</f>
        <v>86.75</v>
      </c>
      <c r="I538" s="343"/>
    </row>
    <row r="539" spans="1:8" ht="25.5">
      <c r="A539" s="258"/>
      <c r="B539" s="384"/>
      <c r="C539" s="386"/>
      <c r="D539" s="347"/>
      <c r="E539" s="199" t="s">
        <v>992</v>
      </c>
      <c r="F539" s="333"/>
      <c r="G539" s="388"/>
      <c r="H539" s="286"/>
    </row>
    <row r="540" spans="1:8" ht="12.75" customHeight="1">
      <c r="A540" s="258"/>
      <c r="B540" s="384"/>
      <c r="C540" s="386"/>
      <c r="D540" s="347"/>
      <c r="E540" s="199" t="s">
        <v>993</v>
      </c>
      <c r="F540" s="333">
        <f>(0.1+0.1+0.3)*(10.62+10.15)</f>
        <v>10.39</v>
      </c>
      <c r="G540" s="388"/>
      <c r="H540" s="286"/>
    </row>
    <row r="541" spans="1:8" ht="12.75" customHeight="1">
      <c r="A541" s="258"/>
      <c r="B541" s="384"/>
      <c r="C541" s="386"/>
      <c r="D541" s="347"/>
      <c r="E541" s="199" t="s">
        <v>994</v>
      </c>
      <c r="F541" s="333"/>
      <c r="G541" s="388"/>
      <c r="H541" s="286"/>
    </row>
    <row r="542" spans="1:8" ht="12.75" customHeight="1">
      <c r="A542" s="258"/>
      <c r="B542" s="384"/>
      <c r="C542" s="386"/>
      <c r="D542" s="347"/>
      <c r="E542" s="199" t="s">
        <v>995</v>
      </c>
      <c r="F542" s="341">
        <f>(1.04+2*0.288)*0.945*50</f>
        <v>76.36</v>
      </c>
      <c r="G542" s="388"/>
      <c r="H542" s="286"/>
    </row>
    <row r="543" spans="1:8" ht="12.75" customHeight="1">
      <c r="A543" s="258"/>
      <c r="B543" s="384"/>
      <c r="C543" s="386"/>
      <c r="D543" s="347"/>
      <c r="E543" s="199"/>
      <c r="F543" s="363">
        <f>F540+F542</f>
        <v>86.75</v>
      </c>
      <c r="G543" s="388"/>
      <c r="H543" s="286"/>
    </row>
    <row r="544" spans="1:9" s="344" customFormat="1" ht="25.5">
      <c r="A544" s="301">
        <f>MAX(A$2:A540)+1</f>
        <v>58</v>
      </c>
      <c r="B544" s="369" t="s">
        <v>141</v>
      </c>
      <c r="C544" s="205" t="s">
        <v>192</v>
      </c>
      <c r="D544" s="303"/>
      <c r="E544" s="417" t="s">
        <v>193</v>
      </c>
      <c r="F544" s="418"/>
      <c r="G544" s="410" t="s">
        <v>45</v>
      </c>
      <c r="H544" s="297">
        <f>H545+H550+H568</f>
        <v>2122.56</v>
      </c>
      <c r="I544" s="343"/>
    </row>
    <row r="545" spans="1:9" s="344" customFormat="1" ht="24.75">
      <c r="A545" s="345"/>
      <c r="B545" s="352"/>
      <c r="C545" s="205"/>
      <c r="D545" s="303" t="s">
        <v>996</v>
      </c>
      <c r="E545" s="419" t="s">
        <v>997</v>
      </c>
      <c r="F545" s="418"/>
      <c r="G545" s="306" t="s">
        <v>45</v>
      </c>
      <c r="H545" s="283">
        <f>ROUND(F549,2)</f>
        <v>39.35</v>
      </c>
      <c r="I545" s="343"/>
    </row>
    <row r="546" spans="1:8" ht="12.75" customHeight="1">
      <c r="A546" s="258"/>
      <c r="B546" s="384"/>
      <c r="C546" s="386"/>
      <c r="D546" s="347"/>
      <c r="E546" s="199" t="s">
        <v>998</v>
      </c>
      <c r="F546" s="333"/>
      <c r="G546" s="388"/>
      <c r="H546" s="286"/>
    </row>
    <row r="547" spans="1:8" ht="12.75" customHeight="1">
      <c r="A547" s="258"/>
      <c r="B547" s="384"/>
      <c r="C547" s="386"/>
      <c r="D547" s="347"/>
      <c r="E547" s="199" t="s">
        <v>999</v>
      </c>
      <c r="F547" s="333">
        <f>9*0.952</f>
        <v>8.57</v>
      </c>
      <c r="G547" s="388"/>
      <c r="H547" s="286"/>
    </row>
    <row r="548" spans="1:8" ht="12.75" customHeight="1">
      <c r="A548" s="258"/>
      <c r="B548" s="384"/>
      <c r="C548" s="386"/>
      <c r="D548" s="347"/>
      <c r="E548" s="199" t="s">
        <v>1000</v>
      </c>
      <c r="F548" s="341">
        <f>9*3.42</f>
        <v>30.78</v>
      </c>
      <c r="G548" s="388"/>
      <c r="H548" s="286"/>
    </row>
    <row r="549" spans="1:8" ht="12.75" customHeight="1">
      <c r="A549" s="258"/>
      <c r="B549" s="400"/>
      <c r="C549" s="317"/>
      <c r="D549" s="401"/>
      <c r="E549" s="362" t="s">
        <v>377</v>
      </c>
      <c r="F549" s="333">
        <f>SUM(F547:F548)</f>
        <v>39.35</v>
      </c>
      <c r="G549" s="402"/>
      <c r="H549" s="403"/>
    </row>
    <row r="550" spans="1:9" s="344" customFormat="1" ht="24.75">
      <c r="A550" s="345"/>
      <c r="B550" s="352"/>
      <c r="C550" s="205"/>
      <c r="D550" s="303" t="s">
        <v>1001</v>
      </c>
      <c r="E550" s="419" t="s">
        <v>1002</v>
      </c>
      <c r="F550" s="418"/>
      <c r="G550" s="306" t="s">
        <v>45</v>
      </c>
      <c r="H550" s="283">
        <f>ROUND(F567,2)</f>
        <v>1900.51</v>
      </c>
      <c r="I550" s="343"/>
    </row>
    <row r="551" spans="1:8" ht="12.75" customHeight="1">
      <c r="A551" s="258"/>
      <c r="B551" s="384"/>
      <c r="C551" s="386"/>
      <c r="D551" s="347"/>
      <c r="E551" s="199" t="s">
        <v>1003</v>
      </c>
      <c r="F551" s="333"/>
      <c r="G551" s="388"/>
      <c r="H551" s="286"/>
    </row>
    <row r="552" spans="1:8" ht="12.75" customHeight="1">
      <c r="A552" s="258"/>
      <c r="B552" s="384"/>
      <c r="C552" s="386"/>
      <c r="D552" s="347"/>
      <c r="E552" s="199" t="s">
        <v>1004</v>
      </c>
      <c r="F552" s="333">
        <f>22*0.972+22*3.48</f>
        <v>97.94</v>
      </c>
      <c r="G552" s="388"/>
      <c r="H552" s="286"/>
    </row>
    <row r="553" spans="1:8" ht="12.75" customHeight="1">
      <c r="A553" s="258"/>
      <c r="B553" s="384"/>
      <c r="C553" s="386"/>
      <c r="D553" s="347"/>
      <c r="E553" s="199" t="s">
        <v>1005</v>
      </c>
      <c r="F553" s="333"/>
      <c r="G553" s="388"/>
      <c r="H553" s="286"/>
    </row>
    <row r="554" spans="1:8" ht="12.75" customHeight="1">
      <c r="A554" s="258"/>
      <c r="B554" s="384"/>
      <c r="C554" s="386"/>
      <c r="D554" s="347"/>
      <c r="E554" s="199" t="s">
        <v>999</v>
      </c>
      <c r="F554" s="333">
        <f>9*0.952</f>
        <v>8.57</v>
      </c>
      <c r="G554" s="388"/>
      <c r="H554" s="286"/>
    </row>
    <row r="555" spans="1:8" ht="12.75" customHeight="1">
      <c r="A555" s="258"/>
      <c r="B555" s="384"/>
      <c r="C555" s="386"/>
      <c r="D555" s="347"/>
      <c r="E555" s="199" t="s">
        <v>1000</v>
      </c>
      <c r="F555" s="341">
        <f>9*3.42</f>
        <v>30.78</v>
      </c>
      <c r="G555" s="388"/>
      <c r="H555" s="286"/>
    </row>
    <row r="556" spans="1:8" ht="12.75" customHeight="1">
      <c r="A556" s="258"/>
      <c r="B556" s="400"/>
      <c r="C556" s="317"/>
      <c r="D556" s="401"/>
      <c r="E556" s="362" t="s">
        <v>382</v>
      </c>
      <c r="F556" s="333">
        <f>SUM(F554:F555)</f>
        <v>39.35</v>
      </c>
      <c r="G556" s="402"/>
      <c r="H556" s="403"/>
    </row>
    <row r="557" spans="1:8" ht="25.5">
      <c r="A557" s="258"/>
      <c r="B557" s="384"/>
      <c r="C557" s="386"/>
      <c r="D557" s="347"/>
      <c r="E557" s="199" t="s">
        <v>1006</v>
      </c>
      <c r="F557" s="341">
        <v>630</v>
      </c>
      <c r="G557" s="388"/>
      <c r="H557" s="286"/>
    </row>
    <row r="558" spans="1:8" ht="12.75" customHeight="1">
      <c r="A558" s="258"/>
      <c r="B558" s="400"/>
      <c r="C558" s="317"/>
      <c r="D558" s="401"/>
      <c r="E558" s="362" t="s">
        <v>382</v>
      </c>
      <c r="F558" s="333">
        <f>F557</f>
        <v>630</v>
      </c>
      <c r="G558" s="402"/>
      <c r="H558" s="403"/>
    </row>
    <row r="559" spans="1:8" ht="25.5">
      <c r="A559" s="258"/>
      <c r="B559" s="384"/>
      <c r="C559" s="386"/>
      <c r="D559" s="347"/>
      <c r="E559" s="199" t="s">
        <v>1007</v>
      </c>
      <c r="F559" s="341">
        <v>641.8</v>
      </c>
      <c r="G559" s="388"/>
      <c r="H559" s="286"/>
    </row>
    <row r="560" spans="1:8" ht="15">
      <c r="A560" s="258"/>
      <c r="B560" s="384"/>
      <c r="C560" s="386"/>
      <c r="D560" s="347"/>
      <c r="E560" s="199" t="s">
        <v>382</v>
      </c>
      <c r="F560" s="333">
        <f>F559</f>
        <v>641.8</v>
      </c>
      <c r="G560" s="388"/>
      <c r="H560" s="286"/>
    </row>
    <row r="561" spans="1:8" ht="15">
      <c r="A561" s="258"/>
      <c r="B561" s="384"/>
      <c r="C561" s="386"/>
      <c r="D561" s="347"/>
      <c r="E561" s="199" t="s">
        <v>1008</v>
      </c>
      <c r="F561" s="333"/>
      <c r="G561" s="388"/>
      <c r="H561" s="286"/>
    </row>
    <row r="562" spans="1:8" ht="15">
      <c r="A562" s="258"/>
      <c r="B562" s="384"/>
      <c r="C562" s="386"/>
      <c r="D562" s="347"/>
      <c r="E562" s="199" t="s">
        <v>1004</v>
      </c>
      <c r="F562" s="333">
        <f>22*0.972+22*3.48</f>
        <v>97.94</v>
      </c>
      <c r="G562" s="388"/>
      <c r="H562" s="286"/>
    </row>
    <row r="563" spans="1:8" ht="15">
      <c r="A563" s="258"/>
      <c r="B563" s="384"/>
      <c r="C563" s="386"/>
      <c r="D563" s="347"/>
      <c r="E563" s="199" t="s">
        <v>1009</v>
      </c>
      <c r="F563" s="333"/>
      <c r="G563" s="388"/>
      <c r="H563" s="286"/>
    </row>
    <row r="564" spans="1:9" ht="15">
      <c r="A564" s="258"/>
      <c r="B564" s="384"/>
      <c r="C564" s="386"/>
      <c r="D564" s="347"/>
      <c r="E564" s="199" t="s">
        <v>1010</v>
      </c>
      <c r="F564" s="333">
        <f>90*0.952</f>
        <v>85.68</v>
      </c>
      <c r="G564" s="388"/>
      <c r="H564" s="286"/>
      <c r="I564" s="247" t="s">
        <v>399</v>
      </c>
    </row>
    <row r="565" spans="1:8" ht="15">
      <c r="A565" s="258"/>
      <c r="B565" s="384"/>
      <c r="C565" s="386"/>
      <c r="D565" s="347"/>
      <c r="E565" s="199" t="s">
        <v>1011</v>
      </c>
      <c r="F565" s="341">
        <f>(42+48)*3.42</f>
        <v>307.8</v>
      </c>
      <c r="G565" s="388"/>
      <c r="H565" s="286"/>
    </row>
    <row r="566" spans="1:8" ht="12.75" customHeight="1">
      <c r="A566" s="258"/>
      <c r="B566" s="400"/>
      <c r="C566" s="317"/>
      <c r="D566" s="401"/>
      <c r="E566" s="362" t="s">
        <v>382</v>
      </c>
      <c r="F566" s="333">
        <f>SUM(F564:F565)</f>
        <v>393.48</v>
      </c>
      <c r="G566" s="402"/>
      <c r="H566" s="403"/>
    </row>
    <row r="567" spans="1:8" ht="12.75" customHeight="1">
      <c r="A567" s="258"/>
      <c r="B567" s="400"/>
      <c r="C567" s="317"/>
      <c r="D567" s="401"/>
      <c r="E567" s="362" t="s">
        <v>377</v>
      </c>
      <c r="F567" s="333">
        <f>F566+F560+F558+F556+F562+F552</f>
        <v>1900.51</v>
      </c>
      <c r="G567" s="402"/>
      <c r="H567" s="403"/>
    </row>
    <row r="568" spans="1:9" s="344" customFormat="1" ht="24.75">
      <c r="A568" s="345"/>
      <c r="B568" s="352"/>
      <c r="C568" s="205"/>
      <c r="D568" s="367" t="s">
        <v>1012</v>
      </c>
      <c r="E568" s="368" t="s">
        <v>1013</v>
      </c>
      <c r="F568" s="339"/>
      <c r="G568" s="340" t="s">
        <v>45</v>
      </c>
      <c r="H568" s="283">
        <f>ROUND(F572,2)</f>
        <v>182.7</v>
      </c>
      <c r="I568" s="343"/>
    </row>
    <row r="569" spans="1:8" ht="25.5">
      <c r="A569" s="258"/>
      <c r="B569" s="384"/>
      <c r="C569" s="386"/>
      <c r="D569" s="347"/>
      <c r="E569" s="199" t="s">
        <v>1014</v>
      </c>
      <c r="F569" s="333"/>
      <c r="G569" s="388"/>
      <c r="H569" s="286"/>
    </row>
    <row r="570" spans="1:8" ht="12.75" customHeight="1">
      <c r="A570" s="258"/>
      <c r="B570" s="384"/>
      <c r="C570" s="386"/>
      <c r="D570" s="347"/>
      <c r="E570" s="199" t="s">
        <v>1015</v>
      </c>
      <c r="F570" s="333">
        <f>630*0.04</f>
        <v>25.2</v>
      </c>
      <c r="G570" s="388"/>
      <c r="H570" s="286"/>
    </row>
    <row r="571" spans="1:8" ht="12.75" customHeight="1">
      <c r="A571" s="258"/>
      <c r="B571" s="384"/>
      <c r="C571" s="386"/>
      <c r="D571" s="347"/>
      <c r="E571" s="199" t="s">
        <v>1016</v>
      </c>
      <c r="F571" s="341">
        <f>630*0.25</f>
        <v>157.5</v>
      </c>
      <c r="G571" s="388"/>
      <c r="H571" s="286"/>
    </row>
    <row r="572" spans="1:8" ht="12.75" customHeight="1">
      <c r="A572" s="258"/>
      <c r="B572" s="400"/>
      <c r="C572" s="317"/>
      <c r="D572" s="401"/>
      <c r="E572" s="362" t="s">
        <v>377</v>
      </c>
      <c r="F572" s="333">
        <f>F570+F571</f>
        <v>182.7</v>
      </c>
      <c r="G572" s="402"/>
      <c r="H572" s="403"/>
    </row>
    <row r="573" spans="1:9" s="344" customFormat="1" ht="25.5">
      <c r="A573" s="301">
        <f>MAX(A$2:A572)+1</f>
        <v>59</v>
      </c>
      <c r="B573" s="369" t="s">
        <v>141</v>
      </c>
      <c r="C573" s="205" t="s">
        <v>194</v>
      </c>
      <c r="D573" s="303"/>
      <c r="E573" s="411" t="s">
        <v>195</v>
      </c>
      <c r="F573" s="305"/>
      <c r="G573" s="410" t="s">
        <v>45</v>
      </c>
      <c r="H573" s="297">
        <f>H574</f>
        <v>13.05</v>
      </c>
      <c r="I573" s="343"/>
    </row>
    <row r="574" spans="1:9" s="344" customFormat="1" ht="24.75">
      <c r="A574" s="345"/>
      <c r="B574" s="352"/>
      <c r="C574" s="205"/>
      <c r="D574" s="337" t="s">
        <v>1017</v>
      </c>
      <c r="E574" s="368" t="s">
        <v>1018</v>
      </c>
      <c r="F574" s="305"/>
      <c r="G574" s="306" t="s">
        <v>45</v>
      </c>
      <c r="H574" s="283">
        <f>F575</f>
        <v>13.05</v>
      </c>
      <c r="I574" s="343"/>
    </row>
    <row r="575" spans="1:8" ht="12.75" customHeight="1">
      <c r="A575" s="258"/>
      <c r="B575" s="384"/>
      <c r="C575" s="386"/>
      <c r="D575" s="347"/>
      <c r="E575" s="199" t="s">
        <v>1019</v>
      </c>
      <c r="F575" s="333">
        <v>13.05</v>
      </c>
      <c r="G575" s="388"/>
      <c r="H575" s="286"/>
    </row>
    <row r="576" spans="1:8" ht="12.75" customHeight="1">
      <c r="A576" s="301">
        <f>MAX(A$2:A575)+1</f>
        <v>60</v>
      </c>
      <c r="B576" s="369" t="s">
        <v>141</v>
      </c>
      <c r="C576" s="204" t="s">
        <v>198</v>
      </c>
      <c r="D576" s="205"/>
      <c r="E576" s="206" t="s">
        <v>199</v>
      </c>
      <c r="F576" s="412"/>
      <c r="G576" s="335" t="s">
        <v>60</v>
      </c>
      <c r="H576" s="265">
        <f>H577+H579+H581+H583</f>
        <v>4</v>
      </c>
    </row>
    <row r="577" spans="1:8" ht="24.75">
      <c r="A577" s="258"/>
      <c r="B577" s="384"/>
      <c r="C577" s="386"/>
      <c r="D577" s="337" t="s">
        <v>1020</v>
      </c>
      <c r="E577" s="338" t="s">
        <v>1021</v>
      </c>
      <c r="F577" s="365"/>
      <c r="G577" s="340" t="s">
        <v>60</v>
      </c>
      <c r="H577" s="286">
        <f>F578</f>
        <v>1</v>
      </c>
    </row>
    <row r="578" spans="1:8" ht="12.75" customHeight="1">
      <c r="A578" s="258"/>
      <c r="B578" s="384"/>
      <c r="C578" s="386"/>
      <c r="D578" s="347"/>
      <c r="E578" s="199" t="s">
        <v>1022</v>
      </c>
      <c r="F578" s="333">
        <v>1</v>
      </c>
      <c r="G578" s="388"/>
      <c r="H578" s="286"/>
    </row>
    <row r="579" spans="1:8" ht="24.75">
      <c r="A579" s="258"/>
      <c r="B579" s="384"/>
      <c r="C579" s="386"/>
      <c r="D579" s="337" t="s">
        <v>1023</v>
      </c>
      <c r="E579" s="338" t="s">
        <v>1024</v>
      </c>
      <c r="F579" s="365"/>
      <c r="G579" s="340" t="s">
        <v>60</v>
      </c>
      <c r="H579" s="286">
        <f>F580</f>
        <v>1</v>
      </c>
    </row>
    <row r="580" spans="1:8" ht="12.75" customHeight="1">
      <c r="A580" s="258"/>
      <c r="B580" s="384"/>
      <c r="C580" s="386"/>
      <c r="D580" s="367"/>
      <c r="E580" s="199" t="s">
        <v>1025</v>
      </c>
      <c r="F580" s="333">
        <v>1</v>
      </c>
      <c r="G580" s="340"/>
      <c r="H580" s="286"/>
    </row>
    <row r="581" spans="1:8" ht="24.75">
      <c r="A581" s="258"/>
      <c r="B581" s="384"/>
      <c r="C581" s="386"/>
      <c r="D581" s="337" t="s">
        <v>1026</v>
      </c>
      <c r="E581" s="338" t="s">
        <v>1027</v>
      </c>
      <c r="F581" s="365"/>
      <c r="G581" s="340" t="s">
        <v>60</v>
      </c>
      <c r="H581" s="286">
        <f>F582</f>
        <v>1</v>
      </c>
    </row>
    <row r="582" spans="1:8" ht="12.75" customHeight="1">
      <c r="A582" s="258"/>
      <c r="B582" s="384"/>
      <c r="C582" s="386"/>
      <c r="D582" s="347"/>
      <c r="E582" s="199" t="s">
        <v>1028</v>
      </c>
      <c r="F582" s="363">
        <v>1</v>
      </c>
      <c r="G582" s="388"/>
      <c r="H582" s="286"/>
    </row>
    <row r="583" spans="1:8" ht="24.75">
      <c r="A583" s="258"/>
      <c r="B583" s="384"/>
      <c r="C583" s="386"/>
      <c r="D583" s="337" t="s">
        <v>1029</v>
      </c>
      <c r="E583" s="338" t="s">
        <v>1030</v>
      </c>
      <c r="F583" s="333"/>
      <c r="G583" s="340" t="s">
        <v>60</v>
      </c>
      <c r="H583" s="286">
        <f>F584</f>
        <v>1</v>
      </c>
    </row>
    <row r="584" spans="1:8" ht="12.75" customHeight="1">
      <c r="A584" s="258"/>
      <c r="B584" s="384"/>
      <c r="C584" s="386"/>
      <c r="D584" s="367"/>
      <c r="E584" s="199" t="s">
        <v>1031</v>
      </c>
      <c r="F584" s="363">
        <v>1</v>
      </c>
      <c r="G584" s="340"/>
      <c r="H584" s="286"/>
    </row>
    <row r="585" spans="1:8" ht="12.75" customHeight="1">
      <c r="A585" s="301">
        <f>MAX(A$2:A584)+1</f>
        <v>61</v>
      </c>
      <c r="B585" s="369" t="s">
        <v>141</v>
      </c>
      <c r="C585" s="204" t="s">
        <v>200</v>
      </c>
      <c r="D585" s="205"/>
      <c r="E585" s="206" t="s">
        <v>201</v>
      </c>
      <c r="F585" s="412"/>
      <c r="G585" s="335" t="s">
        <v>60</v>
      </c>
      <c r="H585" s="265">
        <f>H586+H588+H590+H592</f>
        <v>4</v>
      </c>
    </row>
    <row r="586" spans="1:8" ht="24.75">
      <c r="A586" s="258"/>
      <c r="B586" s="384"/>
      <c r="C586" s="386"/>
      <c r="D586" s="337" t="s">
        <v>1032</v>
      </c>
      <c r="E586" s="338" t="s">
        <v>1033</v>
      </c>
      <c r="F586" s="365"/>
      <c r="G586" s="340" t="s">
        <v>60</v>
      </c>
      <c r="H586" s="286">
        <f>F587</f>
        <v>1</v>
      </c>
    </row>
    <row r="587" spans="1:8" ht="15">
      <c r="A587" s="258"/>
      <c r="B587" s="384"/>
      <c r="C587" s="386"/>
      <c r="D587" s="367"/>
      <c r="E587" s="199" t="s">
        <v>1022</v>
      </c>
      <c r="F587" s="363">
        <v>1</v>
      </c>
      <c r="G587" s="340"/>
      <c r="H587" s="286"/>
    </row>
    <row r="588" spans="1:8" ht="24.75">
      <c r="A588" s="258"/>
      <c r="B588" s="384"/>
      <c r="C588" s="386"/>
      <c r="D588" s="337" t="s">
        <v>1034</v>
      </c>
      <c r="E588" s="338" t="s">
        <v>1035</v>
      </c>
      <c r="F588" s="365"/>
      <c r="G588" s="340" t="s">
        <v>60</v>
      </c>
      <c r="H588" s="286">
        <f>F589</f>
        <v>1</v>
      </c>
    </row>
    <row r="589" spans="1:8" ht="12.75" customHeight="1">
      <c r="A589" s="258"/>
      <c r="B589" s="384"/>
      <c r="C589" s="386"/>
      <c r="D589" s="367"/>
      <c r="E589" s="199" t="s">
        <v>1025</v>
      </c>
      <c r="F589" s="363">
        <v>1</v>
      </c>
      <c r="G589" s="340"/>
      <c r="H589" s="286"/>
    </row>
    <row r="590" spans="1:8" ht="24.75">
      <c r="A590" s="258"/>
      <c r="B590" s="384"/>
      <c r="C590" s="386"/>
      <c r="D590" s="337" t="s">
        <v>1036</v>
      </c>
      <c r="E590" s="338" t="s">
        <v>1037</v>
      </c>
      <c r="F590" s="365"/>
      <c r="G590" s="340" t="s">
        <v>60</v>
      </c>
      <c r="H590" s="286">
        <f>F591</f>
        <v>1</v>
      </c>
    </row>
    <row r="591" spans="1:8" ht="12.75" customHeight="1">
      <c r="A591" s="258"/>
      <c r="B591" s="384"/>
      <c r="C591" s="386"/>
      <c r="D591" s="347"/>
      <c r="E591" s="199" t="s">
        <v>1028</v>
      </c>
      <c r="F591" s="363">
        <v>1</v>
      </c>
      <c r="G591" s="388"/>
      <c r="H591" s="286"/>
    </row>
    <row r="592" spans="1:8" ht="24.75">
      <c r="A592" s="258"/>
      <c r="B592" s="384"/>
      <c r="C592" s="386"/>
      <c r="D592" s="337" t="s">
        <v>1038</v>
      </c>
      <c r="E592" s="338" t="s">
        <v>1039</v>
      </c>
      <c r="F592" s="365"/>
      <c r="G592" s="340" t="s">
        <v>60</v>
      </c>
      <c r="H592" s="286">
        <f>F593</f>
        <v>1</v>
      </c>
    </row>
    <row r="593" spans="1:8" ht="12.75" customHeight="1">
      <c r="A593" s="258"/>
      <c r="B593" s="384"/>
      <c r="C593" s="386"/>
      <c r="D593" s="347"/>
      <c r="E593" s="199" t="s">
        <v>1031</v>
      </c>
      <c r="F593" s="363">
        <v>1</v>
      </c>
      <c r="G593" s="388"/>
      <c r="H593" s="286"/>
    </row>
    <row r="594" spans="1:9" s="344" customFormat="1" ht="14.25">
      <c r="A594" s="301">
        <f>MAX(A$2:A593)+1</f>
        <v>62</v>
      </c>
      <c r="B594" s="369" t="s">
        <v>141</v>
      </c>
      <c r="C594" s="205" t="s">
        <v>202</v>
      </c>
      <c r="D594" s="303"/>
      <c r="E594" s="411" t="s">
        <v>203</v>
      </c>
      <c r="F594" s="305"/>
      <c r="G594" s="410" t="s">
        <v>60</v>
      </c>
      <c r="H594" s="297">
        <f>H595</f>
        <v>108</v>
      </c>
      <c r="I594" s="343"/>
    </row>
    <row r="595" spans="1:9" s="344" customFormat="1" ht="15">
      <c r="A595" s="345"/>
      <c r="B595" s="352"/>
      <c r="C595" s="205"/>
      <c r="D595" s="337" t="s">
        <v>202</v>
      </c>
      <c r="E595" s="368" t="s">
        <v>203</v>
      </c>
      <c r="F595" s="305"/>
      <c r="G595" s="306" t="s">
        <v>60</v>
      </c>
      <c r="H595" s="283">
        <f>F599</f>
        <v>108</v>
      </c>
      <c r="I595" s="343"/>
    </row>
    <row r="596" spans="1:8" ht="12.75" customHeight="1">
      <c r="A596" s="258"/>
      <c r="B596" s="384"/>
      <c r="C596" s="386"/>
      <c r="D596" s="347"/>
      <c r="E596" s="199" t="s">
        <v>1040</v>
      </c>
      <c r="F596" s="333">
        <v>46</v>
      </c>
      <c r="G596" s="388"/>
      <c r="H596" s="286"/>
    </row>
    <row r="597" spans="1:8" ht="12.75" customHeight="1">
      <c r="A597" s="258"/>
      <c r="B597" s="384"/>
      <c r="C597" s="386"/>
      <c r="D597" s="347"/>
      <c r="E597" s="199" t="s">
        <v>1041</v>
      </c>
      <c r="F597" s="333">
        <v>12</v>
      </c>
      <c r="G597" s="388"/>
      <c r="H597" s="286"/>
    </row>
    <row r="598" spans="1:8" ht="12.75" customHeight="1">
      <c r="A598" s="258"/>
      <c r="B598" s="384"/>
      <c r="C598" s="386"/>
      <c r="D598" s="347"/>
      <c r="E598" s="199" t="s">
        <v>1042</v>
      </c>
      <c r="F598" s="341">
        <v>50</v>
      </c>
      <c r="G598" s="388"/>
      <c r="H598" s="286"/>
    </row>
    <row r="599" spans="1:8" ht="12.75" customHeight="1">
      <c r="A599" s="258"/>
      <c r="B599" s="400"/>
      <c r="C599" s="317"/>
      <c r="D599" s="401"/>
      <c r="E599" s="362" t="s">
        <v>377</v>
      </c>
      <c r="F599" s="333">
        <f>SUM(F596:F598)</f>
        <v>108</v>
      </c>
      <c r="G599" s="402"/>
      <c r="H599" s="403"/>
    </row>
    <row r="600" spans="1:9" s="300" customFormat="1" ht="17.25" customHeight="1">
      <c r="A600" s="301">
        <f>MAX(A$2:A599)+1</f>
        <v>63</v>
      </c>
      <c r="B600" s="369" t="s">
        <v>141</v>
      </c>
      <c r="C600" s="205" t="s">
        <v>204</v>
      </c>
      <c r="D600" s="303"/>
      <c r="E600" s="409" t="s">
        <v>205</v>
      </c>
      <c r="F600" s="420"/>
      <c r="G600" s="410" t="s">
        <v>45</v>
      </c>
      <c r="H600" s="297">
        <f>H601</f>
        <v>736.56</v>
      </c>
      <c r="I600" s="298"/>
    </row>
    <row r="601" spans="1:9" s="344" customFormat="1" ht="15">
      <c r="A601" s="345"/>
      <c r="B601" s="352"/>
      <c r="C601" s="205"/>
      <c r="D601" s="337" t="s">
        <v>204</v>
      </c>
      <c r="E601" s="368" t="s">
        <v>205</v>
      </c>
      <c r="F601" s="305"/>
      <c r="G601" s="306" t="s">
        <v>45</v>
      </c>
      <c r="H601" s="283">
        <f>ROUND(F619,2)</f>
        <v>736.56</v>
      </c>
      <c r="I601" s="343" t="s">
        <v>399</v>
      </c>
    </row>
    <row r="602" spans="1:8" ht="25.5">
      <c r="A602" s="258"/>
      <c r="B602" s="384"/>
      <c r="C602" s="386"/>
      <c r="D602" s="347"/>
      <c r="E602" s="199" t="s">
        <v>1043</v>
      </c>
      <c r="F602" s="333">
        <f>0.15*144</f>
        <v>21.6</v>
      </c>
      <c r="G602" s="388"/>
      <c r="H602" s="286"/>
    </row>
    <row r="603" spans="1:8" ht="25.5">
      <c r="A603" s="258"/>
      <c r="B603" s="384"/>
      <c r="C603" s="386"/>
      <c r="D603" s="347"/>
      <c r="E603" s="199" t="s">
        <v>1044</v>
      </c>
      <c r="F603" s="333">
        <f>0.15*72</f>
        <v>10.8</v>
      </c>
      <c r="G603" s="388"/>
      <c r="H603" s="286"/>
    </row>
    <row r="604" spans="1:11" ht="25.5">
      <c r="A604" s="258"/>
      <c r="B604" s="384"/>
      <c r="C604" s="386"/>
      <c r="D604" s="347"/>
      <c r="E604" s="199" t="s">
        <v>1045</v>
      </c>
      <c r="F604" s="333"/>
      <c r="G604" s="388"/>
      <c r="H604" s="286"/>
      <c r="I604" s="247" t="s">
        <v>399</v>
      </c>
      <c r="J604" s="170" t="s">
        <v>1046</v>
      </c>
      <c r="K604" s="170" t="s">
        <v>399</v>
      </c>
    </row>
    <row r="605" spans="1:8" ht="12.75" customHeight="1">
      <c r="A605" s="258"/>
      <c r="B605" s="384"/>
      <c r="C605" s="386"/>
      <c r="D605" s="347"/>
      <c r="E605" s="199" t="s">
        <v>720</v>
      </c>
      <c r="F605" s="333">
        <f>(22+21)*0.25</f>
        <v>10.75</v>
      </c>
      <c r="G605" s="388"/>
      <c r="H605" s="286"/>
    </row>
    <row r="606" spans="1:8" ht="25.5">
      <c r="A606" s="258"/>
      <c r="B606" s="384"/>
      <c r="C606" s="386"/>
      <c r="D606" s="347"/>
      <c r="E606" s="199" t="s">
        <v>1047</v>
      </c>
      <c r="F606" s="333"/>
      <c r="G606" s="388"/>
      <c r="H606" s="286"/>
    </row>
    <row r="607" spans="1:8" ht="12.75" customHeight="1">
      <c r="A607" s="258"/>
      <c r="B607" s="384"/>
      <c r="C607" s="386"/>
      <c r="D607" s="347"/>
      <c r="E607" s="199" t="s">
        <v>722</v>
      </c>
      <c r="F607" s="333">
        <f>2230*0.16</f>
        <v>356.8</v>
      </c>
      <c r="G607" s="388"/>
      <c r="H607" s="286"/>
    </row>
    <row r="608" spans="1:8" ht="15">
      <c r="A608" s="258"/>
      <c r="B608" s="384"/>
      <c r="C608" s="386"/>
      <c r="D608" s="347"/>
      <c r="E608" s="199" t="s">
        <v>1048</v>
      </c>
      <c r="F608" s="333"/>
      <c r="G608" s="388"/>
      <c r="H608" s="286"/>
    </row>
    <row r="609" spans="1:8" ht="12.75" customHeight="1">
      <c r="A609" s="258"/>
      <c r="B609" s="384"/>
      <c r="C609" s="386"/>
      <c r="D609" s="347"/>
      <c r="E609" s="199" t="s">
        <v>727</v>
      </c>
      <c r="F609" s="333">
        <f>12*6*0.1</f>
        <v>7.2</v>
      </c>
      <c r="G609" s="388"/>
      <c r="H609" s="286"/>
    </row>
    <row r="610" spans="1:8" ht="25.5">
      <c r="A610" s="258"/>
      <c r="B610" s="384"/>
      <c r="C610" s="386"/>
      <c r="D610" s="347"/>
      <c r="E610" s="199" t="s">
        <v>1049</v>
      </c>
      <c r="F610" s="333">
        <f>16*0.12</f>
        <v>1.92</v>
      </c>
      <c r="G610" s="388" t="s">
        <v>399</v>
      </c>
      <c r="H610" s="286"/>
    </row>
    <row r="611" spans="1:8" ht="12.75" customHeight="1">
      <c r="A611" s="258"/>
      <c r="B611" s="384"/>
      <c r="C611" s="386"/>
      <c r="D611" s="347"/>
      <c r="E611" s="199" t="s">
        <v>1050</v>
      </c>
      <c r="F611" s="333"/>
      <c r="G611" s="388"/>
      <c r="H611" s="286"/>
    </row>
    <row r="612" spans="1:8" ht="12.75" customHeight="1">
      <c r="A612" s="258"/>
      <c r="B612" s="384"/>
      <c r="C612" s="386"/>
      <c r="D612" s="347"/>
      <c r="E612" s="199" t="s">
        <v>725</v>
      </c>
      <c r="F612" s="333">
        <f>1296*0.12</f>
        <v>155.52</v>
      </c>
      <c r="G612" s="388" t="s">
        <v>399</v>
      </c>
      <c r="H612" s="286"/>
    </row>
    <row r="613" spans="1:8" ht="25.5">
      <c r="A613" s="258"/>
      <c r="B613" s="384"/>
      <c r="C613" s="386"/>
      <c r="D613" s="347"/>
      <c r="E613" s="199" t="s">
        <v>1051</v>
      </c>
      <c r="F613" s="333">
        <f>21*4*0.1</f>
        <v>8.4</v>
      </c>
      <c r="G613" s="388"/>
      <c r="H613" s="286"/>
    </row>
    <row r="614" spans="1:8" ht="12.75" customHeight="1">
      <c r="A614" s="258"/>
      <c r="B614" s="384"/>
      <c r="C614" s="386"/>
      <c r="D614" s="347"/>
      <c r="E614" s="199" t="s">
        <v>1052</v>
      </c>
      <c r="F614" s="333"/>
      <c r="G614" s="388"/>
      <c r="H614" s="286"/>
    </row>
    <row r="615" spans="1:8" ht="12.75" customHeight="1">
      <c r="A615" s="258"/>
      <c r="B615" s="384"/>
      <c r="C615" s="386"/>
      <c r="D615" s="347"/>
      <c r="E615" s="199" t="s">
        <v>729</v>
      </c>
      <c r="F615" s="333">
        <f>128*0.3</f>
        <v>38.4</v>
      </c>
      <c r="G615" s="388" t="s">
        <v>399</v>
      </c>
      <c r="H615" s="286"/>
    </row>
    <row r="616" spans="1:8" ht="12.75" customHeight="1">
      <c r="A616" s="258"/>
      <c r="B616" s="384"/>
      <c r="C616" s="386"/>
      <c r="D616" s="347"/>
      <c r="E616" s="199" t="s">
        <v>1053</v>
      </c>
      <c r="F616" s="333">
        <f>74*0.091</f>
        <v>6.73</v>
      </c>
      <c r="G616" s="388" t="s">
        <v>399</v>
      </c>
      <c r="H616" s="286"/>
    </row>
    <row r="617" spans="1:8" ht="12.75" customHeight="1">
      <c r="A617" s="258"/>
      <c r="B617" s="384"/>
      <c r="C617" s="386"/>
      <c r="D617" s="347"/>
      <c r="E617" s="199" t="s">
        <v>1054</v>
      </c>
      <c r="F617" s="333"/>
      <c r="G617" s="388"/>
      <c r="H617" s="286"/>
    </row>
    <row r="618" spans="1:8" ht="39">
      <c r="A618" s="258"/>
      <c r="B618" s="384"/>
      <c r="C618" s="386"/>
      <c r="D618" s="347"/>
      <c r="E618" s="199" t="s">
        <v>1055</v>
      </c>
      <c r="F618" s="341">
        <f>12.32+24.08+22.96+24.08+22.96+12.04</f>
        <v>118.44</v>
      </c>
      <c r="G618" s="388"/>
      <c r="H618" s="286"/>
    </row>
    <row r="619" spans="1:8" ht="12.75" customHeight="1">
      <c r="A619" s="258"/>
      <c r="B619" s="400"/>
      <c r="C619" s="317"/>
      <c r="D619" s="401"/>
      <c r="E619" s="362" t="s">
        <v>377</v>
      </c>
      <c r="F619" s="333">
        <f>SUM(F602:F618)</f>
        <v>736.56</v>
      </c>
      <c r="G619" s="402"/>
      <c r="H619" s="403"/>
    </row>
    <row r="620" spans="1:9" s="344" customFormat="1" ht="25.5">
      <c r="A620" s="301">
        <f>MAX(A$2:A619)+1</f>
        <v>64</v>
      </c>
      <c r="B620" s="369" t="s">
        <v>141</v>
      </c>
      <c r="C620" s="205" t="s">
        <v>206</v>
      </c>
      <c r="D620" s="303"/>
      <c r="E620" s="411" t="s">
        <v>207</v>
      </c>
      <c r="F620" s="305"/>
      <c r="G620" s="410" t="s">
        <v>45</v>
      </c>
      <c r="H620" s="297">
        <f>H621</f>
        <v>1277.8</v>
      </c>
      <c r="I620" s="343"/>
    </row>
    <row r="621" spans="1:9" s="344" customFormat="1" ht="24.75">
      <c r="A621" s="345"/>
      <c r="B621" s="352"/>
      <c r="C621" s="205"/>
      <c r="D621" s="337" t="s">
        <v>206</v>
      </c>
      <c r="E621" s="368" t="s">
        <v>1056</v>
      </c>
      <c r="F621" s="305"/>
      <c r="G621" s="306" t="s">
        <v>45</v>
      </c>
      <c r="H621" s="283">
        <f>ROUND(F625,2)</f>
        <v>1277.8</v>
      </c>
      <c r="I621" s="343"/>
    </row>
    <row r="622" spans="1:9" ht="39">
      <c r="A622" s="258"/>
      <c r="B622" s="400"/>
      <c r="C622" s="317"/>
      <c r="D622" s="401"/>
      <c r="E622" s="415" t="s">
        <v>1057</v>
      </c>
      <c r="F622" s="363"/>
      <c r="G622" s="402"/>
      <c r="H622" s="403"/>
      <c r="I622" s="343"/>
    </row>
    <row r="623" spans="1:9" ht="12.75" customHeight="1">
      <c r="A623" s="258"/>
      <c r="B623" s="400"/>
      <c r="C623" s="317"/>
      <c r="D623" s="401"/>
      <c r="E623" s="415" t="s">
        <v>1058</v>
      </c>
      <c r="F623" s="363">
        <v>636</v>
      </c>
      <c r="G623" s="402"/>
      <c r="H623" s="403"/>
      <c r="I623" s="343"/>
    </row>
    <row r="624" spans="1:9" ht="12.75" customHeight="1">
      <c r="A624" s="258"/>
      <c r="B624" s="400"/>
      <c r="C624" s="317"/>
      <c r="D624" s="401"/>
      <c r="E624" s="415" t="s">
        <v>1059</v>
      </c>
      <c r="F624" s="341">
        <v>641.8</v>
      </c>
      <c r="G624" s="402"/>
      <c r="H624" s="403"/>
      <c r="I624" s="343"/>
    </row>
    <row r="625" spans="1:9" ht="12.75" customHeight="1">
      <c r="A625" s="258"/>
      <c r="B625" s="400"/>
      <c r="C625" s="317"/>
      <c r="D625" s="401"/>
      <c r="E625" s="362"/>
      <c r="F625" s="363">
        <f>SUM(F623:F624)</f>
        <v>1277.8</v>
      </c>
      <c r="G625" s="402"/>
      <c r="H625" s="403"/>
      <c r="I625" s="343"/>
    </row>
    <row r="626" spans="1:9" s="344" customFormat="1" ht="14.25">
      <c r="A626" s="301">
        <f>MAX(A$2:A625)+1</f>
        <v>65</v>
      </c>
      <c r="B626" s="369" t="s">
        <v>141</v>
      </c>
      <c r="C626" s="294" t="s">
        <v>182</v>
      </c>
      <c r="D626" s="421"/>
      <c r="E626" s="390" t="s">
        <v>183</v>
      </c>
      <c r="F626" s="377"/>
      <c r="G626" s="137" t="s">
        <v>45</v>
      </c>
      <c r="H626" s="144">
        <f>H627+H634</f>
        <v>1533.36</v>
      </c>
      <c r="I626" s="343"/>
    </row>
    <row r="627" spans="1:9" s="344" customFormat="1" ht="15">
      <c r="A627" s="345"/>
      <c r="B627" s="346"/>
      <c r="C627" s="154"/>
      <c r="D627" s="422" t="s">
        <v>1060</v>
      </c>
      <c r="E627" s="423" t="s">
        <v>1061</v>
      </c>
      <c r="F627" s="424"/>
      <c r="G627" s="129" t="s">
        <v>45</v>
      </c>
      <c r="H627" s="283">
        <f>ROUND(F631,2)</f>
        <v>770.16</v>
      </c>
      <c r="I627" s="343"/>
    </row>
    <row r="628" spans="1:8" ht="15">
      <c r="A628" s="258"/>
      <c r="B628" s="384"/>
      <c r="C628" s="386"/>
      <c r="D628" s="347"/>
      <c r="E628" s="199" t="s">
        <v>1062</v>
      </c>
      <c r="F628" s="333">
        <v>641.8</v>
      </c>
      <c r="G628" s="388" t="s">
        <v>399</v>
      </c>
      <c r="H628" s="286"/>
    </row>
    <row r="629" spans="1:8" ht="15">
      <c r="A629" s="258"/>
      <c r="B629" s="384"/>
      <c r="C629" s="386"/>
      <c r="D629" s="347"/>
      <c r="E629" s="199" t="s">
        <v>1063</v>
      </c>
      <c r="F629" s="333"/>
      <c r="G629" s="388"/>
      <c r="H629" s="286"/>
    </row>
    <row r="630" spans="1:8" ht="15">
      <c r="A630" s="258"/>
      <c r="B630" s="384"/>
      <c r="C630" s="386"/>
      <c r="D630" s="347"/>
      <c r="E630" s="199" t="s">
        <v>1064</v>
      </c>
      <c r="F630" s="341">
        <f>0.2*641.8</f>
        <v>128.36</v>
      </c>
      <c r="G630" s="388"/>
      <c r="H630" s="286"/>
    </row>
    <row r="631" spans="1:8" ht="12.75" customHeight="1">
      <c r="A631" s="258"/>
      <c r="B631" s="400"/>
      <c r="C631" s="317"/>
      <c r="D631" s="401"/>
      <c r="E631" s="362" t="s">
        <v>377</v>
      </c>
      <c r="F631" s="333">
        <f>F628+F630</f>
        <v>770.16</v>
      </c>
      <c r="G631" s="402"/>
      <c r="H631" s="403"/>
    </row>
    <row r="632" spans="1:8" ht="15">
      <c r="A632" s="258"/>
      <c r="B632" s="384"/>
      <c r="C632" s="386"/>
      <c r="D632" s="347"/>
      <c r="E632" s="199" t="s">
        <v>1065</v>
      </c>
      <c r="F632" s="333"/>
      <c r="G632" s="388"/>
      <c r="H632" s="286"/>
    </row>
    <row r="633" spans="1:8" ht="15">
      <c r="A633" s="258"/>
      <c r="B633" s="384"/>
      <c r="C633" s="386"/>
      <c r="D633" s="347"/>
      <c r="E633" s="199" t="s">
        <v>1066</v>
      </c>
      <c r="F633" s="333"/>
      <c r="G633" s="388"/>
      <c r="H633" s="286"/>
    </row>
    <row r="634" spans="1:9" s="344" customFormat="1" ht="15">
      <c r="A634" s="345"/>
      <c r="B634" s="346"/>
      <c r="C634" s="294" t="s">
        <v>399</v>
      </c>
      <c r="D634" s="422" t="s">
        <v>1067</v>
      </c>
      <c r="E634" s="423" t="s">
        <v>1068</v>
      </c>
      <c r="F634" s="424"/>
      <c r="G634" s="129" t="s">
        <v>45</v>
      </c>
      <c r="H634" s="283">
        <f>ROUND(F638,2)</f>
        <v>763.2</v>
      </c>
      <c r="I634" s="343"/>
    </row>
    <row r="635" spans="1:8" ht="25.5">
      <c r="A635" s="258"/>
      <c r="B635" s="384"/>
      <c r="C635" s="386"/>
      <c r="D635" s="347"/>
      <c r="E635" s="199" t="s">
        <v>1069</v>
      </c>
      <c r="F635" s="333">
        <v>636</v>
      </c>
      <c r="G635" s="388"/>
      <c r="H635" s="286"/>
    </row>
    <row r="636" spans="1:8" ht="15">
      <c r="A636" s="258"/>
      <c r="B636" s="384"/>
      <c r="C636" s="386"/>
      <c r="D636" s="347"/>
      <c r="E636" s="199" t="s">
        <v>1063</v>
      </c>
      <c r="F636" s="333"/>
      <c r="G636" s="388"/>
      <c r="H636" s="286"/>
    </row>
    <row r="637" spans="1:8" ht="15">
      <c r="A637" s="258"/>
      <c r="B637" s="384"/>
      <c r="C637" s="386"/>
      <c r="D637" s="347"/>
      <c r="E637" s="199" t="s">
        <v>1070</v>
      </c>
      <c r="F637" s="341">
        <f>0.2*636</f>
        <v>127.2</v>
      </c>
      <c r="G637" s="388"/>
      <c r="H637" s="286"/>
    </row>
    <row r="638" spans="1:8" ht="12.75" customHeight="1">
      <c r="A638" s="258"/>
      <c r="B638" s="400"/>
      <c r="C638" s="317"/>
      <c r="D638" s="401"/>
      <c r="E638" s="362" t="s">
        <v>377</v>
      </c>
      <c r="F638" s="333">
        <f>SUM(F635:F637)</f>
        <v>763.2</v>
      </c>
      <c r="G638" s="402"/>
      <c r="H638" s="403"/>
    </row>
    <row r="639" spans="1:8" ht="15">
      <c r="A639" s="258"/>
      <c r="B639" s="384"/>
      <c r="C639" s="386"/>
      <c r="D639" s="425"/>
      <c r="E639" s="414" t="s">
        <v>1065</v>
      </c>
      <c r="F639" s="333"/>
      <c r="G639" s="388"/>
      <c r="H639" s="286"/>
    </row>
    <row r="640" spans="1:8" ht="25.5">
      <c r="A640" s="258"/>
      <c r="B640" s="384"/>
      <c r="C640" s="386"/>
      <c r="D640" s="425"/>
      <c r="E640" s="414" t="s">
        <v>1071</v>
      </c>
      <c r="F640" s="333"/>
      <c r="G640" s="388"/>
      <c r="H640" s="286"/>
    </row>
    <row r="641" spans="1:9" s="344" customFormat="1" ht="25.5">
      <c r="A641" s="301">
        <f>MAX(A$2:A640)+1</f>
        <v>66</v>
      </c>
      <c r="B641" s="369" t="s">
        <v>141</v>
      </c>
      <c r="C641" s="294" t="s">
        <v>196</v>
      </c>
      <c r="D641" s="421"/>
      <c r="E641" s="390" t="s">
        <v>197</v>
      </c>
      <c r="F641" s="377"/>
      <c r="G641" s="137" t="s">
        <v>38</v>
      </c>
      <c r="H641" s="144">
        <f>H642</f>
        <v>318</v>
      </c>
      <c r="I641" s="343"/>
    </row>
    <row r="642" spans="1:9" s="344" customFormat="1" ht="24.75">
      <c r="A642" s="345"/>
      <c r="B642" s="346"/>
      <c r="C642" s="154"/>
      <c r="D642" s="422" t="s">
        <v>1072</v>
      </c>
      <c r="E642" s="423" t="s">
        <v>1073</v>
      </c>
      <c r="F642" s="424"/>
      <c r="G642" s="129" t="s">
        <v>38</v>
      </c>
      <c r="H642" s="283">
        <f>ROUND(F643,2)</f>
        <v>318</v>
      </c>
      <c r="I642" s="343"/>
    </row>
    <row r="643" spans="1:8" ht="25.5">
      <c r="A643" s="258"/>
      <c r="B643" s="384"/>
      <c r="C643" s="386"/>
      <c r="D643" s="425"/>
      <c r="E643" s="414" t="s">
        <v>1074</v>
      </c>
      <c r="F643" s="333">
        <f>636*0.5</f>
        <v>318</v>
      </c>
      <c r="G643" s="388"/>
      <c r="H643" s="286"/>
    </row>
    <row r="644" spans="1:9" s="344" customFormat="1" ht="25.5">
      <c r="A644" s="301">
        <f>MAX(A$2:A643)+1</f>
        <v>67</v>
      </c>
      <c r="B644" s="369" t="s">
        <v>141</v>
      </c>
      <c r="C644" s="294" t="s">
        <v>208</v>
      </c>
      <c r="D644" s="421"/>
      <c r="E644" s="390" t="s">
        <v>209</v>
      </c>
      <c r="F644" s="377"/>
      <c r="G644" s="137" t="s">
        <v>30</v>
      </c>
      <c r="H644" s="144">
        <f>H645</f>
        <v>87.6</v>
      </c>
      <c r="I644" s="343"/>
    </row>
    <row r="645" spans="1:8" s="298" customFormat="1" ht="12.75" customHeight="1">
      <c r="A645" s="426"/>
      <c r="B645" s="427"/>
      <c r="C645" s="428"/>
      <c r="D645" s="142" t="s">
        <v>208</v>
      </c>
      <c r="E645" s="143" t="s">
        <v>209</v>
      </c>
      <c r="F645" s="128"/>
      <c r="G645" s="129" t="s">
        <v>30</v>
      </c>
      <c r="H645" s="283">
        <f>ROUND(F647,2)</f>
        <v>87.6</v>
      </c>
    </row>
    <row r="646" spans="1:8" ht="25.5">
      <c r="A646" s="429"/>
      <c r="B646" s="384"/>
      <c r="C646" s="430"/>
      <c r="D646" s="422"/>
      <c r="E646" s="414" t="s">
        <v>1075</v>
      </c>
      <c r="F646" s="333"/>
      <c r="G646" s="388"/>
      <c r="H646" s="286"/>
    </row>
    <row r="647" spans="1:8" ht="25.5">
      <c r="A647" s="429"/>
      <c r="B647" s="384"/>
      <c r="C647" s="430"/>
      <c r="D647" s="422"/>
      <c r="E647" s="414" t="s">
        <v>1076</v>
      </c>
      <c r="F647" s="333">
        <f>2*1.5*(1.31+3.98+3.94+2.24+1.09+2.31+2.21+1.05+2.21+3.88+3.86+1.12)</f>
        <v>87.6</v>
      </c>
      <c r="G647" s="388"/>
      <c r="H647" s="286"/>
    </row>
    <row r="648" spans="1:8" ht="12.75" customHeight="1">
      <c r="A648" s="301">
        <f>MAX(A$2:A647)+1</f>
        <v>68</v>
      </c>
      <c r="B648" s="369" t="s">
        <v>141</v>
      </c>
      <c r="C648" s="431" t="s">
        <v>210</v>
      </c>
      <c r="D648" s="303"/>
      <c r="E648" s="411" t="s">
        <v>211</v>
      </c>
      <c r="F648" s="305"/>
      <c r="G648" s="410" t="s">
        <v>38</v>
      </c>
      <c r="H648" s="297">
        <f>H649</f>
        <v>17.55</v>
      </c>
    </row>
    <row r="649" spans="1:8" ht="12.75" customHeight="1">
      <c r="A649" s="345"/>
      <c r="B649" s="352"/>
      <c r="C649" s="431"/>
      <c r="D649" s="337" t="s">
        <v>210</v>
      </c>
      <c r="E649" s="368" t="s">
        <v>211</v>
      </c>
      <c r="F649" s="305"/>
      <c r="G649" s="306" t="s">
        <v>38</v>
      </c>
      <c r="H649" s="283">
        <f>ROUND(F651,2)</f>
        <v>17.55</v>
      </c>
    </row>
    <row r="650" spans="1:8" ht="12.75" customHeight="1">
      <c r="A650" s="258"/>
      <c r="B650" s="384"/>
      <c r="C650" s="430"/>
      <c r="D650" s="422"/>
      <c r="E650" s="414" t="s">
        <v>1077</v>
      </c>
      <c r="F650" s="333"/>
      <c r="G650" s="388"/>
      <c r="H650" s="286"/>
    </row>
    <row r="651" spans="1:8" ht="12.75" customHeight="1">
      <c r="A651" s="258"/>
      <c r="B651" s="384"/>
      <c r="C651" s="430"/>
      <c r="D651" s="422"/>
      <c r="E651" s="414" t="s">
        <v>1078</v>
      </c>
      <c r="F651" s="333">
        <f>(8249.704+8292.726+36.65+970.906)*0.001</f>
        <v>17.55</v>
      </c>
      <c r="G651" s="388"/>
      <c r="H651" s="286"/>
    </row>
    <row r="652" spans="1:9" s="382" customFormat="1" ht="30.75">
      <c r="A652" s="378"/>
      <c r="B652" s="311" t="s">
        <v>213</v>
      </c>
      <c r="C652" s="432"/>
      <c r="D652" s="130"/>
      <c r="E652" s="380" t="s">
        <v>1079</v>
      </c>
      <c r="F652" s="131"/>
      <c r="G652" s="138"/>
      <c r="H652" s="132"/>
      <c r="I652" s="381"/>
    </row>
    <row r="653" spans="1:8" ht="25.5">
      <c r="A653" s="301">
        <f>MAX(A$2:A652)+1</f>
        <v>69</v>
      </c>
      <c r="B653" s="433" t="s">
        <v>213</v>
      </c>
      <c r="C653" s="294" t="s">
        <v>214</v>
      </c>
      <c r="D653" s="421"/>
      <c r="E653" s="369" t="s">
        <v>215</v>
      </c>
      <c r="F653" s="377"/>
      <c r="G653" s="137" t="s">
        <v>30</v>
      </c>
      <c r="H653" s="144">
        <f>H654</f>
        <v>1.17</v>
      </c>
    </row>
    <row r="654" spans="1:8" s="298" customFormat="1" ht="12.75" customHeight="1">
      <c r="A654" s="426"/>
      <c r="B654" s="427"/>
      <c r="C654" s="428"/>
      <c r="D654" s="142" t="s">
        <v>214</v>
      </c>
      <c r="E654" s="143" t="s">
        <v>215</v>
      </c>
      <c r="F654" s="128"/>
      <c r="G654" s="129" t="s">
        <v>30</v>
      </c>
      <c r="H654" s="283">
        <f>ROUND(F657,2)</f>
        <v>1.17</v>
      </c>
    </row>
    <row r="655" spans="1:8" s="298" customFormat="1" ht="12.75" customHeight="1">
      <c r="A655" s="434"/>
      <c r="B655" s="427"/>
      <c r="C655" s="435"/>
      <c r="D655" s="142"/>
      <c r="E655" s="414" t="s">
        <v>1080</v>
      </c>
      <c r="F655" s="436"/>
      <c r="G655" s="129"/>
      <c r="H655" s="141"/>
    </row>
    <row r="656" spans="1:8" s="298" customFormat="1" ht="12.75" customHeight="1">
      <c r="A656" s="434"/>
      <c r="B656" s="427"/>
      <c r="C656" s="435"/>
      <c r="D656" s="142"/>
      <c r="E656" s="414" t="s">
        <v>1081</v>
      </c>
      <c r="F656" s="436"/>
      <c r="G656" s="129"/>
      <c r="H656" s="141"/>
    </row>
    <row r="657" spans="1:8" s="298" customFormat="1" ht="12.75" customHeight="1">
      <c r="A657" s="434"/>
      <c r="B657" s="427"/>
      <c r="C657" s="435"/>
      <c r="D657" s="142"/>
      <c r="E657" s="414" t="s">
        <v>1082</v>
      </c>
      <c r="F657" s="333">
        <f>16*0.75*0.6*0.162</f>
        <v>1.17</v>
      </c>
      <c r="G657" s="129"/>
      <c r="H657" s="141"/>
    </row>
    <row r="658" spans="1:9" s="382" customFormat="1" ht="30.75">
      <c r="A658" s="378"/>
      <c r="B658" s="285" t="s">
        <v>217</v>
      </c>
      <c r="C658" s="379"/>
      <c r="D658" s="130"/>
      <c r="E658" s="380" t="s">
        <v>489</v>
      </c>
      <c r="F658" s="131"/>
      <c r="G658" s="138"/>
      <c r="H658" s="132"/>
      <c r="I658" s="381"/>
    </row>
    <row r="659" spans="1:8" s="298" customFormat="1" ht="12.75" customHeight="1">
      <c r="A659" s="301">
        <f>MAX(A$2:A658)+1</f>
        <v>70</v>
      </c>
      <c r="B659" s="369" t="s">
        <v>217</v>
      </c>
      <c r="C659" s="204" t="s">
        <v>218</v>
      </c>
      <c r="D659" s="205"/>
      <c r="E659" s="206" t="s">
        <v>219</v>
      </c>
      <c r="F659" s="333"/>
      <c r="G659" s="335" t="s">
        <v>45</v>
      </c>
      <c r="H659" s="144">
        <f>H660</f>
        <v>1966</v>
      </c>
    </row>
    <row r="660" spans="1:8" s="298" customFormat="1" ht="12.75" customHeight="1">
      <c r="A660" s="434"/>
      <c r="B660" s="427"/>
      <c r="C660" s="435"/>
      <c r="D660" s="337" t="s">
        <v>1083</v>
      </c>
      <c r="E660" s="338" t="s">
        <v>1084</v>
      </c>
      <c r="F660" s="365"/>
      <c r="G660" s="340" t="s">
        <v>45</v>
      </c>
      <c r="H660" s="141">
        <f>F664</f>
        <v>1966</v>
      </c>
    </row>
    <row r="661" spans="1:8" s="298" customFormat="1" ht="12.75" customHeight="1">
      <c r="A661" s="434"/>
      <c r="B661" s="427"/>
      <c r="C661" s="435"/>
      <c r="D661" s="142"/>
      <c r="E661" s="414" t="s">
        <v>1085</v>
      </c>
      <c r="F661" s="436"/>
      <c r="G661" s="129"/>
      <c r="H661" s="141"/>
    </row>
    <row r="662" spans="1:8" s="298" customFormat="1" ht="12.75" customHeight="1">
      <c r="A662" s="434"/>
      <c r="B662" s="427"/>
      <c r="C662" s="435"/>
      <c r="D662" s="142"/>
      <c r="E662" s="414" t="s">
        <v>1086</v>
      </c>
      <c r="F662" s="333">
        <v>1778</v>
      </c>
      <c r="G662" s="129"/>
      <c r="H662" s="141"/>
    </row>
    <row r="663" spans="1:8" s="298" customFormat="1" ht="12.75" customHeight="1">
      <c r="A663" s="434"/>
      <c r="B663" s="427"/>
      <c r="C663" s="435"/>
      <c r="D663" s="142"/>
      <c r="E663" s="414" t="s">
        <v>1087</v>
      </c>
      <c r="F663" s="341">
        <v>188</v>
      </c>
      <c r="G663" s="129"/>
      <c r="H663" s="141"/>
    </row>
    <row r="664" spans="1:8" s="298" customFormat="1" ht="12.75" customHeight="1">
      <c r="A664" s="434"/>
      <c r="B664" s="427"/>
      <c r="C664" s="435"/>
      <c r="D664" s="142"/>
      <c r="E664" s="414"/>
      <c r="F664" s="437">
        <f>SUM(F662:F663)</f>
        <v>1966</v>
      </c>
      <c r="G664" s="129"/>
      <c r="H664" s="141"/>
    </row>
    <row r="665" spans="1:9" s="382" customFormat="1" ht="30.75">
      <c r="A665" s="378"/>
      <c r="B665" s="285" t="s">
        <v>223</v>
      </c>
      <c r="C665" s="379"/>
      <c r="D665" s="130"/>
      <c r="E665" s="380" t="s">
        <v>493</v>
      </c>
      <c r="F665" s="131"/>
      <c r="G665" s="138"/>
      <c r="H665" s="132"/>
      <c r="I665" s="381"/>
    </row>
    <row r="666" spans="1:9" s="344" customFormat="1" ht="25.5" customHeight="1">
      <c r="A666" s="301">
        <f>MAX(A$2:A665)+1</f>
        <v>71</v>
      </c>
      <c r="B666" s="433" t="s">
        <v>223</v>
      </c>
      <c r="C666" s="205" t="s">
        <v>226</v>
      </c>
      <c r="D666" s="303"/>
      <c r="E666" s="411" t="s">
        <v>227</v>
      </c>
      <c r="F666" s="305"/>
      <c r="G666" s="124" t="s">
        <v>38</v>
      </c>
      <c r="H666" s="144">
        <f>H667</f>
        <v>12961.56</v>
      </c>
      <c r="I666" s="343"/>
    </row>
    <row r="667" spans="1:9" s="344" customFormat="1" ht="37.5">
      <c r="A667" s="345"/>
      <c r="B667" s="352"/>
      <c r="C667" s="205"/>
      <c r="D667" s="303" t="s">
        <v>1088</v>
      </c>
      <c r="E667" s="324" t="s">
        <v>1089</v>
      </c>
      <c r="F667" s="305"/>
      <c r="G667" s="140" t="s">
        <v>38</v>
      </c>
      <c r="H667" s="283">
        <f>ROUND(F677,2)</f>
        <v>12961.56</v>
      </c>
      <c r="I667" s="343"/>
    </row>
    <row r="668" spans="1:8" s="298" customFormat="1" ht="12.75" customHeight="1">
      <c r="A668" s="434"/>
      <c r="B668" s="427"/>
      <c r="C668" s="435"/>
      <c r="D668" s="142"/>
      <c r="E668" s="414" t="s">
        <v>1090</v>
      </c>
      <c r="F668" s="333"/>
      <c r="G668" s="129"/>
      <c r="H668" s="141"/>
    </row>
    <row r="669" spans="1:8" s="298" customFormat="1" ht="12.75" customHeight="1">
      <c r="A669" s="434"/>
      <c r="B669" s="427"/>
      <c r="C669" s="435"/>
      <c r="D669" s="142"/>
      <c r="E669" s="414" t="s">
        <v>1091</v>
      </c>
      <c r="F669" s="333"/>
      <c r="G669" s="129"/>
      <c r="H669" s="141"/>
    </row>
    <row r="670" spans="1:8" s="298" customFormat="1" ht="12.75" customHeight="1">
      <c r="A670" s="434"/>
      <c r="B670" s="427"/>
      <c r="C670" s="435"/>
      <c r="D670" s="142"/>
      <c r="E670" s="414" t="s">
        <v>1092</v>
      </c>
      <c r="F670" s="333">
        <f>2779.496*2</f>
        <v>5558.99</v>
      </c>
      <c r="G670" s="129" t="s">
        <v>399</v>
      </c>
      <c r="H670" s="141"/>
    </row>
    <row r="671" spans="1:8" s="298" customFormat="1" ht="12.75" customHeight="1">
      <c r="A671" s="434"/>
      <c r="B671" s="427"/>
      <c r="C671" s="435"/>
      <c r="D671" s="142"/>
      <c r="E671" s="414" t="s">
        <v>1093</v>
      </c>
      <c r="F671" s="341">
        <f>3680.783*2</f>
        <v>7361.57</v>
      </c>
      <c r="G671" s="129" t="s">
        <v>399</v>
      </c>
      <c r="H671" s="141"/>
    </row>
    <row r="672" spans="1:8" ht="12.75" customHeight="1">
      <c r="A672" s="258"/>
      <c r="B672" s="400"/>
      <c r="C672" s="317"/>
      <c r="D672" s="401"/>
      <c r="E672" s="362" t="s">
        <v>382</v>
      </c>
      <c r="F672" s="333">
        <f>F670+F671</f>
        <v>12920.56</v>
      </c>
      <c r="G672" s="402"/>
      <c r="H672" s="403"/>
    </row>
    <row r="673" spans="1:8" s="298" customFormat="1" ht="12.75" customHeight="1">
      <c r="A673" s="434"/>
      <c r="B673" s="427"/>
      <c r="C673" s="435"/>
      <c r="D673" s="142"/>
      <c r="E673" s="414" t="s">
        <v>1094</v>
      </c>
      <c r="F673" s="333"/>
      <c r="G673" s="129"/>
      <c r="H673" s="141"/>
    </row>
    <row r="674" spans="1:8" s="298" customFormat="1" ht="12.75" customHeight="1">
      <c r="A674" s="434"/>
      <c r="B674" s="427"/>
      <c r="C674" s="435"/>
      <c r="D674" s="142"/>
      <c r="E674" s="414" t="s">
        <v>1095</v>
      </c>
      <c r="F674" s="333">
        <f>10.25*1*2</f>
        <v>20.5</v>
      </c>
      <c r="G674" s="129" t="s">
        <v>399</v>
      </c>
      <c r="H674" s="141"/>
    </row>
    <row r="675" spans="1:8" s="298" customFormat="1" ht="12.75" customHeight="1">
      <c r="A675" s="434"/>
      <c r="B675" s="427"/>
      <c r="C675" s="435"/>
      <c r="D675" s="142"/>
      <c r="E675" s="414" t="s">
        <v>1096</v>
      </c>
      <c r="F675" s="341">
        <f>10.25*1*2</f>
        <v>20.5</v>
      </c>
      <c r="G675" s="129" t="s">
        <v>399</v>
      </c>
      <c r="H675" s="141"/>
    </row>
    <row r="676" spans="1:8" ht="12.75" customHeight="1">
      <c r="A676" s="258"/>
      <c r="B676" s="400"/>
      <c r="C676" s="317"/>
      <c r="D676" s="401"/>
      <c r="E676" s="362" t="s">
        <v>382</v>
      </c>
      <c r="F676" s="333">
        <f>F674+F675</f>
        <v>41</v>
      </c>
      <c r="G676" s="402"/>
      <c r="H676" s="403"/>
    </row>
    <row r="677" spans="1:8" ht="12.75" customHeight="1">
      <c r="A677" s="258"/>
      <c r="B677" s="400"/>
      <c r="C677" s="317"/>
      <c r="D677" s="401"/>
      <c r="E677" s="362" t="s">
        <v>1097</v>
      </c>
      <c r="F677" s="333">
        <f>F672+F676</f>
        <v>12961.56</v>
      </c>
      <c r="G677" s="402"/>
      <c r="H677" s="403"/>
    </row>
    <row r="678" spans="1:9" s="344" customFormat="1" ht="25.5">
      <c r="A678" s="301">
        <f>MAX(A$2:A677)+1</f>
        <v>72</v>
      </c>
      <c r="B678" s="433" t="s">
        <v>223</v>
      </c>
      <c r="C678" s="205" t="s">
        <v>230</v>
      </c>
      <c r="D678" s="303"/>
      <c r="E678" s="411" t="s">
        <v>231</v>
      </c>
      <c r="F678" s="305"/>
      <c r="G678" s="410" t="s">
        <v>30</v>
      </c>
      <c r="H678" s="144">
        <f>H679</f>
        <v>255.77</v>
      </c>
      <c r="I678" s="343"/>
    </row>
    <row r="679" spans="1:9" s="344" customFormat="1" ht="24.75">
      <c r="A679" s="345"/>
      <c r="B679" s="352"/>
      <c r="C679" s="205"/>
      <c r="D679" s="303" t="s">
        <v>515</v>
      </c>
      <c r="E679" s="324" t="s">
        <v>1098</v>
      </c>
      <c r="F679" s="305"/>
      <c r="G679" s="306" t="s">
        <v>30</v>
      </c>
      <c r="H679" s="141">
        <f>ROUND(F684,2)</f>
        <v>255.77</v>
      </c>
      <c r="I679" s="343"/>
    </row>
    <row r="680" spans="1:8" s="298" customFormat="1" ht="12.75" customHeight="1">
      <c r="A680" s="434"/>
      <c r="B680" s="427"/>
      <c r="C680" s="435"/>
      <c r="D680" s="142"/>
      <c r="E680" s="414" t="s">
        <v>1099</v>
      </c>
      <c r="F680" s="333"/>
      <c r="G680" s="129"/>
      <c r="H680" s="141"/>
    </row>
    <row r="681" spans="1:8" s="298" customFormat="1" ht="12.75" customHeight="1">
      <c r="A681" s="434"/>
      <c r="B681" s="427"/>
      <c r="C681" s="435"/>
      <c r="D681" s="142"/>
      <c r="E681" s="414" t="s">
        <v>1100</v>
      </c>
      <c r="F681" s="333"/>
      <c r="G681" s="129"/>
      <c r="H681" s="141"/>
    </row>
    <row r="682" spans="1:8" s="298" customFormat="1" ht="12.75" customHeight="1">
      <c r="A682" s="434"/>
      <c r="B682" s="427"/>
      <c r="C682" s="435"/>
      <c r="D682" s="142"/>
      <c r="E682" s="414" t="s">
        <v>1101</v>
      </c>
      <c r="F682" s="333">
        <f>(2779.496-271.096*0.02*2-10.25*1*2)*0.04</f>
        <v>109.93</v>
      </c>
      <c r="G682" s="129" t="s">
        <v>399</v>
      </c>
      <c r="H682" s="141"/>
    </row>
    <row r="683" spans="1:8" s="298" customFormat="1" ht="12.75" customHeight="1">
      <c r="A683" s="434"/>
      <c r="B683" s="427"/>
      <c r="C683" s="435"/>
      <c r="D683" s="142"/>
      <c r="E683" s="414" t="s">
        <v>1102</v>
      </c>
      <c r="F683" s="341">
        <f>(3680.783-359.093*0.02*2-10.25*1*2)*0.04</f>
        <v>145.84</v>
      </c>
      <c r="G683" s="129" t="s">
        <v>399</v>
      </c>
      <c r="H683" s="141"/>
    </row>
    <row r="684" spans="1:8" ht="12.75" customHeight="1">
      <c r="A684" s="258"/>
      <c r="B684" s="400"/>
      <c r="C684" s="317"/>
      <c r="D684" s="401"/>
      <c r="E684" s="362" t="s">
        <v>377</v>
      </c>
      <c r="F684" s="333">
        <f>F683+F682</f>
        <v>255.77</v>
      </c>
      <c r="G684" s="402"/>
      <c r="H684" s="403"/>
    </row>
    <row r="685" spans="1:9" s="344" customFormat="1" ht="25.5">
      <c r="A685" s="301">
        <f>MAX(A$2:A684)+1</f>
        <v>73</v>
      </c>
      <c r="B685" s="438" t="s">
        <v>223</v>
      </c>
      <c r="C685" s="294" t="s">
        <v>232</v>
      </c>
      <c r="D685" s="277"/>
      <c r="E685" s="323" t="s">
        <v>233</v>
      </c>
      <c r="F685" s="296"/>
      <c r="G685" s="410" t="s">
        <v>30</v>
      </c>
      <c r="H685" s="297">
        <f>H686</f>
        <v>7.6</v>
      </c>
      <c r="I685" s="343"/>
    </row>
    <row r="686" spans="1:9" s="344" customFormat="1" ht="24.75">
      <c r="A686" s="345"/>
      <c r="B686" s="352"/>
      <c r="C686" s="205"/>
      <c r="D686" s="425" t="s">
        <v>1103</v>
      </c>
      <c r="E686" s="423" t="s">
        <v>1104</v>
      </c>
      <c r="F686" s="348"/>
      <c r="G686" s="306" t="s">
        <v>30</v>
      </c>
      <c r="H686" s="141">
        <f>ROUND(F689,2)</f>
        <v>7.6</v>
      </c>
      <c r="I686" s="343"/>
    </row>
    <row r="687" spans="1:8" s="298" customFormat="1" ht="12.75" customHeight="1">
      <c r="A687" s="434"/>
      <c r="B687" s="427"/>
      <c r="C687" s="435"/>
      <c r="D687" s="142"/>
      <c r="E687" s="414" t="s">
        <v>1105</v>
      </c>
      <c r="F687" s="333"/>
      <c r="G687" s="129"/>
      <c r="H687" s="141"/>
    </row>
    <row r="688" spans="1:8" s="298" customFormat="1" ht="12.75" customHeight="1">
      <c r="A688" s="434"/>
      <c r="B688" s="427"/>
      <c r="C688" s="435"/>
      <c r="D688" s="142"/>
      <c r="E688" s="414" t="s">
        <v>1106</v>
      </c>
      <c r="F688" s="333"/>
      <c r="G688" s="129"/>
      <c r="H688" s="141"/>
    </row>
    <row r="689" spans="1:8" s="298" customFormat="1" ht="25.5">
      <c r="A689" s="434"/>
      <c r="B689" s="427"/>
      <c r="C689" s="435"/>
      <c r="D689" s="142"/>
      <c r="E689" s="414" t="s">
        <v>1107</v>
      </c>
      <c r="F689" s="333">
        <f>0.1*0.045*(9.8+10+10+21.02+255.69+358.01)+0.43*0.43*0.06*46+0.06*(0.53+2*0.165+2*0.33)*45</f>
        <v>7.6</v>
      </c>
      <c r="G689" s="129"/>
      <c r="H689" s="141"/>
    </row>
    <row r="690" spans="1:8" s="298" customFormat="1" ht="12.75" customHeight="1">
      <c r="A690" s="301">
        <f>MAX(A$2:A689)+1</f>
        <v>74</v>
      </c>
      <c r="B690" s="433" t="s">
        <v>223</v>
      </c>
      <c r="C690" s="154" t="s">
        <v>234</v>
      </c>
      <c r="D690" s="157"/>
      <c r="E690" s="135" t="s">
        <v>235</v>
      </c>
      <c r="F690" s="128"/>
      <c r="G690" s="124" t="s">
        <v>30</v>
      </c>
      <c r="H690" s="144">
        <f>(+H691)</f>
        <v>291.22</v>
      </c>
    </row>
    <row r="691" spans="1:8" s="298" customFormat="1" ht="12.75" customHeight="1">
      <c r="A691" s="345"/>
      <c r="B691" s="352"/>
      <c r="C691" s="205"/>
      <c r="D691" s="157" t="s">
        <v>1108</v>
      </c>
      <c r="E691" s="127" t="s">
        <v>1109</v>
      </c>
      <c r="F691" s="128"/>
      <c r="G691" s="140" t="s">
        <v>30</v>
      </c>
      <c r="H691" s="141">
        <f>ROUND(F705,2)</f>
        <v>291.22</v>
      </c>
    </row>
    <row r="692" spans="1:8" s="298" customFormat="1" ht="12.75" customHeight="1">
      <c r="A692" s="434"/>
      <c r="B692" s="427"/>
      <c r="C692" s="435"/>
      <c r="D692" s="142"/>
      <c r="E692" s="414" t="s">
        <v>1110</v>
      </c>
      <c r="F692" s="333"/>
      <c r="G692" s="129"/>
      <c r="H692" s="141"/>
    </row>
    <row r="693" spans="1:8" s="298" customFormat="1" ht="12.75" customHeight="1">
      <c r="A693" s="434"/>
      <c r="B693" s="427"/>
      <c r="C693" s="435"/>
      <c r="D693" s="142"/>
      <c r="E693" s="414" t="s">
        <v>1111</v>
      </c>
      <c r="F693" s="333"/>
      <c r="G693" s="129"/>
      <c r="H693" s="141"/>
    </row>
    <row r="694" spans="1:8" s="298" customFormat="1" ht="12.75" customHeight="1">
      <c r="A694" s="434"/>
      <c r="B694" s="427"/>
      <c r="C694" s="435"/>
      <c r="D694" s="142"/>
      <c r="E694" s="414" t="s">
        <v>1112</v>
      </c>
      <c r="F694" s="333">
        <f>(2779.496-271.096*0.04-10.25*1*2)*0.045</f>
        <v>123.67</v>
      </c>
      <c r="G694" s="129"/>
      <c r="H694" s="141"/>
    </row>
    <row r="695" spans="1:8" s="298" customFormat="1" ht="12.75" customHeight="1">
      <c r="A695" s="434"/>
      <c r="B695" s="427"/>
      <c r="C695" s="435"/>
      <c r="D695" s="142"/>
      <c r="E695" s="414" t="s">
        <v>1113</v>
      </c>
      <c r="F695" s="341">
        <f>(3680.783-359.093*0.04-10.25*1*2)*0.045</f>
        <v>164.07</v>
      </c>
      <c r="G695" s="129"/>
      <c r="H695" s="141"/>
    </row>
    <row r="696" spans="1:8" s="298" customFormat="1" ht="12.75" customHeight="1">
      <c r="A696" s="258"/>
      <c r="B696" s="400"/>
      <c r="C696" s="317"/>
      <c r="D696" s="401"/>
      <c r="E696" s="362" t="s">
        <v>382</v>
      </c>
      <c r="F696" s="333">
        <f>F695+F694</f>
        <v>287.74</v>
      </c>
      <c r="G696" s="402"/>
      <c r="H696" s="403"/>
    </row>
    <row r="697" spans="1:8" s="298" customFormat="1" ht="12.75" customHeight="1">
      <c r="A697" s="434"/>
      <c r="B697" s="427"/>
      <c r="C697" s="435"/>
      <c r="D697" s="142"/>
      <c r="E697" s="414" t="s">
        <v>1114</v>
      </c>
      <c r="F697" s="333"/>
      <c r="G697" s="129"/>
      <c r="H697" s="141"/>
    </row>
    <row r="698" spans="1:8" s="298" customFormat="1" ht="12.75" customHeight="1">
      <c r="A698" s="434"/>
      <c r="B698" s="427"/>
      <c r="C698" s="435"/>
      <c r="D698" s="142"/>
      <c r="E698" s="414" t="s">
        <v>1115</v>
      </c>
      <c r="F698" s="333">
        <f>10.25*1*2*0.045</f>
        <v>0.92</v>
      </c>
      <c r="G698" s="129" t="s">
        <v>399</v>
      </c>
      <c r="H698" s="141"/>
    </row>
    <row r="699" spans="1:8" s="298" customFormat="1" ht="12.75" customHeight="1">
      <c r="A699" s="434"/>
      <c r="B699" s="427"/>
      <c r="C699" s="435"/>
      <c r="D699" s="142"/>
      <c r="E699" s="414" t="s">
        <v>1116</v>
      </c>
      <c r="F699" s="341">
        <f>10.25*1*2*0.045</f>
        <v>0.92</v>
      </c>
      <c r="G699" s="129" t="s">
        <v>399</v>
      </c>
      <c r="H699" s="141"/>
    </row>
    <row r="700" spans="1:8" s="298" customFormat="1" ht="12.75" customHeight="1">
      <c r="A700" s="258"/>
      <c r="B700" s="400"/>
      <c r="C700" s="317"/>
      <c r="D700" s="401"/>
      <c r="E700" s="362" t="s">
        <v>382</v>
      </c>
      <c r="F700" s="333">
        <f>F699+F698</f>
        <v>1.84</v>
      </c>
      <c r="G700" s="402"/>
      <c r="H700" s="403"/>
    </row>
    <row r="701" spans="1:8" s="298" customFormat="1" ht="12.75" customHeight="1">
      <c r="A701" s="434"/>
      <c r="B701" s="427"/>
      <c r="C701" s="435"/>
      <c r="D701" s="142"/>
      <c r="E701" s="414" t="s">
        <v>1117</v>
      </c>
      <c r="F701" s="333"/>
      <c r="G701" s="129"/>
      <c r="H701" s="141"/>
    </row>
    <row r="702" spans="1:8" s="298" customFormat="1" ht="12.75" customHeight="1">
      <c r="A702" s="434"/>
      <c r="B702" s="427"/>
      <c r="C702" s="435"/>
      <c r="D702" s="142"/>
      <c r="E702" s="414" t="s">
        <v>1118</v>
      </c>
      <c r="F702" s="333">
        <f>10.25*1*2*0.04</f>
        <v>0.82</v>
      </c>
      <c r="G702" s="129" t="s">
        <v>399</v>
      </c>
      <c r="H702" s="141"/>
    </row>
    <row r="703" spans="1:8" s="298" customFormat="1" ht="12.75" customHeight="1">
      <c r="A703" s="434"/>
      <c r="B703" s="427"/>
      <c r="C703" s="435"/>
      <c r="D703" s="142"/>
      <c r="E703" s="414" t="s">
        <v>1119</v>
      </c>
      <c r="F703" s="341">
        <f>10.25*1*2*0.04</f>
        <v>0.82</v>
      </c>
      <c r="G703" s="129" t="s">
        <v>399</v>
      </c>
      <c r="H703" s="141"/>
    </row>
    <row r="704" spans="1:8" s="298" customFormat="1" ht="12.75" customHeight="1">
      <c r="A704" s="258"/>
      <c r="B704" s="400"/>
      <c r="C704" s="317"/>
      <c r="D704" s="401"/>
      <c r="E704" s="362" t="s">
        <v>382</v>
      </c>
      <c r="F704" s="333">
        <f>F703+F702</f>
        <v>1.64</v>
      </c>
      <c r="G704" s="402"/>
      <c r="H704" s="403"/>
    </row>
    <row r="705" spans="1:8" s="298" customFormat="1" ht="12.75" customHeight="1">
      <c r="A705" s="258"/>
      <c r="B705" s="400"/>
      <c r="C705" s="317"/>
      <c r="D705" s="401"/>
      <c r="E705" s="362" t="s">
        <v>377</v>
      </c>
      <c r="F705" s="333">
        <f>F696+F700+F704</f>
        <v>291.22</v>
      </c>
      <c r="G705" s="402"/>
      <c r="H705" s="403"/>
    </row>
    <row r="706" spans="1:9" s="344" customFormat="1" ht="25.5">
      <c r="A706" s="301">
        <f>MAX(A$2:A705)+1</f>
        <v>75</v>
      </c>
      <c r="B706" s="438" t="s">
        <v>223</v>
      </c>
      <c r="C706" s="307" t="s">
        <v>238</v>
      </c>
      <c r="D706" s="421"/>
      <c r="E706" s="390" t="s">
        <v>239</v>
      </c>
      <c r="F706" s="296"/>
      <c r="G706" s="410" t="s">
        <v>45</v>
      </c>
      <c r="H706" s="297">
        <f>H707+H712</f>
        <v>3557.79</v>
      </c>
      <c r="I706" s="343"/>
    </row>
    <row r="707" spans="1:9" s="344" customFormat="1" ht="24.75">
      <c r="A707" s="345"/>
      <c r="B707" s="352"/>
      <c r="C707" s="431"/>
      <c r="D707" s="327" t="s">
        <v>1120</v>
      </c>
      <c r="E707" s="329" t="s">
        <v>1121</v>
      </c>
      <c r="F707" s="348"/>
      <c r="G707" s="306" t="s">
        <v>45</v>
      </c>
      <c r="H707" s="141">
        <f>ROUND(F711,2)</f>
        <v>1383.76</v>
      </c>
      <c r="I707" s="343"/>
    </row>
    <row r="708" spans="1:8" s="298" customFormat="1" ht="12.75" customHeight="1">
      <c r="A708" s="434"/>
      <c r="B708" s="427"/>
      <c r="C708" s="435"/>
      <c r="D708" s="142"/>
      <c r="E708" s="414" t="s">
        <v>1122</v>
      </c>
      <c r="F708" s="333">
        <f>635.822+641.772</f>
        <v>1277.59</v>
      </c>
      <c r="G708" s="129"/>
      <c r="H708" s="141"/>
    </row>
    <row r="709" spans="1:8" s="298" customFormat="1" ht="12.75" customHeight="1">
      <c r="A709" s="434"/>
      <c r="B709" s="427"/>
      <c r="C709" s="435"/>
      <c r="D709" s="142"/>
      <c r="E709" s="414" t="s">
        <v>1123</v>
      </c>
      <c r="F709" s="333">
        <f>10.62+10.15+2*4</f>
        <v>28.77</v>
      </c>
      <c r="G709" s="129"/>
      <c r="H709" s="141"/>
    </row>
    <row r="710" spans="1:8" s="298" customFormat="1" ht="12.75" customHeight="1">
      <c r="A710" s="434"/>
      <c r="B710" s="427"/>
      <c r="C710" s="435"/>
      <c r="D710" s="142"/>
      <c r="E710" s="414" t="s">
        <v>1124</v>
      </c>
      <c r="F710" s="341">
        <f>45*(2*0.53+2*0.33)</f>
        <v>77.4</v>
      </c>
      <c r="G710" s="129"/>
      <c r="H710" s="141"/>
    </row>
    <row r="711" spans="1:8" ht="12.75" customHeight="1">
      <c r="A711" s="258"/>
      <c r="B711" s="400"/>
      <c r="C711" s="317"/>
      <c r="D711" s="401"/>
      <c r="E711" s="362" t="s">
        <v>377</v>
      </c>
      <c r="F711" s="333">
        <f>F708+F710+F709</f>
        <v>1383.76</v>
      </c>
      <c r="G711" s="402"/>
      <c r="H711" s="403"/>
    </row>
    <row r="712" spans="1:11" s="344" customFormat="1" ht="24.75">
      <c r="A712" s="345"/>
      <c r="B712" s="352"/>
      <c r="C712" s="205"/>
      <c r="D712" s="347" t="s">
        <v>1125</v>
      </c>
      <c r="E712" s="329" t="s">
        <v>1126</v>
      </c>
      <c r="F712" s="348"/>
      <c r="G712" s="129" t="s">
        <v>45</v>
      </c>
      <c r="H712" s="141">
        <f>ROUND(F723,2)</f>
        <v>2174.03</v>
      </c>
      <c r="I712" s="439" t="s">
        <v>399</v>
      </c>
      <c r="J712" s="440" t="s">
        <v>399</v>
      </c>
      <c r="K712" s="441" t="s">
        <v>399</v>
      </c>
    </row>
    <row r="713" spans="1:8" s="298" customFormat="1" ht="25.5">
      <c r="A713" s="434"/>
      <c r="B713" s="427"/>
      <c r="C713" s="435"/>
      <c r="D713" s="142"/>
      <c r="E713" s="414" t="s">
        <v>1127</v>
      </c>
      <c r="F713" s="333">
        <f>3*2*10.25</f>
        <v>61.5</v>
      </c>
      <c r="G713" s="129"/>
      <c r="H713" s="141"/>
    </row>
    <row r="714" spans="1:8" s="298" customFormat="1" ht="25.5">
      <c r="A714" s="434"/>
      <c r="B714" s="427"/>
      <c r="C714" s="435"/>
      <c r="D714" s="142"/>
      <c r="E714" s="414" t="s">
        <v>1128</v>
      </c>
      <c r="F714" s="333">
        <f>2*5.4</f>
        <v>10.8</v>
      </c>
      <c r="G714" s="129"/>
      <c r="H714" s="141"/>
    </row>
    <row r="715" spans="1:8" s="298" customFormat="1" ht="25.5">
      <c r="A715" s="434"/>
      <c r="B715" s="427"/>
      <c r="C715" s="435"/>
      <c r="D715" s="142"/>
      <c r="E715" s="414" t="s">
        <v>1129</v>
      </c>
      <c r="F715" s="333">
        <f>10.62+10.15+2*4</f>
        <v>28.77</v>
      </c>
      <c r="G715" s="129"/>
      <c r="H715" s="141"/>
    </row>
    <row r="716" spans="1:9" s="298" customFormat="1" ht="25.5">
      <c r="A716" s="434"/>
      <c r="B716" s="427"/>
      <c r="C716" s="435"/>
      <c r="D716" s="142"/>
      <c r="E716" s="414" t="s">
        <v>1130</v>
      </c>
      <c r="F716" s="333">
        <f>3*2*10.25</f>
        <v>61.5</v>
      </c>
      <c r="G716" s="129"/>
      <c r="H716" s="141"/>
      <c r="I716" s="298" t="s">
        <v>399</v>
      </c>
    </row>
    <row r="717" spans="1:8" s="298" customFormat="1" ht="25.5">
      <c r="A717" s="434"/>
      <c r="B717" s="427"/>
      <c r="C717" s="435"/>
      <c r="D717" s="142"/>
      <c r="E717" s="414" t="s">
        <v>1131</v>
      </c>
      <c r="F717" s="333"/>
      <c r="G717" s="129"/>
      <c r="H717" s="141"/>
    </row>
    <row r="718" spans="1:8" s="298" customFormat="1" ht="12.75" customHeight="1">
      <c r="A718" s="434"/>
      <c r="B718" s="427"/>
      <c r="C718" s="435"/>
      <c r="D718" s="142"/>
      <c r="E718" s="414" t="s">
        <v>1132</v>
      </c>
      <c r="F718" s="333">
        <f>12*3.14*0.08</f>
        <v>3.01</v>
      </c>
      <c r="G718" s="129" t="s">
        <v>399</v>
      </c>
      <c r="H718" s="141"/>
    </row>
    <row r="719" spans="1:8" s="298" customFormat="1" ht="25.5">
      <c r="A719" s="434"/>
      <c r="B719" s="427"/>
      <c r="C719" s="435"/>
      <c r="D719" s="142"/>
      <c r="E719" s="414" t="s">
        <v>1133</v>
      </c>
      <c r="F719" s="333">
        <f>9*(0.952+3.42)</f>
        <v>39.35</v>
      </c>
      <c r="G719" s="129"/>
      <c r="H719" s="141"/>
    </row>
    <row r="720" spans="1:11" s="298" customFormat="1" ht="25.5">
      <c r="A720" s="434"/>
      <c r="B720" s="427"/>
      <c r="C720" s="435"/>
      <c r="D720" s="142"/>
      <c r="E720" s="414" t="s">
        <v>1134</v>
      </c>
      <c r="F720" s="333">
        <f>635.8+641.8</f>
        <v>1277.6</v>
      </c>
      <c r="G720" s="129"/>
      <c r="H720" s="141"/>
      <c r="I720" s="298" t="s">
        <v>399</v>
      </c>
      <c r="J720" s="298" t="s">
        <v>399</v>
      </c>
      <c r="K720" s="298" t="s">
        <v>399</v>
      </c>
    </row>
    <row r="721" spans="1:8" s="298" customFormat="1" ht="25.5">
      <c r="A721" s="434"/>
      <c r="B721" s="427"/>
      <c r="C721" s="435"/>
      <c r="D721" s="142"/>
      <c r="E721" s="414" t="s">
        <v>1135</v>
      </c>
      <c r="F721" s="333">
        <f>630</f>
        <v>630</v>
      </c>
      <c r="G721" s="129"/>
      <c r="H721" s="141"/>
    </row>
    <row r="722" spans="1:8" s="298" customFormat="1" ht="39">
      <c r="A722" s="434"/>
      <c r="B722" s="427"/>
      <c r="C722" s="435"/>
      <c r="D722" s="142"/>
      <c r="E722" s="414" t="s">
        <v>1136</v>
      </c>
      <c r="F722" s="341">
        <f>3*2*10.25</f>
        <v>61.5</v>
      </c>
      <c r="G722" s="129"/>
      <c r="H722" s="141"/>
    </row>
    <row r="723" spans="1:8" ht="12.75" customHeight="1">
      <c r="A723" s="258"/>
      <c r="B723" s="400"/>
      <c r="C723" s="317"/>
      <c r="D723" s="401"/>
      <c r="E723" s="362" t="s">
        <v>377</v>
      </c>
      <c r="F723" s="333">
        <f>SUM(F713:F722)</f>
        <v>2174.03</v>
      </c>
      <c r="G723" s="402"/>
      <c r="H723" s="403"/>
    </row>
    <row r="724" spans="1:8" ht="25.5">
      <c r="A724" s="301">
        <f>MAX(A$2:A723)+1</f>
        <v>76</v>
      </c>
      <c r="B724" s="438" t="s">
        <v>223</v>
      </c>
      <c r="C724" s="204" t="s">
        <v>240</v>
      </c>
      <c r="D724" s="205"/>
      <c r="E724" s="206" t="s">
        <v>241</v>
      </c>
      <c r="F724" s="412"/>
      <c r="G724" s="335" t="s">
        <v>38</v>
      </c>
      <c r="H724" s="144">
        <f>H725</f>
        <v>69.86</v>
      </c>
    </row>
    <row r="725" spans="1:8" s="343" customFormat="1" ht="24.75">
      <c r="A725" s="442"/>
      <c r="B725" s="380"/>
      <c r="C725" s="154"/>
      <c r="D725" s="347" t="s">
        <v>240</v>
      </c>
      <c r="E725" s="329" t="s">
        <v>241</v>
      </c>
      <c r="F725" s="348"/>
      <c r="G725" s="129" t="s">
        <v>38</v>
      </c>
      <c r="H725" s="141">
        <f>ROUND(F727,2)</f>
        <v>69.86</v>
      </c>
    </row>
    <row r="726" spans="1:8" ht="12.75" customHeight="1">
      <c r="A726" s="258"/>
      <c r="B726" s="400"/>
      <c r="C726" s="317"/>
      <c r="D726" s="401"/>
      <c r="E726" s="199" t="s">
        <v>1137</v>
      </c>
      <c r="F726" s="363"/>
      <c r="G726" s="402"/>
      <c r="H726" s="403"/>
    </row>
    <row r="727" spans="1:8" ht="12.75" customHeight="1">
      <c r="A727" s="258"/>
      <c r="B727" s="400"/>
      <c r="C727" s="317"/>
      <c r="D727" s="401"/>
      <c r="E727" s="414" t="s">
        <v>1138</v>
      </c>
      <c r="F727" s="363">
        <f>57.5*1.215</f>
        <v>69.86</v>
      </c>
      <c r="G727" s="402"/>
      <c r="H727" s="403"/>
    </row>
    <row r="728" spans="1:9" s="343" customFormat="1" ht="14.25">
      <c r="A728" s="301">
        <f>MAX(A$2:A727)+1</f>
        <v>77</v>
      </c>
      <c r="B728" s="438" t="s">
        <v>223</v>
      </c>
      <c r="C728" s="294" t="s">
        <v>242</v>
      </c>
      <c r="D728" s="277"/>
      <c r="E728" s="323" t="s">
        <v>243</v>
      </c>
      <c r="F728" s="296"/>
      <c r="G728" s="137" t="s">
        <v>45</v>
      </c>
      <c r="H728" s="144">
        <f>H729</f>
        <v>7</v>
      </c>
      <c r="I728" s="343" t="s">
        <v>399</v>
      </c>
    </row>
    <row r="729" spans="1:8" s="343" customFormat="1" ht="15">
      <c r="A729" s="442"/>
      <c r="B729" s="380"/>
      <c r="C729" s="154"/>
      <c r="D729" s="347" t="s">
        <v>1139</v>
      </c>
      <c r="E729" s="329" t="s">
        <v>1140</v>
      </c>
      <c r="F729" s="348"/>
      <c r="G729" s="129" t="s">
        <v>45</v>
      </c>
      <c r="H729" s="141">
        <f>F731</f>
        <v>7</v>
      </c>
    </row>
    <row r="730" spans="1:8" s="298" customFormat="1" ht="12.75" customHeight="1">
      <c r="A730" s="434"/>
      <c r="B730" s="427"/>
      <c r="C730" s="435"/>
      <c r="D730" s="142"/>
      <c r="E730" s="414" t="s">
        <v>1141</v>
      </c>
      <c r="F730" s="333"/>
      <c r="G730" s="129"/>
      <c r="H730" s="141"/>
    </row>
    <row r="731" spans="1:8" s="298" customFormat="1" ht="15">
      <c r="A731" s="434"/>
      <c r="B731" s="427"/>
      <c r="C731" s="435" t="s">
        <v>399</v>
      </c>
      <c r="D731" s="142"/>
      <c r="E731" s="414" t="s">
        <v>1142</v>
      </c>
      <c r="F731" s="333">
        <f>5.1+1.9</f>
        <v>7</v>
      </c>
      <c r="G731" s="129" t="s">
        <v>399</v>
      </c>
      <c r="H731" s="141"/>
    </row>
    <row r="732" spans="1:9" s="344" customFormat="1" ht="25.5">
      <c r="A732" s="301">
        <f>MAX(A$2:A731)+1</f>
        <v>78</v>
      </c>
      <c r="B732" s="438" t="s">
        <v>223</v>
      </c>
      <c r="C732" s="145" t="s">
        <v>252</v>
      </c>
      <c r="D732" s="146"/>
      <c r="E732" s="135" t="s">
        <v>253</v>
      </c>
      <c r="F732" s="147"/>
      <c r="G732" s="124" t="s">
        <v>60</v>
      </c>
      <c r="H732" s="144">
        <f>H733</f>
        <v>74</v>
      </c>
      <c r="I732" s="343"/>
    </row>
    <row r="733" spans="1:9" s="344" customFormat="1" ht="24.75">
      <c r="A733" s="345"/>
      <c r="B733" s="352"/>
      <c r="C733" s="148"/>
      <c r="D733" s="149" t="s">
        <v>1143</v>
      </c>
      <c r="E733" s="127" t="s">
        <v>1144</v>
      </c>
      <c r="F733" s="139"/>
      <c r="G733" s="140" t="s">
        <v>60</v>
      </c>
      <c r="H733" s="141">
        <f>F735</f>
        <v>74</v>
      </c>
      <c r="I733" s="343"/>
    </row>
    <row r="734" spans="1:8" s="298" customFormat="1" ht="12.75" customHeight="1">
      <c r="A734" s="434"/>
      <c r="B734" s="427"/>
      <c r="C734" s="435"/>
      <c r="D734" s="142"/>
      <c r="E734" s="414" t="s">
        <v>1145</v>
      </c>
      <c r="F734" s="333"/>
      <c r="G734" s="129"/>
      <c r="H734" s="141"/>
    </row>
    <row r="735" spans="1:8" s="298" customFormat="1" ht="12.75" customHeight="1">
      <c r="A735" s="434"/>
      <c r="B735" s="427"/>
      <c r="C735" s="435"/>
      <c r="D735" s="142"/>
      <c r="E735" s="414" t="s">
        <v>1146</v>
      </c>
      <c r="F735" s="333">
        <f>2*37</f>
        <v>74</v>
      </c>
      <c r="G735" s="129" t="s">
        <v>399</v>
      </c>
      <c r="H735" s="141"/>
    </row>
    <row r="736" spans="1:9" s="344" customFormat="1" ht="25.5">
      <c r="A736" s="301">
        <f>MAX(A$2:A735)+1</f>
        <v>79</v>
      </c>
      <c r="B736" s="438" t="s">
        <v>223</v>
      </c>
      <c r="C736" s="204" t="s">
        <v>254</v>
      </c>
      <c r="D736" s="205"/>
      <c r="E736" s="373" t="s">
        <v>356</v>
      </c>
      <c r="F736" s="334"/>
      <c r="G736" s="335" t="s">
        <v>60</v>
      </c>
      <c r="H736" s="283">
        <f>H737</f>
        <v>4</v>
      </c>
      <c r="I736" s="343"/>
    </row>
    <row r="737" spans="1:9" s="344" customFormat="1" ht="24.75">
      <c r="A737" s="345"/>
      <c r="B737" s="352"/>
      <c r="C737" s="204"/>
      <c r="D737" s="337" t="s">
        <v>536</v>
      </c>
      <c r="E737" s="338" t="s">
        <v>537</v>
      </c>
      <c r="F737" s="339"/>
      <c r="G737" s="340" t="s">
        <v>60</v>
      </c>
      <c r="H737" s="283">
        <f>F740</f>
        <v>4</v>
      </c>
      <c r="I737" s="343"/>
    </row>
    <row r="738" spans="1:8" s="298" customFormat="1" ht="12.75" customHeight="1">
      <c r="A738" s="434"/>
      <c r="B738" s="427"/>
      <c r="C738" s="435"/>
      <c r="D738" s="142"/>
      <c r="E738" s="414" t="s">
        <v>1147</v>
      </c>
      <c r="F738" s="333">
        <v>2</v>
      </c>
      <c r="G738" s="129"/>
      <c r="H738" s="141"/>
    </row>
    <row r="739" spans="1:8" s="298" customFormat="1" ht="12.75" customHeight="1">
      <c r="A739" s="434"/>
      <c r="B739" s="427"/>
      <c r="C739" s="435"/>
      <c r="D739" s="142"/>
      <c r="E739" s="414" t="s">
        <v>1148</v>
      </c>
      <c r="F739" s="341">
        <v>2</v>
      </c>
      <c r="G739" s="129"/>
      <c r="H739" s="141"/>
    </row>
    <row r="740" spans="1:8" ht="12.75" customHeight="1">
      <c r="A740" s="258"/>
      <c r="B740" s="400"/>
      <c r="C740" s="317"/>
      <c r="D740" s="401"/>
      <c r="E740" s="362" t="s">
        <v>377</v>
      </c>
      <c r="F740" s="333">
        <f>F738+F739</f>
        <v>4</v>
      </c>
      <c r="G740" s="402"/>
      <c r="H740" s="403"/>
    </row>
    <row r="741" spans="1:8" ht="12.75" customHeight="1">
      <c r="A741" s="301">
        <f>MAX(A$2:A740)+1</f>
        <v>80</v>
      </c>
      <c r="B741" s="438" t="s">
        <v>223</v>
      </c>
      <c r="C741" s="150" t="s">
        <v>258</v>
      </c>
      <c r="D741" s="151"/>
      <c r="E741" s="152" t="s">
        <v>259</v>
      </c>
      <c r="F741" s="123"/>
      <c r="G741" s="137" t="s">
        <v>45</v>
      </c>
      <c r="H741" s="144">
        <f>H742</f>
        <v>33.4</v>
      </c>
    </row>
    <row r="742" spans="1:8" ht="12.75" customHeight="1">
      <c r="A742" s="345"/>
      <c r="B742" s="352"/>
      <c r="C742" s="148"/>
      <c r="D742" s="149" t="s">
        <v>1149</v>
      </c>
      <c r="E742" s="127" t="s">
        <v>1150</v>
      </c>
      <c r="F742" s="139"/>
      <c r="G742" s="140" t="s">
        <v>45</v>
      </c>
      <c r="H742" s="141">
        <f>ROUND(F748,2)</f>
        <v>33.4</v>
      </c>
    </row>
    <row r="743" spans="1:8" ht="12.75" customHeight="1">
      <c r="A743" s="434"/>
      <c r="B743" s="427"/>
      <c r="C743" s="435"/>
      <c r="D743" s="142"/>
      <c r="E743" s="414" t="s">
        <v>1151</v>
      </c>
      <c r="F743" s="333">
        <v>7.2</v>
      </c>
      <c r="G743" s="129" t="s">
        <v>399</v>
      </c>
      <c r="H743" s="141"/>
    </row>
    <row r="744" spans="1:8" ht="12.75" customHeight="1">
      <c r="A744" s="434"/>
      <c r="B744" s="427"/>
      <c r="C744" s="435"/>
      <c r="D744" s="142"/>
      <c r="E744" s="414" t="s">
        <v>1152</v>
      </c>
      <c r="F744" s="333">
        <v>11.2</v>
      </c>
      <c r="G744" s="129" t="s">
        <v>399</v>
      </c>
      <c r="H744" s="141"/>
    </row>
    <row r="745" spans="1:8" ht="12.75" customHeight="1">
      <c r="A745" s="434"/>
      <c r="B745" s="427"/>
      <c r="C745" s="435"/>
      <c r="D745" s="142"/>
      <c r="E745" s="414" t="s">
        <v>1153</v>
      </c>
      <c r="F745" s="333">
        <v>3.9</v>
      </c>
      <c r="G745" s="129" t="s">
        <v>399</v>
      </c>
      <c r="H745" s="141"/>
    </row>
    <row r="746" spans="1:8" ht="12.75" customHeight="1">
      <c r="A746" s="434"/>
      <c r="B746" s="427"/>
      <c r="C746" s="435"/>
      <c r="D746" s="142"/>
      <c r="E746" s="414" t="s">
        <v>1154</v>
      </c>
      <c r="F746" s="333"/>
      <c r="G746" s="129"/>
      <c r="H746" s="141"/>
    </row>
    <row r="747" spans="1:8" ht="12.75" customHeight="1">
      <c r="A747" s="434"/>
      <c r="B747" s="427"/>
      <c r="C747" s="435"/>
      <c r="D747" s="142"/>
      <c r="E747" s="414" t="s">
        <v>1155</v>
      </c>
      <c r="F747" s="341">
        <f>5.6+2*2.75</f>
        <v>11.1</v>
      </c>
      <c r="G747" s="129" t="s">
        <v>399</v>
      </c>
      <c r="H747" s="141"/>
    </row>
    <row r="748" spans="1:8" ht="12.75" customHeight="1">
      <c r="A748" s="258"/>
      <c r="B748" s="400"/>
      <c r="C748" s="317"/>
      <c r="D748" s="401"/>
      <c r="E748" s="362" t="s">
        <v>377</v>
      </c>
      <c r="F748" s="333">
        <f>SUM(F743:F747)</f>
        <v>33.4</v>
      </c>
      <c r="G748" s="402"/>
      <c r="H748" s="403"/>
    </row>
    <row r="749" spans="1:8" ht="25.5">
      <c r="A749" s="301">
        <f>MAX(A$2:A748)+1</f>
        <v>81</v>
      </c>
      <c r="B749" s="438" t="s">
        <v>223</v>
      </c>
      <c r="C749" s="150" t="s">
        <v>260</v>
      </c>
      <c r="D749" s="153"/>
      <c r="E749" s="152" t="s">
        <v>261</v>
      </c>
      <c r="F749" s="123"/>
      <c r="G749" s="137" t="s">
        <v>45</v>
      </c>
      <c r="H749" s="144">
        <f>(+H750)</f>
        <v>19</v>
      </c>
    </row>
    <row r="750" spans="1:8" ht="24.75">
      <c r="A750" s="443"/>
      <c r="B750" s="444"/>
      <c r="C750" s="303"/>
      <c r="D750" s="445" t="s">
        <v>1156</v>
      </c>
      <c r="E750" s="423" t="s">
        <v>1157</v>
      </c>
      <c r="F750" s="424"/>
      <c r="G750" s="129" t="s">
        <v>45</v>
      </c>
      <c r="H750" s="283">
        <f>F751</f>
        <v>19</v>
      </c>
    </row>
    <row r="751" spans="1:8" ht="12.75" customHeight="1">
      <c r="A751" s="434"/>
      <c r="B751" s="427"/>
      <c r="C751" s="435"/>
      <c r="D751" s="142"/>
      <c r="E751" s="414" t="s">
        <v>1158</v>
      </c>
      <c r="F751" s="333">
        <v>19</v>
      </c>
      <c r="G751" s="129"/>
      <c r="H751" s="141"/>
    </row>
    <row r="752" spans="1:8" ht="25.5">
      <c r="A752" s="301">
        <f>MAX(A$2:A751)+1</f>
        <v>82</v>
      </c>
      <c r="B752" s="438" t="s">
        <v>223</v>
      </c>
      <c r="C752" s="204" t="s">
        <v>262</v>
      </c>
      <c r="D752" s="431"/>
      <c r="E752" s="446" t="s">
        <v>263</v>
      </c>
      <c r="F752" s="412"/>
      <c r="G752" s="335" t="s">
        <v>38</v>
      </c>
      <c r="H752" s="144">
        <f>H753</f>
        <v>354.2</v>
      </c>
    </row>
    <row r="753" spans="1:8" ht="24.75">
      <c r="A753" s="429"/>
      <c r="B753" s="400"/>
      <c r="C753" s="303"/>
      <c r="D753" s="447" t="s">
        <v>1159</v>
      </c>
      <c r="E753" s="448" t="s">
        <v>1160</v>
      </c>
      <c r="F753" s="365"/>
      <c r="G753" s="340" t="s">
        <v>38</v>
      </c>
      <c r="H753" s="283">
        <f>F754</f>
        <v>354.2</v>
      </c>
    </row>
    <row r="754" spans="1:8" ht="25.5">
      <c r="A754" s="434"/>
      <c r="B754" s="449"/>
      <c r="C754" s="428"/>
      <c r="D754" s="142"/>
      <c r="E754" s="414" t="s">
        <v>1161</v>
      </c>
      <c r="F754" s="450">
        <v>354.2</v>
      </c>
      <c r="G754" s="129"/>
      <c r="H754" s="141"/>
    </row>
    <row r="755" spans="1:9" s="382" customFormat="1" ht="30.75">
      <c r="A755" s="378"/>
      <c r="B755" s="311" t="s">
        <v>277</v>
      </c>
      <c r="C755" s="451"/>
      <c r="D755" s="130"/>
      <c r="E755" s="380" t="s">
        <v>1162</v>
      </c>
      <c r="F755" s="131"/>
      <c r="G755" s="138"/>
      <c r="H755" s="132"/>
      <c r="I755" s="381"/>
    </row>
    <row r="756" spans="1:9" s="300" customFormat="1" ht="25.5">
      <c r="A756" s="452">
        <f>MAX(A$2:A755)+1</f>
        <v>83</v>
      </c>
      <c r="B756" s="438" t="s">
        <v>277</v>
      </c>
      <c r="C756" s="294" t="s">
        <v>278</v>
      </c>
      <c r="D756" s="277"/>
      <c r="E756" s="295" t="s">
        <v>279</v>
      </c>
      <c r="F756" s="296"/>
      <c r="G756" s="137" t="s">
        <v>30</v>
      </c>
      <c r="H756" s="297">
        <f>H757+H763</f>
        <v>26.21</v>
      </c>
      <c r="I756" s="298"/>
    </row>
    <row r="757" spans="1:9" s="300" customFormat="1" ht="24.75">
      <c r="A757" s="453"/>
      <c r="B757" s="454"/>
      <c r="C757" s="294"/>
      <c r="D757" s="347" t="s">
        <v>1163</v>
      </c>
      <c r="E757" s="329" t="s">
        <v>1164</v>
      </c>
      <c r="F757" s="348"/>
      <c r="G757" s="388" t="s">
        <v>30</v>
      </c>
      <c r="H757" s="141">
        <f>ROUND(F762,2)</f>
        <v>8.22</v>
      </c>
      <c r="I757" s="298"/>
    </row>
    <row r="758" spans="1:8" s="298" customFormat="1" ht="12.75" customHeight="1">
      <c r="A758" s="434"/>
      <c r="B758" s="427"/>
      <c r="C758" s="435"/>
      <c r="D758" s="142"/>
      <c r="E758" s="414" t="s">
        <v>1165</v>
      </c>
      <c r="F758" s="333"/>
      <c r="G758" s="129"/>
      <c r="H758" s="141"/>
    </row>
    <row r="759" spans="1:8" s="298" customFormat="1" ht="12.75" customHeight="1">
      <c r="A759" s="434"/>
      <c r="B759" s="427"/>
      <c r="C759" s="435"/>
      <c r="D759" s="142"/>
      <c r="E759" s="414" t="s">
        <v>1166</v>
      </c>
      <c r="F759" s="333">
        <f>0.2*(63.04+104.04+131.85)*1.08*0.1</f>
        <v>6.46</v>
      </c>
      <c r="G759" s="129" t="s">
        <v>399</v>
      </c>
      <c r="H759" s="141"/>
    </row>
    <row r="760" spans="1:8" s="298" customFormat="1" ht="12.75" customHeight="1">
      <c r="A760" s="434"/>
      <c r="B760" s="427"/>
      <c r="C760" s="435"/>
      <c r="D760" s="142"/>
      <c r="E760" s="414" t="s">
        <v>1167</v>
      </c>
      <c r="F760" s="333"/>
      <c r="G760" s="129"/>
      <c r="H760" s="141"/>
    </row>
    <row r="761" spans="1:8" s="298" customFormat="1" ht="12.75" customHeight="1">
      <c r="A761" s="434"/>
      <c r="B761" s="427"/>
      <c r="C761" s="435"/>
      <c r="D761" s="142"/>
      <c r="E761" s="414" t="s">
        <v>1168</v>
      </c>
      <c r="F761" s="341">
        <f>0.2*81.3*1.08*0.1</f>
        <v>1.76</v>
      </c>
      <c r="G761" s="129" t="s">
        <v>399</v>
      </c>
      <c r="H761" s="141"/>
    </row>
    <row r="762" spans="1:8" ht="12.75" customHeight="1">
      <c r="A762" s="258"/>
      <c r="B762" s="400"/>
      <c r="C762" s="317"/>
      <c r="D762" s="401"/>
      <c r="E762" s="362" t="s">
        <v>377</v>
      </c>
      <c r="F762" s="333">
        <f>F759+F761</f>
        <v>8.22</v>
      </c>
      <c r="G762" s="402"/>
      <c r="H762" s="403"/>
    </row>
    <row r="763" spans="1:9" s="344" customFormat="1" ht="24.75">
      <c r="A763" s="345"/>
      <c r="B763" s="352"/>
      <c r="C763" s="205"/>
      <c r="D763" s="347" t="s">
        <v>1169</v>
      </c>
      <c r="E763" s="329" t="s">
        <v>1170</v>
      </c>
      <c r="F763" s="348"/>
      <c r="G763" s="388" t="s">
        <v>30</v>
      </c>
      <c r="H763" s="141">
        <f>ROUND(F772,2)</f>
        <v>17.99</v>
      </c>
      <c r="I763" s="343" t="s">
        <v>399</v>
      </c>
    </row>
    <row r="764" spans="1:8" s="298" customFormat="1" ht="12.75" customHeight="1">
      <c r="A764" s="434"/>
      <c r="B764" s="427"/>
      <c r="C764" s="435"/>
      <c r="D764" s="142"/>
      <c r="E764" s="414" t="s">
        <v>1171</v>
      </c>
      <c r="F764" s="333"/>
      <c r="G764" s="129"/>
      <c r="H764" s="141"/>
    </row>
    <row r="765" spans="1:8" s="298" customFormat="1" ht="12.75" customHeight="1">
      <c r="A765" s="434"/>
      <c r="B765" s="427"/>
      <c r="C765" s="435"/>
      <c r="D765" s="142"/>
      <c r="E765" s="414" t="s">
        <v>1172</v>
      </c>
      <c r="F765" s="333">
        <f>0.272*18.5</f>
        <v>5.03</v>
      </c>
      <c r="G765" s="129"/>
      <c r="H765" s="141"/>
    </row>
    <row r="766" spans="1:8" s="298" customFormat="1" ht="12.75" customHeight="1">
      <c r="A766" s="434"/>
      <c r="B766" s="427"/>
      <c r="C766" s="435"/>
      <c r="D766" s="142"/>
      <c r="E766" s="414" t="s">
        <v>1173</v>
      </c>
      <c r="F766" s="333"/>
      <c r="G766" s="129"/>
      <c r="H766" s="141"/>
    </row>
    <row r="767" spans="1:8" s="298" customFormat="1" ht="12.75" customHeight="1">
      <c r="A767" s="434"/>
      <c r="B767" s="427"/>
      <c r="C767" s="435"/>
      <c r="D767" s="142"/>
      <c r="E767" s="414" t="s">
        <v>1174</v>
      </c>
      <c r="F767" s="333">
        <f>(5.55+5.5*0.5+71.37)*0.1*1.08</f>
        <v>8.6</v>
      </c>
      <c r="G767" s="129"/>
      <c r="H767" s="141"/>
    </row>
    <row r="768" spans="1:8" s="298" customFormat="1" ht="12.75" customHeight="1">
      <c r="A768" s="434"/>
      <c r="B768" s="427"/>
      <c r="C768" s="435"/>
      <c r="D768" s="142"/>
      <c r="E768" s="414" t="s">
        <v>1175</v>
      </c>
      <c r="F768" s="333" t="s">
        <v>399</v>
      </c>
      <c r="G768" s="129" t="s">
        <v>399</v>
      </c>
      <c r="H768" s="141"/>
    </row>
    <row r="769" spans="1:8" s="298" customFormat="1" ht="12.75" customHeight="1">
      <c r="A769" s="434"/>
      <c r="B769" s="427"/>
      <c r="C769" s="435"/>
      <c r="D769" s="142"/>
      <c r="E769" s="414" t="s">
        <v>1176</v>
      </c>
      <c r="F769" s="333">
        <f>0.7*2.9*0.1</f>
        <v>0.2</v>
      </c>
      <c r="G769" s="129" t="s">
        <v>399</v>
      </c>
      <c r="H769" s="141"/>
    </row>
    <row r="770" spans="1:8" s="298" customFormat="1" ht="12.75" customHeight="1">
      <c r="A770" s="434"/>
      <c r="B770" s="427"/>
      <c r="C770" s="435"/>
      <c r="D770" s="142"/>
      <c r="E770" s="414" t="s">
        <v>1177</v>
      </c>
      <c r="F770" s="333"/>
      <c r="G770" s="129"/>
      <c r="H770" s="141"/>
    </row>
    <row r="771" spans="1:8" s="298" customFormat="1" ht="12.75" customHeight="1">
      <c r="A771" s="434"/>
      <c r="B771" s="427"/>
      <c r="C771" s="435"/>
      <c r="D771" s="142"/>
      <c r="E771" s="414" t="s">
        <v>1178</v>
      </c>
      <c r="F771" s="341">
        <f>2.171*1.05+1.05*0.9*1.05+2.976*0.15*2</f>
        <v>4.16</v>
      </c>
      <c r="G771" s="129"/>
      <c r="H771" s="141"/>
    </row>
    <row r="772" spans="1:8" ht="12.75" customHeight="1">
      <c r="A772" s="258"/>
      <c r="B772" s="400"/>
      <c r="C772" s="317"/>
      <c r="D772" s="401"/>
      <c r="E772" s="362" t="s">
        <v>377</v>
      </c>
      <c r="F772" s="333">
        <f>F771+F769+F766+F767+F765</f>
        <v>17.99</v>
      </c>
      <c r="G772" s="402"/>
      <c r="H772" s="403"/>
    </row>
    <row r="773" spans="1:9" s="300" customFormat="1" ht="12.75" customHeight="1">
      <c r="A773" s="301">
        <f>MAX(A$2:A772)+1</f>
        <v>84</v>
      </c>
      <c r="B773" s="438" t="s">
        <v>277</v>
      </c>
      <c r="C773" s="307" t="s">
        <v>280</v>
      </c>
      <c r="D773" s="154"/>
      <c r="E773" s="295" t="s">
        <v>281</v>
      </c>
      <c r="F773" s="296"/>
      <c r="G773" s="137" t="s">
        <v>30</v>
      </c>
      <c r="H773" s="297">
        <f>H774</f>
        <v>12.91</v>
      </c>
      <c r="I773" s="298"/>
    </row>
    <row r="774" spans="1:9" s="344" customFormat="1" ht="24.75">
      <c r="A774" s="345"/>
      <c r="B774" s="352"/>
      <c r="C774" s="205"/>
      <c r="D774" s="347" t="s">
        <v>1179</v>
      </c>
      <c r="E774" s="329" t="s">
        <v>1180</v>
      </c>
      <c r="F774" s="348"/>
      <c r="G774" s="388" t="s">
        <v>30</v>
      </c>
      <c r="H774" s="141">
        <f>ROUND(F776,2)</f>
        <v>12.91</v>
      </c>
      <c r="I774" s="343"/>
    </row>
    <row r="775" spans="1:8" s="298" customFormat="1" ht="12.75" customHeight="1">
      <c r="A775" s="434"/>
      <c r="B775" s="427"/>
      <c r="C775" s="435"/>
      <c r="D775" s="142"/>
      <c r="E775" s="414" t="s">
        <v>1181</v>
      </c>
      <c r="F775" s="333"/>
      <c r="G775" s="129"/>
      <c r="H775" s="141"/>
    </row>
    <row r="776" spans="1:8" s="298" customFormat="1" ht="12.75" customHeight="1">
      <c r="A776" s="434"/>
      <c r="B776" s="427"/>
      <c r="C776" s="435"/>
      <c r="D776" s="142"/>
      <c r="E776" s="414" t="s">
        <v>1182</v>
      </c>
      <c r="F776" s="333">
        <f>(5.55+5.5*0.5+71.37)*0.15*1.08</f>
        <v>12.91</v>
      </c>
      <c r="G776" s="129"/>
      <c r="H776" s="141"/>
    </row>
    <row r="777" spans="1:8" ht="15">
      <c r="A777" s="378"/>
      <c r="B777" s="285" t="s">
        <v>283</v>
      </c>
      <c r="C777" s="379"/>
      <c r="D777" s="130"/>
      <c r="E777" s="380" t="s">
        <v>1183</v>
      </c>
      <c r="F777" s="131"/>
      <c r="G777" s="138"/>
      <c r="H777" s="132"/>
    </row>
    <row r="778" spans="1:8" ht="25.5">
      <c r="A778" s="301">
        <f>MAX(A$2:A777)+1</f>
        <v>85</v>
      </c>
      <c r="B778" s="433" t="s">
        <v>283</v>
      </c>
      <c r="C778" s="204" t="s">
        <v>284</v>
      </c>
      <c r="D778" s="205"/>
      <c r="E778" s="373" t="s">
        <v>285</v>
      </c>
      <c r="F778" s="455"/>
      <c r="G778" s="137" t="s">
        <v>38</v>
      </c>
      <c r="H778" s="144">
        <f>H779</f>
        <v>22.39</v>
      </c>
    </row>
    <row r="779" spans="1:8" ht="24.75">
      <c r="A779" s="345"/>
      <c r="B779" s="456"/>
      <c r="C779" s="154"/>
      <c r="D779" s="337" t="s">
        <v>1184</v>
      </c>
      <c r="E779" s="368" t="s">
        <v>1185</v>
      </c>
      <c r="F779" s="457"/>
      <c r="G779" s="306" t="s">
        <v>38</v>
      </c>
      <c r="H779" s="283">
        <f>ROUND(F782,2)</f>
        <v>22.39</v>
      </c>
    </row>
    <row r="780" spans="1:8" ht="25.5">
      <c r="A780" s="458"/>
      <c r="B780" s="456"/>
      <c r="C780" s="308"/>
      <c r="D780" s="447"/>
      <c r="E780" s="414" t="s">
        <v>1186</v>
      </c>
      <c r="F780" s="333">
        <f>2*5.4*0.15</f>
        <v>1.62</v>
      </c>
      <c r="G780" s="410"/>
      <c r="H780" s="283"/>
    </row>
    <row r="781" spans="1:8" s="298" customFormat="1" ht="25.5">
      <c r="A781" s="434"/>
      <c r="B781" s="427"/>
      <c r="C781" s="435"/>
      <c r="D781" s="142"/>
      <c r="E781" s="414" t="s">
        <v>1187</v>
      </c>
      <c r="F781" s="341">
        <f>10.62*1+10.15*1</f>
        <v>20.77</v>
      </c>
      <c r="G781" s="129"/>
      <c r="H781" s="141"/>
    </row>
    <row r="782" spans="1:8" s="298" customFormat="1" ht="12.75" customHeight="1">
      <c r="A782" s="434"/>
      <c r="B782" s="449"/>
      <c r="C782" s="435"/>
      <c r="D782" s="142"/>
      <c r="E782" s="459" t="s">
        <v>377</v>
      </c>
      <c r="F782" s="333">
        <f>SUM(F780:F781)</f>
        <v>22.39</v>
      </c>
      <c r="G782" s="129"/>
      <c r="H782" s="141"/>
    </row>
    <row r="783" spans="1:8" ht="12.75">
      <c r="A783" s="301">
        <f>MAX(A$2:A781)+1</f>
        <v>86</v>
      </c>
      <c r="B783" s="454" t="s">
        <v>283</v>
      </c>
      <c r="C783" s="204" t="s">
        <v>288</v>
      </c>
      <c r="D783" s="460"/>
      <c r="E783" s="461" t="s">
        <v>289</v>
      </c>
      <c r="F783" s="305"/>
      <c r="G783" s="205" t="s">
        <v>38</v>
      </c>
      <c r="H783" s="144">
        <f>H784</f>
        <v>10018.44</v>
      </c>
    </row>
    <row r="784" spans="1:8" ht="24.75">
      <c r="A784" s="462"/>
      <c r="B784" s="463"/>
      <c r="C784" s="205"/>
      <c r="D784" s="447" t="s">
        <v>1188</v>
      </c>
      <c r="E784" s="464" t="s">
        <v>1189</v>
      </c>
      <c r="F784" s="305"/>
      <c r="G784" s="306" t="s">
        <v>38</v>
      </c>
      <c r="H784" s="283">
        <f>ROUND(F796,2)</f>
        <v>10018.44</v>
      </c>
    </row>
    <row r="785" spans="1:8" s="298" customFormat="1" ht="12.75" customHeight="1">
      <c r="A785" s="434"/>
      <c r="B785" s="427"/>
      <c r="C785" s="435"/>
      <c r="D785" s="142"/>
      <c r="E785" s="414" t="s">
        <v>1190</v>
      </c>
      <c r="F785" s="333"/>
      <c r="G785" s="129"/>
      <c r="H785" s="141"/>
    </row>
    <row r="786" spans="1:8" s="298" customFormat="1" ht="12.75" customHeight="1">
      <c r="A786" s="434"/>
      <c r="B786" s="427"/>
      <c r="C786" s="435"/>
      <c r="D786" s="142"/>
      <c r="E786" s="414" t="s">
        <v>614</v>
      </c>
      <c r="F786" s="333">
        <v>3457.63</v>
      </c>
      <c r="G786" s="129" t="s">
        <v>399</v>
      </c>
      <c r="H786" s="141"/>
    </row>
    <row r="787" spans="1:8" s="298" customFormat="1" ht="12.75" customHeight="1">
      <c r="A787" s="434"/>
      <c r="B787" s="427"/>
      <c r="C787" s="435"/>
      <c r="D787" s="142"/>
      <c r="E787" s="414" t="s">
        <v>1191</v>
      </c>
      <c r="F787" s="341">
        <v>4578.44</v>
      </c>
      <c r="G787" s="129" t="s">
        <v>399</v>
      </c>
      <c r="H787" s="141"/>
    </row>
    <row r="788" spans="1:8" ht="12.75" customHeight="1">
      <c r="A788" s="258"/>
      <c r="B788" s="400"/>
      <c r="C788" s="317"/>
      <c r="D788" s="401"/>
      <c r="E788" s="362" t="s">
        <v>382</v>
      </c>
      <c r="F788" s="333">
        <f>F786+F787</f>
        <v>8036.07</v>
      </c>
      <c r="G788" s="402" t="s">
        <v>399</v>
      </c>
      <c r="H788" s="403"/>
    </row>
    <row r="789" spans="1:8" s="298" customFormat="1" ht="12.75" customHeight="1">
      <c r="A789" s="434"/>
      <c r="B789" s="427"/>
      <c r="C789" s="435"/>
      <c r="D789" s="142"/>
      <c r="E789" s="414" t="s">
        <v>1192</v>
      </c>
      <c r="F789" s="333"/>
      <c r="G789" s="129"/>
      <c r="H789" s="141"/>
    </row>
    <row r="790" spans="1:8" s="298" customFormat="1" ht="12.75" customHeight="1">
      <c r="A790" s="434"/>
      <c r="B790" s="427"/>
      <c r="C790" s="435"/>
      <c r="D790" s="142"/>
      <c r="E790" s="414" t="s">
        <v>1193</v>
      </c>
      <c r="F790" s="341">
        <f>2*1.3*(10.62+10.15)</f>
        <v>54</v>
      </c>
      <c r="G790" s="129" t="s">
        <v>399</v>
      </c>
      <c r="H790" s="141"/>
    </row>
    <row r="791" spans="1:8" ht="12.75" customHeight="1">
      <c r="A791" s="258"/>
      <c r="B791" s="400"/>
      <c r="C791" s="317"/>
      <c r="D791" s="401"/>
      <c r="E791" s="362" t="s">
        <v>382</v>
      </c>
      <c r="F791" s="333">
        <f>F790</f>
        <v>54</v>
      </c>
      <c r="G791" s="402" t="s">
        <v>399</v>
      </c>
      <c r="H791" s="403"/>
    </row>
    <row r="792" spans="1:8" s="298" customFormat="1" ht="12.75" customHeight="1">
      <c r="A792" s="434"/>
      <c r="B792" s="427"/>
      <c r="C792" s="435"/>
      <c r="D792" s="142"/>
      <c r="E792" s="414" t="s">
        <v>1194</v>
      </c>
      <c r="F792" s="333"/>
      <c r="G792" s="129"/>
      <c r="H792" s="141"/>
    </row>
    <row r="793" spans="1:8" s="298" customFormat="1" ht="12.75" customHeight="1">
      <c r="A793" s="434"/>
      <c r="B793" s="427"/>
      <c r="C793" s="435"/>
      <c r="D793" s="142"/>
      <c r="E793" s="414" t="s">
        <v>1195</v>
      </c>
      <c r="F793" s="333">
        <f>271.096*(0.3+0.8-0.04-0.05)+271.096*(0.3+2-0.25)</f>
        <v>829.55</v>
      </c>
      <c r="G793" s="129" t="s">
        <v>399</v>
      </c>
      <c r="H793" s="141"/>
    </row>
    <row r="794" spans="1:8" s="298" customFormat="1" ht="12.75" customHeight="1">
      <c r="A794" s="434"/>
      <c r="B794" s="427"/>
      <c r="C794" s="435"/>
      <c r="D794" s="142"/>
      <c r="E794" s="414" t="s">
        <v>1196</v>
      </c>
      <c r="F794" s="341">
        <f>359.093*(0.3+0.8-0.04-0.05)+359.093*(0.3+2-0.25)</f>
        <v>1098.82</v>
      </c>
      <c r="G794" s="129" t="s">
        <v>399</v>
      </c>
      <c r="H794" s="141"/>
    </row>
    <row r="795" spans="1:8" ht="12.75" customHeight="1">
      <c r="A795" s="258"/>
      <c r="B795" s="400"/>
      <c r="C795" s="317"/>
      <c r="D795" s="401"/>
      <c r="E795" s="362" t="s">
        <v>382</v>
      </c>
      <c r="F795" s="333">
        <f>F793+F794</f>
        <v>1928.37</v>
      </c>
      <c r="G795" s="402" t="s">
        <v>399</v>
      </c>
      <c r="H795" s="403"/>
    </row>
    <row r="796" spans="1:8" ht="12.75" customHeight="1">
      <c r="A796" s="258"/>
      <c r="B796" s="400"/>
      <c r="C796" s="317"/>
      <c r="D796" s="401"/>
      <c r="E796" s="362" t="s">
        <v>377</v>
      </c>
      <c r="F796" s="333">
        <f>F788+F791+F795</f>
        <v>10018.44</v>
      </c>
      <c r="G796" s="402" t="s">
        <v>399</v>
      </c>
      <c r="H796" s="403"/>
    </row>
    <row r="797" spans="1:8" ht="25.5">
      <c r="A797" s="301">
        <f>MAX(A$2:A796)+1</f>
        <v>87</v>
      </c>
      <c r="B797" s="454" t="s">
        <v>283</v>
      </c>
      <c r="C797" s="154" t="s">
        <v>286</v>
      </c>
      <c r="D797" s="155"/>
      <c r="E797" s="135" t="s">
        <v>287</v>
      </c>
      <c r="F797" s="128"/>
      <c r="G797" s="124" t="s">
        <v>38</v>
      </c>
      <c r="H797" s="144">
        <f>H798</f>
        <v>125.45</v>
      </c>
    </row>
    <row r="798" spans="1:8" ht="24.75">
      <c r="A798" s="345"/>
      <c r="B798" s="352"/>
      <c r="C798" s="156"/>
      <c r="D798" s="157" t="s">
        <v>1197</v>
      </c>
      <c r="E798" s="127" t="s">
        <v>1198</v>
      </c>
      <c r="F798" s="139"/>
      <c r="G798" s="140" t="s">
        <v>38</v>
      </c>
      <c r="H798" s="283">
        <f>ROUND(F805,2)</f>
        <v>125.45</v>
      </c>
    </row>
    <row r="799" spans="1:8" s="298" customFormat="1" ht="12.75" customHeight="1">
      <c r="A799" s="434"/>
      <c r="B799" s="427"/>
      <c r="C799" s="435"/>
      <c r="D799" s="142"/>
      <c r="E799" s="414" t="s">
        <v>1199</v>
      </c>
      <c r="F799" s="333"/>
      <c r="G799" s="129" t="s">
        <v>399</v>
      </c>
      <c r="H799" s="141"/>
    </row>
    <row r="800" spans="1:8" s="298" customFormat="1" ht="12.75" customHeight="1">
      <c r="A800" s="434"/>
      <c r="B800" s="427"/>
      <c r="C800" s="435"/>
      <c r="D800" s="142"/>
      <c r="E800" s="414" t="s">
        <v>1200</v>
      </c>
      <c r="F800" s="333">
        <f>(2*2.6+2*1.6)*1.4</f>
        <v>11.76</v>
      </c>
      <c r="G800" s="129" t="s">
        <v>399</v>
      </c>
      <c r="H800" s="141"/>
    </row>
    <row r="801" spans="1:8" s="298" customFormat="1" ht="25.5">
      <c r="A801" s="434"/>
      <c r="B801" s="427"/>
      <c r="C801" s="435"/>
      <c r="D801" s="142"/>
      <c r="E801" s="414" t="s">
        <v>1201</v>
      </c>
      <c r="F801" s="333"/>
      <c r="G801" s="129"/>
      <c r="H801" s="141"/>
    </row>
    <row r="802" spans="1:8" s="298" customFormat="1" ht="12.75" customHeight="1">
      <c r="A802" s="434"/>
      <c r="B802" s="427"/>
      <c r="C802" s="435"/>
      <c r="D802" s="142"/>
      <c r="E802" s="414" t="s">
        <v>1202</v>
      </c>
      <c r="F802" s="333">
        <f>5*10.62+0.3*10.62+3*2*0.3</f>
        <v>58.09</v>
      </c>
      <c r="G802" s="129"/>
      <c r="H802" s="141"/>
    </row>
    <row r="803" spans="1:8" s="298" customFormat="1" ht="12.75" customHeight="1">
      <c r="A803" s="434"/>
      <c r="B803" s="427"/>
      <c r="C803" s="435"/>
      <c r="D803" s="142"/>
      <c r="E803" s="414" t="s">
        <v>1203</v>
      </c>
      <c r="F803" s="341">
        <f>5*10.15+0.3*10.15+3*2*0.3</f>
        <v>55.6</v>
      </c>
      <c r="G803" s="129"/>
      <c r="H803" s="141"/>
    </row>
    <row r="804" spans="1:8" ht="12.75" customHeight="1">
      <c r="A804" s="258"/>
      <c r="B804" s="400"/>
      <c r="C804" s="317"/>
      <c r="D804" s="401"/>
      <c r="E804" s="362" t="s">
        <v>382</v>
      </c>
      <c r="F804" s="333">
        <f>F802+F803</f>
        <v>113.69</v>
      </c>
      <c r="G804" s="402"/>
      <c r="H804" s="403"/>
    </row>
    <row r="805" spans="1:8" ht="12.75" customHeight="1">
      <c r="A805" s="258"/>
      <c r="B805" s="400"/>
      <c r="C805" s="317"/>
      <c r="D805" s="465"/>
      <c r="E805" s="459" t="s">
        <v>377</v>
      </c>
      <c r="F805" s="363">
        <f>F800+F804</f>
        <v>125.45</v>
      </c>
      <c r="G805" s="402"/>
      <c r="H805" s="403"/>
    </row>
    <row r="806" spans="1:8" ht="12.75" customHeight="1">
      <c r="A806" s="301">
        <f>MAX(A$2:A804)+1</f>
        <v>88</v>
      </c>
      <c r="B806" s="454" t="s">
        <v>283</v>
      </c>
      <c r="C806" s="204" t="s">
        <v>290</v>
      </c>
      <c r="D806" s="460"/>
      <c r="E806" s="461" t="s">
        <v>291</v>
      </c>
      <c r="F806" s="305"/>
      <c r="G806" s="410" t="s">
        <v>38</v>
      </c>
      <c r="H806" s="297">
        <f>H807</f>
        <v>43.02</v>
      </c>
    </row>
    <row r="807" spans="1:8" ht="24.75">
      <c r="A807" s="345"/>
      <c r="B807" s="352"/>
      <c r="C807" s="205"/>
      <c r="D807" s="447" t="s">
        <v>1204</v>
      </c>
      <c r="E807" s="464" t="s">
        <v>1205</v>
      </c>
      <c r="F807" s="305"/>
      <c r="G807" s="306" t="s">
        <v>38</v>
      </c>
      <c r="H807" s="283">
        <f>ROUND(F811,2)</f>
        <v>43.02</v>
      </c>
    </row>
    <row r="808" spans="1:8" s="298" customFormat="1" ht="12.75" customHeight="1">
      <c r="A808" s="434"/>
      <c r="B808" s="449"/>
      <c r="C808" s="428"/>
      <c r="D808" s="142"/>
      <c r="E808" s="414" t="s">
        <v>1206</v>
      </c>
      <c r="F808" s="333"/>
      <c r="G808" s="129"/>
      <c r="H808" s="141"/>
    </row>
    <row r="809" spans="1:8" s="298" customFormat="1" ht="12.75" customHeight="1">
      <c r="A809" s="434"/>
      <c r="B809" s="449"/>
      <c r="C809" s="428"/>
      <c r="D809" s="142"/>
      <c r="E809" s="414" t="s">
        <v>1207</v>
      </c>
      <c r="F809" s="333">
        <f>0.475*22+0.147*22</f>
        <v>13.68</v>
      </c>
      <c r="G809" s="129" t="s">
        <v>399</v>
      </c>
      <c r="H809" s="141"/>
    </row>
    <row r="810" spans="1:8" s="298" customFormat="1" ht="25.5">
      <c r="A810" s="434"/>
      <c r="B810" s="449"/>
      <c r="C810" s="428"/>
      <c r="D810" s="142"/>
      <c r="E810" s="414" t="s">
        <v>1208</v>
      </c>
      <c r="F810" s="341">
        <f>2*(0.12+0.05)*(1.15+0.288*2)*50</f>
        <v>29.34</v>
      </c>
      <c r="G810" s="129"/>
      <c r="H810" s="141"/>
    </row>
    <row r="811" spans="1:8" s="298" customFormat="1" ht="12.75" customHeight="1">
      <c r="A811" s="434"/>
      <c r="B811" s="449"/>
      <c r="C811" s="428"/>
      <c r="D811" s="142"/>
      <c r="E811" s="414"/>
      <c r="F811" s="363">
        <f>SUM(F809:F810)</f>
        <v>43.02</v>
      </c>
      <c r="G811" s="129"/>
      <c r="H811" s="141"/>
    </row>
    <row r="812" spans="1:8" s="298" customFormat="1" ht="25.5">
      <c r="A812" s="301">
        <f>MAX(A$2:A809)+1</f>
        <v>89</v>
      </c>
      <c r="B812" s="454" t="s">
        <v>283</v>
      </c>
      <c r="C812" s="204" t="s">
        <v>292</v>
      </c>
      <c r="D812" s="431"/>
      <c r="E812" s="446" t="s">
        <v>293</v>
      </c>
      <c r="F812" s="412"/>
      <c r="G812" s="410" t="s">
        <v>38</v>
      </c>
      <c r="H812" s="144">
        <f>H813</f>
        <v>19.4</v>
      </c>
    </row>
    <row r="813" spans="1:8" s="298" customFormat="1" ht="24.75">
      <c r="A813" s="434"/>
      <c r="B813" s="449"/>
      <c r="C813" s="428"/>
      <c r="D813" s="337" t="s">
        <v>1209</v>
      </c>
      <c r="E813" s="338" t="s">
        <v>1210</v>
      </c>
      <c r="F813" s="365"/>
      <c r="G813" s="340" t="s">
        <v>38</v>
      </c>
      <c r="H813" s="141">
        <f>F815</f>
        <v>19.4</v>
      </c>
    </row>
    <row r="814" spans="1:8" s="298" customFormat="1" ht="12.75" customHeight="1">
      <c r="A814" s="434"/>
      <c r="B814" s="427"/>
      <c r="C814" s="435"/>
      <c r="D814" s="142"/>
      <c r="E814" s="414" t="s">
        <v>1211</v>
      </c>
      <c r="F814" s="333"/>
      <c r="G814" s="129"/>
      <c r="H814" s="141"/>
    </row>
    <row r="815" spans="1:8" s="298" customFormat="1" ht="25.5">
      <c r="A815" s="434"/>
      <c r="B815" s="427"/>
      <c r="C815" s="435"/>
      <c r="D815" s="142"/>
      <c r="E815" s="414" t="s">
        <v>1212</v>
      </c>
      <c r="F815" s="333">
        <f>1.08+4.31+4.31+4.31+4.31+1.08</f>
        <v>19.4</v>
      </c>
      <c r="G815" s="129"/>
      <c r="H815" s="141"/>
    </row>
    <row r="816" spans="1:8" ht="15">
      <c r="A816" s="378"/>
      <c r="B816" s="285" t="s">
        <v>295</v>
      </c>
      <c r="C816" s="379"/>
      <c r="D816" s="130"/>
      <c r="E816" s="380" t="s">
        <v>562</v>
      </c>
      <c r="F816" s="131"/>
      <c r="G816" s="138"/>
      <c r="H816" s="132"/>
    </row>
    <row r="817" spans="1:9" s="344" customFormat="1" ht="25.5">
      <c r="A817" s="301">
        <f>MAX(A$2:A816)+1</f>
        <v>90</v>
      </c>
      <c r="B817" s="438" t="s">
        <v>295</v>
      </c>
      <c r="C817" s="154" t="s">
        <v>296</v>
      </c>
      <c r="D817" s="146"/>
      <c r="E817" s="135" t="s">
        <v>297</v>
      </c>
      <c r="F817" s="147"/>
      <c r="G817" s="124" t="s">
        <v>38</v>
      </c>
      <c r="H817" s="144">
        <f>H818</f>
        <v>4.16</v>
      </c>
      <c r="I817" s="343"/>
    </row>
    <row r="818" spans="1:9" s="344" customFormat="1" ht="24.75">
      <c r="A818" s="466"/>
      <c r="B818" s="467"/>
      <c r="C818" s="432"/>
      <c r="D818" s="143" t="s">
        <v>563</v>
      </c>
      <c r="E818" s="468" t="s">
        <v>564</v>
      </c>
      <c r="F818" s="469"/>
      <c r="G818" s="140" t="s">
        <v>38</v>
      </c>
      <c r="H818" s="283">
        <f>ROUND(F819,2)</f>
        <v>4.16</v>
      </c>
      <c r="I818" s="343"/>
    </row>
    <row r="819" spans="1:8" s="298" customFormat="1" ht="25.5">
      <c r="A819" s="434"/>
      <c r="B819" s="427"/>
      <c r="C819" s="435"/>
      <c r="D819" s="142"/>
      <c r="E819" s="414" t="s">
        <v>1213</v>
      </c>
      <c r="F819" s="333">
        <f>(1+2*0.3)*(2+2*0.3)</f>
        <v>4.16</v>
      </c>
      <c r="G819" s="129"/>
      <c r="H819" s="141"/>
    </row>
    <row r="820" spans="1:8" ht="25.5">
      <c r="A820" s="301">
        <f>MAX(A$2:A819)+1</f>
        <v>91</v>
      </c>
      <c r="B820" s="433" t="s">
        <v>295</v>
      </c>
      <c r="C820" s="205" t="s">
        <v>298</v>
      </c>
      <c r="D820" s="470"/>
      <c r="E820" s="417" t="s">
        <v>299</v>
      </c>
      <c r="F820" s="471"/>
      <c r="G820" s="410" t="s">
        <v>38</v>
      </c>
      <c r="H820" s="297">
        <f>H821</f>
        <v>696.7</v>
      </c>
    </row>
    <row r="821" spans="1:8" ht="24.75">
      <c r="A821" s="345"/>
      <c r="B821" s="372"/>
      <c r="C821" s="472"/>
      <c r="D821" s="473" t="s">
        <v>298</v>
      </c>
      <c r="E821" s="419" t="s">
        <v>299</v>
      </c>
      <c r="F821" s="474"/>
      <c r="G821" s="306" t="s">
        <v>38</v>
      </c>
      <c r="H821" s="283">
        <f>ROUND(F830,2)</f>
        <v>696.7</v>
      </c>
    </row>
    <row r="822" spans="1:9" s="482" customFormat="1" ht="12.75" customHeight="1">
      <c r="A822" s="475"/>
      <c r="B822" s="476"/>
      <c r="C822" s="477"/>
      <c r="D822" s="478"/>
      <c r="E822" s="349" t="s">
        <v>1214</v>
      </c>
      <c r="F822" s="333"/>
      <c r="G822" s="479"/>
      <c r="H822" s="480"/>
      <c r="I822" s="481"/>
    </row>
    <row r="823" spans="1:9" s="482" customFormat="1" ht="12.75" customHeight="1">
      <c r="A823" s="475"/>
      <c r="B823" s="476"/>
      <c r="C823" s="477"/>
      <c r="D823" s="478"/>
      <c r="E823" s="349" t="s">
        <v>1215</v>
      </c>
      <c r="F823" s="333">
        <f>57.5*1.215</f>
        <v>69.86</v>
      </c>
      <c r="G823" s="479"/>
      <c r="H823" s="480"/>
      <c r="I823" s="481"/>
    </row>
    <row r="824" spans="1:9" s="482" customFormat="1" ht="12.75" customHeight="1">
      <c r="A824" s="475"/>
      <c r="B824" s="483"/>
      <c r="C824" s="484"/>
      <c r="D824" s="478"/>
      <c r="E824" s="349" t="s">
        <v>1216</v>
      </c>
      <c r="F824" s="333"/>
      <c r="G824" s="479"/>
      <c r="H824" s="480"/>
      <c r="I824" s="481"/>
    </row>
    <row r="825" spans="1:9" s="482" customFormat="1" ht="12.75" customHeight="1">
      <c r="A825" s="475"/>
      <c r="B825" s="483"/>
      <c r="C825" s="484"/>
      <c r="D825" s="478"/>
      <c r="E825" s="349" t="s">
        <v>1217</v>
      </c>
      <c r="F825" s="333">
        <f>205.9*1.05</f>
        <v>216.2</v>
      </c>
      <c r="G825" s="479"/>
      <c r="H825" s="480"/>
      <c r="I825" s="481"/>
    </row>
    <row r="826" spans="1:9" s="482" customFormat="1" ht="12.75" customHeight="1">
      <c r="A826" s="475"/>
      <c r="B826" s="483"/>
      <c r="C826" s="484"/>
      <c r="D826" s="478"/>
      <c r="E826" s="349" t="s">
        <v>1218</v>
      </c>
      <c r="F826" s="333"/>
      <c r="G826" s="479"/>
      <c r="H826" s="480"/>
      <c r="I826" s="481"/>
    </row>
    <row r="827" spans="1:9" s="482" customFormat="1" ht="12.75" customHeight="1">
      <c r="A827" s="475"/>
      <c r="B827" s="483"/>
      <c r="C827" s="484"/>
      <c r="D827" s="478"/>
      <c r="E827" s="349" t="s">
        <v>1219</v>
      </c>
      <c r="F827" s="333">
        <f>(63.04+104.04+131.85)*1.08</f>
        <v>322.84</v>
      </c>
      <c r="G827" s="479"/>
      <c r="H827" s="480"/>
      <c r="I827" s="481"/>
    </row>
    <row r="828" spans="1:9" s="482" customFormat="1" ht="12.75" customHeight="1">
      <c r="A828" s="475"/>
      <c r="B828" s="483"/>
      <c r="C828" s="484"/>
      <c r="D828" s="478"/>
      <c r="E828" s="349" t="s">
        <v>1220</v>
      </c>
      <c r="F828" s="333"/>
      <c r="G828" s="479"/>
      <c r="H828" s="480"/>
      <c r="I828" s="481"/>
    </row>
    <row r="829" spans="1:9" s="482" customFormat="1" ht="12.75" customHeight="1">
      <c r="A829" s="475"/>
      <c r="B829" s="483"/>
      <c r="C829" s="484"/>
      <c r="D829" s="478"/>
      <c r="E829" s="349" t="s">
        <v>1221</v>
      </c>
      <c r="F829" s="341">
        <f>81.3*1.08</f>
        <v>87.8</v>
      </c>
      <c r="G829" s="479"/>
      <c r="H829" s="480"/>
      <c r="I829" s="481"/>
    </row>
    <row r="830" spans="1:8" ht="12.75" customHeight="1">
      <c r="A830" s="429"/>
      <c r="B830" s="392"/>
      <c r="C830" s="484"/>
      <c r="D830" s="478"/>
      <c r="E830" s="485"/>
      <c r="F830" s="333">
        <f>SUM(F823:F829)</f>
        <v>696.7</v>
      </c>
      <c r="G830" s="317"/>
      <c r="H830" s="265"/>
    </row>
    <row r="831" spans="1:9" ht="25.5">
      <c r="A831" s="301">
        <f>MAX(A$2:A830)+1</f>
        <v>92</v>
      </c>
      <c r="B831" s="433" t="s">
        <v>295</v>
      </c>
      <c r="C831" s="204" t="s">
        <v>300</v>
      </c>
      <c r="D831" s="303"/>
      <c r="E831" s="206" t="s">
        <v>301</v>
      </c>
      <c r="F831" s="412"/>
      <c r="G831" s="335" t="s">
        <v>45</v>
      </c>
      <c r="H831" s="265">
        <f>H832</f>
        <v>1229.12</v>
      </c>
      <c r="I831" s="247" t="s">
        <v>1222</v>
      </c>
    </row>
    <row r="832" spans="1:8" ht="37.5">
      <c r="A832" s="429"/>
      <c r="B832" s="392"/>
      <c r="C832" s="303"/>
      <c r="D832" s="337" t="s">
        <v>1223</v>
      </c>
      <c r="E832" s="486" t="s">
        <v>1224</v>
      </c>
      <c r="F832" s="486"/>
      <c r="G832" s="340" t="s">
        <v>45</v>
      </c>
      <c r="H832" s="283">
        <f>ROUND(F835,2)</f>
        <v>1229.12</v>
      </c>
    </row>
    <row r="833" spans="1:8" ht="12.75" customHeight="1">
      <c r="A833" s="429"/>
      <c r="B833" s="392"/>
      <c r="C833" s="303"/>
      <c r="D833" s="337"/>
      <c r="E833" s="415" t="s">
        <v>1225</v>
      </c>
      <c r="F833" s="363">
        <v>1024.27</v>
      </c>
      <c r="G833" s="340"/>
      <c r="H833" s="265"/>
    </row>
    <row r="834" spans="1:8" ht="12.75" customHeight="1">
      <c r="A834" s="429"/>
      <c r="B834" s="392"/>
      <c r="C834" s="303"/>
      <c r="D834" s="337"/>
      <c r="E834" s="415" t="s">
        <v>1226</v>
      </c>
      <c r="F834" s="487">
        <f>1024.27*0.2</f>
        <v>204.85</v>
      </c>
      <c r="G834" s="340"/>
      <c r="H834" s="265"/>
    </row>
    <row r="835" spans="1:8" ht="12.75" customHeight="1">
      <c r="A835" s="429"/>
      <c r="B835" s="392"/>
      <c r="C835" s="484"/>
      <c r="D835" s="478"/>
      <c r="E835" s="362" t="s">
        <v>377</v>
      </c>
      <c r="F835" s="363">
        <f>SUM(F833:F834)</f>
        <v>1229.12</v>
      </c>
      <c r="G835" s="317"/>
      <c r="H835" s="265"/>
    </row>
    <row r="836" spans="1:8" ht="25.5">
      <c r="A836" s="301">
        <f>MAX(A$2:A835)+1</f>
        <v>93</v>
      </c>
      <c r="B836" s="488" t="s">
        <v>295</v>
      </c>
      <c r="C836" s="154" t="s">
        <v>302</v>
      </c>
      <c r="D836" s="327"/>
      <c r="E836" s="376" t="s">
        <v>303</v>
      </c>
      <c r="F836" s="489"/>
      <c r="G836" s="137" t="s">
        <v>30</v>
      </c>
      <c r="H836" s="265">
        <f>H837</f>
        <v>0.15</v>
      </c>
    </row>
    <row r="837" spans="1:9" s="171" customFormat="1" ht="12.75" customHeight="1">
      <c r="A837" s="301"/>
      <c r="B837" s="490"/>
      <c r="C837" s="472"/>
      <c r="D837" s="473" t="s">
        <v>302</v>
      </c>
      <c r="E837" s="491" t="s">
        <v>303</v>
      </c>
      <c r="F837" s="492"/>
      <c r="G837" s="306" t="s">
        <v>30</v>
      </c>
      <c r="H837" s="283">
        <f>ROUND(F843,2)</f>
        <v>0.15</v>
      </c>
      <c r="I837" s="284"/>
    </row>
    <row r="838" spans="1:9" s="482" customFormat="1" ht="25.5">
      <c r="A838" s="475"/>
      <c r="B838" s="483"/>
      <c r="C838" s="484"/>
      <c r="D838" s="478"/>
      <c r="E838" s="349" t="s">
        <v>1227</v>
      </c>
      <c r="F838" s="333"/>
      <c r="G838" s="479"/>
      <c r="H838" s="480"/>
      <c r="I838" s="481"/>
    </row>
    <row r="839" spans="1:9" s="482" customFormat="1" ht="12.75" customHeight="1">
      <c r="A839" s="475"/>
      <c r="B839" s="483"/>
      <c r="C839" s="484"/>
      <c r="D839" s="478"/>
      <c r="E839" s="199" t="s">
        <v>1228</v>
      </c>
      <c r="F839" s="333"/>
      <c r="G839" s="479"/>
      <c r="H839" s="480"/>
      <c r="I839" s="481"/>
    </row>
    <row r="840" spans="1:9" s="482" customFormat="1" ht="12.75" customHeight="1">
      <c r="A840" s="475"/>
      <c r="B840" s="483"/>
      <c r="C840" s="484"/>
      <c r="D840" s="478"/>
      <c r="E840" s="199" t="s">
        <v>1229</v>
      </c>
      <c r="F840" s="333">
        <f>2*0.015</f>
        <v>0.03</v>
      </c>
      <c r="G840" s="479"/>
      <c r="H840" s="480"/>
      <c r="I840" s="481"/>
    </row>
    <row r="841" spans="1:9" s="482" customFormat="1" ht="12.75" customHeight="1">
      <c r="A841" s="475"/>
      <c r="B841" s="483"/>
      <c r="C841" s="484"/>
      <c r="D841" s="478"/>
      <c r="E841" s="199" t="s">
        <v>1230</v>
      </c>
      <c r="F841" s="333">
        <f>2*0.025</f>
        <v>0.05</v>
      </c>
      <c r="G841" s="479"/>
      <c r="H841" s="480"/>
      <c r="I841" s="481"/>
    </row>
    <row r="842" spans="1:9" s="482" customFormat="1" ht="12.75" customHeight="1">
      <c r="A842" s="475"/>
      <c r="B842" s="483"/>
      <c r="C842" s="484"/>
      <c r="D842" s="478"/>
      <c r="E842" s="199" t="s">
        <v>1231</v>
      </c>
      <c r="F842" s="341">
        <f>4*0.0175</f>
        <v>0.07</v>
      </c>
      <c r="G842" s="479"/>
      <c r="H842" s="480"/>
      <c r="I842" s="481"/>
    </row>
    <row r="843" spans="1:9" s="482" customFormat="1" ht="12.75" customHeight="1">
      <c r="A843" s="475"/>
      <c r="B843" s="483"/>
      <c r="C843" s="484"/>
      <c r="D843" s="478"/>
      <c r="E843" s="349"/>
      <c r="F843" s="333">
        <f>SUM(F840:F842)</f>
        <v>0.15</v>
      </c>
      <c r="G843" s="479"/>
      <c r="H843" s="480"/>
      <c r="I843" s="481"/>
    </row>
    <row r="844" spans="1:8" ht="15">
      <c r="A844" s="378"/>
      <c r="B844" s="311" t="s">
        <v>305</v>
      </c>
      <c r="C844" s="451"/>
      <c r="D844" s="130"/>
      <c r="E844" s="380" t="s">
        <v>1232</v>
      </c>
      <c r="F844" s="131"/>
      <c r="G844" s="138"/>
      <c r="H844" s="132"/>
    </row>
    <row r="845" spans="1:9" s="344" customFormat="1" ht="14.25">
      <c r="A845" s="301">
        <f>MAX(A$2:A844)+1</f>
        <v>94</v>
      </c>
      <c r="B845" s="488" t="s">
        <v>305</v>
      </c>
      <c r="C845" s="493" t="s">
        <v>306</v>
      </c>
      <c r="D845" s="494"/>
      <c r="E845" s="495" t="s">
        <v>307</v>
      </c>
      <c r="F845" s="334"/>
      <c r="G845" s="335" t="s">
        <v>30</v>
      </c>
      <c r="H845" s="297">
        <f>H846+H856</f>
        <v>25.49</v>
      </c>
      <c r="I845" s="343"/>
    </row>
    <row r="846" spans="1:9" s="344" customFormat="1" ht="14.25">
      <c r="A846" s="301"/>
      <c r="B846" s="488"/>
      <c r="C846" s="493"/>
      <c r="D846" s="496" t="s">
        <v>1233</v>
      </c>
      <c r="E846" s="497" t="s">
        <v>1234</v>
      </c>
      <c r="F846" s="424"/>
      <c r="G846" s="306" t="s">
        <v>30</v>
      </c>
      <c r="H846" s="283">
        <f>F855</f>
        <v>22.8</v>
      </c>
      <c r="I846" s="343"/>
    </row>
    <row r="847" spans="1:9" s="344" customFormat="1" ht="14.25">
      <c r="A847" s="301"/>
      <c r="B847" s="488"/>
      <c r="C847" s="493"/>
      <c r="D847" s="498"/>
      <c r="E847" s="499" t="s">
        <v>1235</v>
      </c>
      <c r="F847" s="500"/>
      <c r="G847" s="501"/>
      <c r="H847" s="502"/>
      <c r="I847" s="343"/>
    </row>
    <row r="848" spans="1:9" s="344" customFormat="1" ht="14.25">
      <c r="A848" s="301"/>
      <c r="B848" s="488"/>
      <c r="C848" s="493"/>
      <c r="D848" s="503"/>
      <c r="E848" s="499" t="s">
        <v>1236</v>
      </c>
      <c r="F848" s="200"/>
      <c r="G848" s="335"/>
      <c r="H848" s="297"/>
      <c r="I848" s="343"/>
    </row>
    <row r="849" spans="1:9" s="344" customFormat="1" ht="14.25">
      <c r="A849" s="301"/>
      <c r="B849" s="488"/>
      <c r="C849" s="493"/>
      <c r="D849" s="503"/>
      <c r="E849" s="499" t="s">
        <v>1237</v>
      </c>
      <c r="F849" s="200">
        <f>0.2*(63.04+104.04+131.85)*1.08*0.15</f>
        <v>9.69</v>
      </c>
      <c r="G849" s="335"/>
      <c r="H849" s="297"/>
      <c r="I849" s="343"/>
    </row>
    <row r="850" spans="1:9" s="344" customFormat="1" ht="14.25">
      <c r="A850" s="301"/>
      <c r="B850" s="488"/>
      <c r="C850" s="493"/>
      <c r="D850" s="503"/>
      <c r="E850" s="499" t="s">
        <v>1238</v>
      </c>
      <c r="F850" s="200"/>
      <c r="G850" s="335"/>
      <c r="H850" s="297"/>
      <c r="I850" s="343"/>
    </row>
    <row r="851" spans="1:9" s="344" customFormat="1" ht="14.25">
      <c r="A851" s="301"/>
      <c r="B851" s="488"/>
      <c r="C851" s="493"/>
      <c r="D851" s="503"/>
      <c r="E851" s="499" t="s">
        <v>1239</v>
      </c>
      <c r="F851" s="201">
        <f>0.2*81.3*1.08*0.15</f>
        <v>2.63</v>
      </c>
      <c r="G851" s="335"/>
      <c r="H851" s="297"/>
      <c r="I851" s="343"/>
    </row>
    <row r="852" spans="1:9" s="344" customFormat="1" ht="14.25">
      <c r="A852" s="301"/>
      <c r="B852" s="488"/>
      <c r="C852" s="493"/>
      <c r="D852" s="503"/>
      <c r="E852" s="504" t="s">
        <v>382</v>
      </c>
      <c r="F852" s="200">
        <f>F849+F851</f>
        <v>12.32</v>
      </c>
      <c r="G852" s="335"/>
      <c r="H852" s="297"/>
      <c r="I852" s="343"/>
    </row>
    <row r="853" spans="1:9" s="344" customFormat="1" ht="26.25">
      <c r="A853" s="301"/>
      <c r="B853" s="488"/>
      <c r="C853" s="493"/>
      <c r="D853" s="503"/>
      <c r="E853" s="505" t="s">
        <v>1240</v>
      </c>
      <c r="F853" s="200"/>
      <c r="G853" s="335"/>
      <c r="H853" s="297"/>
      <c r="I853" s="343"/>
    </row>
    <row r="854" spans="1:9" s="344" customFormat="1" ht="14.25">
      <c r="A854" s="301"/>
      <c r="B854" s="488"/>
      <c r="C854" s="493"/>
      <c r="D854" s="503"/>
      <c r="E854" s="505" t="s">
        <v>1241</v>
      </c>
      <c r="F854" s="201">
        <f>57.5*1.215*0.15</f>
        <v>10.48</v>
      </c>
      <c r="G854" s="335"/>
      <c r="H854" s="297"/>
      <c r="I854" s="343"/>
    </row>
    <row r="855" spans="1:9" s="344" customFormat="1" ht="14.25">
      <c r="A855" s="301"/>
      <c r="B855" s="488"/>
      <c r="C855" s="493"/>
      <c r="D855" s="503"/>
      <c r="E855" s="504" t="s">
        <v>377</v>
      </c>
      <c r="F855" s="200">
        <f>F852+F854</f>
        <v>22.8</v>
      </c>
      <c r="G855" s="335"/>
      <c r="H855" s="297"/>
      <c r="I855" s="343"/>
    </row>
    <row r="856" spans="1:9" s="344" customFormat="1" ht="15">
      <c r="A856" s="466"/>
      <c r="B856" s="352"/>
      <c r="C856" s="157"/>
      <c r="D856" s="496" t="s">
        <v>1242</v>
      </c>
      <c r="E856" s="497" t="s">
        <v>1243</v>
      </c>
      <c r="F856" s="424"/>
      <c r="G856" s="340" t="s">
        <v>1244</v>
      </c>
      <c r="H856" s="283">
        <f>F860</f>
        <v>2.69</v>
      </c>
      <c r="I856" s="343"/>
    </row>
    <row r="857" spans="1:9" s="482" customFormat="1" ht="12.75" customHeight="1">
      <c r="A857" s="475"/>
      <c r="B857" s="476"/>
      <c r="C857" s="477"/>
      <c r="D857" s="498"/>
      <c r="E857" s="505" t="s">
        <v>1245</v>
      </c>
      <c r="F857" s="500"/>
      <c r="G857" s="501"/>
      <c r="H857" s="502"/>
      <c r="I857" s="481"/>
    </row>
    <row r="858" spans="1:9" s="482" customFormat="1" ht="12.75" customHeight="1">
      <c r="A858" s="475"/>
      <c r="B858" s="476"/>
      <c r="C858" s="477"/>
      <c r="D858" s="506"/>
      <c r="E858" s="507" t="s">
        <v>1246</v>
      </c>
      <c r="F858" s="200">
        <f>12.46*0.15</f>
        <v>1.87</v>
      </c>
      <c r="G858" s="479" t="s">
        <v>399</v>
      </c>
      <c r="H858" s="480"/>
      <c r="I858" s="481"/>
    </row>
    <row r="859" spans="1:9" s="482" customFormat="1" ht="12.75" customHeight="1">
      <c r="A859" s="475"/>
      <c r="B859" s="476"/>
      <c r="C859" s="477"/>
      <c r="D859" s="506"/>
      <c r="E859" s="508" t="s">
        <v>1247</v>
      </c>
      <c r="F859" s="201">
        <f>3.04*0.15+2.4*0.15</f>
        <v>0.82</v>
      </c>
      <c r="G859" s="479"/>
      <c r="H859" s="480"/>
      <c r="I859" s="481"/>
    </row>
    <row r="860" spans="1:9" s="515" customFormat="1" ht="12.75" customHeight="1">
      <c r="A860" s="258"/>
      <c r="B860" s="400"/>
      <c r="C860" s="509"/>
      <c r="D860" s="510"/>
      <c r="E860" s="511" t="s">
        <v>377</v>
      </c>
      <c r="F860" s="200">
        <f>F858+F859</f>
        <v>2.69</v>
      </c>
      <c r="G860" s="512"/>
      <c r="H860" s="513"/>
      <c r="I860" s="514"/>
    </row>
    <row r="861" spans="1:9" s="344" customFormat="1" ht="14.25">
      <c r="A861" s="301">
        <f>MAX(A$2:A860)+1</f>
        <v>95</v>
      </c>
      <c r="B861" s="433" t="s">
        <v>305</v>
      </c>
      <c r="C861" s="493" t="s">
        <v>308</v>
      </c>
      <c r="D861" s="410"/>
      <c r="E861" s="373" t="s">
        <v>309</v>
      </c>
      <c r="F861" s="334"/>
      <c r="G861" s="335" t="s">
        <v>28</v>
      </c>
      <c r="H861" s="297">
        <f>H862</f>
        <v>1.35</v>
      </c>
      <c r="I861" s="343"/>
    </row>
    <row r="862" spans="1:9" s="300" customFormat="1" ht="15">
      <c r="A862" s="453"/>
      <c r="B862" s="302"/>
      <c r="C862" s="157"/>
      <c r="D862" s="516" t="s">
        <v>1248</v>
      </c>
      <c r="E862" s="338" t="s">
        <v>1249</v>
      </c>
      <c r="F862" s="517"/>
      <c r="G862" s="129" t="s">
        <v>28</v>
      </c>
      <c r="H862" s="283">
        <f>ROUND(F875,2)</f>
        <v>1.35</v>
      </c>
      <c r="I862" s="298"/>
    </row>
    <row r="863" spans="1:9" s="482" customFormat="1" ht="12.75" customHeight="1">
      <c r="A863" s="475"/>
      <c r="B863" s="476"/>
      <c r="C863" s="477"/>
      <c r="D863" s="478"/>
      <c r="E863" s="415" t="s">
        <v>1250</v>
      </c>
      <c r="F863" s="333"/>
      <c r="G863" s="479"/>
      <c r="H863" s="480"/>
      <c r="I863" s="481"/>
    </row>
    <row r="864" spans="1:9" s="482" customFormat="1" ht="12.75" customHeight="1">
      <c r="A864" s="475"/>
      <c r="B864" s="476"/>
      <c r="C864" s="477"/>
      <c r="D864" s="478"/>
      <c r="E864" s="415" t="s">
        <v>1251</v>
      </c>
      <c r="F864" s="333">
        <f>11.59*12.34*0.001</f>
        <v>0.14</v>
      </c>
      <c r="G864" s="479"/>
      <c r="H864" s="480"/>
      <c r="I864" s="481"/>
    </row>
    <row r="865" spans="1:9" s="482" customFormat="1" ht="12.75" customHeight="1">
      <c r="A865" s="475"/>
      <c r="B865" s="476"/>
      <c r="C865" s="477"/>
      <c r="D865" s="478"/>
      <c r="E865" s="415" t="s">
        <v>1252</v>
      </c>
      <c r="F865" s="341">
        <f>(2.05+2.85)*12.34*0.001</f>
        <v>0.06</v>
      </c>
      <c r="G865" s="479"/>
      <c r="H865" s="480"/>
      <c r="I865" s="481"/>
    </row>
    <row r="866" spans="1:9" s="515" customFormat="1" ht="12.75" customHeight="1">
      <c r="A866" s="258"/>
      <c r="B866" s="400"/>
      <c r="C866" s="509"/>
      <c r="D866" s="510"/>
      <c r="E866" s="362" t="s">
        <v>382</v>
      </c>
      <c r="F866" s="333">
        <f>F864+F865</f>
        <v>0.2</v>
      </c>
      <c r="G866" s="512" t="s">
        <v>399</v>
      </c>
      <c r="H866" s="513"/>
      <c r="I866" s="514"/>
    </row>
    <row r="867" spans="1:9" s="482" customFormat="1" ht="12.75" customHeight="1">
      <c r="A867" s="475"/>
      <c r="B867" s="476"/>
      <c r="C867" s="477"/>
      <c r="D867" s="478"/>
      <c r="E867" s="415" t="s">
        <v>1253</v>
      </c>
      <c r="F867" s="333"/>
      <c r="G867" s="479"/>
      <c r="H867" s="480"/>
      <c r="I867" s="481"/>
    </row>
    <row r="868" spans="1:9" s="482" customFormat="1" ht="12.75" customHeight="1">
      <c r="A868" s="475"/>
      <c r="B868" s="476"/>
      <c r="C868" s="477"/>
      <c r="D868" s="478"/>
      <c r="E868" s="415" t="s">
        <v>1254</v>
      </c>
      <c r="F868" s="333" t="s">
        <v>399</v>
      </c>
      <c r="G868" s="479" t="s">
        <v>399</v>
      </c>
      <c r="H868" s="480"/>
      <c r="I868" s="481"/>
    </row>
    <row r="869" spans="1:9" s="482" customFormat="1" ht="12.75" customHeight="1">
      <c r="A869" s="475"/>
      <c r="B869" s="483"/>
      <c r="C869" s="484"/>
      <c r="D869" s="478"/>
      <c r="E869" s="415" t="s">
        <v>1255</v>
      </c>
      <c r="F869" s="333">
        <f>0.001*64.57*12.34</f>
        <v>0.8</v>
      </c>
      <c r="G869" s="479" t="s">
        <v>399</v>
      </c>
      <c r="H869" s="480"/>
      <c r="I869" s="481"/>
    </row>
    <row r="870" spans="1:9" s="482" customFormat="1" ht="12.75" customHeight="1">
      <c r="A870" s="475"/>
      <c r="B870" s="483"/>
      <c r="C870" s="484"/>
      <c r="D870" s="478"/>
      <c r="E870" s="415" t="s">
        <v>1256</v>
      </c>
      <c r="F870" s="333"/>
      <c r="G870" s="479"/>
      <c r="H870" s="480"/>
      <c r="I870" s="481"/>
    </row>
    <row r="871" spans="1:9" s="482" customFormat="1" ht="12.75" customHeight="1">
      <c r="A871" s="475"/>
      <c r="B871" s="483"/>
      <c r="C871" s="484"/>
      <c r="D871" s="478"/>
      <c r="E871" s="415" t="s">
        <v>1257</v>
      </c>
      <c r="F871" s="333" t="s">
        <v>399</v>
      </c>
      <c r="G871" s="479" t="s">
        <v>399</v>
      </c>
      <c r="H871" s="480"/>
      <c r="I871" s="481"/>
    </row>
    <row r="872" spans="1:9" s="482" customFormat="1" ht="12.75" customHeight="1">
      <c r="A872" s="475"/>
      <c r="B872" s="483"/>
      <c r="C872" s="484"/>
      <c r="D872" s="478"/>
      <c r="E872" s="415" t="s">
        <v>1258</v>
      </c>
      <c r="F872" s="333">
        <f>0.001*17.56*12.34</f>
        <v>0.22</v>
      </c>
      <c r="G872" s="479" t="s">
        <v>399</v>
      </c>
      <c r="H872" s="480"/>
      <c r="I872" s="481"/>
    </row>
    <row r="873" spans="1:9" s="482" customFormat="1" ht="12.75" customHeight="1">
      <c r="A873" s="475"/>
      <c r="B873" s="483"/>
      <c r="C873" s="484"/>
      <c r="D873" s="479"/>
      <c r="E873" s="415" t="s">
        <v>1259</v>
      </c>
      <c r="F873" s="333">
        <v>0.11</v>
      </c>
      <c r="G873" s="479"/>
      <c r="H873" s="480"/>
      <c r="I873" s="481"/>
    </row>
    <row r="874" spans="1:9" s="482" customFormat="1" ht="12.75" customHeight="1">
      <c r="A874" s="475"/>
      <c r="B874" s="483"/>
      <c r="C874" s="484"/>
      <c r="D874" s="479"/>
      <c r="E874" s="415" t="s">
        <v>1260</v>
      </c>
      <c r="F874" s="341">
        <v>0.02</v>
      </c>
      <c r="G874" s="479"/>
      <c r="H874" s="480"/>
      <c r="I874" s="481"/>
    </row>
    <row r="875" spans="1:9" s="515" customFormat="1" ht="12.75" customHeight="1">
      <c r="A875" s="258"/>
      <c r="B875" s="400"/>
      <c r="C875" s="509"/>
      <c r="D875" s="510"/>
      <c r="E875" s="362" t="s">
        <v>377</v>
      </c>
      <c r="F875" s="333">
        <f>F866+F869+F872+F873+F874</f>
        <v>1.35</v>
      </c>
      <c r="G875" s="512"/>
      <c r="H875" s="513"/>
      <c r="I875" s="514"/>
    </row>
    <row r="876" spans="1:9" s="344" customFormat="1" ht="25.5">
      <c r="A876" s="301">
        <f>MAX(A$2:A875)+1</f>
        <v>96</v>
      </c>
      <c r="B876" s="454" t="s">
        <v>305</v>
      </c>
      <c r="C876" s="204" t="s">
        <v>310</v>
      </c>
      <c r="D876" s="205"/>
      <c r="E876" s="373" t="s">
        <v>311</v>
      </c>
      <c r="F876" s="518"/>
      <c r="G876" s="335" t="s">
        <v>30</v>
      </c>
      <c r="H876" s="144">
        <f>H877</f>
        <v>2.98</v>
      </c>
      <c r="I876" s="343"/>
    </row>
    <row r="877" spans="1:9" s="344" customFormat="1" ht="24.75">
      <c r="A877" s="466"/>
      <c r="B877" s="352"/>
      <c r="C877" s="519"/>
      <c r="D877" s="337" t="s">
        <v>1261</v>
      </c>
      <c r="E877" s="368" t="s">
        <v>1262</v>
      </c>
      <c r="F877" s="339"/>
      <c r="G877" s="340" t="s">
        <v>30</v>
      </c>
      <c r="H877" s="283">
        <f>ROUND(F879,2)</f>
        <v>2.98</v>
      </c>
      <c r="I877" s="343"/>
    </row>
    <row r="878" spans="1:9" s="482" customFormat="1" ht="12.75" customHeight="1">
      <c r="A878" s="475"/>
      <c r="B878" s="476"/>
      <c r="C878" s="477"/>
      <c r="D878" s="478"/>
      <c r="E878" s="415" t="s">
        <v>1263</v>
      </c>
      <c r="F878" s="333"/>
      <c r="G878" s="479"/>
      <c r="H878" s="480"/>
      <c r="I878" s="481"/>
    </row>
    <row r="879" spans="1:9" s="482" customFormat="1" ht="12.75" customHeight="1">
      <c r="A879" s="475"/>
      <c r="B879" s="476"/>
      <c r="C879" s="477"/>
      <c r="D879" s="478"/>
      <c r="E879" s="415" t="s">
        <v>1264</v>
      </c>
      <c r="F879" s="333">
        <f>2*1.6*0.3*1.4+2*2*0.3*1.4-0.15*0.3</f>
        <v>2.98</v>
      </c>
      <c r="G879" s="479" t="s">
        <v>399</v>
      </c>
      <c r="H879" s="480"/>
      <c r="I879" s="481"/>
    </row>
    <row r="880" spans="1:8" ht="15">
      <c r="A880" s="378"/>
      <c r="B880" s="285" t="s">
        <v>313</v>
      </c>
      <c r="C880" s="379"/>
      <c r="D880" s="130"/>
      <c r="E880" s="380" t="s">
        <v>1265</v>
      </c>
      <c r="F880" s="131"/>
      <c r="G880" s="138"/>
      <c r="H880" s="132"/>
    </row>
    <row r="881" spans="1:9" s="344" customFormat="1" ht="25.5">
      <c r="A881" s="301">
        <f>MAX(A$2:A880)+1</f>
        <v>97</v>
      </c>
      <c r="B881" s="438" t="s">
        <v>313</v>
      </c>
      <c r="C881" s="520" t="s">
        <v>314</v>
      </c>
      <c r="D881" s="205"/>
      <c r="E881" s="373" t="s">
        <v>315</v>
      </c>
      <c r="F881" s="518"/>
      <c r="G881" s="335" t="s">
        <v>38</v>
      </c>
      <c r="H881" s="144">
        <f>H882</f>
        <v>0.2</v>
      </c>
      <c r="I881" s="343"/>
    </row>
    <row r="882" spans="1:9" s="344" customFormat="1" ht="24.75">
      <c r="A882" s="466"/>
      <c r="B882" s="352"/>
      <c r="C882" s="519"/>
      <c r="D882" s="447" t="s">
        <v>314</v>
      </c>
      <c r="E882" s="521" t="s">
        <v>315</v>
      </c>
      <c r="F882" s="339"/>
      <c r="G882" s="340" t="s">
        <v>38</v>
      </c>
      <c r="H882" s="283">
        <f>ROUND(F884,2)</f>
        <v>0.2</v>
      </c>
      <c r="I882" s="343"/>
    </row>
    <row r="883" spans="1:9" s="482" customFormat="1" ht="25.5">
      <c r="A883" s="475"/>
      <c r="B883" s="476"/>
      <c r="C883" s="477"/>
      <c r="D883" s="522"/>
      <c r="E883" s="523" t="s">
        <v>1266</v>
      </c>
      <c r="F883" s="333"/>
      <c r="G883" s="479"/>
      <c r="H883" s="480"/>
      <c r="I883" s="481"/>
    </row>
    <row r="884" spans="1:9" s="482" customFormat="1" ht="12.75" customHeight="1">
      <c r="A884" s="475"/>
      <c r="B884" s="476"/>
      <c r="C884" s="477"/>
      <c r="D884" s="522"/>
      <c r="E884" s="523" t="s">
        <v>1267</v>
      </c>
      <c r="F884" s="333">
        <f>0.105*0.025*75</f>
        <v>0.2</v>
      </c>
      <c r="G884" s="479"/>
      <c r="H884" s="480"/>
      <c r="I884" s="481"/>
    </row>
    <row r="885" spans="1:9" s="482" customFormat="1" ht="12.75" customHeight="1">
      <c r="A885" s="524"/>
      <c r="B885" s="525" t="s">
        <v>316</v>
      </c>
      <c r="C885" s="185"/>
      <c r="D885" s="526"/>
      <c r="E885" s="525" t="s">
        <v>1268</v>
      </c>
      <c r="F885" s="527"/>
      <c r="G885" s="185"/>
      <c r="H885" s="183"/>
      <c r="I885" s="481"/>
    </row>
    <row r="886" spans="1:9" s="482" customFormat="1" ht="25.5">
      <c r="A886" s="301">
        <f>MAX(A$2:A885)+1</f>
        <v>98</v>
      </c>
      <c r="B886" s="438" t="s">
        <v>316</v>
      </c>
      <c r="C886" s="294" t="s">
        <v>317</v>
      </c>
      <c r="D886" s="308"/>
      <c r="E886" s="369" t="s">
        <v>318</v>
      </c>
      <c r="F886" s="295"/>
      <c r="G886" s="137" t="s">
        <v>38</v>
      </c>
      <c r="H886" s="183">
        <f>H887</f>
        <v>14.56</v>
      </c>
      <c r="I886" s="481"/>
    </row>
    <row r="887" spans="1:9" s="482" customFormat="1" ht="24.75">
      <c r="A887" s="524"/>
      <c r="B887" s="184"/>
      <c r="C887" s="185"/>
      <c r="D887" s="425" t="s">
        <v>317</v>
      </c>
      <c r="E887" s="497" t="s">
        <v>318</v>
      </c>
      <c r="F887" s="387"/>
      <c r="G887" s="129" t="s">
        <v>38</v>
      </c>
      <c r="H887" s="283">
        <f>ROUND(F889,2)</f>
        <v>14.56</v>
      </c>
      <c r="I887" s="481"/>
    </row>
    <row r="888" spans="1:9" s="482" customFormat="1" ht="25.5">
      <c r="A888" s="524"/>
      <c r="B888" s="476"/>
      <c r="C888" s="528"/>
      <c r="D888" s="522"/>
      <c r="E888" s="414" t="s">
        <v>1269</v>
      </c>
      <c r="F888" s="333"/>
      <c r="G888" s="479"/>
      <c r="H888" s="480"/>
      <c r="I888" s="481"/>
    </row>
    <row r="889" spans="1:9" s="482" customFormat="1" ht="12.75" customHeight="1">
      <c r="A889" s="524"/>
      <c r="B889" s="476"/>
      <c r="C889" s="528"/>
      <c r="D889" s="522"/>
      <c r="E889" s="523" t="s">
        <v>1270</v>
      </c>
      <c r="F889" s="333">
        <f>(0.06*2+0.01*2)*1.04*2*50</f>
        <v>14.56</v>
      </c>
      <c r="G889" s="479"/>
      <c r="H889" s="480"/>
      <c r="I889" s="481"/>
    </row>
    <row r="890" spans="1:8" ht="15">
      <c r="A890" s="378"/>
      <c r="B890" s="285" t="s">
        <v>320</v>
      </c>
      <c r="C890" s="379"/>
      <c r="D890" s="130"/>
      <c r="E890" s="380" t="s">
        <v>1271</v>
      </c>
      <c r="F890" s="131"/>
      <c r="G890" s="138"/>
      <c r="H890" s="132"/>
    </row>
    <row r="891" spans="1:9" s="344" customFormat="1" ht="12.75" customHeight="1">
      <c r="A891" s="301">
        <f>MAX(A$2:A890)+1</f>
        <v>99</v>
      </c>
      <c r="B891" s="529" t="s">
        <v>320</v>
      </c>
      <c r="C891" s="530" t="s">
        <v>321</v>
      </c>
      <c r="D891" s="494"/>
      <c r="E891" s="495" t="s">
        <v>322</v>
      </c>
      <c r="F891" s="334"/>
      <c r="G891" s="335" t="s">
        <v>38</v>
      </c>
      <c r="H891" s="297">
        <f>H892</f>
        <v>45.18</v>
      </c>
      <c r="I891" s="343"/>
    </row>
    <row r="892" spans="1:9" s="536" customFormat="1" ht="12.75" customHeight="1">
      <c r="A892" s="466"/>
      <c r="B892" s="352"/>
      <c r="C892" s="531"/>
      <c r="D892" s="532" t="s">
        <v>1272</v>
      </c>
      <c r="E892" s="521" t="s">
        <v>1273</v>
      </c>
      <c r="F892" s="339"/>
      <c r="G892" s="533" t="s">
        <v>38</v>
      </c>
      <c r="H892" s="534">
        <f>ROUND(F897,2)</f>
        <v>45.18</v>
      </c>
      <c r="I892" s="535"/>
    </row>
    <row r="893" spans="1:9" s="482" customFormat="1" ht="12.75">
      <c r="A893" s="475"/>
      <c r="B893" s="476"/>
      <c r="C893" s="477"/>
      <c r="D893" s="522"/>
      <c r="E893" s="523" t="s">
        <v>1274</v>
      </c>
      <c r="F893" s="333">
        <v>3.6</v>
      </c>
      <c r="G893" s="479"/>
      <c r="H893" s="480"/>
      <c r="I893" s="481"/>
    </row>
    <row r="894" spans="1:9" s="482" customFormat="1" ht="12.75">
      <c r="A894" s="475"/>
      <c r="B894" s="476"/>
      <c r="C894" s="477"/>
      <c r="D894" s="522"/>
      <c r="E894" s="523" t="s">
        <v>1275</v>
      </c>
      <c r="F894" s="333"/>
      <c r="G894" s="479"/>
      <c r="H894" s="480"/>
      <c r="I894" s="481"/>
    </row>
    <row r="895" spans="1:9" s="482" customFormat="1" ht="12.75">
      <c r="A895" s="475"/>
      <c r="B895" s="476"/>
      <c r="C895" s="477"/>
      <c r="D895" s="522"/>
      <c r="E895" s="523" t="s">
        <v>1276</v>
      </c>
      <c r="F895" s="333">
        <f>1.8*(6+2.6)</f>
        <v>15.48</v>
      </c>
      <c r="G895" s="479"/>
      <c r="H895" s="480"/>
      <c r="I895" s="481"/>
    </row>
    <row r="896" spans="1:9" s="482" customFormat="1" ht="12.75">
      <c r="A896" s="475"/>
      <c r="B896" s="476"/>
      <c r="C896" s="477"/>
      <c r="D896" s="478"/>
      <c r="E896" s="415" t="s">
        <v>1277</v>
      </c>
      <c r="F896" s="341">
        <f>1.8*14.5</f>
        <v>26.1</v>
      </c>
      <c r="G896" s="479"/>
      <c r="H896" s="480"/>
      <c r="I896" s="481"/>
    </row>
    <row r="897" spans="1:9" s="515" customFormat="1" ht="12.75" customHeight="1">
      <c r="A897" s="258"/>
      <c r="B897" s="400"/>
      <c r="C897" s="509"/>
      <c r="D897" s="510"/>
      <c r="E897" s="362" t="s">
        <v>377</v>
      </c>
      <c r="F897" s="333">
        <f>F895+F896+F893</f>
        <v>45.18</v>
      </c>
      <c r="G897" s="512" t="s">
        <v>399</v>
      </c>
      <c r="H897" s="513"/>
      <c r="I897" s="514"/>
    </row>
    <row r="898" spans="1:8" ht="15">
      <c r="A898" s="378"/>
      <c r="B898" s="285" t="s">
        <v>323</v>
      </c>
      <c r="C898" s="379"/>
      <c r="D898" s="130"/>
      <c r="E898" s="380" t="s">
        <v>1278</v>
      </c>
      <c r="F898" s="131"/>
      <c r="G898" s="138"/>
      <c r="H898" s="132"/>
    </row>
    <row r="899" spans="1:9" s="344" customFormat="1" ht="25.5">
      <c r="A899" s="301">
        <f>MAX(A$2:A898)+1</f>
        <v>100</v>
      </c>
      <c r="B899" s="433" t="s">
        <v>323</v>
      </c>
      <c r="C899" s="294" t="s">
        <v>324</v>
      </c>
      <c r="D899" s="277"/>
      <c r="E899" s="323" t="s">
        <v>325</v>
      </c>
      <c r="F899" s="296"/>
      <c r="G899" s="137" t="s">
        <v>38</v>
      </c>
      <c r="H899" s="297">
        <f>H900</f>
        <v>8739.64</v>
      </c>
      <c r="I899" s="343" t="s">
        <v>399</v>
      </c>
    </row>
    <row r="900" spans="1:9" s="344" customFormat="1" ht="24.75">
      <c r="A900" s="466"/>
      <c r="B900" s="352"/>
      <c r="C900" s="205"/>
      <c r="D900" s="347" t="s">
        <v>324</v>
      </c>
      <c r="E900" s="329" t="s">
        <v>325</v>
      </c>
      <c r="F900" s="348"/>
      <c r="G900" s="129" t="s">
        <v>38</v>
      </c>
      <c r="H900" s="283">
        <f>ROUND(F903,2)</f>
        <v>8739.64</v>
      </c>
      <c r="I900" s="343"/>
    </row>
    <row r="901" spans="1:9" s="482" customFormat="1" ht="12.75">
      <c r="A901" s="475"/>
      <c r="B901" s="476"/>
      <c r="C901" s="477"/>
      <c r="D901" s="478"/>
      <c r="E901" s="415" t="s">
        <v>1279</v>
      </c>
      <c r="F901" s="333">
        <f>1789.087+1611.717</f>
        <v>3400.8</v>
      </c>
      <c r="G901" s="479"/>
      <c r="H901" s="480"/>
      <c r="I901" s="481"/>
    </row>
    <row r="902" spans="1:9" s="482" customFormat="1" ht="12.75">
      <c r="A902" s="475"/>
      <c r="B902" s="476"/>
      <c r="C902" s="477"/>
      <c r="D902" s="478"/>
      <c r="E902" s="415" t="s">
        <v>1280</v>
      </c>
      <c r="F902" s="341">
        <f>302.063+203.646+2829.474+1959.245+44.415</f>
        <v>5338.84</v>
      </c>
      <c r="G902" s="479"/>
      <c r="H902" s="480"/>
      <c r="I902" s="481"/>
    </row>
    <row r="903" spans="1:9" s="515" customFormat="1" ht="12.75" customHeight="1">
      <c r="A903" s="258"/>
      <c r="B903" s="400"/>
      <c r="C903" s="509"/>
      <c r="D903" s="510"/>
      <c r="E903" s="362" t="s">
        <v>377</v>
      </c>
      <c r="F903" s="333">
        <f>F901+F902</f>
        <v>8739.64</v>
      </c>
      <c r="G903" s="512"/>
      <c r="H903" s="513"/>
      <c r="I903" s="514"/>
    </row>
    <row r="904" spans="1:9" s="344" customFormat="1" ht="25.5">
      <c r="A904" s="301">
        <f>MAX(A$2:A903)+1</f>
        <v>101</v>
      </c>
      <c r="B904" s="433" t="s">
        <v>323</v>
      </c>
      <c r="C904" s="294" t="s">
        <v>326</v>
      </c>
      <c r="D904" s="277"/>
      <c r="E904" s="323" t="s">
        <v>327</v>
      </c>
      <c r="F904" s="296"/>
      <c r="G904" s="137" t="s">
        <v>38</v>
      </c>
      <c r="H904" s="297">
        <f>H905</f>
        <v>3203.99</v>
      </c>
      <c r="I904" s="343"/>
    </row>
    <row r="905" spans="1:9" s="344" customFormat="1" ht="24.75">
      <c r="A905" s="466"/>
      <c r="B905" s="352"/>
      <c r="C905" s="205"/>
      <c r="D905" s="347" t="s">
        <v>326</v>
      </c>
      <c r="E905" s="329" t="s">
        <v>327</v>
      </c>
      <c r="F905" s="348"/>
      <c r="G905" s="129" t="s">
        <v>38</v>
      </c>
      <c r="H905" s="283">
        <f>ROUND(F909,2)</f>
        <v>3203.99</v>
      </c>
      <c r="I905" s="343"/>
    </row>
    <row r="906" spans="1:9" s="482" customFormat="1" ht="12.75">
      <c r="A906" s="475"/>
      <c r="B906" s="476"/>
      <c r="C906" s="477"/>
      <c r="D906" s="478"/>
      <c r="E906" s="415" t="s">
        <v>1281</v>
      </c>
      <c r="F906" s="333">
        <v>1215.48</v>
      </c>
      <c r="G906" s="479"/>
      <c r="H906" s="480"/>
      <c r="I906" s="481"/>
    </row>
    <row r="907" spans="1:9" s="482" customFormat="1" ht="12.75">
      <c r="A907" s="475"/>
      <c r="B907" s="476"/>
      <c r="C907" s="477"/>
      <c r="D907" s="478"/>
      <c r="E907" s="415" t="s">
        <v>1282</v>
      </c>
      <c r="F907" s="333">
        <v>1675.92</v>
      </c>
      <c r="G907" s="479"/>
      <c r="H907" s="480"/>
      <c r="I907" s="481"/>
    </row>
    <row r="908" spans="1:9" s="482" customFormat="1" ht="12.75">
      <c r="A908" s="475"/>
      <c r="B908" s="476"/>
      <c r="C908" s="477"/>
      <c r="D908" s="478"/>
      <c r="E908" s="415" t="s">
        <v>1283</v>
      </c>
      <c r="F908" s="341">
        <f>23.424+289.17</f>
        <v>312.59</v>
      </c>
      <c r="G908" s="479"/>
      <c r="H908" s="480"/>
      <c r="I908" s="481"/>
    </row>
    <row r="909" spans="1:9" s="515" customFormat="1" ht="12.75" customHeight="1">
      <c r="A909" s="258"/>
      <c r="B909" s="400"/>
      <c r="C909" s="509"/>
      <c r="D909" s="510"/>
      <c r="E909" s="362" t="s">
        <v>377</v>
      </c>
      <c r="F909" s="333">
        <f>F906+F907+F908</f>
        <v>3203.99</v>
      </c>
      <c r="G909" s="512"/>
      <c r="H909" s="513"/>
      <c r="I909" s="514"/>
    </row>
    <row r="910" spans="1:9" s="344" customFormat="1" ht="25.5">
      <c r="A910" s="301">
        <f>MAX(A$2:A909)+1</f>
        <v>102</v>
      </c>
      <c r="B910" s="433" t="s">
        <v>323</v>
      </c>
      <c r="C910" s="294" t="s">
        <v>328</v>
      </c>
      <c r="D910" s="277"/>
      <c r="E910" s="323" t="s">
        <v>329</v>
      </c>
      <c r="F910" s="296"/>
      <c r="G910" s="137" t="s">
        <v>38</v>
      </c>
      <c r="H910" s="297">
        <f>H911</f>
        <v>2415.54</v>
      </c>
      <c r="I910" s="343"/>
    </row>
    <row r="911" spans="1:9" s="344" customFormat="1" ht="24.75">
      <c r="A911" s="466"/>
      <c r="B911" s="352"/>
      <c r="C911" s="205"/>
      <c r="D911" s="347" t="s">
        <v>328</v>
      </c>
      <c r="E911" s="329" t="s">
        <v>329</v>
      </c>
      <c r="F911" s="348"/>
      <c r="G911" s="129" t="s">
        <v>38</v>
      </c>
      <c r="H911" s="283">
        <f>ROUND(F914,2)</f>
        <v>2415.54</v>
      </c>
      <c r="I911" s="343"/>
    </row>
    <row r="912" spans="1:9" s="482" customFormat="1" ht="39">
      <c r="A912" s="475"/>
      <c r="B912" s="476"/>
      <c r="C912" s="477"/>
      <c r="D912" s="478"/>
      <c r="E912" s="415" t="s">
        <v>1284</v>
      </c>
      <c r="F912" s="333">
        <f>56.931+56.931+1.701+1.701+7.802+1.491+1.239+6.815+1241.5</f>
        <v>1376.11</v>
      </c>
      <c r="G912" s="479"/>
      <c r="H912" s="480"/>
      <c r="I912" s="481"/>
    </row>
    <row r="913" spans="1:9" s="482" customFormat="1" ht="12.75">
      <c r="A913" s="475"/>
      <c r="B913" s="476"/>
      <c r="C913" s="477"/>
      <c r="D913" s="478"/>
      <c r="E913" s="415" t="s">
        <v>1285</v>
      </c>
      <c r="F913" s="341">
        <f>45.423+45.423+363.384+334.616+159.738+90.846</f>
        <v>1039.43</v>
      </c>
      <c r="G913" s="479"/>
      <c r="H913" s="480"/>
      <c r="I913" s="481"/>
    </row>
    <row r="914" spans="1:9" s="515" customFormat="1" ht="12.75" customHeight="1">
      <c r="A914" s="258"/>
      <c r="B914" s="400"/>
      <c r="C914" s="509"/>
      <c r="D914" s="510"/>
      <c r="E914" s="362" t="s">
        <v>377</v>
      </c>
      <c r="F914" s="363">
        <f>F912+F913</f>
        <v>2415.54</v>
      </c>
      <c r="G914" s="512"/>
      <c r="H914" s="513"/>
      <c r="I914" s="514"/>
    </row>
    <row r="915" spans="1:9" s="344" customFormat="1" ht="25.5">
      <c r="A915" s="301">
        <f>MAX(A$2:A914)+1</f>
        <v>103</v>
      </c>
      <c r="B915" s="433" t="s">
        <v>323</v>
      </c>
      <c r="C915" s="294" t="s">
        <v>330</v>
      </c>
      <c r="D915" s="277"/>
      <c r="E915" s="323" t="s">
        <v>331</v>
      </c>
      <c r="F915" s="296"/>
      <c r="G915" s="137" t="s">
        <v>38</v>
      </c>
      <c r="H915" s="297">
        <f>H916</f>
        <v>650.54</v>
      </c>
      <c r="I915" s="343"/>
    </row>
    <row r="916" spans="1:9" s="344" customFormat="1" ht="24.75">
      <c r="A916" s="466"/>
      <c r="B916" s="352"/>
      <c r="C916" s="205"/>
      <c r="D916" s="347" t="s">
        <v>330</v>
      </c>
      <c r="E916" s="329" t="s">
        <v>331</v>
      </c>
      <c r="F916" s="348"/>
      <c r="G916" s="129" t="s">
        <v>38</v>
      </c>
      <c r="H916" s="283">
        <f>ROUND(F919,2)</f>
        <v>650.54</v>
      </c>
      <c r="I916" s="343"/>
    </row>
    <row r="917" spans="1:9" s="482" customFormat="1" ht="25.5">
      <c r="A917" s="475"/>
      <c r="B917" s="476"/>
      <c r="C917" s="477"/>
      <c r="D917" s="478"/>
      <c r="E917" s="415" t="s">
        <v>1286</v>
      </c>
      <c r="F917" s="333">
        <f>89.397+56.549+219.492+40.824+129.73+59.168+18.728</f>
        <v>613.89</v>
      </c>
      <c r="G917" s="479"/>
      <c r="H917" s="480"/>
      <c r="I917" s="481"/>
    </row>
    <row r="918" spans="1:9" s="482" customFormat="1" ht="25.5">
      <c r="A918" s="475"/>
      <c r="B918" s="476"/>
      <c r="C918" s="477"/>
      <c r="D918" s="478"/>
      <c r="E918" s="415" t="s">
        <v>1287</v>
      </c>
      <c r="F918" s="341">
        <f>3.545+9.764+3.999+2.186+12.491+0.608+4.057</f>
        <v>36.65</v>
      </c>
      <c r="G918" s="479"/>
      <c r="H918" s="480"/>
      <c r="I918" s="481"/>
    </row>
    <row r="919" spans="1:9" s="515" customFormat="1" ht="12.75" customHeight="1">
      <c r="A919" s="258"/>
      <c r="B919" s="400"/>
      <c r="C919" s="509"/>
      <c r="D919" s="510"/>
      <c r="E919" s="362" t="s">
        <v>377</v>
      </c>
      <c r="F919" s="333">
        <f>F917+F918</f>
        <v>650.54</v>
      </c>
      <c r="G919" s="512"/>
      <c r="H919" s="513"/>
      <c r="I919" s="514"/>
    </row>
    <row r="920" spans="1:8" ht="30.75">
      <c r="A920" s="378"/>
      <c r="B920" s="285" t="s">
        <v>333</v>
      </c>
      <c r="C920" s="379"/>
      <c r="D920" s="130"/>
      <c r="E920" s="380" t="s">
        <v>1288</v>
      </c>
      <c r="F920" s="131"/>
      <c r="G920" s="138"/>
      <c r="H920" s="132"/>
    </row>
    <row r="921" spans="1:9" s="344" customFormat="1" ht="14.25">
      <c r="A921" s="301">
        <f>MAX(A$2:A920)+1</f>
        <v>104</v>
      </c>
      <c r="B921" s="438" t="s">
        <v>333</v>
      </c>
      <c r="C921" s="294" t="s">
        <v>334</v>
      </c>
      <c r="D921" s="277"/>
      <c r="E921" s="323" t="s">
        <v>335</v>
      </c>
      <c r="F921" s="296"/>
      <c r="G921" s="137" t="s">
        <v>38</v>
      </c>
      <c r="H921" s="297">
        <f>H922+H928+H946</f>
        <v>1996.36</v>
      </c>
      <c r="I921" s="343"/>
    </row>
    <row r="922" spans="1:9" s="344" customFormat="1" ht="12.75" customHeight="1">
      <c r="A922" s="301"/>
      <c r="B922" s="454"/>
      <c r="C922" s="294"/>
      <c r="D922" s="337" t="s">
        <v>1289</v>
      </c>
      <c r="E922" s="338" t="s">
        <v>1290</v>
      </c>
      <c r="F922" s="365"/>
      <c r="G922" s="340" t="s">
        <v>38</v>
      </c>
      <c r="H922" s="283">
        <f>ROUND(F927,2)</f>
        <v>411.57</v>
      </c>
      <c r="I922" s="343"/>
    </row>
    <row r="923" spans="1:9" s="482" customFormat="1" ht="12.75" customHeight="1">
      <c r="A923" s="475"/>
      <c r="B923" s="476"/>
      <c r="C923" s="477"/>
      <c r="D923" s="478"/>
      <c r="E923" s="349" t="s">
        <v>1291</v>
      </c>
      <c r="F923" s="537">
        <f>0.045*600+0.03*296</f>
        <v>35.88</v>
      </c>
      <c r="G923" s="479"/>
      <c r="H923" s="480"/>
      <c r="I923" s="481"/>
    </row>
    <row r="924" spans="1:9" s="482" customFormat="1" ht="64.5">
      <c r="A924" s="475"/>
      <c r="B924" s="476"/>
      <c r="C924" s="477"/>
      <c r="D924" s="478"/>
      <c r="E924" s="349" t="s">
        <v>1292</v>
      </c>
      <c r="F924" s="537">
        <f>(0.106+0.42*0.35-0.22*0.15)*568+0.106*1.25*32+(0.42*0.35-0.22*0.15)*32+(0.067+0.34*0.365-0.14*0.165)*296+0.067*1.25*296+(0.34*0.365-0.14*0.165)*296</f>
        <v>237.26</v>
      </c>
      <c r="G924" s="479"/>
      <c r="H924" s="480"/>
      <c r="I924" s="481"/>
    </row>
    <row r="925" spans="1:9" s="482" customFormat="1" ht="12.75" customHeight="1">
      <c r="A925" s="475"/>
      <c r="B925" s="476"/>
      <c r="C925" s="477"/>
      <c r="D925" s="478"/>
      <c r="E925" s="349" t="s">
        <v>1293</v>
      </c>
      <c r="F925" s="537">
        <f>2*8*(1.7-0.71*0.38)*1.1*2</f>
        <v>50.34</v>
      </c>
      <c r="G925" s="479"/>
      <c r="H925" s="480"/>
      <c r="I925" s="481"/>
    </row>
    <row r="926" spans="1:9" s="482" customFormat="1" ht="25.5">
      <c r="A926" s="475"/>
      <c r="B926" s="476"/>
      <c r="C926" s="477"/>
      <c r="D926" s="478"/>
      <c r="E926" s="349" t="s">
        <v>1294</v>
      </c>
      <c r="F926" s="538">
        <f>2.5*(4+4+4+8)+1.2*(8+12)+0.95*(24+12)*1.05*(3.14*0.125)</f>
        <v>88.09</v>
      </c>
      <c r="G926" s="479"/>
      <c r="H926" s="480"/>
      <c r="I926" s="481"/>
    </row>
    <row r="927" spans="1:9" s="344" customFormat="1" ht="14.25">
      <c r="A927" s="301"/>
      <c r="B927" s="454"/>
      <c r="C927" s="294"/>
      <c r="D927" s="277"/>
      <c r="E927" s="362" t="s">
        <v>377</v>
      </c>
      <c r="F927" s="537">
        <f>SUM(F923:F926)</f>
        <v>411.57</v>
      </c>
      <c r="G927" s="137"/>
      <c r="H927" s="297"/>
      <c r="I927" s="343"/>
    </row>
    <row r="928" spans="1:9" s="344" customFormat="1" ht="24.75">
      <c r="A928" s="466"/>
      <c r="B928" s="352"/>
      <c r="C928" s="205"/>
      <c r="D928" s="347" t="s">
        <v>1295</v>
      </c>
      <c r="E928" s="329" t="s">
        <v>1296</v>
      </c>
      <c r="F928" s="348"/>
      <c r="G928" s="129" t="s">
        <v>38</v>
      </c>
      <c r="H928" s="283">
        <f>ROUND(F945,2)</f>
        <v>1474.57</v>
      </c>
      <c r="I928" s="343"/>
    </row>
    <row r="929" spans="1:9" s="482" customFormat="1" ht="25.5">
      <c r="A929" s="475"/>
      <c r="B929" s="476"/>
      <c r="C929" s="477"/>
      <c r="D929" s="478"/>
      <c r="E929" s="415" t="s">
        <v>1297</v>
      </c>
      <c r="F929" s="333"/>
      <c r="G929" s="479"/>
      <c r="H929" s="480"/>
      <c r="I929" s="481"/>
    </row>
    <row r="930" spans="1:9" s="482" customFormat="1" ht="25.5">
      <c r="A930" s="475"/>
      <c r="B930" s="476"/>
      <c r="C930" s="477"/>
      <c r="D930" s="478"/>
      <c r="E930" s="415" t="s">
        <v>1298</v>
      </c>
      <c r="F930" s="333">
        <f>(9+0+42+48)*(19*3.14*0.012*0.1+2*3.14*0.016*0.1)</f>
        <v>8.08</v>
      </c>
      <c r="G930" s="479"/>
      <c r="H930" s="480"/>
      <c r="I930" s="481"/>
    </row>
    <row r="931" spans="1:9" s="482" customFormat="1" ht="25.5">
      <c r="A931" s="475"/>
      <c r="B931" s="476"/>
      <c r="C931" s="477"/>
      <c r="D931" s="478"/>
      <c r="E931" s="415" t="s">
        <v>1299</v>
      </c>
      <c r="F931" s="341">
        <f>(9+0+42+48)*(67*3.14*0.012*0.1+6*3.14*0.016*0.1)</f>
        <v>27.98</v>
      </c>
      <c r="G931" s="479"/>
      <c r="H931" s="480"/>
      <c r="I931" s="481"/>
    </row>
    <row r="932" spans="1:9" s="515" customFormat="1" ht="12.75" customHeight="1">
      <c r="A932" s="258"/>
      <c r="B932" s="400"/>
      <c r="C932" s="509"/>
      <c r="D932" s="510"/>
      <c r="E932" s="362" t="s">
        <v>382</v>
      </c>
      <c r="F932" s="333">
        <f>SUM(F930:F931)</f>
        <v>36.06</v>
      </c>
      <c r="G932" s="512"/>
      <c r="H932" s="513"/>
      <c r="I932" s="514"/>
    </row>
    <row r="933" spans="1:9" s="482" customFormat="1" ht="12.75" customHeight="1">
      <c r="A933" s="475"/>
      <c r="B933" s="476"/>
      <c r="C933" s="477"/>
      <c r="D933" s="478"/>
      <c r="E933" s="415" t="s">
        <v>1300</v>
      </c>
      <c r="F933" s="333"/>
      <c r="G933" s="479"/>
      <c r="H933" s="480"/>
      <c r="I933" s="481"/>
    </row>
    <row r="934" spans="1:9" s="482" customFormat="1" ht="12.75" customHeight="1">
      <c r="A934" s="475"/>
      <c r="B934" s="476"/>
      <c r="C934" s="477"/>
      <c r="D934" s="478"/>
      <c r="E934" s="415" t="s">
        <v>1301</v>
      </c>
      <c r="F934" s="333">
        <f>(0.06*2+0.01*2)*1.17*2*50</f>
        <v>16.38</v>
      </c>
      <c r="G934" s="479"/>
      <c r="H934" s="480"/>
      <c r="I934" s="481"/>
    </row>
    <row r="935" spans="1:9" s="515" customFormat="1" ht="78">
      <c r="A935" s="258"/>
      <c r="B935" s="400"/>
      <c r="C935" s="509"/>
      <c r="D935" s="510"/>
      <c r="E935" s="199" t="s">
        <v>1302</v>
      </c>
      <c r="F935" s="333">
        <f>((0.08+0.08+0.074+0.074+2*0.006)*1+0.08*0.006+0.006*0.074+7*0.905*(2*0.01+2*0.025+2*0.01*0.025)+0.11*0.17*2+0.014*(2*0.11+2*0.17)+(0.08+0.08+0.074+0.074+2*0.006)*1+1.08*(0.08*2+2*0.012)-0.08*0.012*2-0.08*0.006-0.006*0.074-0.074*0.012)*1.15*641.5</f>
        <v>979.53</v>
      </c>
      <c r="G935" s="510"/>
      <c r="H935" s="513"/>
      <c r="I935" s="514"/>
    </row>
    <row r="936" spans="1:9" s="515" customFormat="1" ht="39">
      <c r="A936" s="258"/>
      <c r="B936" s="400"/>
      <c r="C936" s="509"/>
      <c r="D936" s="510"/>
      <c r="E936" s="221" t="s">
        <v>1303</v>
      </c>
      <c r="F936" s="200">
        <f>(0.05*4*0.86*4+(2*0.05+2*0.005)*0.92*3+(2*0.02+2*0.005)*0.92+0.829*0.829*2+(2*0.07+2*0.005)*0.1*2)*12</f>
        <v>29.3</v>
      </c>
      <c r="G936" s="510"/>
      <c r="H936" s="513"/>
      <c r="I936" s="514"/>
    </row>
    <row r="937" spans="1:9" s="482" customFormat="1" ht="12.75">
      <c r="A937" s="475"/>
      <c r="B937" s="476"/>
      <c r="C937" s="477"/>
      <c r="D937" s="478"/>
      <c r="E937" s="415" t="s">
        <v>1304</v>
      </c>
      <c r="F937" s="333"/>
      <c r="G937" s="479"/>
      <c r="H937" s="480"/>
      <c r="I937" s="481"/>
    </row>
    <row r="938" spans="1:9" s="482" customFormat="1" ht="12.75">
      <c r="A938" s="475"/>
      <c r="B938" s="476"/>
      <c r="C938" s="477"/>
      <c r="D938" s="478"/>
      <c r="E938" s="415" t="s">
        <v>1305</v>
      </c>
      <c r="F938" s="341">
        <f>(3.14*0.025*0.5+0.000491*2)*(21+22)</f>
        <v>1.73</v>
      </c>
      <c r="G938" s="479"/>
      <c r="H938" s="480"/>
      <c r="I938" s="481"/>
    </row>
    <row r="939" spans="1:9" s="515" customFormat="1" ht="12.75" customHeight="1">
      <c r="A939" s="258"/>
      <c r="B939" s="400"/>
      <c r="C939" s="509"/>
      <c r="D939" s="510"/>
      <c r="E939" s="362" t="s">
        <v>382</v>
      </c>
      <c r="F939" s="333">
        <f>F932+F934+F935+F936+F938</f>
        <v>1063</v>
      </c>
      <c r="G939" s="512"/>
      <c r="H939" s="513"/>
      <c r="I939" s="514"/>
    </row>
    <row r="940" spans="1:9" s="515" customFormat="1" ht="12.75" customHeight="1">
      <c r="A940" s="258"/>
      <c r="B940" s="400"/>
      <c r="C940" s="509"/>
      <c r="D940" s="510"/>
      <c r="E940" s="349" t="s">
        <v>1291</v>
      </c>
      <c r="F940" s="537">
        <f>0.045*600+0.03*296</f>
        <v>35.88</v>
      </c>
      <c r="G940" s="512"/>
      <c r="H940" s="513"/>
      <c r="I940" s="514"/>
    </row>
    <row r="941" spans="1:9" s="515" customFormat="1" ht="12.75" customHeight="1">
      <c r="A941" s="258"/>
      <c r="B941" s="400"/>
      <c r="C941" s="509"/>
      <c r="D941" s="510"/>
      <c r="E941" s="349" t="s">
        <v>1292</v>
      </c>
      <c r="F941" s="537">
        <f>(0.106+0.42*0.35-0.22*0.15)*568+0.106*1.25*32+(0.42*0.35-0.22*0.15)*32+(0.067+0.34*0.365-0.14*0.165)*296+0.067*1.25*296+(0.34*0.365-0.14*0.165)*296</f>
        <v>237.26</v>
      </c>
      <c r="G941" s="512"/>
      <c r="H941" s="513"/>
      <c r="I941" s="514"/>
    </row>
    <row r="942" spans="1:9" s="515" customFormat="1" ht="12.75" customHeight="1">
      <c r="A942" s="258"/>
      <c r="B942" s="400"/>
      <c r="C942" s="509"/>
      <c r="D942" s="510"/>
      <c r="E942" s="349" t="s">
        <v>1293</v>
      </c>
      <c r="F942" s="537">
        <f>2*8*(1.7-0.71*0.38)*1.1*2</f>
        <v>50.34</v>
      </c>
      <c r="G942" s="512"/>
      <c r="H942" s="513"/>
      <c r="I942" s="514"/>
    </row>
    <row r="943" spans="1:9" s="515" customFormat="1" ht="12.75" customHeight="1">
      <c r="A943" s="258"/>
      <c r="B943" s="400"/>
      <c r="C943" s="509"/>
      <c r="D943" s="510"/>
      <c r="E943" s="349" t="s">
        <v>1294</v>
      </c>
      <c r="F943" s="538">
        <f>2.5*(4+4+4+8)+1.2*(8+12)+0.95*(24+12)*1.05*(3.14*0.125)</f>
        <v>88.09</v>
      </c>
      <c r="G943" s="512"/>
      <c r="H943" s="513"/>
      <c r="I943" s="514"/>
    </row>
    <row r="944" spans="1:9" s="515" customFormat="1" ht="12.75" customHeight="1">
      <c r="A944" s="258"/>
      <c r="B944" s="400"/>
      <c r="C944" s="509"/>
      <c r="D944" s="510"/>
      <c r="E944" s="362" t="s">
        <v>382</v>
      </c>
      <c r="F944" s="537">
        <f>SUM(F940:F943)</f>
        <v>411.57</v>
      </c>
      <c r="G944" s="512"/>
      <c r="H944" s="513"/>
      <c r="I944" s="514"/>
    </row>
    <row r="945" spans="1:9" s="515" customFormat="1" ht="12.75" customHeight="1">
      <c r="A945" s="258"/>
      <c r="B945" s="400"/>
      <c r="C945" s="509"/>
      <c r="D945" s="510"/>
      <c r="E945" s="362" t="s">
        <v>377</v>
      </c>
      <c r="F945" s="363">
        <f>F939+F944</f>
        <v>1474.57</v>
      </c>
      <c r="G945" s="512"/>
      <c r="H945" s="513"/>
      <c r="I945" s="514"/>
    </row>
    <row r="946" spans="1:9" s="515" customFormat="1" ht="12.75" customHeight="1">
      <c r="A946" s="258"/>
      <c r="B946" s="400"/>
      <c r="C946" s="509"/>
      <c r="D946" s="337" t="s">
        <v>1306</v>
      </c>
      <c r="E946" s="338" t="s">
        <v>1307</v>
      </c>
      <c r="F946" s="365"/>
      <c r="G946" s="340" t="s">
        <v>38</v>
      </c>
      <c r="H946" s="283">
        <f>ROUND(F951,2)</f>
        <v>110.22</v>
      </c>
      <c r="I946" s="514"/>
    </row>
    <row r="947" spans="1:9" s="482" customFormat="1" ht="12.75" customHeight="1">
      <c r="A947" s="475"/>
      <c r="B947" s="476"/>
      <c r="C947" s="477"/>
      <c r="D947" s="478"/>
      <c r="E947" s="415" t="s">
        <v>1308</v>
      </c>
      <c r="F947" s="333"/>
      <c r="G947" s="479"/>
      <c r="H947" s="480"/>
      <c r="I947" s="481"/>
    </row>
    <row r="948" spans="1:9" s="482" customFormat="1" ht="25.5">
      <c r="A948" s="475"/>
      <c r="B948" s="476"/>
      <c r="C948" s="477"/>
      <c r="D948" s="478"/>
      <c r="E948" s="349" t="s">
        <v>1309</v>
      </c>
      <c r="F948" s="537">
        <f>(0.22*0.15*600+0.14*0.165*296)*2</f>
        <v>53.28</v>
      </c>
      <c r="G948" s="479"/>
      <c r="H948" s="480"/>
      <c r="I948" s="481"/>
    </row>
    <row r="949" spans="1:9" s="171" customFormat="1" ht="25.5">
      <c r="A949" s="539"/>
      <c r="B949" s="331"/>
      <c r="C949" s="332"/>
      <c r="D949" s="186"/>
      <c r="E949" s="199" t="s">
        <v>1310</v>
      </c>
      <c r="F949" s="450">
        <f>((0.14*0.165)+2*(0.14+0.165)*0.035)*1.2*296*2</f>
        <v>31.58</v>
      </c>
      <c r="G949" s="198"/>
      <c r="H949" s="286"/>
      <c r="I949" s="284"/>
    </row>
    <row r="950" spans="1:9" s="171" customFormat="1" ht="25.5">
      <c r="A950" s="539"/>
      <c r="B950" s="331"/>
      <c r="C950" s="332"/>
      <c r="D950" s="186"/>
      <c r="E950" s="199" t="s">
        <v>1311</v>
      </c>
      <c r="F950" s="540">
        <f>(0.3*0.3+0.283)*68</f>
        <v>25.36</v>
      </c>
      <c r="G950" s="198"/>
      <c r="H950" s="286"/>
      <c r="I950" s="284"/>
    </row>
    <row r="951" spans="1:9" s="515" customFormat="1" ht="12.75" customHeight="1">
      <c r="A951" s="258"/>
      <c r="B951" s="400"/>
      <c r="C951" s="509"/>
      <c r="D951" s="510"/>
      <c r="E951" s="362" t="s">
        <v>377</v>
      </c>
      <c r="F951" s="363">
        <f>SUM(F948:F950)</f>
        <v>110.22</v>
      </c>
      <c r="G951" s="541"/>
      <c r="H951" s="542"/>
      <c r="I951" s="514"/>
    </row>
    <row r="952" spans="1:9" s="300" customFormat="1" ht="12.75" customHeight="1">
      <c r="A952" s="301">
        <f>MAX(A$2:A939)+1</f>
        <v>105</v>
      </c>
      <c r="B952" s="454" t="s">
        <v>333</v>
      </c>
      <c r="C952" s="294" t="s">
        <v>336</v>
      </c>
      <c r="D952" s="277"/>
      <c r="E952" s="295" t="s">
        <v>337</v>
      </c>
      <c r="F952" s="296"/>
      <c r="G952" s="543" t="s">
        <v>38</v>
      </c>
      <c r="H952" s="544">
        <f>H953</f>
        <v>1008.83</v>
      </c>
      <c r="I952" s="298"/>
    </row>
    <row r="953" spans="1:9" s="344" customFormat="1" ht="24.75">
      <c r="A953" s="466"/>
      <c r="B953" s="352"/>
      <c r="C953" s="205"/>
      <c r="D953" s="347" t="s">
        <v>1312</v>
      </c>
      <c r="E953" s="329" t="s">
        <v>1313</v>
      </c>
      <c r="F953" s="348"/>
      <c r="G953" s="545" t="s">
        <v>38</v>
      </c>
      <c r="H953" s="546">
        <f>ROUND(F956,2)</f>
        <v>1008.83</v>
      </c>
      <c r="I953" s="343" t="s">
        <v>399</v>
      </c>
    </row>
    <row r="954" spans="1:9" s="515" customFormat="1" ht="78">
      <c r="A954" s="258"/>
      <c r="B954" s="400"/>
      <c r="C954" s="400"/>
      <c r="D954" s="512"/>
      <c r="E954" s="199" t="s">
        <v>1302</v>
      </c>
      <c r="F954" s="363">
        <f>((0.08+0.08+0.074+0.074+2*0.006)*1+0.08*0.006+0.006*0.074+7*0.905*(2*0.01+2*0.025+2*0.01*0.025)+0.11*0.17*2+0.014*(2*0.11+2*0.17)+(0.08+0.08+0.074+0.074+2*0.006)*1+1.08*(0.08*2+2*0.012)-0.08*0.012*2-0.08*0.006-0.006*0.074-0.074*0.012)*1.15*641.5</f>
        <v>979.53</v>
      </c>
      <c r="G954" s="541"/>
      <c r="H954" s="542"/>
      <c r="I954" s="514"/>
    </row>
    <row r="955" spans="1:9" s="515" customFormat="1" ht="39">
      <c r="A955" s="258"/>
      <c r="B955" s="400"/>
      <c r="C955" s="400"/>
      <c r="D955" s="512"/>
      <c r="E955" s="199" t="s">
        <v>1314</v>
      </c>
      <c r="F955" s="540">
        <f>(0.05*4*0.86*4+(2*0.05+2*0.005)*0.92*3+(2*0.02+2*0.005)*0.92+0.829*0.829*2+(2*0.07+2*0.005)*0.1*2)*12</f>
        <v>29.3</v>
      </c>
      <c r="G955" s="541"/>
      <c r="H955" s="542"/>
      <c r="I955" s="514"/>
    </row>
    <row r="956" spans="1:9" s="515" customFormat="1" ht="12.75">
      <c r="A956" s="258"/>
      <c r="B956" s="400"/>
      <c r="C956" s="400"/>
      <c r="D956" s="512"/>
      <c r="E956" s="199"/>
      <c r="F956" s="363">
        <f>SUM(F954:F955)</f>
        <v>1008.83</v>
      </c>
      <c r="G956" s="541"/>
      <c r="H956" s="542"/>
      <c r="I956" s="514"/>
    </row>
    <row r="957" spans="1:9" s="515" customFormat="1" ht="12.75" customHeight="1">
      <c r="A957" s="301">
        <f>MAX(A$2:A954)+1</f>
        <v>106</v>
      </c>
      <c r="B957" s="454" t="s">
        <v>333</v>
      </c>
      <c r="C957" s="520" t="s">
        <v>338</v>
      </c>
      <c r="D957" s="205"/>
      <c r="E957" s="206" t="s">
        <v>339</v>
      </c>
      <c r="F957" s="334"/>
      <c r="G957" s="547" t="s">
        <v>38</v>
      </c>
      <c r="H957" s="544">
        <f>H958</f>
        <v>16.38</v>
      </c>
      <c r="I957" s="514"/>
    </row>
    <row r="958" spans="1:9" s="515" customFormat="1" ht="12.75" customHeight="1">
      <c r="A958" s="258"/>
      <c r="B958" s="400"/>
      <c r="C958" s="400"/>
      <c r="D958" s="337" t="s">
        <v>1315</v>
      </c>
      <c r="E958" s="338" t="s">
        <v>1316</v>
      </c>
      <c r="F958" s="339"/>
      <c r="G958" s="548" t="s">
        <v>38</v>
      </c>
      <c r="H958" s="546">
        <f>ROUND(F960,2)</f>
        <v>16.38</v>
      </c>
      <c r="I958" s="514"/>
    </row>
    <row r="959" spans="1:9" s="199" customFormat="1" ht="12.75" customHeight="1">
      <c r="A959" s="258"/>
      <c r="B959" s="400"/>
      <c r="C959" s="414"/>
      <c r="D959" s="414"/>
      <c r="E959" s="199" t="s">
        <v>1317</v>
      </c>
      <c r="F959" s="436"/>
      <c r="G959" s="414"/>
      <c r="H959" s="480"/>
      <c r="I959" s="221"/>
    </row>
    <row r="960" spans="1:9" s="515" customFormat="1" ht="12.75" customHeight="1">
      <c r="A960" s="258"/>
      <c r="B960" s="400"/>
      <c r="C960" s="400"/>
      <c r="D960" s="512"/>
      <c r="E960" s="199" t="s">
        <v>1318</v>
      </c>
      <c r="F960" s="363">
        <f>(0.06*2+0.01*2)*1.17*2*50</f>
        <v>16.38</v>
      </c>
      <c r="G960" s="541"/>
      <c r="H960" s="542"/>
      <c r="I960" s="514"/>
    </row>
    <row r="961" spans="1:9" s="300" customFormat="1" ht="12.75" customHeight="1">
      <c r="A961" s="301">
        <f>MAX(A$2:A960)+1</f>
        <v>107</v>
      </c>
      <c r="B961" s="454" t="s">
        <v>333</v>
      </c>
      <c r="C961" s="307" t="s">
        <v>340</v>
      </c>
      <c r="D961" s="154"/>
      <c r="E961" s="295" t="s">
        <v>341</v>
      </c>
      <c r="F961" s="296"/>
      <c r="G961" s="137" t="s">
        <v>38</v>
      </c>
      <c r="H961" s="297">
        <f>H962</f>
        <v>8050.94</v>
      </c>
      <c r="I961" s="298"/>
    </row>
    <row r="962" spans="1:9" s="344" customFormat="1" ht="24.75">
      <c r="A962" s="466"/>
      <c r="B962" s="352"/>
      <c r="C962" s="431"/>
      <c r="D962" s="327" t="s">
        <v>1319</v>
      </c>
      <c r="E962" s="329" t="s">
        <v>1320</v>
      </c>
      <c r="F962" s="348"/>
      <c r="G962" s="129" t="s">
        <v>38</v>
      </c>
      <c r="H962" s="283">
        <f>ROUND(F970,2)</f>
        <v>8050.94</v>
      </c>
      <c r="I962" s="343"/>
    </row>
    <row r="963" spans="1:9" s="482" customFormat="1" ht="12.75" customHeight="1">
      <c r="A963" s="475"/>
      <c r="B963" s="476"/>
      <c r="C963" s="477"/>
      <c r="D963" s="478"/>
      <c r="E963" s="415" t="s">
        <v>1321</v>
      </c>
      <c r="F963" s="333"/>
      <c r="G963" s="479"/>
      <c r="H963" s="480"/>
      <c r="I963" s="481"/>
    </row>
    <row r="964" spans="1:9" s="482" customFormat="1" ht="12.75" customHeight="1">
      <c r="A964" s="475"/>
      <c r="B964" s="476"/>
      <c r="C964" s="477"/>
      <c r="D964" s="478"/>
      <c r="E964" s="415" t="s">
        <v>617</v>
      </c>
      <c r="F964" s="333">
        <f>12.19*271.096</f>
        <v>3304.66</v>
      </c>
      <c r="G964" s="479"/>
      <c r="H964" s="480"/>
      <c r="I964" s="481"/>
    </row>
    <row r="965" spans="1:9" s="482" customFormat="1" ht="12.75" customHeight="1">
      <c r="A965" s="475"/>
      <c r="B965" s="476"/>
      <c r="C965" s="477"/>
      <c r="D965" s="478"/>
      <c r="E965" s="415" t="s">
        <v>618</v>
      </c>
      <c r="F965" s="341">
        <f>12.65*359.093</f>
        <v>4542.53</v>
      </c>
      <c r="G965" s="479"/>
      <c r="H965" s="480"/>
      <c r="I965" s="481"/>
    </row>
    <row r="966" spans="1:9" s="515" customFormat="1" ht="12.75" customHeight="1">
      <c r="A966" s="258"/>
      <c r="B966" s="400"/>
      <c r="C966" s="509"/>
      <c r="D966" s="510"/>
      <c r="E966" s="362" t="s">
        <v>382</v>
      </c>
      <c r="F966" s="333">
        <f>F964+F965</f>
        <v>7847.19</v>
      </c>
      <c r="G966" s="512"/>
      <c r="H966" s="513"/>
      <c r="I966" s="514"/>
    </row>
    <row r="967" spans="1:9" s="515" customFormat="1" ht="25.5">
      <c r="A967" s="258"/>
      <c r="B967" s="400"/>
      <c r="C967" s="509"/>
      <c r="D967" s="510"/>
      <c r="E967" s="415" t="s">
        <v>1322</v>
      </c>
      <c r="F967" s="363">
        <f>0.04*(635.822+641.772)+0.045*(635.822+641.772)</f>
        <v>108.6</v>
      </c>
      <c r="G967" s="512"/>
      <c r="H967" s="513"/>
      <c r="I967" s="514"/>
    </row>
    <row r="968" spans="1:8" ht="12.75" customHeight="1">
      <c r="A968" s="466"/>
      <c r="B968" s="311"/>
      <c r="C968" s="317"/>
      <c r="D968" s="280"/>
      <c r="E968" s="415" t="s">
        <v>1323</v>
      </c>
      <c r="F968" s="549"/>
      <c r="G968" s="317"/>
      <c r="H968" s="265"/>
    </row>
    <row r="969" spans="1:8" ht="12.75" customHeight="1">
      <c r="A969" s="466"/>
      <c r="B969" s="311"/>
      <c r="C969" s="317"/>
      <c r="D969" s="280"/>
      <c r="E969" s="415" t="s">
        <v>1324</v>
      </c>
      <c r="F969" s="341">
        <f>641.772*0.069+635.822*0.08</f>
        <v>95.15</v>
      </c>
      <c r="G969" s="317"/>
      <c r="H969" s="265"/>
    </row>
    <row r="970" spans="1:9" s="515" customFormat="1" ht="12.75" customHeight="1">
      <c r="A970" s="258"/>
      <c r="B970" s="400"/>
      <c r="C970" s="509"/>
      <c r="D970" s="510"/>
      <c r="E970" s="362" t="s">
        <v>377</v>
      </c>
      <c r="F970" s="333">
        <f>F966+F967+F969</f>
        <v>8050.94</v>
      </c>
      <c r="G970" s="512"/>
      <c r="H970" s="513"/>
      <c r="I970" s="514"/>
    </row>
    <row r="971" spans="1:9" s="300" customFormat="1" ht="12.75" customHeight="1">
      <c r="A971" s="301">
        <f>MAX(A$2:A970)+1</f>
        <v>108</v>
      </c>
      <c r="B971" s="438" t="s">
        <v>333</v>
      </c>
      <c r="C971" s="294" t="s">
        <v>342</v>
      </c>
      <c r="D971" s="277"/>
      <c r="E971" s="295" t="s">
        <v>343</v>
      </c>
      <c r="F971" s="296"/>
      <c r="G971" s="137" t="s">
        <v>38</v>
      </c>
      <c r="H971" s="297">
        <f>H972</f>
        <v>5.46</v>
      </c>
      <c r="I971" s="298"/>
    </row>
    <row r="972" spans="1:9" s="344" customFormat="1" ht="24.75">
      <c r="A972" s="466"/>
      <c r="B972" s="352"/>
      <c r="C972" s="205"/>
      <c r="D972" s="347" t="s">
        <v>1325</v>
      </c>
      <c r="E972" s="329" t="s">
        <v>1326</v>
      </c>
      <c r="F972" s="348"/>
      <c r="G972" s="129" t="s">
        <v>38</v>
      </c>
      <c r="H972" s="283">
        <f>ROUND(F974,2)</f>
        <v>5.46</v>
      </c>
      <c r="I972" s="343"/>
    </row>
    <row r="973" spans="1:9" s="482" customFormat="1" ht="12.75" customHeight="1">
      <c r="A973" s="475"/>
      <c r="B973" s="476"/>
      <c r="C973" s="477"/>
      <c r="D973" s="478"/>
      <c r="E973" s="415" t="s">
        <v>1327</v>
      </c>
      <c r="F973" s="363"/>
      <c r="G973" s="478"/>
      <c r="H973" s="480"/>
      <c r="I973" s="481"/>
    </row>
    <row r="974" spans="1:9" s="482" customFormat="1" ht="12.75" customHeight="1">
      <c r="A974" s="475"/>
      <c r="B974" s="476"/>
      <c r="C974" s="477"/>
      <c r="D974" s="478"/>
      <c r="E974" s="415" t="s">
        <v>1328</v>
      </c>
      <c r="F974" s="363">
        <f>0.04*2*2*3*10.25+0.045*2*2*3</f>
        <v>5.46</v>
      </c>
      <c r="G974" s="478"/>
      <c r="H974" s="480"/>
      <c r="I974" s="481"/>
    </row>
    <row r="975" spans="1:9" s="300" customFormat="1" ht="25.5">
      <c r="A975" s="301">
        <f>MAX(A$2:A974)+1</f>
        <v>109</v>
      </c>
      <c r="B975" s="438" t="s">
        <v>333</v>
      </c>
      <c r="C975" s="294" t="s">
        <v>344</v>
      </c>
      <c r="D975" s="277"/>
      <c r="E975" s="295" t="s">
        <v>345</v>
      </c>
      <c r="F975" s="296"/>
      <c r="G975" s="137" t="s">
        <v>38</v>
      </c>
      <c r="H975" s="297">
        <f>H976+H981</f>
        <v>12015.96</v>
      </c>
      <c r="I975" s="298" t="s">
        <v>399</v>
      </c>
    </row>
    <row r="976" spans="1:9" s="344" customFormat="1" ht="24.75">
      <c r="A976" s="466"/>
      <c r="B976" s="352"/>
      <c r="C976" s="205"/>
      <c r="D976" s="347" t="s">
        <v>1329</v>
      </c>
      <c r="E976" s="329" t="s">
        <v>1330</v>
      </c>
      <c r="F976" s="348"/>
      <c r="G976" s="129" t="s">
        <v>38</v>
      </c>
      <c r="H976" s="283">
        <f>ROUND(F980,2)</f>
        <v>9007.82</v>
      </c>
      <c r="I976" s="343" t="s">
        <v>399</v>
      </c>
    </row>
    <row r="977" spans="1:9" s="482" customFormat="1" ht="12.75" customHeight="1">
      <c r="A977" s="475"/>
      <c r="B977" s="476"/>
      <c r="C977" s="477"/>
      <c r="D977" s="478"/>
      <c r="E977" s="415" t="s">
        <v>1279</v>
      </c>
      <c r="F977" s="333">
        <f>1789.087+1611.717</f>
        <v>3400.8</v>
      </c>
      <c r="G977" s="479"/>
      <c r="H977" s="480"/>
      <c r="I977" s="481"/>
    </row>
    <row r="978" spans="1:9" s="482" customFormat="1" ht="12.75" customHeight="1">
      <c r="A978" s="475"/>
      <c r="B978" s="476"/>
      <c r="C978" s="477"/>
      <c r="D978" s="478"/>
      <c r="E978" s="415" t="s">
        <v>1331</v>
      </c>
      <c r="F978" s="333">
        <f>302.063+203.646+2829.474+1959.245</f>
        <v>5294.43</v>
      </c>
      <c r="G978" s="479"/>
      <c r="H978" s="480"/>
      <c r="I978" s="481"/>
    </row>
    <row r="979" spans="1:9" s="482" customFormat="1" ht="12.75" customHeight="1">
      <c r="A979" s="475"/>
      <c r="B979" s="476"/>
      <c r="C979" s="477"/>
      <c r="D979" s="478"/>
      <c r="E979" s="415" t="s">
        <v>1332</v>
      </c>
      <c r="F979" s="341">
        <f>23.424+289.17</f>
        <v>312.59</v>
      </c>
      <c r="G979" s="479"/>
      <c r="H979" s="480"/>
      <c r="I979" s="481"/>
    </row>
    <row r="980" spans="1:9" s="515" customFormat="1" ht="12.75" customHeight="1">
      <c r="A980" s="258"/>
      <c r="B980" s="400"/>
      <c r="C980" s="509"/>
      <c r="D980" s="510"/>
      <c r="E980" s="362" t="s">
        <v>377</v>
      </c>
      <c r="F980" s="333">
        <f>F977+F978+F979</f>
        <v>9007.82</v>
      </c>
      <c r="G980" s="512"/>
      <c r="H980" s="513"/>
      <c r="I980" s="514"/>
    </row>
    <row r="981" spans="1:9" s="344" customFormat="1" ht="24.75">
      <c r="A981" s="466"/>
      <c r="B981" s="352"/>
      <c r="C981" s="205"/>
      <c r="D981" s="347" t="s">
        <v>1333</v>
      </c>
      <c r="E981" s="329" t="s">
        <v>1334</v>
      </c>
      <c r="F981" s="348"/>
      <c r="G981" s="129" t="s">
        <v>38</v>
      </c>
      <c r="H981" s="283">
        <f>ROUND(F988,2)</f>
        <v>3008.14</v>
      </c>
      <c r="I981" s="343" t="s">
        <v>399</v>
      </c>
    </row>
    <row r="982" spans="1:9" s="482" customFormat="1" ht="12.75" customHeight="1">
      <c r="A982" s="475"/>
      <c r="B982" s="476"/>
      <c r="C982" s="477"/>
      <c r="D982" s="478"/>
      <c r="E982" s="415" t="s">
        <v>1335</v>
      </c>
      <c r="F982" s="333">
        <f>56.931+1.701+1.701+7.802+1.491+1.239+6.815+1241.5</f>
        <v>1319.18</v>
      </c>
      <c r="G982" s="479"/>
      <c r="H982" s="480"/>
      <c r="I982" s="481"/>
    </row>
    <row r="983" spans="1:9" s="482" customFormat="1" ht="12.75" customHeight="1">
      <c r="A983" s="475"/>
      <c r="B983" s="476"/>
      <c r="C983" s="477"/>
      <c r="D983" s="478"/>
      <c r="E983" s="415" t="s">
        <v>1336</v>
      </c>
      <c r="F983" s="341">
        <f>45.423+363.384+334.616+159.738+90.846</f>
        <v>994.01</v>
      </c>
      <c r="G983" s="479"/>
      <c r="H983" s="480"/>
      <c r="I983" s="481"/>
    </row>
    <row r="984" spans="1:9" s="515" customFormat="1" ht="12.75" customHeight="1">
      <c r="A984" s="258"/>
      <c r="B984" s="400"/>
      <c r="C984" s="509"/>
      <c r="D984" s="510"/>
      <c r="E984" s="362" t="s">
        <v>382</v>
      </c>
      <c r="F984" s="333">
        <f>F982+F983</f>
        <v>2313.19</v>
      </c>
      <c r="G984" s="512"/>
      <c r="H984" s="513"/>
      <c r="I984" s="514"/>
    </row>
    <row r="985" spans="1:9" s="482" customFormat="1" ht="39">
      <c r="A985" s="475"/>
      <c r="B985" s="476"/>
      <c r="C985" s="477"/>
      <c r="D985" s="478"/>
      <c r="E985" s="415" t="s">
        <v>1337</v>
      </c>
      <c r="F985" s="333">
        <f>89.397+56.549+219.492+40.824+44.415+129.73+59.168+18.728</f>
        <v>658.3</v>
      </c>
      <c r="G985" s="479"/>
      <c r="H985" s="480"/>
      <c r="I985" s="481"/>
    </row>
    <row r="986" spans="1:9" s="482" customFormat="1" ht="12.75" customHeight="1">
      <c r="A986" s="475"/>
      <c r="B986" s="476"/>
      <c r="C986" s="477"/>
      <c r="D986" s="478"/>
      <c r="E986" s="415" t="s">
        <v>1287</v>
      </c>
      <c r="F986" s="341">
        <f>3.545+9.764+3.999+2.186+12.491+0.608+4.057</f>
        <v>36.65</v>
      </c>
      <c r="G986" s="479"/>
      <c r="H986" s="480"/>
      <c r="I986" s="481"/>
    </row>
    <row r="987" spans="1:9" s="515" customFormat="1" ht="12.75" customHeight="1">
      <c r="A987" s="258"/>
      <c r="B987" s="400"/>
      <c r="C987" s="509"/>
      <c r="D987" s="510"/>
      <c r="E987" s="362" t="s">
        <v>382</v>
      </c>
      <c r="F987" s="333">
        <f>F985+F986</f>
        <v>694.95</v>
      </c>
      <c r="G987" s="512"/>
      <c r="H987" s="513"/>
      <c r="I987" s="514"/>
    </row>
    <row r="988" spans="1:9" s="515" customFormat="1" ht="12.75" customHeight="1">
      <c r="A988" s="258"/>
      <c r="B988" s="400"/>
      <c r="C988" s="509"/>
      <c r="D988" s="510"/>
      <c r="E988" s="362" t="s">
        <v>377</v>
      </c>
      <c r="F988" s="333">
        <f>F984+F987</f>
        <v>3008.14</v>
      </c>
      <c r="G988" s="512"/>
      <c r="H988" s="513"/>
      <c r="I988" s="514"/>
    </row>
    <row r="989" spans="1:8" ht="12.75">
      <c r="A989" s="301">
        <f>MAX(A$2:A988)+1</f>
        <v>110</v>
      </c>
      <c r="B989" s="433" t="s">
        <v>333</v>
      </c>
      <c r="C989" s="294" t="s">
        <v>346</v>
      </c>
      <c r="D989" s="277"/>
      <c r="E989" s="323" t="s">
        <v>347</v>
      </c>
      <c r="F989" s="296"/>
      <c r="G989" s="137" t="s">
        <v>38</v>
      </c>
      <c r="H989" s="265">
        <f>H990</f>
        <v>1404.19</v>
      </c>
    </row>
    <row r="990" spans="1:8" ht="24.75">
      <c r="A990" s="258"/>
      <c r="B990" s="311"/>
      <c r="C990" s="317"/>
      <c r="D990" s="347" t="s">
        <v>1338</v>
      </c>
      <c r="E990" s="329" t="s">
        <v>1339</v>
      </c>
      <c r="F990" s="348"/>
      <c r="G990" s="129" t="s">
        <v>38</v>
      </c>
      <c r="H990" s="283">
        <f>ROUND(F1004,2)</f>
        <v>1404.19</v>
      </c>
    </row>
    <row r="991" spans="1:9" s="482" customFormat="1" ht="78">
      <c r="A991" s="475"/>
      <c r="B991" s="476"/>
      <c r="C991" s="477"/>
      <c r="D991" s="478"/>
      <c r="E991" s="415" t="s">
        <v>1302</v>
      </c>
      <c r="F991" s="363">
        <f>((0.08+0.08+0.074+0.074+2*0.006)*1+0.08*0.006+0.006*0.074+7*0.905*(2*0.01+2*0.025+2*0.01*0.025)+0.11*0.17*2+0.014*(2*0.11+2*0.17)+(0.08+0.08+0.074+0.074+2*0.006)*1+1.08*(0.08*2+2*0.012)-0.08*0.012*2-0.08*0.006-0.006*0.074-0.074*0.012)*1.15*641.5</f>
        <v>979.53</v>
      </c>
      <c r="G991" s="478"/>
      <c r="H991" s="480"/>
      <c r="I991" s="481"/>
    </row>
    <row r="992" spans="1:9" s="482" customFormat="1" ht="12.75">
      <c r="A992" s="475"/>
      <c r="B992" s="476"/>
      <c r="C992" s="477"/>
      <c r="D992" s="478"/>
      <c r="E992" s="415" t="s">
        <v>1340</v>
      </c>
      <c r="F992" s="363"/>
      <c r="G992" s="478"/>
      <c r="H992" s="480"/>
      <c r="I992" s="481"/>
    </row>
    <row r="993" spans="1:9" s="482" customFormat="1" ht="25.5">
      <c r="A993" s="475"/>
      <c r="B993" s="476"/>
      <c r="C993" s="477"/>
      <c r="D993" s="478"/>
      <c r="E993" s="415" t="s">
        <v>1341</v>
      </c>
      <c r="F993" s="363">
        <f>(0.05*4*0.86*4+(2*0.05+2*0.005)*0.92*3+(2*0.02+2*0.005)*0.92+0.829*0.829*2+(2*0.07+2*0.005)*0.1*2)*12</f>
        <v>29.3</v>
      </c>
      <c r="G993" s="478"/>
      <c r="H993" s="480"/>
      <c r="I993" s="481"/>
    </row>
    <row r="994" spans="1:9" s="482" customFormat="1" ht="12.75">
      <c r="A994" s="475"/>
      <c r="B994" s="476"/>
      <c r="C994" s="477"/>
      <c r="D994" s="478"/>
      <c r="E994" s="415" t="s">
        <v>1342</v>
      </c>
      <c r="F994" s="363" t="s">
        <v>399</v>
      </c>
      <c r="G994" s="478"/>
      <c r="H994" s="480"/>
      <c r="I994" s="481"/>
    </row>
    <row r="995" spans="1:9" s="482" customFormat="1" ht="12.75">
      <c r="A995" s="475"/>
      <c r="B995" s="476"/>
      <c r="C995" s="477"/>
      <c r="D995" s="478"/>
      <c r="E995" s="415" t="s">
        <v>1343</v>
      </c>
      <c r="F995" s="363">
        <f>(9+11*2*9+9+5*2)*0.2</f>
        <v>45.2</v>
      </c>
      <c r="G995" s="478"/>
      <c r="H995" s="480"/>
      <c r="I995" s="481"/>
    </row>
    <row r="996" spans="1:9" s="482" customFormat="1" ht="12.75">
      <c r="A996" s="475"/>
      <c r="B996" s="476"/>
      <c r="C996" s="477"/>
      <c r="D996" s="479"/>
      <c r="E996" s="415" t="s">
        <v>1344</v>
      </c>
      <c r="F996" s="363"/>
      <c r="G996" s="478"/>
      <c r="H996" s="480"/>
      <c r="I996" s="481"/>
    </row>
    <row r="997" spans="1:9" s="482" customFormat="1" ht="12.75">
      <c r="A997" s="475"/>
      <c r="B997" s="476"/>
      <c r="C997" s="477"/>
      <c r="D997" s="479"/>
      <c r="E997" s="199" t="s">
        <v>1345</v>
      </c>
      <c r="F997" s="363">
        <f>F1013</f>
        <v>103.09</v>
      </c>
      <c r="G997" s="478"/>
      <c r="H997" s="480"/>
      <c r="I997" s="481"/>
    </row>
    <row r="998" spans="1:9" s="482" customFormat="1" ht="12.75">
      <c r="A998" s="475"/>
      <c r="B998" s="476"/>
      <c r="C998" s="477"/>
      <c r="D998" s="479"/>
      <c r="E998" s="199" t="s">
        <v>1346</v>
      </c>
      <c r="F998" s="363">
        <f>F1015</f>
        <v>65.28</v>
      </c>
      <c r="G998" s="478"/>
      <c r="H998" s="480"/>
      <c r="I998" s="481"/>
    </row>
    <row r="999" spans="1:9" s="482" customFormat="1" ht="12.75">
      <c r="A999" s="475"/>
      <c r="B999" s="476"/>
      <c r="C999" s="477"/>
      <c r="D999" s="479"/>
      <c r="E999" s="199" t="s">
        <v>1347</v>
      </c>
      <c r="F999" s="363">
        <f>F1017</f>
        <v>109.07</v>
      </c>
      <c r="G999" s="478"/>
      <c r="H999" s="480"/>
      <c r="I999" s="481"/>
    </row>
    <row r="1000" spans="1:9" s="482" customFormat="1" ht="12.75">
      <c r="A1000" s="475"/>
      <c r="B1000" s="476"/>
      <c r="C1000" s="477"/>
      <c r="D1000" s="479"/>
      <c r="E1000" s="199" t="s">
        <v>1348</v>
      </c>
      <c r="F1000" s="363">
        <f>876*0.016</f>
        <v>14.02</v>
      </c>
      <c r="G1000" s="478"/>
      <c r="H1000" s="480"/>
      <c r="I1000" s="481"/>
    </row>
    <row r="1001" spans="1:9" s="482" customFormat="1" ht="12.75">
      <c r="A1001" s="475"/>
      <c r="B1001" s="476"/>
      <c r="C1001" s="477"/>
      <c r="D1001" s="479"/>
      <c r="E1001" s="199" t="s">
        <v>1349</v>
      </c>
      <c r="F1001" s="363">
        <f>F1020</f>
        <v>68.76</v>
      </c>
      <c r="G1001" s="478"/>
      <c r="H1001" s="480"/>
      <c r="I1001" s="481"/>
    </row>
    <row r="1002" spans="1:9" s="482" customFormat="1" ht="12.75">
      <c r="A1002" s="475"/>
      <c r="B1002" s="476"/>
      <c r="C1002" s="477"/>
      <c r="D1002" s="479"/>
      <c r="E1002" s="199" t="s">
        <v>1350</v>
      </c>
      <c r="F1002" s="487">
        <f>F1022</f>
        <v>19.24</v>
      </c>
      <c r="G1002" s="478"/>
      <c r="H1002" s="480"/>
      <c r="I1002" s="481"/>
    </row>
    <row r="1003" spans="1:9" s="482" customFormat="1" ht="12.75">
      <c r="A1003" s="475"/>
      <c r="B1003" s="476"/>
      <c r="C1003" s="477"/>
      <c r="D1003" s="479"/>
      <c r="E1003" s="362" t="s">
        <v>382</v>
      </c>
      <c r="F1003" s="363">
        <f>SUM(F997:F1002)</f>
        <v>379.46</v>
      </c>
      <c r="G1003" s="478"/>
      <c r="H1003" s="480"/>
      <c r="I1003" s="481"/>
    </row>
    <row r="1004" spans="1:9" s="482" customFormat="1" ht="12.75">
      <c r="A1004" s="475"/>
      <c r="B1004" s="476"/>
      <c r="C1004" s="477"/>
      <c r="D1004" s="479"/>
      <c r="E1004" s="362" t="s">
        <v>377</v>
      </c>
      <c r="F1004" s="203">
        <f>F991+F995+F1003</f>
        <v>1404.19</v>
      </c>
      <c r="G1004" s="478"/>
      <c r="H1004" s="480"/>
      <c r="I1004" s="481"/>
    </row>
    <row r="1005" spans="1:8" ht="12.75">
      <c r="A1005" s="301">
        <f>MAX(A$2:A995)+1</f>
        <v>111</v>
      </c>
      <c r="B1005" s="433" t="s">
        <v>333</v>
      </c>
      <c r="C1005" s="294" t="s">
        <v>348</v>
      </c>
      <c r="D1005" s="277"/>
      <c r="E1005" s="323" t="s">
        <v>349</v>
      </c>
      <c r="F1005" s="296"/>
      <c r="G1005" s="137" t="s">
        <v>38</v>
      </c>
      <c r="H1005" s="265">
        <f>H1006</f>
        <v>1390.02</v>
      </c>
    </row>
    <row r="1006" spans="1:8" ht="15">
      <c r="A1006" s="258"/>
      <c r="B1006" s="311"/>
      <c r="C1006" s="317"/>
      <c r="D1006" s="347" t="s">
        <v>1351</v>
      </c>
      <c r="E1006" s="329" t="s">
        <v>1352</v>
      </c>
      <c r="F1006" s="348"/>
      <c r="G1006" s="129" t="s">
        <v>38</v>
      </c>
      <c r="H1006" s="283">
        <f>ROUND(F1023,2)</f>
        <v>1390.02</v>
      </c>
    </row>
    <row r="1007" spans="1:9" s="171" customFormat="1" ht="78">
      <c r="A1007" s="539"/>
      <c r="B1007" s="331"/>
      <c r="C1007" s="332"/>
      <c r="D1007" s="186"/>
      <c r="E1007" s="199" t="s">
        <v>1302</v>
      </c>
      <c r="F1007" s="450">
        <f>((0.08+0.08+0.074+0.074+2*0.006)*1+0.08*0.006+0.006*0.074+7*0.905*(2*0.01+2*0.025+2*0.01*0.025)+0.11*0.17*2+0.014*(2*0.11+2*0.17)+(0.08+0.08+0.074+0.074+2*0.006)*1+1.08*(0.08*2+2*0.012)-0.08*0.012*2-0.08*0.006-0.006*0.074-0.074*0.012)*1.15*641.5</f>
        <v>979.53</v>
      </c>
      <c r="G1007" s="198"/>
      <c r="H1007" s="286"/>
      <c r="I1007" s="284"/>
    </row>
    <row r="1008" spans="1:9" s="482" customFormat="1" ht="12.75">
      <c r="A1008" s="475"/>
      <c r="B1008" s="476"/>
      <c r="C1008" s="477"/>
      <c r="D1008" s="479"/>
      <c r="E1008" s="199" t="s">
        <v>1353</v>
      </c>
      <c r="F1008" s="363"/>
      <c r="G1008" s="478"/>
      <c r="H1008" s="480"/>
      <c r="I1008" s="481"/>
    </row>
    <row r="1009" spans="1:9" s="482" customFormat="1" ht="25.5">
      <c r="A1009" s="475"/>
      <c r="B1009" s="476"/>
      <c r="C1009" s="477"/>
      <c r="D1009" s="479"/>
      <c r="E1009" s="199" t="s">
        <v>1341</v>
      </c>
      <c r="F1009" s="363">
        <f>(0.05*4*0.86*4+(2*0.05+2*0.005)*0.92*3+(2*0.02+2*0.005)*0.92+0.829*0.829*2+(2*0.07+2*0.005)*0.1*2)*12</f>
        <v>29.3</v>
      </c>
      <c r="G1009" s="478"/>
      <c r="H1009" s="480"/>
      <c r="I1009" s="481"/>
    </row>
    <row r="1010" spans="1:9" s="171" customFormat="1" ht="12.75" customHeight="1">
      <c r="A1010" s="275"/>
      <c r="B1010" s="550"/>
      <c r="C1010" s="317"/>
      <c r="D1010" s="280"/>
      <c r="E1010" s="199" t="s">
        <v>1304</v>
      </c>
      <c r="F1010" s="551"/>
      <c r="G1010" s="317"/>
      <c r="H1010" s="265"/>
      <c r="I1010" s="284"/>
    </row>
    <row r="1011" spans="1:9" s="171" customFormat="1" ht="12.75" customHeight="1">
      <c r="A1011" s="539"/>
      <c r="B1011" s="331"/>
      <c r="C1011" s="332"/>
      <c r="D1011" s="186"/>
      <c r="E1011" s="199" t="s">
        <v>1305</v>
      </c>
      <c r="F1011" s="450">
        <f>(3.14*0.025*0.5+0.000491*2)*(21+22)</f>
        <v>1.73</v>
      </c>
      <c r="G1011" s="198"/>
      <c r="H1011" s="286"/>
      <c r="I1011" s="284"/>
    </row>
    <row r="1012" spans="1:9" s="171" customFormat="1" ht="12.75" customHeight="1">
      <c r="A1012" s="275"/>
      <c r="B1012" s="550"/>
      <c r="C1012" s="317"/>
      <c r="D1012" s="280"/>
      <c r="E1012" s="199" t="s">
        <v>1345</v>
      </c>
      <c r="F1012" s="552"/>
      <c r="G1012" s="317"/>
      <c r="H1012" s="265"/>
      <c r="I1012" s="284"/>
    </row>
    <row r="1013" spans="1:9" s="171" customFormat="1" ht="12.75" customHeight="1">
      <c r="A1013" s="275"/>
      <c r="B1013" s="550"/>
      <c r="C1013" s="317"/>
      <c r="D1013" s="280"/>
      <c r="E1013" s="199" t="s">
        <v>1354</v>
      </c>
      <c r="F1013" s="450">
        <f>2.5*(4+4+4+8)+1.2*(8+12)+0.95*(24+12)*1.05*(3.14*0.133+3.14*0.125)</f>
        <v>103.09</v>
      </c>
      <c r="G1013" s="317"/>
      <c r="H1013" s="265"/>
      <c r="I1013" s="284"/>
    </row>
    <row r="1014" spans="1:9" s="171" customFormat="1" ht="12.75" customHeight="1">
      <c r="A1014" s="275"/>
      <c r="B1014" s="550"/>
      <c r="C1014" s="317"/>
      <c r="D1014" s="280"/>
      <c r="E1014" s="199" t="s">
        <v>1346</v>
      </c>
      <c r="F1014" s="552"/>
      <c r="G1014" s="317"/>
      <c r="H1014" s="265"/>
      <c r="I1014" s="284"/>
    </row>
    <row r="1015" spans="1:9" s="171" customFormat="1" ht="12.75" customHeight="1">
      <c r="A1015" s="275"/>
      <c r="B1015" s="550"/>
      <c r="C1015" s="317"/>
      <c r="D1015" s="280"/>
      <c r="E1015" s="199" t="s">
        <v>1355</v>
      </c>
      <c r="F1015" s="450">
        <f>2*8*1.7*1.2*2</f>
        <v>65.28</v>
      </c>
      <c r="G1015" s="317"/>
      <c r="H1015" s="265"/>
      <c r="I1015" s="284"/>
    </row>
    <row r="1016" spans="1:9" s="171" customFormat="1" ht="12.75" customHeight="1">
      <c r="A1016" s="275"/>
      <c r="B1016" s="550"/>
      <c r="C1016" s="317"/>
      <c r="D1016" s="280"/>
      <c r="E1016" s="199" t="s">
        <v>1347</v>
      </c>
      <c r="F1016" s="552"/>
      <c r="G1016" s="317"/>
      <c r="H1016" s="265"/>
      <c r="I1016" s="284"/>
    </row>
    <row r="1017" spans="1:9" s="171" customFormat="1" ht="12.75" customHeight="1">
      <c r="A1017" s="275"/>
      <c r="B1017" s="550"/>
      <c r="C1017" s="317"/>
      <c r="D1017" s="280"/>
      <c r="E1017" s="199" t="s">
        <v>1356</v>
      </c>
      <c r="F1017" s="450">
        <f>0.106*568+0.106*1.25*32+0.067*296+0.067*1.25*296</f>
        <v>109.07</v>
      </c>
      <c r="G1017" s="317"/>
      <c r="H1017" s="265"/>
      <c r="I1017" s="284"/>
    </row>
    <row r="1018" spans="1:9" s="171" customFormat="1" ht="12.75" customHeight="1">
      <c r="A1018" s="275"/>
      <c r="B1018" s="550"/>
      <c r="C1018" s="317"/>
      <c r="D1018" s="280"/>
      <c r="E1018" s="199" t="s">
        <v>1357</v>
      </c>
      <c r="F1018" s="450">
        <f>F1000</f>
        <v>14.02</v>
      </c>
      <c r="G1018" s="317"/>
      <c r="H1018" s="265"/>
      <c r="I1018" s="284"/>
    </row>
    <row r="1019" spans="1:9" s="171" customFormat="1" ht="12.75" customHeight="1">
      <c r="A1019" s="275"/>
      <c r="B1019" s="550"/>
      <c r="C1019" s="317"/>
      <c r="D1019" s="280"/>
      <c r="E1019" s="199" t="s">
        <v>1349</v>
      </c>
      <c r="F1019" s="450"/>
      <c r="G1019" s="317"/>
      <c r="H1019" s="265"/>
      <c r="I1019" s="284"/>
    </row>
    <row r="1020" spans="1:9" s="171" customFormat="1" ht="12.75" customHeight="1">
      <c r="A1020" s="275"/>
      <c r="B1020" s="550"/>
      <c r="C1020" s="317"/>
      <c r="D1020" s="280"/>
      <c r="E1020" s="199" t="s">
        <v>1358</v>
      </c>
      <c r="F1020" s="450">
        <f>0.085*600+0.06*296</f>
        <v>68.76</v>
      </c>
      <c r="G1020" s="317"/>
      <c r="H1020" s="265"/>
      <c r="I1020" s="284"/>
    </row>
    <row r="1021" spans="1:9" s="171" customFormat="1" ht="12.75" customHeight="1">
      <c r="A1021" s="275"/>
      <c r="B1021" s="550"/>
      <c r="C1021" s="317"/>
      <c r="D1021" s="280"/>
      <c r="E1021" s="199" t="s">
        <v>1350</v>
      </c>
      <c r="F1021" s="450"/>
      <c r="G1021" s="317"/>
      <c r="H1021" s="265"/>
      <c r="I1021" s="284"/>
    </row>
    <row r="1022" spans="1:9" s="171" customFormat="1" ht="12.75" customHeight="1">
      <c r="A1022" s="275"/>
      <c r="B1022" s="550"/>
      <c r="C1022" s="317"/>
      <c r="D1022" s="280"/>
      <c r="E1022" s="199" t="s">
        <v>1359</v>
      </c>
      <c r="F1022" s="540">
        <f>0.283*68</f>
        <v>19.24</v>
      </c>
      <c r="G1022" s="317"/>
      <c r="H1022" s="265"/>
      <c r="I1022" s="284"/>
    </row>
    <row r="1023" spans="1:8" ht="15">
      <c r="A1023" s="258"/>
      <c r="B1023" s="311"/>
      <c r="C1023" s="317"/>
      <c r="D1023" s="280"/>
      <c r="E1023" s="362" t="s">
        <v>377</v>
      </c>
      <c r="F1023" s="450">
        <f>SUM(F1007:F1022)</f>
        <v>1390.02</v>
      </c>
      <c r="G1023" s="317"/>
      <c r="H1023" s="265"/>
    </row>
    <row r="1024" spans="1:8" ht="15.75" thickBot="1">
      <c r="A1024" s="553"/>
      <c r="B1024" s="554"/>
      <c r="C1024" s="555"/>
      <c r="D1024" s="555"/>
      <c r="E1024" s="556"/>
      <c r="F1024" s="557"/>
      <c r="G1024" s="558"/>
      <c r="H1024" s="559"/>
    </row>
    <row r="1025" spans="2:7" ht="15">
      <c r="B1025" s="561"/>
      <c r="C1025" s="254"/>
      <c r="D1025" s="255"/>
      <c r="E1025" s="256"/>
      <c r="F1025" s="249"/>
      <c r="G1025" s="245"/>
    </row>
    <row r="1026" spans="3:8" ht="15">
      <c r="C1026" s="562"/>
      <c r="D1026" s="563"/>
      <c r="E1026" s="564" t="s">
        <v>399</v>
      </c>
      <c r="F1026" s="565"/>
      <c r="G1026" s="566"/>
      <c r="H1026" s="567"/>
    </row>
    <row r="1027" spans="3:8" ht="15">
      <c r="C1027" s="562"/>
      <c r="D1027" s="563"/>
      <c r="E1027" s="564"/>
      <c r="F1027" s="565"/>
      <c r="G1027" s="566"/>
      <c r="H1027" s="567"/>
    </row>
    <row r="1028" spans="3:8" ht="15">
      <c r="C1028" s="562"/>
      <c r="D1028" s="563"/>
      <c r="H1028" s="567"/>
    </row>
    <row r="1029" spans="3:8" ht="15">
      <c r="C1029" s="562"/>
      <c r="D1029" s="563"/>
      <c r="H1029" s="567"/>
    </row>
    <row r="1030" spans="1:8" ht="14.25">
      <c r="A1030" s="170"/>
      <c r="B1030" s="170"/>
      <c r="C1030" s="562"/>
      <c r="D1030" s="563"/>
      <c r="E1030" s="564"/>
      <c r="F1030" s="565"/>
      <c r="G1030" s="570"/>
      <c r="H1030" s="567"/>
    </row>
    <row r="1031" spans="1:8" ht="13.5">
      <c r="A1031" s="170"/>
      <c r="B1031" s="170"/>
      <c r="C1031" s="562"/>
      <c r="D1031" s="563"/>
      <c r="H1031" s="567"/>
    </row>
    <row r="1032" spans="1:8" ht="13.5">
      <c r="A1032" s="170"/>
      <c r="B1032" s="170"/>
      <c r="C1032" s="562"/>
      <c r="D1032" s="563"/>
      <c r="H1032" s="567"/>
    </row>
    <row r="1033" spans="1:8" ht="14.25">
      <c r="A1033" s="170"/>
      <c r="B1033" s="170"/>
      <c r="C1033" s="562"/>
      <c r="D1033" s="563"/>
      <c r="E1033" s="564"/>
      <c r="F1033" s="565"/>
      <c r="G1033" s="570"/>
      <c r="H1033" s="567"/>
    </row>
    <row r="1034" spans="1:8" ht="14.25">
      <c r="A1034" s="170"/>
      <c r="B1034" s="170"/>
      <c r="C1034" s="562"/>
      <c r="D1034" s="563"/>
      <c r="E1034" s="564"/>
      <c r="F1034" s="565"/>
      <c r="G1034" s="570"/>
      <c r="H1034" s="567"/>
    </row>
    <row r="1035" spans="1:8" ht="13.5">
      <c r="A1035" s="170"/>
      <c r="B1035" s="170"/>
      <c r="C1035" s="562"/>
      <c r="D1035" s="563"/>
      <c r="H1035" s="567"/>
    </row>
    <row r="1036" spans="1:8" ht="14.25">
      <c r="A1036" s="170"/>
      <c r="B1036" s="170"/>
      <c r="C1036" s="562"/>
      <c r="D1036" s="563"/>
      <c r="E1036" s="564"/>
      <c r="F1036" s="565"/>
      <c r="G1036" s="570"/>
      <c r="H1036" s="567"/>
    </row>
    <row r="1037" spans="1:8" ht="14.25">
      <c r="A1037" s="170"/>
      <c r="B1037" s="170"/>
      <c r="C1037" s="562"/>
      <c r="D1037" s="563"/>
      <c r="E1037" s="564" t="s">
        <v>399</v>
      </c>
      <c r="F1037" s="565"/>
      <c r="G1037" s="570" t="s">
        <v>399</v>
      </c>
      <c r="H1037" s="567"/>
    </row>
    <row r="1038" spans="1:8" ht="14.25">
      <c r="A1038" s="170"/>
      <c r="B1038" s="170"/>
      <c r="C1038" s="562"/>
      <c r="D1038" s="563"/>
      <c r="E1038" s="564"/>
      <c r="F1038" s="565"/>
      <c r="G1038" s="570"/>
      <c r="H1038" s="567"/>
    </row>
    <row r="1039" spans="1:7" ht="13.5">
      <c r="A1039" s="170"/>
      <c r="B1039" s="170"/>
      <c r="C1039" s="571"/>
      <c r="D1039" s="572"/>
      <c r="E1039" s="573" t="s">
        <v>399</v>
      </c>
      <c r="G1039" s="569" t="s">
        <v>399</v>
      </c>
    </row>
    <row r="1040" spans="1:4" ht="13.5">
      <c r="A1040" s="170"/>
      <c r="B1040" s="170"/>
      <c r="C1040" s="571"/>
      <c r="D1040" s="572"/>
    </row>
    <row r="1041" spans="1:7" ht="14.25">
      <c r="A1041" s="170"/>
      <c r="B1041" s="170"/>
      <c r="C1041" s="571"/>
      <c r="D1041" s="572"/>
      <c r="E1041" s="574"/>
      <c r="F1041" s="575"/>
      <c r="G1041" s="576"/>
    </row>
    <row r="1042" spans="1:7" ht="14.25">
      <c r="A1042" s="170"/>
      <c r="B1042" s="170"/>
      <c r="E1042" s="577"/>
      <c r="F1042" s="578"/>
      <c r="G1042" s="579"/>
    </row>
    <row r="1043" spans="1:7" ht="14.25">
      <c r="A1043" s="170"/>
      <c r="B1043" s="170"/>
      <c r="E1043" s="577"/>
      <c r="F1043" s="578"/>
      <c r="G1043" s="579"/>
    </row>
    <row r="1044" spans="1:7" ht="14.25">
      <c r="A1044" s="170"/>
      <c r="B1044" s="170"/>
      <c r="E1044" s="577"/>
      <c r="F1044" s="578"/>
      <c r="G1044" s="579"/>
    </row>
    <row r="1045" spans="1:7" ht="14.25">
      <c r="A1045" s="170"/>
      <c r="B1045" s="170"/>
      <c r="E1045" s="577"/>
      <c r="F1045" s="578"/>
      <c r="G1045" s="579"/>
    </row>
    <row r="1046" spans="1:8" ht="14.25">
      <c r="A1046" s="170"/>
      <c r="B1046" s="170"/>
      <c r="C1046" s="170"/>
      <c r="D1046" s="170"/>
      <c r="E1046" s="577"/>
      <c r="F1046" s="578"/>
      <c r="G1046" s="579"/>
      <c r="H1046" s="170"/>
    </row>
    <row r="1047" spans="1:8" ht="14.25">
      <c r="A1047" s="170"/>
      <c r="B1047" s="170"/>
      <c r="C1047" s="170"/>
      <c r="D1047" s="170"/>
      <c r="E1047" s="577"/>
      <c r="F1047" s="578"/>
      <c r="G1047" s="579"/>
      <c r="H1047" s="170"/>
    </row>
    <row r="1048" spans="1:8" ht="14.25">
      <c r="A1048" s="170"/>
      <c r="B1048" s="170"/>
      <c r="C1048" s="170"/>
      <c r="D1048" s="170"/>
      <c r="E1048" s="577"/>
      <c r="F1048" s="578"/>
      <c r="G1048" s="579"/>
      <c r="H1048" s="170"/>
    </row>
    <row r="1049" spans="1:8" ht="14.25">
      <c r="A1049" s="170"/>
      <c r="B1049" s="170"/>
      <c r="C1049" s="170"/>
      <c r="D1049" s="170"/>
      <c r="E1049" s="577"/>
      <c r="F1049" s="578"/>
      <c r="G1049" s="579"/>
      <c r="H1049" s="170"/>
    </row>
    <row r="1050" spans="1:8" ht="14.25">
      <c r="A1050" s="170"/>
      <c r="B1050" s="170"/>
      <c r="C1050" s="170"/>
      <c r="D1050" s="170"/>
      <c r="E1050" s="577"/>
      <c r="F1050" s="578"/>
      <c r="G1050" s="579"/>
      <c r="H1050" s="170"/>
    </row>
    <row r="1051" spans="1:8" ht="14.25">
      <c r="A1051" s="170"/>
      <c r="B1051" s="170"/>
      <c r="C1051" s="170"/>
      <c r="D1051" s="170"/>
      <c r="E1051" s="577"/>
      <c r="F1051" s="578"/>
      <c r="G1051" s="579"/>
      <c r="H1051" s="170"/>
    </row>
    <row r="1052" spans="1:8" ht="14.25">
      <c r="A1052" s="170"/>
      <c r="B1052" s="170"/>
      <c r="C1052" s="170"/>
      <c r="D1052" s="170"/>
      <c r="E1052" s="577"/>
      <c r="F1052" s="578"/>
      <c r="G1052" s="579"/>
      <c r="H1052" s="170"/>
    </row>
    <row r="1053" spans="1:8" ht="14.25">
      <c r="A1053" s="170"/>
      <c r="B1053" s="170"/>
      <c r="C1053" s="170"/>
      <c r="D1053" s="170"/>
      <c r="E1053" s="577"/>
      <c r="F1053" s="578"/>
      <c r="G1053" s="579"/>
      <c r="H1053" s="170"/>
    </row>
    <row r="1054" spans="1:8" ht="14.25">
      <c r="A1054" s="170"/>
      <c r="B1054" s="170"/>
      <c r="C1054" s="170"/>
      <c r="D1054" s="170"/>
      <c r="E1054" s="577"/>
      <c r="F1054" s="578"/>
      <c r="G1054" s="579"/>
      <c r="H1054" s="170"/>
    </row>
    <row r="1055" spans="1:8" ht="14.25">
      <c r="A1055" s="170"/>
      <c r="B1055" s="170"/>
      <c r="C1055" s="170"/>
      <c r="D1055" s="170"/>
      <c r="E1055" s="577"/>
      <c r="F1055" s="578"/>
      <c r="G1055" s="579"/>
      <c r="H1055" s="170"/>
    </row>
    <row r="1056" spans="1:8" ht="14.25">
      <c r="A1056" s="170"/>
      <c r="B1056" s="170"/>
      <c r="C1056" s="170"/>
      <c r="D1056" s="170"/>
      <c r="E1056" s="577"/>
      <c r="F1056" s="578"/>
      <c r="G1056" s="579"/>
      <c r="H1056" s="170"/>
    </row>
    <row r="1057" spans="1:8" ht="14.25">
      <c r="A1057" s="170"/>
      <c r="B1057" s="170"/>
      <c r="C1057" s="170"/>
      <c r="D1057" s="170"/>
      <c r="E1057" s="577"/>
      <c r="F1057" s="578"/>
      <c r="G1057" s="579"/>
      <c r="H1057" s="170"/>
    </row>
    <row r="1058" spans="1:8" ht="14.25">
      <c r="A1058" s="170"/>
      <c r="B1058" s="170"/>
      <c r="C1058" s="170"/>
      <c r="D1058" s="170"/>
      <c r="E1058" s="577"/>
      <c r="F1058" s="578"/>
      <c r="G1058" s="579"/>
      <c r="H1058" s="170"/>
    </row>
    <row r="1059" spans="1:8" ht="14.25">
      <c r="A1059" s="170"/>
      <c r="B1059" s="170"/>
      <c r="C1059" s="170"/>
      <c r="D1059" s="170"/>
      <c r="E1059" s="577"/>
      <c r="F1059" s="578"/>
      <c r="G1059" s="579"/>
      <c r="H1059" s="170"/>
    </row>
    <row r="1060" spans="1:8" ht="14.25">
      <c r="A1060" s="170"/>
      <c r="B1060" s="170"/>
      <c r="C1060" s="170"/>
      <c r="D1060" s="170"/>
      <c r="E1060" s="577"/>
      <c r="F1060" s="578"/>
      <c r="G1060" s="579"/>
      <c r="H1060" s="170"/>
    </row>
    <row r="1061" spans="1:8" ht="14.25">
      <c r="A1061" s="170"/>
      <c r="B1061" s="170"/>
      <c r="C1061" s="170"/>
      <c r="D1061" s="170"/>
      <c r="E1061" s="577"/>
      <c r="F1061" s="578"/>
      <c r="G1061" s="579"/>
      <c r="H1061" s="170"/>
    </row>
    <row r="1062" spans="1:8" ht="14.25">
      <c r="A1062" s="170"/>
      <c r="B1062" s="170"/>
      <c r="C1062" s="170"/>
      <c r="D1062" s="170"/>
      <c r="E1062" s="577"/>
      <c r="F1062" s="578"/>
      <c r="G1062" s="579"/>
      <c r="H1062" s="170"/>
    </row>
    <row r="1063" spans="1:8" ht="14.25">
      <c r="A1063" s="170"/>
      <c r="B1063" s="170"/>
      <c r="C1063" s="170"/>
      <c r="D1063" s="170"/>
      <c r="E1063" s="577"/>
      <c r="F1063" s="578"/>
      <c r="G1063" s="579"/>
      <c r="H1063" s="170"/>
    </row>
    <row r="1064" spans="1:8" ht="14.25">
      <c r="A1064" s="170"/>
      <c r="B1064" s="170"/>
      <c r="C1064" s="170"/>
      <c r="D1064" s="170"/>
      <c r="E1064" s="577"/>
      <c r="F1064" s="578"/>
      <c r="G1064" s="579"/>
      <c r="H1064" s="170"/>
    </row>
    <row r="1065" spans="1:8" ht="14.25">
      <c r="A1065" s="170"/>
      <c r="B1065" s="170"/>
      <c r="C1065" s="170"/>
      <c r="D1065" s="170"/>
      <c r="E1065" s="577"/>
      <c r="F1065" s="578"/>
      <c r="G1065" s="579"/>
      <c r="H1065" s="170"/>
    </row>
    <row r="1066" spans="1:8" ht="14.25">
      <c r="A1066" s="170"/>
      <c r="B1066" s="170"/>
      <c r="C1066" s="170"/>
      <c r="D1066" s="170"/>
      <c r="E1066" s="577"/>
      <c r="F1066" s="578"/>
      <c r="G1066" s="579"/>
      <c r="H1066" s="170"/>
    </row>
    <row r="1067" spans="1:8" ht="14.25">
      <c r="A1067" s="170"/>
      <c r="B1067" s="170"/>
      <c r="C1067" s="170"/>
      <c r="D1067" s="170"/>
      <c r="E1067" s="577"/>
      <c r="F1067" s="578"/>
      <c r="G1067" s="579"/>
      <c r="H1067" s="170"/>
    </row>
    <row r="1068" spans="1:8" ht="14.25">
      <c r="A1068" s="170"/>
      <c r="B1068" s="170"/>
      <c r="C1068" s="170"/>
      <c r="D1068" s="170"/>
      <c r="E1068" s="577"/>
      <c r="F1068" s="578"/>
      <c r="G1068" s="579"/>
      <c r="H1068" s="170"/>
    </row>
    <row r="1069" spans="1:8" ht="14.25">
      <c r="A1069" s="170"/>
      <c r="B1069" s="170"/>
      <c r="C1069" s="170"/>
      <c r="D1069" s="170"/>
      <c r="E1069" s="577"/>
      <c r="F1069" s="578"/>
      <c r="G1069" s="579"/>
      <c r="H1069" s="170"/>
    </row>
    <row r="1070" spans="1:8" ht="14.25">
      <c r="A1070" s="170"/>
      <c r="B1070" s="170"/>
      <c r="C1070" s="170"/>
      <c r="D1070" s="170"/>
      <c r="E1070" s="577"/>
      <c r="F1070" s="578"/>
      <c r="G1070" s="579"/>
      <c r="H1070" s="170"/>
    </row>
    <row r="1071" spans="1:8" ht="14.25">
      <c r="A1071" s="170"/>
      <c r="B1071" s="170"/>
      <c r="C1071" s="170"/>
      <c r="D1071" s="170"/>
      <c r="E1071" s="577"/>
      <c r="F1071" s="578"/>
      <c r="G1071" s="579"/>
      <c r="H1071" s="170"/>
    </row>
    <row r="1072" spans="1:8" ht="14.25">
      <c r="A1072" s="170"/>
      <c r="B1072" s="170"/>
      <c r="C1072" s="170"/>
      <c r="D1072" s="170"/>
      <c r="E1072" s="577"/>
      <c r="F1072" s="578"/>
      <c r="G1072" s="579"/>
      <c r="H1072" s="170"/>
    </row>
    <row r="1073" spans="1:8" ht="14.25">
      <c r="A1073" s="170"/>
      <c r="B1073" s="170"/>
      <c r="C1073" s="170"/>
      <c r="D1073" s="170"/>
      <c r="E1073" s="577"/>
      <c r="F1073" s="578"/>
      <c r="G1073" s="579"/>
      <c r="H1073" s="170"/>
    </row>
    <row r="1074" spans="1:8" ht="14.25">
      <c r="A1074" s="170"/>
      <c r="B1074" s="170"/>
      <c r="C1074" s="170"/>
      <c r="D1074" s="170"/>
      <c r="E1074" s="577"/>
      <c r="F1074" s="578"/>
      <c r="G1074" s="579"/>
      <c r="H1074" s="170"/>
    </row>
    <row r="1075" spans="1:8" ht="14.25">
      <c r="A1075" s="170"/>
      <c r="B1075" s="170"/>
      <c r="C1075" s="170"/>
      <c r="D1075" s="170"/>
      <c r="E1075" s="577"/>
      <c r="F1075" s="578"/>
      <c r="G1075" s="579"/>
      <c r="H1075" s="170"/>
    </row>
    <row r="1076" spans="1:8" ht="14.25">
      <c r="A1076" s="170"/>
      <c r="B1076" s="170"/>
      <c r="C1076" s="170"/>
      <c r="D1076" s="170"/>
      <c r="E1076" s="577"/>
      <c r="F1076" s="578"/>
      <c r="G1076" s="579"/>
      <c r="H1076" s="170"/>
    </row>
    <row r="1077" spans="1:8" ht="14.25">
      <c r="A1077" s="170"/>
      <c r="B1077" s="170"/>
      <c r="C1077" s="170"/>
      <c r="D1077" s="170"/>
      <c r="E1077" s="577"/>
      <c r="F1077" s="578"/>
      <c r="G1077" s="579"/>
      <c r="H1077" s="170"/>
    </row>
    <row r="1078" spans="1:8" ht="14.25">
      <c r="A1078" s="170"/>
      <c r="B1078" s="170"/>
      <c r="C1078" s="170"/>
      <c r="D1078" s="170"/>
      <c r="E1078" s="577"/>
      <c r="F1078" s="578"/>
      <c r="G1078" s="579"/>
      <c r="H1078" s="170"/>
    </row>
    <row r="1079" spans="1:8" ht="14.25">
      <c r="A1079" s="170"/>
      <c r="B1079" s="170"/>
      <c r="C1079" s="170"/>
      <c r="D1079" s="170"/>
      <c r="E1079" s="577"/>
      <c r="F1079" s="578"/>
      <c r="G1079" s="579"/>
      <c r="H1079" s="170"/>
    </row>
    <row r="1080" spans="1:8" ht="14.25">
      <c r="A1080" s="170"/>
      <c r="B1080" s="170"/>
      <c r="C1080" s="170"/>
      <c r="D1080" s="170"/>
      <c r="E1080" s="577"/>
      <c r="F1080" s="578"/>
      <c r="G1080" s="579"/>
      <c r="H1080" s="170"/>
    </row>
    <row r="1081" spans="1:8" ht="14.25">
      <c r="A1081" s="170"/>
      <c r="B1081" s="170"/>
      <c r="C1081" s="170"/>
      <c r="D1081" s="170"/>
      <c r="E1081" s="577"/>
      <c r="F1081" s="578"/>
      <c r="G1081" s="579"/>
      <c r="H1081" s="170"/>
    </row>
    <row r="1082" spans="1:8" ht="14.25">
      <c r="A1082" s="170"/>
      <c r="B1082" s="170"/>
      <c r="C1082" s="170"/>
      <c r="D1082" s="170"/>
      <c r="E1082" s="577"/>
      <c r="F1082" s="578"/>
      <c r="G1082" s="579"/>
      <c r="H1082" s="170"/>
    </row>
    <row r="1083" spans="1:8" ht="14.25">
      <c r="A1083" s="170"/>
      <c r="B1083" s="170"/>
      <c r="C1083" s="170"/>
      <c r="D1083" s="170"/>
      <c r="E1083" s="577"/>
      <c r="F1083" s="578"/>
      <c r="G1083" s="579"/>
      <c r="H1083" s="170"/>
    </row>
    <row r="1084" spans="1:8" ht="14.25">
      <c r="A1084" s="170"/>
      <c r="B1084" s="170"/>
      <c r="C1084" s="170"/>
      <c r="D1084" s="170"/>
      <c r="E1084" s="577"/>
      <c r="F1084" s="578"/>
      <c r="G1084" s="579"/>
      <c r="H1084" s="170"/>
    </row>
    <row r="1085" spans="1:8" ht="14.25">
      <c r="A1085" s="170"/>
      <c r="B1085" s="170"/>
      <c r="C1085" s="170"/>
      <c r="D1085" s="170"/>
      <c r="E1085" s="577"/>
      <c r="F1085" s="578"/>
      <c r="G1085" s="579"/>
      <c r="H1085" s="170"/>
    </row>
    <row r="1086" spans="1:8" ht="14.25">
      <c r="A1086" s="170"/>
      <c r="B1086" s="170"/>
      <c r="C1086" s="170"/>
      <c r="D1086" s="170"/>
      <c r="E1086" s="577"/>
      <c r="F1086" s="578"/>
      <c r="G1086" s="579"/>
      <c r="H1086" s="170"/>
    </row>
    <row r="1087" spans="1:8" ht="14.25">
      <c r="A1087" s="170"/>
      <c r="B1087" s="170"/>
      <c r="C1087" s="170"/>
      <c r="D1087" s="170"/>
      <c r="E1087" s="577"/>
      <c r="F1087" s="578"/>
      <c r="G1087" s="579"/>
      <c r="H1087" s="170"/>
    </row>
    <row r="1088" spans="1:8" ht="14.25">
      <c r="A1088" s="170"/>
      <c r="B1088" s="170"/>
      <c r="C1088" s="170"/>
      <c r="D1088" s="170"/>
      <c r="E1088" s="577"/>
      <c r="F1088" s="578"/>
      <c r="G1088" s="579"/>
      <c r="H1088" s="170"/>
    </row>
    <row r="1089" spans="1:8" ht="14.25">
      <c r="A1089" s="170"/>
      <c r="B1089" s="170"/>
      <c r="C1089" s="170"/>
      <c r="D1089" s="170"/>
      <c r="E1089" s="577"/>
      <c r="F1089" s="578"/>
      <c r="G1089" s="579"/>
      <c r="H1089" s="170"/>
    </row>
    <row r="1090" spans="1:8" ht="14.25">
      <c r="A1090" s="170"/>
      <c r="B1090" s="170"/>
      <c r="C1090" s="170"/>
      <c r="D1090" s="170"/>
      <c r="E1090" s="577"/>
      <c r="F1090" s="578"/>
      <c r="G1090" s="579"/>
      <c r="H1090" s="170"/>
    </row>
    <row r="1091" spans="1:8" ht="14.25">
      <c r="A1091" s="170"/>
      <c r="B1091" s="170"/>
      <c r="C1091" s="170"/>
      <c r="D1091" s="170"/>
      <c r="E1091" s="577"/>
      <c r="F1091" s="578"/>
      <c r="G1091" s="579"/>
      <c r="H1091" s="170"/>
    </row>
    <row r="1092" spans="1:8" ht="14.25">
      <c r="A1092" s="170"/>
      <c r="B1092" s="170"/>
      <c r="C1092" s="170"/>
      <c r="D1092" s="170"/>
      <c r="E1092" s="577"/>
      <c r="F1092" s="578"/>
      <c r="G1092" s="579"/>
      <c r="H1092" s="170"/>
    </row>
    <row r="1093" spans="1:8" ht="14.25">
      <c r="A1093" s="170"/>
      <c r="B1093" s="170"/>
      <c r="C1093" s="170"/>
      <c r="D1093" s="170"/>
      <c r="E1093" s="577"/>
      <c r="F1093" s="578"/>
      <c r="G1093" s="579"/>
      <c r="H1093" s="170"/>
    </row>
    <row r="1094" spans="1:8" ht="14.25">
      <c r="A1094" s="170"/>
      <c r="B1094" s="170"/>
      <c r="C1094" s="170"/>
      <c r="D1094" s="170"/>
      <c r="E1094" s="577"/>
      <c r="F1094" s="578"/>
      <c r="G1094" s="579"/>
      <c r="H1094" s="170"/>
    </row>
    <row r="1095" spans="1:8" ht="14.25">
      <c r="A1095" s="170"/>
      <c r="B1095" s="170"/>
      <c r="C1095" s="170"/>
      <c r="D1095" s="170"/>
      <c r="E1095" s="577"/>
      <c r="F1095" s="578"/>
      <c r="G1095" s="579"/>
      <c r="H1095" s="170"/>
    </row>
    <row r="1096" spans="1:8" ht="14.25">
      <c r="A1096" s="170"/>
      <c r="B1096" s="170"/>
      <c r="C1096" s="170"/>
      <c r="D1096" s="170"/>
      <c r="E1096" s="577"/>
      <c r="F1096" s="578"/>
      <c r="G1096" s="579"/>
      <c r="H1096" s="170"/>
    </row>
    <row r="1097" spans="1:8" ht="14.25">
      <c r="A1097" s="170"/>
      <c r="B1097" s="170"/>
      <c r="C1097" s="170"/>
      <c r="D1097" s="170"/>
      <c r="E1097" s="577"/>
      <c r="F1097" s="578"/>
      <c r="G1097" s="579"/>
      <c r="H1097" s="170"/>
    </row>
    <row r="1098" spans="1:8" ht="14.25">
      <c r="A1098" s="170"/>
      <c r="B1098" s="170"/>
      <c r="C1098" s="170"/>
      <c r="D1098" s="170"/>
      <c r="E1098" s="577"/>
      <c r="F1098" s="578"/>
      <c r="G1098" s="579"/>
      <c r="H1098" s="170"/>
    </row>
    <row r="1099" spans="1:8" ht="14.25">
      <c r="A1099" s="170"/>
      <c r="B1099" s="170"/>
      <c r="C1099" s="170"/>
      <c r="D1099" s="170"/>
      <c r="E1099" s="577"/>
      <c r="F1099" s="578"/>
      <c r="G1099" s="579"/>
      <c r="H1099" s="170"/>
    </row>
    <row r="1100" spans="1:8" ht="14.25">
      <c r="A1100" s="170"/>
      <c r="B1100" s="170"/>
      <c r="C1100" s="170"/>
      <c r="D1100" s="170"/>
      <c r="E1100" s="577"/>
      <c r="F1100" s="578"/>
      <c r="G1100" s="579"/>
      <c r="H1100" s="170"/>
    </row>
    <row r="1101" spans="1:8" ht="14.25">
      <c r="A1101" s="170"/>
      <c r="B1101" s="170"/>
      <c r="C1101" s="170"/>
      <c r="D1101" s="170"/>
      <c r="E1101" s="577"/>
      <c r="F1101" s="578"/>
      <c r="G1101" s="579"/>
      <c r="H1101" s="170"/>
    </row>
    <row r="1102" spans="1:8" ht="14.25">
      <c r="A1102" s="170"/>
      <c r="B1102" s="170"/>
      <c r="C1102" s="170"/>
      <c r="D1102" s="170"/>
      <c r="E1102" s="577"/>
      <c r="F1102" s="578"/>
      <c r="G1102" s="579"/>
      <c r="H1102" s="170"/>
    </row>
    <row r="1103" spans="1:8" ht="14.25">
      <c r="A1103" s="170"/>
      <c r="B1103" s="170"/>
      <c r="C1103" s="170"/>
      <c r="D1103" s="170"/>
      <c r="E1103" s="577"/>
      <c r="F1103" s="578"/>
      <c r="G1103" s="579"/>
      <c r="H1103" s="170"/>
    </row>
    <row r="1104" spans="1:8" ht="14.25">
      <c r="A1104" s="170"/>
      <c r="B1104" s="170"/>
      <c r="C1104" s="170"/>
      <c r="D1104" s="170"/>
      <c r="E1104" s="577"/>
      <c r="F1104" s="578"/>
      <c r="G1104" s="579"/>
      <c r="H1104" s="170"/>
    </row>
    <row r="1105" spans="1:8" ht="14.25">
      <c r="A1105" s="170"/>
      <c r="B1105" s="170"/>
      <c r="C1105" s="170"/>
      <c r="D1105" s="170"/>
      <c r="E1105" s="577"/>
      <c r="F1105" s="578"/>
      <c r="G1105" s="579"/>
      <c r="H1105" s="170"/>
    </row>
    <row r="1106" spans="1:8" ht="14.25">
      <c r="A1106" s="170"/>
      <c r="B1106" s="170"/>
      <c r="C1106" s="170"/>
      <c r="D1106" s="170"/>
      <c r="E1106" s="577"/>
      <c r="F1106" s="578"/>
      <c r="G1106" s="579"/>
      <c r="H1106" s="170"/>
    </row>
    <row r="1107" spans="1:8" ht="14.25">
      <c r="A1107" s="170"/>
      <c r="B1107" s="170"/>
      <c r="C1107" s="170"/>
      <c r="D1107" s="170"/>
      <c r="E1107" s="577"/>
      <c r="F1107" s="578"/>
      <c r="G1107" s="579"/>
      <c r="H1107" s="170"/>
    </row>
    <row r="1108" spans="1:8" ht="14.25">
      <c r="A1108" s="170"/>
      <c r="B1108" s="170"/>
      <c r="C1108" s="170"/>
      <c r="D1108" s="170"/>
      <c r="E1108" s="577"/>
      <c r="F1108" s="578"/>
      <c r="G1108" s="579"/>
      <c r="H1108" s="170"/>
    </row>
    <row r="1109" spans="1:8" ht="14.25">
      <c r="A1109" s="170"/>
      <c r="B1109" s="170"/>
      <c r="C1109" s="170"/>
      <c r="D1109" s="170"/>
      <c r="E1109" s="577"/>
      <c r="F1109" s="578"/>
      <c r="G1109" s="579"/>
      <c r="H1109" s="170"/>
    </row>
    <row r="1110" spans="1:8" ht="14.25">
      <c r="A1110" s="170"/>
      <c r="B1110" s="170"/>
      <c r="C1110" s="170"/>
      <c r="D1110" s="170"/>
      <c r="E1110" s="577"/>
      <c r="F1110" s="578"/>
      <c r="G1110" s="579"/>
      <c r="H1110" s="170"/>
    </row>
    <row r="1111" spans="1:8" ht="14.25">
      <c r="A1111" s="170"/>
      <c r="B1111" s="170"/>
      <c r="C1111" s="170"/>
      <c r="D1111" s="170"/>
      <c r="E1111" s="577"/>
      <c r="F1111" s="578"/>
      <c r="G1111" s="579"/>
      <c r="H1111" s="170"/>
    </row>
    <row r="1112" spans="1:8" ht="14.25">
      <c r="A1112" s="170"/>
      <c r="B1112" s="170"/>
      <c r="C1112" s="170"/>
      <c r="D1112" s="170"/>
      <c r="E1112" s="577"/>
      <c r="F1112" s="578"/>
      <c r="G1112" s="579"/>
      <c r="H1112" s="170"/>
    </row>
    <row r="1113" spans="1:8" ht="14.25">
      <c r="A1113" s="170"/>
      <c r="B1113" s="170"/>
      <c r="C1113" s="170"/>
      <c r="D1113" s="170"/>
      <c r="E1113" s="577"/>
      <c r="F1113" s="578"/>
      <c r="G1113" s="579"/>
      <c r="H1113" s="170"/>
    </row>
    <row r="1114" spans="1:8" ht="14.25">
      <c r="A1114" s="170"/>
      <c r="B1114" s="170"/>
      <c r="C1114" s="170"/>
      <c r="D1114" s="170"/>
      <c r="E1114" s="577"/>
      <c r="F1114" s="578"/>
      <c r="G1114" s="579"/>
      <c r="H1114" s="170"/>
    </row>
    <row r="1115" spans="1:8" ht="14.25">
      <c r="A1115" s="170"/>
      <c r="B1115" s="170"/>
      <c r="C1115" s="170"/>
      <c r="D1115" s="170"/>
      <c r="E1115" s="577"/>
      <c r="F1115" s="578"/>
      <c r="G1115" s="579"/>
      <c r="H1115" s="170"/>
    </row>
    <row r="1116" spans="1:8" ht="14.25">
      <c r="A1116" s="170"/>
      <c r="B1116" s="170"/>
      <c r="C1116" s="170"/>
      <c r="D1116" s="170"/>
      <c r="E1116" s="577"/>
      <c r="F1116" s="578"/>
      <c r="G1116" s="579"/>
      <c r="H1116" s="170"/>
    </row>
    <row r="1117" spans="1:8" ht="14.25">
      <c r="A1117" s="170"/>
      <c r="B1117" s="170"/>
      <c r="C1117" s="170"/>
      <c r="D1117" s="170"/>
      <c r="E1117" s="577"/>
      <c r="F1117" s="578"/>
      <c r="G1117" s="579"/>
      <c r="H1117" s="170"/>
    </row>
    <row r="1118" spans="1:8" ht="14.25">
      <c r="A1118" s="170"/>
      <c r="B1118" s="170"/>
      <c r="C1118" s="170"/>
      <c r="D1118" s="170"/>
      <c r="E1118" s="577"/>
      <c r="F1118" s="578"/>
      <c r="G1118" s="579"/>
      <c r="H1118" s="170"/>
    </row>
    <row r="1119" spans="1:8" ht="14.25">
      <c r="A1119" s="170"/>
      <c r="B1119" s="170"/>
      <c r="C1119" s="170"/>
      <c r="D1119" s="170"/>
      <c r="E1119" s="577"/>
      <c r="F1119" s="578"/>
      <c r="G1119" s="579"/>
      <c r="H1119" s="170"/>
    </row>
    <row r="1120" spans="1:8" ht="14.25">
      <c r="A1120" s="170"/>
      <c r="B1120" s="170"/>
      <c r="C1120" s="170"/>
      <c r="D1120" s="170"/>
      <c r="E1120" s="577"/>
      <c r="F1120" s="578"/>
      <c r="G1120" s="579"/>
      <c r="H1120" s="170"/>
    </row>
    <row r="1121" spans="1:8" ht="14.25">
      <c r="A1121" s="170"/>
      <c r="B1121" s="170"/>
      <c r="C1121" s="170"/>
      <c r="D1121" s="170"/>
      <c r="E1121" s="577"/>
      <c r="F1121" s="578"/>
      <c r="G1121" s="579"/>
      <c r="H1121" s="170"/>
    </row>
    <row r="1122" spans="1:8" ht="14.25">
      <c r="A1122" s="170"/>
      <c r="B1122" s="170"/>
      <c r="C1122" s="170"/>
      <c r="D1122" s="170"/>
      <c r="E1122" s="577"/>
      <c r="F1122" s="578"/>
      <c r="G1122" s="579"/>
      <c r="H1122" s="170"/>
    </row>
    <row r="1123" spans="1:8" ht="14.25">
      <c r="A1123" s="170"/>
      <c r="B1123" s="170"/>
      <c r="C1123" s="170"/>
      <c r="D1123" s="170"/>
      <c r="E1123" s="577"/>
      <c r="F1123" s="578"/>
      <c r="G1123" s="579"/>
      <c r="H1123" s="170"/>
    </row>
    <row r="1124" spans="1:8" ht="14.25">
      <c r="A1124" s="170"/>
      <c r="B1124" s="170"/>
      <c r="C1124" s="170"/>
      <c r="D1124" s="170"/>
      <c r="E1124" s="577"/>
      <c r="F1124" s="578"/>
      <c r="G1124" s="579"/>
      <c r="H1124" s="170"/>
    </row>
    <row r="1125" spans="1:8" ht="14.25">
      <c r="A1125" s="170"/>
      <c r="B1125" s="170"/>
      <c r="C1125" s="170"/>
      <c r="D1125" s="170"/>
      <c r="E1125" s="577"/>
      <c r="F1125" s="578"/>
      <c r="G1125" s="579"/>
      <c r="H1125" s="170"/>
    </row>
    <row r="1126" spans="1:8" ht="14.25">
      <c r="A1126" s="170"/>
      <c r="B1126" s="170"/>
      <c r="C1126" s="170"/>
      <c r="D1126" s="170"/>
      <c r="E1126" s="577"/>
      <c r="F1126" s="578"/>
      <c r="G1126" s="579"/>
      <c r="H1126" s="170"/>
    </row>
    <row r="1127" spans="1:8" ht="14.25">
      <c r="A1127" s="170"/>
      <c r="B1127" s="170"/>
      <c r="C1127" s="170"/>
      <c r="D1127" s="170"/>
      <c r="E1127" s="577"/>
      <c r="F1127" s="578"/>
      <c r="G1127" s="579"/>
      <c r="H1127" s="170"/>
    </row>
    <row r="1128" spans="1:8" ht="14.25">
      <c r="A1128" s="170"/>
      <c r="B1128" s="170"/>
      <c r="C1128" s="170"/>
      <c r="D1128" s="170"/>
      <c r="E1128" s="577"/>
      <c r="F1128" s="578"/>
      <c r="G1128" s="579"/>
      <c r="H1128" s="170"/>
    </row>
    <row r="1129" spans="1:8" ht="14.25">
      <c r="A1129" s="170"/>
      <c r="B1129" s="170"/>
      <c r="C1129" s="170"/>
      <c r="D1129" s="170"/>
      <c r="E1129" s="577"/>
      <c r="F1129" s="578"/>
      <c r="G1129" s="579"/>
      <c r="H1129" s="170"/>
    </row>
    <row r="1130" spans="1:8" ht="14.25">
      <c r="A1130" s="170"/>
      <c r="B1130" s="170"/>
      <c r="C1130" s="170"/>
      <c r="D1130" s="170"/>
      <c r="E1130" s="577"/>
      <c r="F1130" s="578"/>
      <c r="G1130" s="579"/>
      <c r="H1130" s="170"/>
    </row>
    <row r="1131" spans="1:8" ht="14.25">
      <c r="A1131" s="170"/>
      <c r="B1131" s="170"/>
      <c r="C1131" s="170"/>
      <c r="D1131" s="170"/>
      <c r="E1131" s="577"/>
      <c r="F1131" s="578"/>
      <c r="G1131" s="579"/>
      <c r="H1131" s="170"/>
    </row>
    <row r="1132" spans="1:8" ht="14.25">
      <c r="A1132" s="170"/>
      <c r="B1132" s="170"/>
      <c r="C1132" s="170"/>
      <c r="D1132" s="170"/>
      <c r="E1132" s="577"/>
      <c r="F1132" s="578"/>
      <c r="G1132" s="579"/>
      <c r="H1132" s="170"/>
    </row>
    <row r="1133" spans="1:8" ht="14.25">
      <c r="A1133" s="170"/>
      <c r="B1133" s="170"/>
      <c r="C1133" s="170"/>
      <c r="D1133" s="170"/>
      <c r="E1133" s="577"/>
      <c r="F1133" s="578"/>
      <c r="G1133" s="579"/>
      <c r="H1133" s="170"/>
    </row>
    <row r="1134" spans="1:8" ht="14.25">
      <c r="A1134" s="170"/>
      <c r="B1134" s="170"/>
      <c r="C1134" s="170"/>
      <c r="D1134" s="170"/>
      <c r="E1134" s="577"/>
      <c r="F1134" s="578"/>
      <c r="G1134" s="579"/>
      <c r="H1134" s="170"/>
    </row>
    <row r="1135" spans="1:8" ht="14.25">
      <c r="A1135" s="170"/>
      <c r="B1135" s="170"/>
      <c r="C1135" s="170"/>
      <c r="D1135" s="170"/>
      <c r="E1135" s="577"/>
      <c r="F1135" s="578"/>
      <c r="G1135" s="579"/>
      <c r="H1135" s="170"/>
    </row>
    <row r="1136" spans="1:8" ht="14.25">
      <c r="A1136" s="170"/>
      <c r="B1136" s="170"/>
      <c r="C1136" s="170"/>
      <c r="D1136" s="170"/>
      <c r="E1136" s="577"/>
      <c r="F1136" s="578"/>
      <c r="G1136" s="579"/>
      <c r="H1136" s="170"/>
    </row>
    <row r="1137" spans="1:8" ht="14.25">
      <c r="A1137" s="170"/>
      <c r="B1137" s="170"/>
      <c r="C1137" s="170"/>
      <c r="D1137" s="170"/>
      <c r="E1137" s="577"/>
      <c r="F1137" s="578"/>
      <c r="G1137" s="579"/>
      <c r="H1137" s="170"/>
    </row>
    <row r="1138" spans="1:8" ht="14.25">
      <c r="A1138" s="170"/>
      <c r="B1138" s="170"/>
      <c r="C1138" s="170"/>
      <c r="D1138" s="170"/>
      <c r="E1138" s="577"/>
      <c r="F1138" s="578"/>
      <c r="G1138" s="579"/>
      <c r="H1138" s="170"/>
    </row>
    <row r="1139" spans="1:8" ht="14.25">
      <c r="A1139" s="170"/>
      <c r="B1139" s="170"/>
      <c r="C1139" s="170"/>
      <c r="D1139" s="170"/>
      <c r="E1139" s="577"/>
      <c r="F1139" s="578"/>
      <c r="G1139" s="579"/>
      <c r="H1139" s="170"/>
    </row>
    <row r="1140" spans="1:8" ht="14.25">
      <c r="A1140" s="170"/>
      <c r="B1140" s="170"/>
      <c r="C1140" s="170"/>
      <c r="D1140" s="170"/>
      <c r="E1140" s="577"/>
      <c r="F1140" s="578"/>
      <c r="G1140" s="579"/>
      <c r="H1140" s="170"/>
    </row>
    <row r="1141" spans="1:8" ht="14.25">
      <c r="A1141" s="170"/>
      <c r="B1141" s="170"/>
      <c r="C1141" s="170"/>
      <c r="D1141" s="170"/>
      <c r="E1141" s="577"/>
      <c r="F1141" s="578"/>
      <c r="G1141" s="579"/>
      <c r="H1141" s="170"/>
    </row>
    <row r="1142" spans="1:8" ht="14.25">
      <c r="A1142" s="170"/>
      <c r="B1142" s="170"/>
      <c r="C1142" s="170"/>
      <c r="D1142" s="170"/>
      <c r="E1142" s="577"/>
      <c r="F1142" s="578"/>
      <c r="G1142" s="579"/>
      <c r="H1142" s="170"/>
    </row>
    <row r="1143" spans="1:8" ht="14.25">
      <c r="A1143" s="170"/>
      <c r="B1143" s="170"/>
      <c r="C1143" s="170"/>
      <c r="D1143" s="170"/>
      <c r="E1143" s="577"/>
      <c r="F1143" s="578"/>
      <c r="G1143" s="579"/>
      <c r="H1143" s="170"/>
    </row>
    <row r="1144" spans="1:8" ht="14.25">
      <c r="A1144" s="170"/>
      <c r="B1144" s="170"/>
      <c r="C1144" s="170"/>
      <c r="D1144" s="170"/>
      <c r="E1144" s="577"/>
      <c r="F1144" s="578"/>
      <c r="G1144" s="579"/>
      <c r="H1144" s="170"/>
    </row>
    <row r="1145" spans="1:8" ht="14.25">
      <c r="A1145" s="170"/>
      <c r="B1145" s="170"/>
      <c r="C1145" s="170"/>
      <c r="D1145" s="170"/>
      <c r="E1145" s="577"/>
      <c r="F1145" s="578"/>
      <c r="G1145" s="579"/>
      <c r="H1145" s="170"/>
    </row>
    <row r="1146" spans="1:8" ht="14.25">
      <c r="A1146" s="170"/>
      <c r="B1146" s="170"/>
      <c r="C1146" s="170"/>
      <c r="D1146" s="170"/>
      <c r="E1146" s="577"/>
      <c r="F1146" s="578"/>
      <c r="G1146" s="579"/>
      <c r="H1146" s="170"/>
    </row>
    <row r="1147" spans="1:8" ht="14.25">
      <c r="A1147" s="170"/>
      <c r="B1147" s="170"/>
      <c r="C1147" s="170"/>
      <c r="D1147" s="170"/>
      <c r="E1147" s="577"/>
      <c r="F1147" s="578"/>
      <c r="G1147" s="579"/>
      <c r="H1147" s="170"/>
    </row>
    <row r="1148" spans="1:8" ht="14.25">
      <c r="A1148" s="170"/>
      <c r="B1148" s="170"/>
      <c r="C1148" s="170"/>
      <c r="D1148" s="170"/>
      <c r="E1148" s="577"/>
      <c r="F1148" s="578"/>
      <c r="G1148" s="579"/>
      <c r="H1148" s="170"/>
    </row>
    <row r="1149" spans="1:8" ht="14.25">
      <c r="A1149" s="170"/>
      <c r="B1149" s="170"/>
      <c r="C1149" s="170"/>
      <c r="D1149" s="170"/>
      <c r="E1149" s="577"/>
      <c r="F1149" s="578"/>
      <c r="G1149" s="579"/>
      <c r="H1149" s="170"/>
    </row>
    <row r="1150" spans="1:8" ht="14.25">
      <c r="A1150" s="170"/>
      <c r="B1150" s="170"/>
      <c r="C1150" s="170"/>
      <c r="D1150" s="170"/>
      <c r="E1150" s="577"/>
      <c r="F1150" s="578"/>
      <c r="G1150" s="579"/>
      <c r="H1150" s="170"/>
    </row>
    <row r="1151" spans="1:8" ht="14.25">
      <c r="A1151" s="170"/>
      <c r="B1151" s="170"/>
      <c r="C1151" s="170"/>
      <c r="D1151" s="170"/>
      <c r="E1151" s="577"/>
      <c r="F1151" s="578"/>
      <c r="G1151" s="579"/>
      <c r="H1151" s="170"/>
    </row>
    <row r="1152" spans="1:8" ht="14.25">
      <c r="A1152" s="170"/>
      <c r="B1152" s="170"/>
      <c r="C1152" s="170"/>
      <c r="D1152" s="170"/>
      <c r="E1152" s="577"/>
      <c r="F1152" s="578"/>
      <c r="G1152" s="579"/>
      <c r="H1152" s="170"/>
    </row>
    <row r="1153" spans="1:8" ht="14.25">
      <c r="A1153" s="170"/>
      <c r="B1153" s="170"/>
      <c r="C1153" s="170"/>
      <c r="D1153" s="170"/>
      <c r="E1153" s="577"/>
      <c r="F1153" s="578"/>
      <c r="G1153" s="579"/>
      <c r="H1153" s="170"/>
    </row>
    <row r="1154" spans="1:8" ht="14.25">
      <c r="A1154" s="170"/>
      <c r="B1154" s="170"/>
      <c r="C1154" s="170"/>
      <c r="D1154" s="170"/>
      <c r="E1154" s="577"/>
      <c r="F1154" s="578"/>
      <c r="G1154" s="579"/>
      <c r="H1154" s="170"/>
    </row>
    <row r="1155" spans="1:8" ht="14.25">
      <c r="A1155" s="170"/>
      <c r="B1155" s="170"/>
      <c r="C1155" s="170"/>
      <c r="D1155" s="170"/>
      <c r="E1155" s="577"/>
      <c r="F1155" s="578"/>
      <c r="G1155" s="579"/>
      <c r="H1155" s="170"/>
    </row>
    <row r="1156" spans="1:8" ht="14.25">
      <c r="A1156" s="170"/>
      <c r="B1156" s="170"/>
      <c r="C1156" s="170"/>
      <c r="D1156" s="170"/>
      <c r="E1156" s="577"/>
      <c r="F1156" s="578"/>
      <c r="G1156" s="579"/>
      <c r="H1156" s="170"/>
    </row>
    <row r="1157" spans="1:8" ht="14.25">
      <c r="A1157" s="170"/>
      <c r="B1157" s="170"/>
      <c r="C1157" s="170"/>
      <c r="D1157" s="170"/>
      <c r="E1157" s="577"/>
      <c r="F1157" s="578"/>
      <c r="G1157" s="579"/>
      <c r="H1157" s="170"/>
    </row>
    <row r="1158" spans="1:8" ht="14.25">
      <c r="A1158" s="170"/>
      <c r="B1158" s="170"/>
      <c r="C1158" s="170"/>
      <c r="D1158" s="170"/>
      <c r="E1158" s="577"/>
      <c r="F1158" s="578"/>
      <c r="G1158" s="579"/>
      <c r="H1158" s="170"/>
    </row>
    <row r="1159" spans="1:8" ht="14.25">
      <c r="A1159" s="170"/>
      <c r="B1159" s="170"/>
      <c r="C1159" s="170"/>
      <c r="D1159" s="170"/>
      <c r="E1159" s="577"/>
      <c r="F1159" s="578"/>
      <c r="G1159" s="579"/>
      <c r="H1159" s="170"/>
    </row>
    <row r="1160" spans="1:8" ht="14.25">
      <c r="A1160" s="170"/>
      <c r="B1160" s="170"/>
      <c r="C1160" s="170"/>
      <c r="D1160" s="170"/>
      <c r="E1160" s="577"/>
      <c r="F1160" s="578"/>
      <c r="G1160" s="579"/>
      <c r="H1160" s="170"/>
    </row>
    <row r="1161" spans="1:8" ht="14.25">
      <c r="A1161" s="170"/>
      <c r="B1161" s="170"/>
      <c r="C1161" s="170"/>
      <c r="D1161" s="170"/>
      <c r="E1161" s="577"/>
      <c r="F1161" s="578"/>
      <c r="G1161" s="579"/>
      <c r="H1161" s="170"/>
    </row>
    <row r="1162" spans="1:8" ht="14.25">
      <c r="A1162" s="170"/>
      <c r="B1162" s="170"/>
      <c r="C1162" s="170"/>
      <c r="D1162" s="170"/>
      <c r="E1162" s="577"/>
      <c r="F1162" s="578"/>
      <c r="G1162" s="579"/>
      <c r="H1162" s="170"/>
    </row>
    <row r="1163" spans="1:8" ht="14.25">
      <c r="A1163" s="170"/>
      <c r="B1163" s="170"/>
      <c r="C1163" s="170"/>
      <c r="D1163" s="170"/>
      <c r="E1163" s="577"/>
      <c r="F1163" s="578"/>
      <c r="G1163" s="579"/>
      <c r="H1163" s="170"/>
    </row>
    <row r="1164" spans="1:8" ht="14.25">
      <c r="A1164" s="170"/>
      <c r="B1164" s="170"/>
      <c r="C1164" s="170"/>
      <c r="D1164" s="170"/>
      <c r="E1164" s="577"/>
      <c r="F1164" s="578"/>
      <c r="G1164" s="579"/>
      <c r="H1164" s="170"/>
    </row>
    <row r="1165" spans="1:8" ht="14.25">
      <c r="A1165" s="170"/>
      <c r="B1165" s="170"/>
      <c r="C1165" s="170"/>
      <c r="D1165" s="170"/>
      <c r="E1165" s="577"/>
      <c r="F1165" s="578"/>
      <c r="G1165" s="579"/>
      <c r="H1165" s="170"/>
    </row>
    <row r="1166" spans="1:8" ht="14.25">
      <c r="A1166" s="170"/>
      <c r="B1166" s="170"/>
      <c r="C1166" s="170"/>
      <c r="D1166" s="170"/>
      <c r="E1166" s="577"/>
      <c r="F1166" s="578"/>
      <c r="G1166" s="579"/>
      <c r="H1166" s="170"/>
    </row>
    <row r="1167" spans="1:8" ht="14.25">
      <c r="A1167" s="170"/>
      <c r="B1167" s="170"/>
      <c r="C1167" s="170"/>
      <c r="D1167" s="170"/>
      <c r="E1167" s="577"/>
      <c r="F1167" s="578"/>
      <c r="G1167" s="579"/>
      <c r="H1167" s="170"/>
    </row>
    <row r="1168" spans="1:8" ht="14.25">
      <c r="A1168" s="170"/>
      <c r="B1168" s="170"/>
      <c r="C1168" s="170"/>
      <c r="D1168" s="170"/>
      <c r="E1168" s="577"/>
      <c r="F1168" s="578"/>
      <c r="G1168" s="579"/>
      <c r="H1168" s="170"/>
    </row>
    <row r="1169" spans="1:8" ht="14.25">
      <c r="A1169" s="170"/>
      <c r="B1169" s="170"/>
      <c r="C1169" s="170"/>
      <c r="D1169" s="170"/>
      <c r="E1169" s="577"/>
      <c r="F1169" s="578"/>
      <c r="G1169" s="579"/>
      <c r="H1169" s="170"/>
    </row>
    <row r="1170" spans="1:8" ht="14.25">
      <c r="A1170" s="170"/>
      <c r="B1170" s="170"/>
      <c r="C1170" s="170"/>
      <c r="D1170" s="170"/>
      <c r="E1170" s="577"/>
      <c r="F1170" s="578"/>
      <c r="G1170" s="579"/>
      <c r="H1170" s="170"/>
    </row>
    <row r="1171" spans="1:8" ht="14.25">
      <c r="A1171" s="170"/>
      <c r="B1171" s="170"/>
      <c r="C1171" s="170"/>
      <c r="D1171" s="170"/>
      <c r="E1171" s="577"/>
      <c r="F1171" s="578"/>
      <c r="G1171" s="579"/>
      <c r="H1171" s="170"/>
    </row>
    <row r="1172" spans="1:8" ht="14.25">
      <c r="A1172" s="170"/>
      <c r="B1172" s="170"/>
      <c r="C1172" s="170"/>
      <c r="D1172" s="170"/>
      <c r="E1172" s="577"/>
      <c r="F1172" s="578"/>
      <c r="G1172" s="579"/>
      <c r="H1172" s="170"/>
    </row>
    <row r="1173" spans="1:8" ht="14.25">
      <c r="A1173" s="170"/>
      <c r="B1173" s="170"/>
      <c r="C1173" s="170"/>
      <c r="D1173" s="170"/>
      <c r="E1173" s="577"/>
      <c r="F1173" s="578"/>
      <c r="G1173" s="579"/>
      <c r="H1173" s="170"/>
    </row>
    <row r="1174" spans="1:8" ht="14.25">
      <c r="A1174" s="170"/>
      <c r="B1174" s="170"/>
      <c r="C1174" s="170"/>
      <c r="D1174" s="170"/>
      <c r="E1174" s="577"/>
      <c r="F1174" s="578"/>
      <c r="G1174" s="579"/>
      <c r="H1174" s="170"/>
    </row>
    <row r="1175" spans="1:8" ht="14.25">
      <c r="A1175" s="170"/>
      <c r="B1175" s="170"/>
      <c r="C1175" s="170"/>
      <c r="D1175" s="170"/>
      <c r="E1175" s="577"/>
      <c r="F1175" s="578"/>
      <c r="G1175" s="579"/>
      <c r="H1175" s="170"/>
    </row>
    <row r="1176" spans="1:8" ht="14.25">
      <c r="A1176" s="170"/>
      <c r="B1176" s="170"/>
      <c r="C1176" s="170"/>
      <c r="D1176" s="170"/>
      <c r="E1176" s="577"/>
      <c r="F1176" s="578"/>
      <c r="G1176" s="579"/>
      <c r="H1176" s="170"/>
    </row>
    <row r="1177" spans="1:8" ht="14.25">
      <c r="A1177" s="170"/>
      <c r="B1177" s="170"/>
      <c r="C1177" s="170"/>
      <c r="D1177" s="170"/>
      <c r="E1177" s="577"/>
      <c r="F1177" s="578"/>
      <c r="G1177" s="579"/>
      <c r="H1177" s="170"/>
    </row>
    <row r="1178" spans="1:8" ht="14.25">
      <c r="A1178" s="170"/>
      <c r="B1178" s="170"/>
      <c r="C1178" s="170"/>
      <c r="D1178" s="170"/>
      <c r="E1178" s="577"/>
      <c r="F1178" s="578"/>
      <c r="G1178" s="579"/>
      <c r="H1178" s="170"/>
    </row>
    <row r="1179" spans="1:8" ht="14.25">
      <c r="A1179" s="170"/>
      <c r="B1179" s="170"/>
      <c r="C1179" s="170"/>
      <c r="D1179" s="170"/>
      <c r="E1179" s="577"/>
      <c r="F1179" s="578"/>
      <c r="G1179" s="579"/>
      <c r="H1179" s="170"/>
    </row>
    <row r="1180" spans="1:8" ht="14.25">
      <c r="A1180" s="170"/>
      <c r="B1180" s="170"/>
      <c r="C1180" s="170"/>
      <c r="D1180" s="170"/>
      <c r="E1180" s="577"/>
      <c r="F1180" s="578"/>
      <c r="G1180" s="579"/>
      <c r="H1180" s="170"/>
    </row>
    <row r="1181" spans="1:8" ht="14.25">
      <c r="A1181" s="170"/>
      <c r="B1181" s="170"/>
      <c r="C1181" s="170"/>
      <c r="D1181" s="170"/>
      <c r="E1181" s="577"/>
      <c r="F1181" s="578"/>
      <c r="G1181" s="579"/>
      <c r="H1181" s="170"/>
    </row>
    <row r="1182" spans="1:8" ht="14.25">
      <c r="A1182" s="170"/>
      <c r="B1182" s="170"/>
      <c r="C1182" s="170"/>
      <c r="D1182" s="170"/>
      <c r="E1182" s="577"/>
      <c r="F1182" s="578"/>
      <c r="G1182" s="579"/>
      <c r="H1182" s="170"/>
    </row>
    <row r="1183" spans="1:8" ht="14.25">
      <c r="A1183" s="170"/>
      <c r="B1183" s="170"/>
      <c r="C1183" s="170"/>
      <c r="D1183" s="170"/>
      <c r="E1183" s="577"/>
      <c r="F1183" s="578"/>
      <c r="G1183" s="579"/>
      <c r="H1183" s="170"/>
    </row>
    <row r="1184" spans="1:8" ht="14.25">
      <c r="A1184" s="170"/>
      <c r="B1184" s="170"/>
      <c r="C1184" s="170"/>
      <c r="D1184" s="170"/>
      <c r="E1184" s="577"/>
      <c r="F1184" s="578"/>
      <c r="G1184" s="579"/>
      <c r="H1184" s="170"/>
    </row>
    <row r="1185" spans="1:8" ht="14.25">
      <c r="A1185" s="170"/>
      <c r="B1185" s="170"/>
      <c r="C1185" s="170"/>
      <c r="D1185" s="170"/>
      <c r="E1185" s="577"/>
      <c r="F1185" s="578"/>
      <c r="G1185" s="579"/>
      <c r="H1185" s="170"/>
    </row>
    <row r="1186" spans="1:8" ht="14.25">
      <c r="A1186" s="170"/>
      <c r="B1186" s="170"/>
      <c r="C1186" s="170"/>
      <c r="D1186" s="170"/>
      <c r="E1186" s="577"/>
      <c r="F1186" s="578"/>
      <c r="G1186" s="579"/>
      <c r="H1186" s="170"/>
    </row>
    <row r="1187" spans="1:8" ht="14.25">
      <c r="A1187" s="170"/>
      <c r="B1187" s="170"/>
      <c r="C1187" s="170"/>
      <c r="D1187" s="170"/>
      <c r="E1187" s="577"/>
      <c r="F1187" s="578"/>
      <c r="G1187" s="579"/>
      <c r="H1187" s="170"/>
    </row>
    <row r="1188" spans="1:8" ht="14.25">
      <c r="A1188" s="170"/>
      <c r="B1188" s="170"/>
      <c r="C1188" s="170"/>
      <c r="D1188" s="170"/>
      <c r="E1188" s="577"/>
      <c r="F1188" s="578"/>
      <c r="G1188" s="579"/>
      <c r="H1188" s="170"/>
    </row>
    <row r="1189" spans="1:8" ht="14.25">
      <c r="A1189" s="170"/>
      <c r="B1189" s="170"/>
      <c r="C1189" s="170"/>
      <c r="D1189" s="170"/>
      <c r="E1189" s="577"/>
      <c r="F1189" s="578"/>
      <c r="G1189" s="579"/>
      <c r="H1189" s="170"/>
    </row>
    <row r="1190" spans="1:8" ht="14.25">
      <c r="A1190" s="170"/>
      <c r="B1190" s="170"/>
      <c r="C1190" s="170"/>
      <c r="D1190" s="170"/>
      <c r="E1190" s="577"/>
      <c r="F1190" s="578"/>
      <c r="G1190" s="579"/>
      <c r="H1190" s="170"/>
    </row>
    <row r="1191" spans="1:8" ht="14.25">
      <c r="A1191" s="170"/>
      <c r="B1191" s="170"/>
      <c r="C1191" s="170"/>
      <c r="D1191" s="170"/>
      <c r="E1191" s="577"/>
      <c r="F1191" s="578"/>
      <c r="G1191" s="579"/>
      <c r="H1191" s="170"/>
    </row>
    <row r="1192" spans="1:8" ht="14.25">
      <c r="A1192" s="170"/>
      <c r="B1192" s="170"/>
      <c r="C1192" s="170"/>
      <c r="D1192" s="170"/>
      <c r="E1192" s="577"/>
      <c r="F1192" s="578"/>
      <c r="G1192" s="579"/>
      <c r="H1192" s="170"/>
    </row>
    <row r="1193" spans="1:8" ht="14.25">
      <c r="A1193" s="170"/>
      <c r="B1193" s="170"/>
      <c r="C1193" s="170"/>
      <c r="D1193" s="170"/>
      <c r="E1193" s="577"/>
      <c r="F1193" s="578"/>
      <c r="G1193" s="579"/>
      <c r="H1193" s="170"/>
    </row>
    <row r="1194" spans="1:8" ht="14.25">
      <c r="A1194" s="170"/>
      <c r="B1194" s="170"/>
      <c r="C1194" s="170"/>
      <c r="D1194" s="170"/>
      <c r="E1194" s="577"/>
      <c r="F1194" s="578"/>
      <c r="G1194" s="579"/>
      <c r="H1194" s="170"/>
    </row>
    <row r="1195" spans="1:8" ht="14.25">
      <c r="A1195" s="170"/>
      <c r="B1195" s="170"/>
      <c r="C1195" s="170"/>
      <c r="D1195" s="170"/>
      <c r="E1195" s="577"/>
      <c r="F1195" s="578"/>
      <c r="G1195" s="579"/>
      <c r="H1195" s="170"/>
    </row>
    <row r="1196" spans="1:8" ht="14.25">
      <c r="A1196" s="170"/>
      <c r="B1196" s="170"/>
      <c r="C1196" s="170"/>
      <c r="D1196" s="170"/>
      <c r="E1196" s="577"/>
      <c r="F1196" s="578"/>
      <c r="G1196" s="579"/>
      <c r="H1196" s="170"/>
    </row>
    <row r="1197" spans="1:8" ht="14.25">
      <c r="A1197" s="170"/>
      <c r="B1197" s="170"/>
      <c r="C1197" s="170"/>
      <c r="D1197" s="170"/>
      <c r="E1197" s="577"/>
      <c r="F1197" s="578"/>
      <c r="G1197" s="579"/>
      <c r="H1197" s="170"/>
    </row>
    <row r="1198" spans="1:8" ht="14.25">
      <c r="A1198" s="170"/>
      <c r="B1198" s="170"/>
      <c r="C1198" s="170"/>
      <c r="D1198" s="170"/>
      <c r="E1198" s="577"/>
      <c r="F1198" s="578"/>
      <c r="G1198" s="579"/>
      <c r="H1198" s="170"/>
    </row>
    <row r="1199" spans="1:8" ht="14.25">
      <c r="A1199" s="170"/>
      <c r="B1199" s="170"/>
      <c r="C1199" s="170"/>
      <c r="D1199" s="170"/>
      <c r="E1199" s="577"/>
      <c r="F1199" s="578"/>
      <c r="G1199" s="579"/>
      <c r="H1199" s="170"/>
    </row>
    <row r="1200" spans="1:8" ht="14.25">
      <c r="A1200" s="170"/>
      <c r="B1200" s="170"/>
      <c r="C1200" s="170"/>
      <c r="D1200" s="170"/>
      <c r="E1200" s="577"/>
      <c r="F1200" s="578"/>
      <c r="G1200" s="579"/>
      <c r="H1200" s="170"/>
    </row>
    <row r="1201" spans="1:8" ht="14.25">
      <c r="A1201" s="170"/>
      <c r="B1201" s="170"/>
      <c r="C1201" s="170"/>
      <c r="D1201" s="170"/>
      <c r="E1201" s="577"/>
      <c r="F1201" s="578"/>
      <c r="G1201" s="579"/>
      <c r="H1201" s="170"/>
    </row>
    <row r="1202" spans="1:8" ht="14.25">
      <c r="A1202" s="170"/>
      <c r="B1202" s="170"/>
      <c r="C1202" s="170"/>
      <c r="D1202" s="170"/>
      <c r="E1202" s="577"/>
      <c r="F1202" s="578"/>
      <c r="G1202" s="579"/>
      <c r="H1202" s="170"/>
    </row>
    <row r="1203" spans="1:8" ht="14.25">
      <c r="A1203" s="170"/>
      <c r="B1203" s="170"/>
      <c r="C1203" s="170"/>
      <c r="D1203" s="170"/>
      <c r="E1203" s="577"/>
      <c r="F1203" s="578"/>
      <c r="G1203" s="579"/>
      <c r="H1203" s="170"/>
    </row>
    <row r="1204" spans="1:8" ht="14.25">
      <c r="A1204" s="170"/>
      <c r="B1204" s="170"/>
      <c r="C1204" s="170"/>
      <c r="D1204" s="170"/>
      <c r="E1204" s="577"/>
      <c r="F1204" s="578"/>
      <c r="G1204" s="579"/>
      <c r="H1204" s="170"/>
    </row>
    <row r="1205" spans="1:8" ht="14.25">
      <c r="A1205" s="170"/>
      <c r="B1205" s="170"/>
      <c r="C1205" s="170"/>
      <c r="D1205" s="170"/>
      <c r="E1205" s="577"/>
      <c r="F1205" s="578"/>
      <c r="G1205" s="579"/>
      <c r="H1205" s="170"/>
    </row>
    <row r="1206" spans="1:8" ht="14.25">
      <c r="A1206" s="170"/>
      <c r="B1206" s="170"/>
      <c r="C1206" s="170"/>
      <c r="D1206" s="170"/>
      <c r="E1206" s="577"/>
      <c r="F1206" s="578"/>
      <c r="G1206" s="579"/>
      <c r="H1206" s="170"/>
    </row>
    <row r="1207" spans="1:8" ht="14.25">
      <c r="A1207" s="170"/>
      <c r="B1207" s="170"/>
      <c r="C1207" s="170"/>
      <c r="D1207" s="170"/>
      <c r="E1207" s="577"/>
      <c r="F1207" s="578"/>
      <c r="G1207" s="579"/>
      <c r="H1207" s="170"/>
    </row>
    <row r="1208" spans="1:8" ht="14.25">
      <c r="A1208" s="170"/>
      <c r="B1208" s="170"/>
      <c r="C1208" s="170"/>
      <c r="D1208" s="170"/>
      <c r="E1208" s="577"/>
      <c r="F1208" s="578"/>
      <c r="G1208" s="579"/>
      <c r="H1208" s="170"/>
    </row>
    <row r="1209" spans="1:8" ht="14.25">
      <c r="A1209" s="170"/>
      <c r="B1209" s="170"/>
      <c r="C1209" s="170"/>
      <c r="D1209" s="170"/>
      <c r="E1209" s="577"/>
      <c r="F1209" s="578"/>
      <c r="G1209" s="579"/>
      <c r="H1209" s="170"/>
    </row>
    <row r="1210" spans="1:8" ht="14.25">
      <c r="A1210" s="170"/>
      <c r="B1210" s="170"/>
      <c r="C1210" s="170"/>
      <c r="D1210" s="170"/>
      <c r="E1210" s="577"/>
      <c r="F1210" s="578"/>
      <c r="G1210" s="579"/>
      <c r="H1210" s="170"/>
    </row>
    <row r="1211" spans="1:8" ht="14.25">
      <c r="A1211" s="170"/>
      <c r="B1211" s="170"/>
      <c r="C1211" s="170"/>
      <c r="D1211" s="170"/>
      <c r="E1211" s="577"/>
      <c r="F1211" s="578"/>
      <c r="G1211" s="579"/>
      <c r="H1211" s="170"/>
    </row>
    <row r="1212" spans="1:8" ht="14.25">
      <c r="A1212" s="170"/>
      <c r="B1212" s="170"/>
      <c r="C1212" s="170"/>
      <c r="D1212" s="170"/>
      <c r="E1212" s="577"/>
      <c r="F1212" s="578"/>
      <c r="G1212" s="579"/>
      <c r="H1212" s="170"/>
    </row>
    <row r="1213" spans="1:8" ht="14.25">
      <c r="A1213" s="170"/>
      <c r="B1213" s="170"/>
      <c r="C1213" s="170"/>
      <c r="D1213" s="170"/>
      <c r="E1213" s="577"/>
      <c r="F1213" s="578"/>
      <c r="G1213" s="579"/>
      <c r="H1213" s="170"/>
    </row>
    <row r="1214" spans="1:8" ht="14.25">
      <c r="A1214" s="170"/>
      <c r="B1214" s="170"/>
      <c r="C1214" s="170"/>
      <c r="D1214" s="170"/>
      <c r="E1214" s="577"/>
      <c r="F1214" s="578"/>
      <c r="G1214" s="579"/>
      <c r="H1214" s="170"/>
    </row>
    <row r="1215" spans="1:8" ht="14.25">
      <c r="A1215" s="170"/>
      <c r="B1215" s="170"/>
      <c r="C1215" s="170"/>
      <c r="D1215" s="170"/>
      <c r="E1215" s="577"/>
      <c r="F1215" s="578"/>
      <c r="G1215" s="579"/>
      <c r="H1215" s="170"/>
    </row>
    <row r="1216" spans="1:8" ht="14.25">
      <c r="A1216" s="170"/>
      <c r="B1216" s="170"/>
      <c r="C1216" s="170"/>
      <c r="D1216" s="170"/>
      <c r="E1216" s="577"/>
      <c r="F1216" s="578"/>
      <c r="G1216" s="579"/>
      <c r="H1216" s="170"/>
    </row>
    <row r="1217" spans="1:8" ht="14.25">
      <c r="A1217" s="170"/>
      <c r="B1217" s="170"/>
      <c r="C1217" s="170"/>
      <c r="D1217" s="170"/>
      <c r="E1217" s="577"/>
      <c r="F1217" s="578"/>
      <c r="G1217" s="579"/>
      <c r="H1217" s="170"/>
    </row>
    <row r="1218" spans="1:8" ht="14.25">
      <c r="A1218" s="170"/>
      <c r="B1218" s="170"/>
      <c r="C1218" s="170"/>
      <c r="D1218" s="170"/>
      <c r="E1218" s="577"/>
      <c r="F1218" s="578"/>
      <c r="G1218" s="579"/>
      <c r="H1218" s="170"/>
    </row>
    <row r="1219" spans="1:8" ht="14.25">
      <c r="A1219" s="170"/>
      <c r="B1219" s="170"/>
      <c r="C1219" s="170"/>
      <c r="D1219" s="170"/>
      <c r="E1219" s="577"/>
      <c r="F1219" s="578"/>
      <c r="G1219" s="579"/>
      <c r="H1219" s="170"/>
    </row>
    <row r="1220" spans="1:8" ht="14.25">
      <c r="A1220" s="170"/>
      <c r="B1220" s="170"/>
      <c r="C1220" s="170"/>
      <c r="D1220" s="170"/>
      <c r="E1220" s="577"/>
      <c r="F1220" s="578"/>
      <c r="G1220" s="579"/>
      <c r="H1220" s="170"/>
    </row>
    <row r="1221" spans="1:8" ht="14.25">
      <c r="A1221" s="170"/>
      <c r="B1221" s="170"/>
      <c r="C1221" s="170"/>
      <c r="D1221" s="170"/>
      <c r="E1221" s="577"/>
      <c r="F1221" s="578"/>
      <c r="G1221" s="579"/>
      <c r="H1221" s="170"/>
    </row>
    <row r="1222" spans="1:8" ht="14.25">
      <c r="A1222" s="170"/>
      <c r="B1222" s="170"/>
      <c r="C1222" s="170"/>
      <c r="D1222" s="170"/>
      <c r="E1222" s="577"/>
      <c r="F1222" s="578"/>
      <c r="G1222" s="579"/>
      <c r="H1222" s="170"/>
    </row>
    <row r="1223" spans="1:8" ht="14.25">
      <c r="A1223" s="170"/>
      <c r="B1223" s="170"/>
      <c r="C1223" s="170"/>
      <c r="D1223" s="170"/>
      <c r="E1223" s="577"/>
      <c r="F1223" s="578"/>
      <c r="G1223" s="579"/>
      <c r="H1223" s="170"/>
    </row>
    <row r="1224" spans="1:8" ht="14.25">
      <c r="A1224" s="170"/>
      <c r="B1224" s="170"/>
      <c r="C1224" s="170"/>
      <c r="D1224" s="170"/>
      <c r="E1224" s="577"/>
      <c r="F1224" s="578"/>
      <c r="G1224" s="579"/>
      <c r="H1224" s="170"/>
    </row>
    <row r="1225" spans="1:8" ht="14.25">
      <c r="A1225" s="170"/>
      <c r="B1225" s="170"/>
      <c r="C1225" s="170"/>
      <c r="D1225" s="170"/>
      <c r="E1225" s="577"/>
      <c r="F1225" s="578"/>
      <c r="G1225" s="579"/>
      <c r="H1225" s="170"/>
    </row>
    <row r="1226" spans="1:8" ht="14.25">
      <c r="A1226" s="170"/>
      <c r="B1226" s="170"/>
      <c r="C1226" s="170"/>
      <c r="D1226" s="170"/>
      <c r="E1226" s="577"/>
      <c r="F1226" s="578"/>
      <c r="G1226" s="579"/>
      <c r="H1226" s="170"/>
    </row>
    <row r="1227" spans="1:8" ht="14.25">
      <c r="A1227" s="170"/>
      <c r="B1227" s="170"/>
      <c r="C1227" s="170"/>
      <c r="D1227" s="170"/>
      <c r="E1227" s="577"/>
      <c r="F1227" s="578"/>
      <c r="G1227" s="579"/>
      <c r="H1227" s="170"/>
    </row>
    <row r="1228" spans="1:8" ht="14.25">
      <c r="A1228" s="170"/>
      <c r="B1228" s="170"/>
      <c r="C1228" s="170"/>
      <c r="D1228" s="170"/>
      <c r="E1228" s="577"/>
      <c r="F1228" s="578"/>
      <c r="G1228" s="579"/>
      <c r="H1228" s="170"/>
    </row>
    <row r="1229" spans="1:8" ht="14.25">
      <c r="A1229" s="170"/>
      <c r="B1229" s="170"/>
      <c r="C1229" s="170"/>
      <c r="D1229" s="170"/>
      <c r="E1229" s="577"/>
      <c r="F1229" s="578"/>
      <c r="G1229" s="579"/>
      <c r="H1229" s="170"/>
    </row>
    <row r="1230" spans="1:8" ht="14.25">
      <c r="A1230" s="170"/>
      <c r="B1230" s="170"/>
      <c r="C1230" s="170"/>
      <c r="D1230" s="170"/>
      <c r="E1230" s="577"/>
      <c r="F1230" s="578"/>
      <c r="G1230" s="579"/>
      <c r="H1230" s="170"/>
    </row>
    <row r="1231" spans="1:8" ht="14.25">
      <c r="A1231" s="170"/>
      <c r="B1231" s="170"/>
      <c r="C1231" s="170"/>
      <c r="D1231" s="170"/>
      <c r="E1231" s="577"/>
      <c r="F1231" s="578"/>
      <c r="G1231" s="579"/>
      <c r="H1231" s="170"/>
    </row>
    <row r="1232" spans="1:8" ht="14.25">
      <c r="A1232" s="170"/>
      <c r="B1232" s="170"/>
      <c r="C1232" s="170"/>
      <c r="D1232" s="170"/>
      <c r="E1232" s="577"/>
      <c r="F1232" s="578"/>
      <c r="G1232" s="579"/>
      <c r="H1232" s="170"/>
    </row>
    <row r="1233" spans="1:8" ht="14.25">
      <c r="A1233" s="170"/>
      <c r="B1233" s="170"/>
      <c r="C1233" s="170"/>
      <c r="D1233" s="170"/>
      <c r="E1233" s="577"/>
      <c r="F1233" s="578"/>
      <c r="G1233" s="579"/>
      <c r="H1233" s="170"/>
    </row>
    <row r="1234" spans="1:8" ht="14.25">
      <c r="A1234" s="170"/>
      <c r="B1234" s="170"/>
      <c r="C1234" s="170"/>
      <c r="D1234" s="170"/>
      <c r="E1234" s="577"/>
      <c r="F1234" s="578"/>
      <c r="G1234" s="579"/>
      <c r="H1234" s="170"/>
    </row>
    <row r="1235" spans="1:8" ht="14.25">
      <c r="A1235" s="170"/>
      <c r="B1235" s="170"/>
      <c r="C1235" s="170"/>
      <c r="D1235" s="170"/>
      <c r="E1235" s="577"/>
      <c r="F1235" s="578"/>
      <c r="G1235" s="579"/>
      <c r="H1235" s="170"/>
    </row>
    <row r="1236" spans="1:8" ht="14.25">
      <c r="A1236" s="170"/>
      <c r="B1236" s="170"/>
      <c r="C1236" s="170"/>
      <c r="D1236" s="170"/>
      <c r="E1236" s="577"/>
      <c r="F1236" s="578"/>
      <c r="G1236" s="579"/>
      <c r="H1236" s="170"/>
    </row>
    <row r="1237" spans="1:8" ht="14.25">
      <c r="A1237" s="170"/>
      <c r="B1237" s="170"/>
      <c r="C1237" s="170"/>
      <c r="D1237" s="170"/>
      <c r="E1237" s="577"/>
      <c r="F1237" s="578"/>
      <c r="G1237" s="579"/>
      <c r="H1237" s="170"/>
    </row>
    <row r="1238" spans="1:8" ht="14.25">
      <c r="A1238" s="170"/>
      <c r="B1238" s="170"/>
      <c r="C1238" s="170"/>
      <c r="D1238" s="170"/>
      <c r="E1238" s="577"/>
      <c r="F1238" s="578"/>
      <c r="G1238" s="579"/>
      <c r="H1238" s="170"/>
    </row>
    <row r="1239" spans="1:8" ht="14.25">
      <c r="A1239" s="170"/>
      <c r="B1239" s="170"/>
      <c r="C1239" s="170"/>
      <c r="D1239" s="170"/>
      <c r="E1239" s="577"/>
      <c r="F1239" s="578"/>
      <c r="G1239" s="579"/>
      <c r="H1239" s="170"/>
    </row>
    <row r="1240" spans="1:8" ht="14.25">
      <c r="A1240" s="170"/>
      <c r="B1240" s="170"/>
      <c r="C1240" s="170"/>
      <c r="D1240" s="170"/>
      <c r="E1240" s="577"/>
      <c r="F1240" s="578"/>
      <c r="G1240" s="579"/>
      <c r="H1240" s="170"/>
    </row>
    <row r="1241" spans="1:8" ht="14.25">
      <c r="A1241" s="170"/>
      <c r="B1241" s="170"/>
      <c r="C1241" s="170"/>
      <c r="D1241" s="170"/>
      <c r="E1241" s="577"/>
      <c r="F1241" s="578"/>
      <c r="G1241" s="579"/>
      <c r="H1241" s="170"/>
    </row>
    <row r="1242" spans="1:8" ht="14.25">
      <c r="A1242" s="170"/>
      <c r="B1242" s="170"/>
      <c r="C1242" s="170"/>
      <c r="D1242" s="170"/>
      <c r="E1242" s="577"/>
      <c r="F1242" s="578"/>
      <c r="G1242" s="579"/>
      <c r="H1242" s="170"/>
    </row>
    <row r="1243" spans="1:8" ht="14.25">
      <c r="A1243" s="170"/>
      <c r="B1243" s="170"/>
      <c r="C1243" s="170"/>
      <c r="D1243" s="170"/>
      <c r="E1243" s="577"/>
      <c r="F1243" s="578"/>
      <c r="G1243" s="579"/>
      <c r="H1243" s="170"/>
    </row>
    <row r="1244" spans="1:8" ht="14.25">
      <c r="A1244" s="170"/>
      <c r="B1244" s="170"/>
      <c r="C1244" s="170"/>
      <c r="D1244" s="170"/>
      <c r="E1244" s="577"/>
      <c r="F1244" s="578"/>
      <c r="G1244" s="579"/>
      <c r="H1244" s="170"/>
    </row>
    <row r="1245" spans="1:8" ht="14.25">
      <c r="A1245" s="170"/>
      <c r="B1245" s="170"/>
      <c r="C1245" s="170"/>
      <c r="D1245" s="170"/>
      <c r="E1245" s="577"/>
      <c r="F1245" s="578"/>
      <c r="G1245" s="579"/>
      <c r="H1245" s="170"/>
    </row>
    <row r="1246" spans="1:8" ht="14.25">
      <c r="A1246" s="170"/>
      <c r="B1246" s="170"/>
      <c r="C1246" s="170"/>
      <c r="D1246" s="170"/>
      <c r="E1246" s="577"/>
      <c r="F1246" s="578"/>
      <c r="G1246" s="579"/>
      <c r="H1246" s="170"/>
    </row>
    <row r="1247" spans="1:8" ht="14.25">
      <c r="A1247" s="170"/>
      <c r="B1247" s="170"/>
      <c r="C1247" s="170"/>
      <c r="D1247" s="170"/>
      <c r="E1247" s="577"/>
      <c r="F1247" s="578"/>
      <c r="G1247" s="579"/>
      <c r="H1247" s="170"/>
    </row>
    <row r="1248" spans="1:8" ht="14.25">
      <c r="A1248" s="170"/>
      <c r="B1248" s="170"/>
      <c r="C1248" s="170"/>
      <c r="D1248" s="170"/>
      <c r="E1248" s="577"/>
      <c r="F1248" s="578"/>
      <c r="G1248" s="579"/>
      <c r="H1248" s="170"/>
    </row>
    <row r="1249" spans="1:8" ht="14.25">
      <c r="A1249" s="170"/>
      <c r="B1249" s="170"/>
      <c r="C1249" s="170"/>
      <c r="D1249" s="170"/>
      <c r="E1249" s="577"/>
      <c r="F1249" s="578"/>
      <c r="G1249" s="579"/>
      <c r="H1249" s="170"/>
    </row>
    <row r="1250" spans="1:8" ht="14.25">
      <c r="A1250" s="170"/>
      <c r="B1250" s="170"/>
      <c r="C1250" s="170"/>
      <c r="D1250" s="170"/>
      <c r="E1250" s="577"/>
      <c r="F1250" s="578"/>
      <c r="G1250" s="579"/>
      <c r="H1250" s="170"/>
    </row>
    <row r="1251" spans="1:8" ht="14.25">
      <c r="A1251" s="170"/>
      <c r="B1251" s="170"/>
      <c r="C1251" s="170"/>
      <c r="D1251" s="170"/>
      <c r="E1251" s="577"/>
      <c r="F1251" s="578"/>
      <c r="G1251" s="579"/>
      <c r="H1251" s="170"/>
    </row>
    <row r="1252" spans="1:8" ht="14.25">
      <c r="A1252" s="170"/>
      <c r="B1252" s="170"/>
      <c r="C1252" s="170"/>
      <c r="D1252" s="170"/>
      <c r="E1252" s="577"/>
      <c r="F1252" s="578"/>
      <c r="G1252" s="579"/>
      <c r="H1252" s="170"/>
    </row>
    <row r="1253" spans="1:8" ht="14.25">
      <c r="A1253" s="170"/>
      <c r="B1253" s="170"/>
      <c r="C1253" s="170"/>
      <c r="D1253" s="170"/>
      <c r="E1253" s="577"/>
      <c r="F1253" s="578"/>
      <c r="G1253" s="579"/>
      <c r="H1253" s="170"/>
    </row>
    <row r="1254" spans="1:8" ht="14.25">
      <c r="A1254" s="170"/>
      <c r="B1254" s="170"/>
      <c r="C1254" s="170"/>
      <c r="D1254" s="170"/>
      <c r="E1254" s="577"/>
      <c r="F1254" s="578"/>
      <c r="G1254" s="579"/>
      <c r="H1254" s="170"/>
    </row>
    <row r="1255" spans="1:8" ht="14.25">
      <c r="A1255" s="170"/>
      <c r="B1255" s="170"/>
      <c r="C1255" s="170"/>
      <c r="D1255" s="170"/>
      <c r="E1255" s="577"/>
      <c r="F1255" s="578"/>
      <c r="G1255" s="579"/>
      <c r="H1255" s="170"/>
    </row>
    <row r="1256" spans="1:8" ht="14.25">
      <c r="A1256" s="170"/>
      <c r="B1256" s="170"/>
      <c r="C1256" s="170"/>
      <c r="D1256" s="170"/>
      <c r="E1256" s="577"/>
      <c r="F1256" s="578"/>
      <c r="G1256" s="579"/>
      <c r="H1256" s="170"/>
    </row>
    <row r="1257" spans="1:8" ht="14.25">
      <c r="A1257" s="170"/>
      <c r="B1257" s="170"/>
      <c r="C1257" s="170"/>
      <c r="D1257" s="170"/>
      <c r="E1257" s="577"/>
      <c r="F1257" s="578"/>
      <c r="G1257" s="579"/>
      <c r="H1257" s="170"/>
    </row>
    <row r="1258" spans="1:8" ht="14.25">
      <c r="A1258" s="170"/>
      <c r="B1258" s="170"/>
      <c r="C1258" s="170"/>
      <c r="D1258" s="170"/>
      <c r="E1258" s="577"/>
      <c r="F1258" s="578"/>
      <c r="G1258" s="579"/>
      <c r="H1258" s="170"/>
    </row>
    <row r="1259" spans="1:8" ht="14.25">
      <c r="A1259" s="170"/>
      <c r="B1259" s="170"/>
      <c r="C1259" s="170"/>
      <c r="D1259" s="170"/>
      <c r="E1259" s="577"/>
      <c r="F1259" s="578"/>
      <c r="G1259" s="579"/>
      <c r="H1259" s="170"/>
    </row>
    <row r="1260" spans="1:8" ht="14.25">
      <c r="A1260" s="170"/>
      <c r="B1260" s="170"/>
      <c r="C1260" s="170"/>
      <c r="D1260" s="170"/>
      <c r="E1260" s="577"/>
      <c r="F1260" s="578"/>
      <c r="G1260" s="579"/>
      <c r="H1260" s="170"/>
    </row>
    <row r="1261" spans="1:8" ht="14.25">
      <c r="A1261" s="170"/>
      <c r="B1261" s="170"/>
      <c r="C1261" s="170"/>
      <c r="D1261" s="170"/>
      <c r="E1261" s="577"/>
      <c r="F1261" s="578"/>
      <c r="G1261" s="579"/>
      <c r="H1261" s="170"/>
    </row>
    <row r="1262" spans="1:8" ht="14.25">
      <c r="A1262" s="170"/>
      <c r="B1262" s="170"/>
      <c r="C1262" s="170"/>
      <c r="D1262" s="170"/>
      <c r="E1262" s="577"/>
      <c r="F1262" s="578"/>
      <c r="G1262" s="579"/>
      <c r="H1262" s="170"/>
    </row>
    <row r="1263" spans="1:8" ht="14.25">
      <c r="A1263" s="170"/>
      <c r="B1263" s="170"/>
      <c r="C1263" s="170"/>
      <c r="D1263" s="170"/>
      <c r="E1263" s="577"/>
      <c r="F1263" s="578"/>
      <c r="G1263" s="579"/>
      <c r="H1263" s="170"/>
    </row>
    <row r="1264" spans="1:8" ht="14.25">
      <c r="A1264" s="170"/>
      <c r="B1264" s="170"/>
      <c r="C1264" s="170"/>
      <c r="D1264" s="170"/>
      <c r="E1264" s="577"/>
      <c r="F1264" s="578"/>
      <c r="G1264" s="579"/>
      <c r="H1264" s="170"/>
    </row>
    <row r="1265" spans="1:8" ht="14.25">
      <c r="A1265" s="170"/>
      <c r="B1265" s="170"/>
      <c r="C1265" s="170"/>
      <c r="D1265" s="170"/>
      <c r="E1265" s="577"/>
      <c r="F1265" s="578"/>
      <c r="G1265" s="579"/>
      <c r="H1265" s="170"/>
    </row>
    <row r="1266" spans="1:8" ht="14.25">
      <c r="A1266" s="170"/>
      <c r="B1266" s="170"/>
      <c r="C1266" s="170"/>
      <c r="D1266" s="170"/>
      <c r="E1266" s="577"/>
      <c r="F1266" s="578"/>
      <c r="G1266" s="579"/>
      <c r="H1266" s="170"/>
    </row>
    <row r="1267" spans="1:8" ht="14.25">
      <c r="A1267" s="170"/>
      <c r="B1267" s="170"/>
      <c r="C1267" s="170"/>
      <c r="D1267" s="170"/>
      <c r="E1267" s="577"/>
      <c r="F1267" s="578"/>
      <c r="G1267" s="579"/>
      <c r="H1267" s="170"/>
    </row>
    <row r="1268" spans="1:8" ht="14.25">
      <c r="A1268" s="170"/>
      <c r="B1268" s="170"/>
      <c r="C1268" s="170"/>
      <c r="D1268" s="170"/>
      <c r="E1268" s="577"/>
      <c r="F1268" s="578"/>
      <c r="G1268" s="579"/>
      <c r="H1268" s="170"/>
    </row>
    <row r="1269" spans="1:8" ht="14.25">
      <c r="A1269" s="170"/>
      <c r="B1269" s="170"/>
      <c r="C1269" s="170"/>
      <c r="D1269" s="170"/>
      <c r="E1269" s="577"/>
      <c r="F1269" s="578"/>
      <c r="G1269" s="579"/>
      <c r="H1269" s="170"/>
    </row>
    <row r="1270" spans="1:8" ht="14.25">
      <c r="A1270" s="170"/>
      <c r="B1270" s="170"/>
      <c r="C1270" s="170"/>
      <c r="D1270" s="170"/>
      <c r="E1270" s="577"/>
      <c r="F1270" s="578"/>
      <c r="G1270" s="579"/>
      <c r="H1270" s="170"/>
    </row>
    <row r="1271" spans="1:8" ht="14.25">
      <c r="A1271" s="170"/>
      <c r="B1271" s="170"/>
      <c r="C1271" s="170"/>
      <c r="D1271" s="170"/>
      <c r="E1271" s="577"/>
      <c r="F1271" s="578"/>
      <c r="G1271" s="579"/>
      <c r="H1271" s="170"/>
    </row>
    <row r="1272" spans="1:8" ht="14.25">
      <c r="A1272" s="170"/>
      <c r="B1272" s="170"/>
      <c r="C1272" s="170"/>
      <c r="D1272" s="170"/>
      <c r="E1272" s="577"/>
      <c r="F1272" s="578"/>
      <c r="G1272" s="579"/>
      <c r="H1272" s="170"/>
    </row>
    <row r="1273" spans="1:8" ht="14.25">
      <c r="A1273" s="170"/>
      <c r="B1273" s="170"/>
      <c r="C1273" s="170"/>
      <c r="D1273" s="170"/>
      <c r="E1273" s="577"/>
      <c r="F1273" s="578"/>
      <c r="G1273" s="579"/>
      <c r="H1273" s="170"/>
    </row>
    <row r="1274" spans="1:8" ht="14.25">
      <c r="A1274" s="170"/>
      <c r="B1274" s="170"/>
      <c r="C1274" s="170"/>
      <c r="D1274" s="170"/>
      <c r="E1274" s="577"/>
      <c r="F1274" s="578"/>
      <c r="G1274" s="579"/>
      <c r="H1274" s="170"/>
    </row>
    <row r="1275" spans="1:8" ht="14.25">
      <c r="A1275" s="170"/>
      <c r="B1275" s="170"/>
      <c r="C1275" s="170"/>
      <c r="D1275" s="170"/>
      <c r="E1275" s="577"/>
      <c r="F1275" s="578"/>
      <c r="G1275" s="579"/>
      <c r="H1275" s="170"/>
    </row>
    <row r="1276" spans="1:8" ht="14.25">
      <c r="A1276" s="170"/>
      <c r="B1276" s="170"/>
      <c r="C1276" s="170"/>
      <c r="D1276" s="170"/>
      <c r="E1276" s="577"/>
      <c r="F1276" s="578"/>
      <c r="G1276" s="579"/>
      <c r="H1276" s="170"/>
    </row>
    <row r="1277" spans="1:8" ht="14.25">
      <c r="A1277" s="170"/>
      <c r="B1277" s="170"/>
      <c r="C1277" s="170"/>
      <c r="D1277" s="170"/>
      <c r="E1277" s="577"/>
      <c r="F1277" s="578"/>
      <c r="G1277" s="579"/>
      <c r="H1277" s="170"/>
    </row>
    <row r="1278" spans="1:8" ht="14.25">
      <c r="A1278" s="170"/>
      <c r="B1278" s="170"/>
      <c r="C1278" s="170"/>
      <c r="D1278" s="170"/>
      <c r="E1278" s="577"/>
      <c r="F1278" s="578"/>
      <c r="G1278" s="579"/>
      <c r="H1278" s="170"/>
    </row>
    <row r="1279" spans="1:8" ht="14.25">
      <c r="A1279" s="170"/>
      <c r="B1279" s="170"/>
      <c r="C1279" s="170"/>
      <c r="D1279" s="170"/>
      <c r="E1279" s="577"/>
      <c r="F1279" s="578"/>
      <c r="G1279" s="579"/>
      <c r="H1279" s="170"/>
    </row>
    <row r="1280" spans="1:8" ht="14.25">
      <c r="A1280" s="170"/>
      <c r="B1280" s="170"/>
      <c r="C1280" s="170"/>
      <c r="D1280" s="170"/>
      <c r="E1280" s="577"/>
      <c r="F1280" s="578"/>
      <c r="G1280" s="579"/>
      <c r="H1280" s="170"/>
    </row>
    <row r="1281" spans="1:8" ht="14.25">
      <c r="A1281" s="170"/>
      <c r="B1281" s="170"/>
      <c r="C1281" s="170"/>
      <c r="D1281" s="170"/>
      <c r="E1281" s="577"/>
      <c r="F1281" s="578"/>
      <c r="G1281" s="579"/>
      <c r="H1281" s="170"/>
    </row>
    <row r="1282" spans="1:8" ht="14.25">
      <c r="A1282" s="170"/>
      <c r="B1282" s="170"/>
      <c r="C1282" s="170"/>
      <c r="D1282" s="170"/>
      <c r="E1282" s="577"/>
      <c r="F1282" s="578"/>
      <c r="G1282" s="579"/>
      <c r="H1282" s="170"/>
    </row>
    <row r="1283" spans="1:8" ht="14.25">
      <c r="A1283" s="170"/>
      <c r="B1283" s="170"/>
      <c r="C1283" s="170"/>
      <c r="D1283" s="170"/>
      <c r="E1283" s="577"/>
      <c r="F1283" s="578"/>
      <c r="G1283" s="579"/>
      <c r="H1283" s="170"/>
    </row>
    <row r="1284" spans="1:8" ht="14.25">
      <c r="A1284" s="170"/>
      <c r="B1284" s="170"/>
      <c r="C1284" s="170"/>
      <c r="D1284" s="170"/>
      <c r="E1284" s="577"/>
      <c r="F1284" s="578"/>
      <c r="G1284" s="579"/>
      <c r="H1284" s="170"/>
    </row>
    <row r="1285" spans="1:8" ht="14.25">
      <c r="A1285" s="170"/>
      <c r="B1285" s="170"/>
      <c r="C1285" s="170"/>
      <c r="D1285" s="170"/>
      <c r="E1285" s="577"/>
      <c r="F1285" s="578"/>
      <c r="G1285" s="579"/>
      <c r="H1285" s="170"/>
    </row>
    <row r="1286" spans="1:8" ht="14.25">
      <c r="A1286" s="170"/>
      <c r="B1286" s="170"/>
      <c r="C1286" s="170"/>
      <c r="D1286" s="170"/>
      <c r="E1286" s="577"/>
      <c r="F1286" s="578"/>
      <c r="G1286" s="579"/>
      <c r="H1286" s="170"/>
    </row>
    <row r="1287" spans="1:8" ht="14.25">
      <c r="A1287" s="170"/>
      <c r="B1287" s="170"/>
      <c r="C1287" s="170"/>
      <c r="D1287" s="170"/>
      <c r="E1287" s="577"/>
      <c r="F1287" s="578"/>
      <c r="G1287" s="579"/>
      <c r="H1287" s="170"/>
    </row>
    <row r="1288" spans="1:8" ht="14.25">
      <c r="A1288" s="170"/>
      <c r="B1288" s="170"/>
      <c r="C1288" s="170"/>
      <c r="D1288" s="170"/>
      <c r="E1288" s="577"/>
      <c r="F1288" s="578"/>
      <c r="G1288" s="579"/>
      <c r="H1288" s="170"/>
    </row>
    <row r="1289" spans="1:8" ht="14.25">
      <c r="A1289" s="170"/>
      <c r="B1289" s="170"/>
      <c r="C1289" s="170"/>
      <c r="D1289" s="170"/>
      <c r="E1289" s="577"/>
      <c r="F1289" s="578"/>
      <c r="G1289" s="579"/>
      <c r="H1289" s="170"/>
    </row>
    <row r="1290" spans="1:8" ht="14.25">
      <c r="A1290" s="170"/>
      <c r="B1290" s="170"/>
      <c r="C1290" s="170"/>
      <c r="D1290" s="170"/>
      <c r="E1290" s="577"/>
      <c r="F1290" s="578"/>
      <c r="G1290" s="579"/>
      <c r="H1290" s="170"/>
    </row>
    <row r="1291" spans="1:8" ht="14.25">
      <c r="A1291" s="170"/>
      <c r="B1291" s="170"/>
      <c r="C1291" s="170"/>
      <c r="D1291" s="170"/>
      <c r="E1291" s="577"/>
      <c r="F1291" s="578"/>
      <c r="G1291" s="579"/>
      <c r="H1291" s="170"/>
    </row>
    <row r="1292" spans="1:8" ht="14.25">
      <c r="A1292" s="170"/>
      <c r="B1292" s="170"/>
      <c r="C1292" s="170"/>
      <c r="D1292" s="170"/>
      <c r="E1292" s="577"/>
      <c r="F1292" s="578"/>
      <c r="G1292" s="579"/>
      <c r="H1292" s="170"/>
    </row>
    <row r="1293" spans="1:8" ht="14.25">
      <c r="A1293" s="170"/>
      <c r="B1293" s="170"/>
      <c r="C1293" s="170"/>
      <c r="D1293" s="170"/>
      <c r="E1293" s="577"/>
      <c r="F1293" s="578"/>
      <c r="G1293" s="579"/>
      <c r="H1293" s="170"/>
    </row>
    <row r="1294" spans="1:8" ht="14.25">
      <c r="A1294" s="170"/>
      <c r="B1294" s="170"/>
      <c r="C1294" s="170"/>
      <c r="D1294" s="170"/>
      <c r="E1294" s="577"/>
      <c r="F1294" s="578"/>
      <c r="G1294" s="579"/>
      <c r="H1294" s="170"/>
    </row>
    <row r="1295" spans="1:8" ht="14.25">
      <c r="A1295" s="170"/>
      <c r="B1295" s="170"/>
      <c r="C1295" s="170"/>
      <c r="D1295" s="170"/>
      <c r="E1295" s="577"/>
      <c r="F1295" s="578"/>
      <c r="G1295" s="579"/>
      <c r="H1295" s="170"/>
    </row>
    <row r="1296" spans="1:8" ht="14.25">
      <c r="A1296" s="170"/>
      <c r="B1296" s="170"/>
      <c r="C1296" s="170"/>
      <c r="D1296" s="170"/>
      <c r="E1296" s="577"/>
      <c r="F1296" s="578"/>
      <c r="G1296" s="579"/>
      <c r="H1296" s="170"/>
    </row>
    <row r="1297" spans="1:8" ht="14.25">
      <c r="A1297" s="170"/>
      <c r="B1297" s="170"/>
      <c r="C1297" s="170"/>
      <c r="D1297" s="170"/>
      <c r="E1297" s="577"/>
      <c r="F1297" s="578"/>
      <c r="G1297" s="579"/>
      <c r="H1297" s="170"/>
    </row>
    <row r="1298" spans="1:8" ht="14.25">
      <c r="A1298" s="170"/>
      <c r="B1298" s="170"/>
      <c r="C1298" s="170"/>
      <c r="D1298" s="170"/>
      <c r="E1298" s="577"/>
      <c r="F1298" s="578"/>
      <c r="G1298" s="579"/>
      <c r="H1298" s="170"/>
    </row>
    <row r="1299" spans="1:8" ht="14.25">
      <c r="A1299" s="170"/>
      <c r="B1299" s="170"/>
      <c r="C1299" s="170"/>
      <c r="D1299" s="170"/>
      <c r="E1299" s="577"/>
      <c r="F1299" s="578"/>
      <c r="G1299" s="579"/>
      <c r="H1299" s="170"/>
    </row>
    <row r="1300" spans="1:8" ht="14.25">
      <c r="A1300" s="170"/>
      <c r="B1300" s="170"/>
      <c r="C1300" s="170"/>
      <c r="D1300" s="170"/>
      <c r="E1300" s="577"/>
      <c r="F1300" s="578"/>
      <c r="G1300" s="579"/>
      <c r="H1300" s="170"/>
    </row>
    <row r="1301" spans="1:8" ht="14.25">
      <c r="A1301" s="170"/>
      <c r="B1301" s="170"/>
      <c r="C1301" s="170"/>
      <c r="D1301" s="170"/>
      <c r="E1301" s="577"/>
      <c r="F1301" s="578"/>
      <c r="G1301" s="579"/>
      <c r="H1301" s="170"/>
    </row>
    <row r="1302" spans="1:8" ht="14.25">
      <c r="A1302" s="170"/>
      <c r="B1302" s="170"/>
      <c r="C1302" s="170"/>
      <c r="D1302" s="170"/>
      <c r="E1302" s="577"/>
      <c r="F1302" s="578"/>
      <c r="G1302" s="579"/>
      <c r="H1302" s="170"/>
    </row>
    <row r="1303" spans="1:8" ht="14.25">
      <c r="A1303" s="170"/>
      <c r="B1303" s="170"/>
      <c r="C1303" s="170"/>
      <c r="D1303" s="170"/>
      <c r="E1303" s="577"/>
      <c r="F1303" s="578"/>
      <c r="G1303" s="579"/>
      <c r="H1303" s="170"/>
    </row>
    <row r="1304" spans="1:8" ht="14.25">
      <c r="A1304" s="170"/>
      <c r="B1304" s="170"/>
      <c r="C1304" s="170"/>
      <c r="D1304" s="170"/>
      <c r="E1304" s="577"/>
      <c r="F1304" s="578"/>
      <c r="G1304" s="579"/>
      <c r="H1304" s="170"/>
    </row>
    <row r="1305" spans="1:8" ht="14.25">
      <c r="A1305" s="170"/>
      <c r="B1305" s="170"/>
      <c r="C1305" s="170"/>
      <c r="D1305" s="170"/>
      <c r="E1305" s="577"/>
      <c r="F1305" s="578"/>
      <c r="G1305" s="579"/>
      <c r="H1305" s="170"/>
    </row>
    <row r="1306" spans="1:8" ht="14.25">
      <c r="A1306" s="170"/>
      <c r="B1306" s="170"/>
      <c r="C1306" s="170"/>
      <c r="D1306" s="170"/>
      <c r="E1306" s="577"/>
      <c r="F1306" s="578"/>
      <c r="G1306" s="579"/>
      <c r="H1306" s="170"/>
    </row>
    <row r="1307" spans="1:8" ht="14.25">
      <c r="A1307" s="170"/>
      <c r="B1307" s="170"/>
      <c r="C1307" s="170"/>
      <c r="D1307" s="170"/>
      <c r="E1307" s="577"/>
      <c r="F1307" s="578"/>
      <c r="G1307" s="579"/>
      <c r="H1307" s="170"/>
    </row>
    <row r="1308" spans="1:8" ht="14.25">
      <c r="A1308" s="170"/>
      <c r="B1308" s="170"/>
      <c r="C1308" s="170"/>
      <c r="D1308" s="170"/>
      <c r="E1308" s="577"/>
      <c r="F1308" s="578"/>
      <c r="G1308" s="579"/>
      <c r="H1308" s="170"/>
    </row>
    <row r="1309" spans="1:8" ht="14.25">
      <c r="A1309" s="170"/>
      <c r="B1309" s="170"/>
      <c r="C1309" s="170"/>
      <c r="D1309" s="170"/>
      <c r="E1309" s="577"/>
      <c r="F1309" s="578"/>
      <c r="G1309" s="579"/>
      <c r="H1309" s="170"/>
    </row>
    <row r="1310" spans="1:8" ht="14.25">
      <c r="A1310" s="170"/>
      <c r="B1310" s="170"/>
      <c r="C1310" s="170"/>
      <c r="D1310" s="170"/>
      <c r="E1310" s="577"/>
      <c r="F1310" s="578"/>
      <c r="G1310" s="579"/>
      <c r="H1310" s="170"/>
    </row>
    <row r="1311" spans="1:8" ht="14.25">
      <c r="A1311" s="170"/>
      <c r="B1311" s="170"/>
      <c r="C1311" s="170"/>
      <c r="D1311" s="170"/>
      <c r="E1311" s="577"/>
      <c r="F1311" s="578"/>
      <c r="G1311" s="579"/>
      <c r="H1311" s="170"/>
    </row>
    <row r="1312" spans="1:8" ht="14.25">
      <c r="A1312" s="170"/>
      <c r="B1312" s="170"/>
      <c r="C1312" s="170"/>
      <c r="D1312" s="170"/>
      <c r="E1312" s="577"/>
      <c r="F1312" s="578"/>
      <c r="G1312" s="579"/>
      <c r="H1312" s="170"/>
    </row>
    <row r="1313" spans="1:8" ht="14.25">
      <c r="A1313" s="170"/>
      <c r="B1313" s="170"/>
      <c r="C1313" s="170"/>
      <c r="D1313" s="170"/>
      <c r="E1313" s="577"/>
      <c r="F1313" s="578"/>
      <c r="G1313" s="579"/>
      <c r="H1313" s="170"/>
    </row>
    <row r="1314" spans="1:8" ht="14.25">
      <c r="A1314" s="170"/>
      <c r="B1314" s="170"/>
      <c r="C1314" s="170"/>
      <c r="D1314" s="170"/>
      <c r="E1314" s="577"/>
      <c r="F1314" s="578"/>
      <c r="G1314" s="579"/>
      <c r="H1314" s="170"/>
    </row>
    <row r="1315" spans="1:8" ht="14.25">
      <c r="A1315" s="170"/>
      <c r="B1315" s="170"/>
      <c r="C1315" s="170"/>
      <c r="D1315" s="170"/>
      <c r="E1315" s="577"/>
      <c r="F1315" s="578"/>
      <c r="G1315" s="579"/>
      <c r="H1315" s="170"/>
    </row>
    <row r="1316" spans="1:8" ht="14.25">
      <c r="A1316" s="170"/>
      <c r="B1316" s="170"/>
      <c r="C1316" s="170"/>
      <c r="D1316" s="170"/>
      <c r="E1316" s="577"/>
      <c r="F1316" s="578"/>
      <c r="G1316" s="579"/>
      <c r="H1316" s="170"/>
    </row>
    <row r="1317" spans="1:8" ht="14.25">
      <c r="A1317" s="170"/>
      <c r="B1317" s="170"/>
      <c r="C1317" s="170"/>
      <c r="D1317" s="170"/>
      <c r="E1317" s="577"/>
      <c r="F1317" s="578"/>
      <c r="G1317" s="579"/>
      <c r="H1317" s="170"/>
    </row>
    <row r="1318" spans="1:8" ht="14.25">
      <c r="A1318" s="170"/>
      <c r="B1318" s="170"/>
      <c r="C1318" s="170"/>
      <c r="D1318" s="170"/>
      <c r="E1318" s="577"/>
      <c r="F1318" s="578"/>
      <c r="G1318" s="579"/>
      <c r="H1318" s="170"/>
    </row>
    <row r="1319" spans="1:8" ht="14.25">
      <c r="A1319" s="170"/>
      <c r="B1319" s="170"/>
      <c r="C1319" s="170"/>
      <c r="D1319" s="170"/>
      <c r="E1319" s="577"/>
      <c r="F1319" s="578"/>
      <c r="G1319" s="579"/>
      <c r="H1319" s="170"/>
    </row>
    <row r="1320" spans="1:8" ht="14.25">
      <c r="A1320" s="170"/>
      <c r="B1320" s="170"/>
      <c r="C1320" s="170"/>
      <c r="D1320" s="170"/>
      <c r="E1320" s="577"/>
      <c r="F1320" s="578"/>
      <c r="G1320" s="579"/>
      <c r="H1320" s="170"/>
    </row>
    <row r="1321" spans="1:8" ht="14.25">
      <c r="A1321" s="170"/>
      <c r="B1321" s="170"/>
      <c r="C1321" s="170"/>
      <c r="D1321" s="170"/>
      <c r="E1321" s="577"/>
      <c r="F1321" s="578"/>
      <c r="G1321" s="579"/>
      <c r="H1321" s="170"/>
    </row>
    <row r="1322" spans="1:8" ht="14.25">
      <c r="A1322" s="170"/>
      <c r="B1322" s="170"/>
      <c r="C1322" s="170"/>
      <c r="D1322" s="170"/>
      <c r="E1322" s="577"/>
      <c r="F1322" s="578"/>
      <c r="G1322" s="579"/>
      <c r="H1322" s="170"/>
    </row>
    <row r="1323" spans="1:8" ht="14.25">
      <c r="A1323" s="170"/>
      <c r="B1323" s="170"/>
      <c r="C1323" s="170"/>
      <c r="D1323" s="170"/>
      <c r="E1323" s="577"/>
      <c r="F1323" s="578"/>
      <c r="G1323" s="579"/>
      <c r="H1323" s="170"/>
    </row>
    <row r="1324" spans="1:8" ht="14.25">
      <c r="A1324" s="170"/>
      <c r="B1324" s="170"/>
      <c r="C1324" s="170"/>
      <c r="D1324" s="170"/>
      <c r="E1324" s="577"/>
      <c r="F1324" s="578"/>
      <c r="G1324" s="579"/>
      <c r="H1324" s="170"/>
    </row>
    <row r="1325" spans="1:8" ht="14.25">
      <c r="A1325" s="170"/>
      <c r="B1325" s="170"/>
      <c r="C1325" s="170"/>
      <c r="D1325" s="170"/>
      <c r="E1325" s="577"/>
      <c r="F1325" s="578"/>
      <c r="G1325" s="579"/>
      <c r="H1325" s="170"/>
    </row>
    <row r="1326" spans="1:8" ht="14.25">
      <c r="A1326" s="170"/>
      <c r="B1326" s="170"/>
      <c r="C1326" s="170"/>
      <c r="D1326" s="170"/>
      <c r="E1326" s="577"/>
      <c r="F1326" s="578"/>
      <c r="G1326" s="579"/>
      <c r="H1326" s="170"/>
    </row>
    <row r="1327" spans="1:8" ht="14.25">
      <c r="A1327" s="170"/>
      <c r="B1327" s="170"/>
      <c r="C1327" s="170"/>
      <c r="D1327" s="170"/>
      <c r="E1327" s="577"/>
      <c r="F1327" s="578"/>
      <c r="G1327" s="579"/>
      <c r="H1327" s="170"/>
    </row>
    <row r="1328" spans="1:8" ht="14.25">
      <c r="A1328" s="170"/>
      <c r="B1328" s="170"/>
      <c r="C1328" s="170"/>
      <c r="D1328" s="170"/>
      <c r="E1328" s="577"/>
      <c r="F1328" s="578"/>
      <c r="G1328" s="579"/>
      <c r="H1328" s="170"/>
    </row>
    <row r="1329" spans="1:8" ht="14.25">
      <c r="A1329" s="170"/>
      <c r="B1329" s="170"/>
      <c r="C1329" s="170"/>
      <c r="D1329" s="170"/>
      <c r="E1329" s="577"/>
      <c r="F1329" s="578"/>
      <c r="G1329" s="579"/>
      <c r="H1329" s="170"/>
    </row>
    <row r="1330" spans="1:8" ht="14.25">
      <c r="A1330" s="170"/>
      <c r="B1330" s="170"/>
      <c r="C1330" s="170"/>
      <c r="D1330" s="170"/>
      <c r="E1330" s="577"/>
      <c r="F1330" s="578"/>
      <c r="G1330" s="579"/>
      <c r="H1330" s="170"/>
    </row>
    <row r="1331" spans="1:8" ht="14.25">
      <c r="A1331" s="170"/>
      <c r="B1331" s="170"/>
      <c r="C1331" s="170"/>
      <c r="D1331" s="170"/>
      <c r="E1331" s="577"/>
      <c r="F1331" s="578"/>
      <c r="G1331" s="579"/>
      <c r="H1331" s="170"/>
    </row>
    <row r="1332" spans="1:8" ht="14.25">
      <c r="A1332" s="170"/>
      <c r="B1332" s="170"/>
      <c r="C1332" s="170"/>
      <c r="D1332" s="170"/>
      <c r="E1332" s="577"/>
      <c r="F1332" s="578"/>
      <c r="G1332" s="579"/>
      <c r="H1332" s="170"/>
    </row>
    <row r="1333" spans="1:8" ht="14.25">
      <c r="A1333" s="170"/>
      <c r="B1333" s="170"/>
      <c r="C1333" s="170"/>
      <c r="D1333" s="170"/>
      <c r="E1333" s="577"/>
      <c r="F1333" s="578"/>
      <c r="G1333" s="579"/>
      <c r="H1333" s="170"/>
    </row>
    <row r="1334" spans="1:8" ht="14.25">
      <c r="A1334" s="170"/>
      <c r="B1334" s="170"/>
      <c r="C1334" s="170"/>
      <c r="D1334" s="170"/>
      <c r="E1334" s="577"/>
      <c r="F1334" s="578"/>
      <c r="G1334" s="579"/>
      <c r="H1334" s="170"/>
    </row>
    <row r="1335" spans="1:8" ht="14.25">
      <c r="A1335" s="170"/>
      <c r="B1335" s="170"/>
      <c r="C1335" s="170"/>
      <c r="D1335" s="170"/>
      <c r="E1335" s="577"/>
      <c r="F1335" s="578"/>
      <c r="G1335" s="579"/>
      <c r="H1335" s="170"/>
    </row>
    <row r="1336" spans="1:8" ht="14.25">
      <c r="A1336" s="170"/>
      <c r="B1336" s="170"/>
      <c r="C1336" s="170"/>
      <c r="D1336" s="170"/>
      <c r="E1336" s="577"/>
      <c r="F1336" s="578"/>
      <c r="G1336" s="579"/>
      <c r="H1336" s="170"/>
    </row>
    <row r="1337" spans="1:8" ht="14.25">
      <c r="A1337" s="170"/>
      <c r="B1337" s="170"/>
      <c r="C1337" s="170"/>
      <c r="D1337" s="170"/>
      <c r="E1337" s="577"/>
      <c r="F1337" s="578"/>
      <c r="G1337" s="579"/>
      <c r="H1337" s="170"/>
    </row>
    <row r="1338" spans="1:8" ht="14.25">
      <c r="A1338" s="170"/>
      <c r="B1338" s="170"/>
      <c r="C1338" s="170"/>
      <c r="D1338" s="170"/>
      <c r="E1338" s="577"/>
      <c r="F1338" s="578"/>
      <c r="G1338" s="579"/>
      <c r="H1338" s="170"/>
    </row>
    <row r="1339" spans="1:8" ht="14.25">
      <c r="A1339" s="170"/>
      <c r="B1339" s="170"/>
      <c r="C1339" s="170"/>
      <c r="D1339" s="170"/>
      <c r="E1339" s="577"/>
      <c r="F1339" s="578"/>
      <c r="G1339" s="579"/>
      <c r="H1339" s="170"/>
    </row>
    <row r="1340" spans="1:8" ht="14.25">
      <c r="A1340" s="170"/>
      <c r="B1340" s="170"/>
      <c r="C1340" s="170"/>
      <c r="D1340" s="170"/>
      <c r="E1340" s="577"/>
      <c r="F1340" s="578"/>
      <c r="G1340" s="579"/>
      <c r="H1340" s="170"/>
    </row>
    <row r="1341" spans="1:8" ht="14.25">
      <c r="A1341" s="170"/>
      <c r="B1341" s="170"/>
      <c r="C1341" s="170"/>
      <c r="D1341" s="170"/>
      <c r="E1341" s="577"/>
      <c r="F1341" s="578"/>
      <c r="G1341" s="579"/>
      <c r="H1341" s="170"/>
    </row>
    <row r="1342" spans="1:8" ht="14.25">
      <c r="A1342" s="170"/>
      <c r="B1342" s="170"/>
      <c r="C1342" s="170"/>
      <c r="D1342" s="170"/>
      <c r="E1342" s="577"/>
      <c r="F1342" s="578"/>
      <c r="G1342" s="579"/>
      <c r="H1342" s="170"/>
    </row>
    <row r="1343" spans="1:8" ht="14.25">
      <c r="A1343" s="170"/>
      <c r="B1343" s="170"/>
      <c r="C1343" s="170"/>
      <c r="D1343" s="170"/>
      <c r="E1343" s="577"/>
      <c r="F1343" s="578"/>
      <c r="G1343" s="579"/>
      <c r="H1343" s="170"/>
    </row>
    <row r="1344" spans="1:8" ht="14.25">
      <c r="A1344" s="170"/>
      <c r="B1344" s="170"/>
      <c r="C1344" s="170"/>
      <c r="D1344" s="170"/>
      <c r="E1344" s="577"/>
      <c r="F1344" s="578"/>
      <c r="G1344" s="579"/>
      <c r="H1344" s="170"/>
    </row>
    <row r="1345" spans="1:8" ht="14.25">
      <c r="A1345" s="170"/>
      <c r="B1345" s="170"/>
      <c r="C1345" s="170"/>
      <c r="D1345" s="170"/>
      <c r="E1345" s="577"/>
      <c r="F1345" s="578"/>
      <c r="G1345" s="579"/>
      <c r="H1345" s="170"/>
    </row>
    <row r="1346" spans="1:8" ht="14.25">
      <c r="A1346" s="170"/>
      <c r="B1346" s="170"/>
      <c r="C1346" s="170"/>
      <c r="D1346" s="170"/>
      <c r="E1346" s="577"/>
      <c r="F1346" s="578"/>
      <c r="G1346" s="579"/>
      <c r="H1346" s="170"/>
    </row>
    <row r="1347" spans="1:8" ht="14.25">
      <c r="A1347" s="170"/>
      <c r="B1347" s="170"/>
      <c r="C1347" s="170"/>
      <c r="D1347" s="170"/>
      <c r="E1347" s="577"/>
      <c r="F1347" s="578"/>
      <c r="G1347" s="579"/>
      <c r="H1347" s="170"/>
    </row>
    <row r="1348" spans="1:8" ht="14.25">
      <c r="A1348" s="170"/>
      <c r="B1348" s="170"/>
      <c r="C1348" s="170"/>
      <c r="D1348" s="170"/>
      <c r="E1348" s="577"/>
      <c r="F1348" s="578"/>
      <c r="G1348" s="579"/>
      <c r="H1348" s="170"/>
    </row>
    <row r="1349" spans="1:8" ht="14.25">
      <c r="A1349" s="170"/>
      <c r="B1349" s="170"/>
      <c r="C1349" s="170"/>
      <c r="D1349" s="170"/>
      <c r="E1349" s="577"/>
      <c r="F1349" s="578"/>
      <c r="G1349" s="579"/>
      <c r="H1349" s="170"/>
    </row>
    <row r="1350" spans="1:8" ht="14.25">
      <c r="A1350" s="170"/>
      <c r="B1350" s="170"/>
      <c r="C1350" s="170"/>
      <c r="D1350" s="170"/>
      <c r="E1350" s="577"/>
      <c r="F1350" s="578"/>
      <c r="G1350" s="579"/>
      <c r="H1350" s="170"/>
    </row>
    <row r="1351" spans="1:8" ht="14.25">
      <c r="A1351" s="170"/>
      <c r="B1351" s="170"/>
      <c r="C1351" s="170"/>
      <c r="D1351" s="170"/>
      <c r="E1351" s="577"/>
      <c r="F1351" s="578"/>
      <c r="G1351" s="579"/>
      <c r="H1351" s="170"/>
    </row>
    <row r="1352" spans="1:8" ht="14.25">
      <c r="A1352" s="170"/>
      <c r="B1352" s="170"/>
      <c r="C1352" s="170"/>
      <c r="D1352" s="170"/>
      <c r="E1352" s="577"/>
      <c r="F1352" s="578"/>
      <c r="G1352" s="579"/>
      <c r="H1352" s="170"/>
    </row>
    <row r="1353" spans="1:8" ht="14.25">
      <c r="A1353" s="170"/>
      <c r="B1353" s="170"/>
      <c r="C1353" s="170"/>
      <c r="D1353" s="170"/>
      <c r="E1353" s="577"/>
      <c r="F1353" s="578"/>
      <c r="G1353" s="579"/>
      <c r="H1353" s="170"/>
    </row>
    <row r="1354" spans="1:8" ht="14.25">
      <c r="A1354" s="170"/>
      <c r="B1354" s="170"/>
      <c r="C1354" s="170"/>
      <c r="D1354" s="170"/>
      <c r="E1354" s="577"/>
      <c r="F1354" s="578"/>
      <c r="G1354" s="579"/>
      <c r="H1354" s="170"/>
    </row>
    <row r="1355" spans="1:8" ht="14.25">
      <c r="A1355" s="170"/>
      <c r="B1355" s="170"/>
      <c r="C1355" s="170"/>
      <c r="D1355" s="170"/>
      <c r="E1355" s="577"/>
      <c r="F1355" s="578"/>
      <c r="G1355" s="579"/>
      <c r="H1355" s="170"/>
    </row>
    <row r="1356" spans="1:8" ht="14.25">
      <c r="A1356" s="170"/>
      <c r="B1356" s="170"/>
      <c r="C1356" s="170"/>
      <c r="D1356" s="170"/>
      <c r="E1356" s="577"/>
      <c r="F1356" s="578"/>
      <c r="G1356" s="579"/>
      <c r="H1356" s="170"/>
    </row>
    <row r="1357" spans="1:8" ht="14.25">
      <c r="A1357" s="170"/>
      <c r="B1357" s="170"/>
      <c r="C1357" s="170"/>
      <c r="D1357" s="170"/>
      <c r="E1357" s="577"/>
      <c r="F1357" s="578"/>
      <c r="G1357" s="579"/>
      <c r="H1357" s="170"/>
    </row>
    <row r="1358" spans="1:8" ht="14.25">
      <c r="A1358" s="170"/>
      <c r="B1358" s="170"/>
      <c r="C1358" s="170"/>
      <c r="D1358" s="170"/>
      <c r="E1358" s="577"/>
      <c r="F1358" s="578"/>
      <c r="G1358" s="579"/>
      <c r="H1358" s="170"/>
    </row>
    <row r="1359" spans="1:8" ht="14.25">
      <c r="A1359" s="170"/>
      <c r="B1359" s="170"/>
      <c r="C1359" s="170"/>
      <c r="D1359" s="170"/>
      <c r="E1359" s="577"/>
      <c r="F1359" s="578"/>
      <c r="G1359" s="579"/>
      <c r="H1359" s="170"/>
    </row>
    <row r="1360" spans="1:8" ht="14.25">
      <c r="A1360" s="170"/>
      <c r="B1360" s="170"/>
      <c r="C1360" s="170"/>
      <c r="D1360" s="170"/>
      <c r="E1360" s="577"/>
      <c r="F1360" s="578"/>
      <c r="G1360" s="579"/>
      <c r="H1360" s="170"/>
    </row>
    <row r="1361" spans="1:8" ht="14.25">
      <c r="A1361" s="170"/>
      <c r="B1361" s="170"/>
      <c r="C1361" s="170"/>
      <c r="D1361" s="170"/>
      <c r="E1361" s="577"/>
      <c r="F1361" s="578"/>
      <c r="G1361" s="579"/>
      <c r="H1361" s="170"/>
    </row>
    <row r="1362" spans="1:8" ht="14.25">
      <c r="A1362" s="170"/>
      <c r="B1362" s="170"/>
      <c r="C1362" s="170"/>
      <c r="D1362" s="170"/>
      <c r="E1362" s="577"/>
      <c r="F1362" s="578"/>
      <c r="G1362" s="579"/>
      <c r="H1362" s="170"/>
    </row>
    <row r="1363" spans="1:8" ht="14.25">
      <c r="A1363" s="170"/>
      <c r="B1363" s="170"/>
      <c r="C1363" s="170"/>
      <c r="D1363" s="170"/>
      <c r="E1363" s="577"/>
      <c r="F1363" s="578"/>
      <c r="G1363" s="579"/>
      <c r="H1363" s="170"/>
    </row>
    <row r="1364" spans="1:8" ht="14.25">
      <c r="A1364" s="170"/>
      <c r="B1364" s="170"/>
      <c r="C1364" s="170"/>
      <c r="D1364" s="170"/>
      <c r="E1364" s="577"/>
      <c r="F1364" s="578"/>
      <c r="G1364" s="579"/>
      <c r="H1364" s="170"/>
    </row>
    <row r="1365" spans="1:8" ht="14.25">
      <c r="A1365" s="170"/>
      <c r="B1365" s="170"/>
      <c r="C1365" s="170"/>
      <c r="D1365" s="170"/>
      <c r="E1365" s="577"/>
      <c r="F1365" s="578"/>
      <c r="G1365" s="579"/>
      <c r="H1365" s="170"/>
    </row>
    <row r="1366" spans="1:8" ht="14.25">
      <c r="A1366" s="170"/>
      <c r="B1366" s="170"/>
      <c r="C1366" s="170"/>
      <c r="D1366" s="170"/>
      <c r="E1366" s="577"/>
      <c r="F1366" s="578"/>
      <c r="G1366" s="579"/>
      <c r="H1366" s="170"/>
    </row>
    <row r="1367" spans="1:8" ht="14.25">
      <c r="A1367" s="170"/>
      <c r="B1367" s="170"/>
      <c r="C1367" s="170"/>
      <c r="D1367" s="170"/>
      <c r="E1367" s="577"/>
      <c r="F1367" s="578"/>
      <c r="G1367" s="579"/>
      <c r="H1367" s="170"/>
    </row>
    <row r="1368" spans="1:8" ht="14.25">
      <c r="A1368" s="170"/>
      <c r="B1368" s="170"/>
      <c r="C1368" s="170"/>
      <c r="D1368" s="170"/>
      <c r="E1368" s="577"/>
      <c r="F1368" s="578"/>
      <c r="G1368" s="579"/>
      <c r="H1368" s="170"/>
    </row>
    <row r="1369" spans="1:8" ht="14.25">
      <c r="A1369" s="170"/>
      <c r="B1369" s="170"/>
      <c r="C1369" s="170"/>
      <c r="D1369" s="170"/>
      <c r="E1369" s="577"/>
      <c r="F1369" s="578"/>
      <c r="G1369" s="579"/>
      <c r="H1369" s="170"/>
    </row>
    <row r="1370" spans="1:8" ht="14.25">
      <c r="A1370" s="170"/>
      <c r="B1370" s="170"/>
      <c r="C1370" s="170"/>
      <c r="D1370" s="170"/>
      <c r="E1370" s="577"/>
      <c r="F1370" s="578"/>
      <c r="G1370" s="579"/>
      <c r="H1370" s="170"/>
    </row>
    <row r="1371" spans="1:8" ht="14.25">
      <c r="A1371" s="170"/>
      <c r="B1371" s="170"/>
      <c r="C1371" s="170"/>
      <c r="D1371" s="170"/>
      <c r="E1371" s="577"/>
      <c r="F1371" s="578"/>
      <c r="G1371" s="579"/>
      <c r="H1371" s="170"/>
    </row>
    <row r="1372" spans="1:8" ht="14.25">
      <c r="A1372" s="170"/>
      <c r="B1372" s="170"/>
      <c r="C1372" s="170"/>
      <c r="D1372" s="170"/>
      <c r="E1372" s="577"/>
      <c r="F1372" s="578"/>
      <c r="G1372" s="579"/>
      <c r="H1372" s="170"/>
    </row>
    <row r="1373" spans="1:8" ht="14.25">
      <c r="A1373" s="170"/>
      <c r="B1373" s="170"/>
      <c r="C1373" s="170"/>
      <c r="D1373" s="170"/>
      <c r="E1373" s="577"/>
      <c r="F1373" s="578"/>
      <c r="G1373" s="579"/>
      <c r="H1373" s="170"/>
    </row>
    <row r="1374" spans="1:8" ht="14.25">
      <c r="A1374" s="170"/>
      <c r="B1374" s="170"/>
      <c r="C1374" s="170"/>
      <c r="D1374" s="170"/>
      <c r="E1374" s="577"/>
      <c r="F1374" s="578"/>
      <c r="G1374" s="579"/>
      <c r="H1374" s="170"/>
    </row>
    <row r="1375" spans="1:8" ht="14.25">
      <c r="A1375" s="170"/>
      <c r="B1375" s="170"/>
      <c r="C1375" s="170"/>
      <c r="D1375" s="170"/>
      <c r="E1375" s="577"/>
      <c r="F1375" s="578"/>
      <c r="G1375" s="579"/>
      <c r="H1375" s="170"/>
    </row>
    <row r="1376" spans="1:8" ht="14.25">
      <c r="A1376" s="170"/>
      <c r="B1376" s="170"/>
      <c r="C1376" s="170"/>
      <c r="D1376" s="170"/>
      <c r="E1376" s="577"/>
      <c r="F1376" s="578"/>
      <c r="G1376" s="579"/>
      <c r="H1376" s="170"/>
    </row>
    <row r="1377" spans="1:8" ht="14.25">
      <c r="A1377" s="170"/>
      <c r="B1377" s="170"/>
      <c r="C1377" s="170"/>
      <c r="D1377" s="170"/>
      <c r="E1377" s="577"/>
      <c r="F1377" s="578"/>
      <c r="G1377" s="579"/>
      <c r="H1377" s="170"/>
    </row>
    <row r="1378" spans="1:8" ht="14.25">
      <c r="A1378" s="170"/>
      <c r="B1378" s="170"/>
      <c r="C1378" s="170"/>
      <c r="D1378" s="170"/>
      <c r="E1378" s="577"/>
      <c r="F1378" s="578"/>
      <c r="G1378" s="579"/>
      <c r="H1378" s="170"/>
    </row>
    <row r="1379" spans="1:8" ht="14.25">
      <c r="A1379" s="170"/>
      <c r="B1379" s="170"/>
      <c r="C1379" s="170"/>
      <c r="D1379" s="170"/>
      <c r="E1379" s="577"/>
      <c r="F1379" s="578"/>
      <c r="G1379" s="579"/>
      <c r="H1379" s="170"/>
    </row>
    <row r="1380" spans="1:8" ht="14.25">
      <c r="A1380" s="170"/>
      <c r="B1380" s="170"/>
      <c r="C1380" s="170"/>
      <c r="D1380" s="170"/>
      <c r="E1380" s="577"/>
      <c r="F1380" s="578"/>
      <c r="G1380" s="579"/>
      <c r="H1380" s="170"/>
    </row>
    <row r="1381" spans="1:8" ht="14.25">
      <c r="A1381" s="170"/>
      <c r="B1381" s="170"/>
      <c r="C1381" s="170"/>
      <c r="D1381" s="170"/>
      <c r="E1381" s="577"/>
      <c r="F1381" s="578"/>
      <c r="G1381" s="579"/>
      <c r="H1381" s="170"/>
    </row>
    <row r="1382" spans="1:8" ht="14.25">
      <c r="A1382" s="170"/>
      <c r="B1382" s="170"/>
      <c r="C1382" s="170"/>
      <c r="D1382" s="170"/>
      <c r="E1382" s="577"/>
      <c r="F1382" s="578"/>
      <c r="G1382" s="579"/>
      <c r="H1382" s="170"/>
    </row>
    <row r="1383" spans="1:8" ht="14.25">
      <c r="A1383" s="170"/>
      <c r="B1383" s="170"/>
      <c r="C1383" s="170"/>
      <c r="D1383" s="170"/>
      <c r="E1383" s="577"/>
      <c r="F1383" s="578"/>
      <c r="G1383" s="579"/>
      <c r="H1383" s="170"/>
    </row>
    <row r="1384" spans="1:8" ht="14.25">
      <c r="A1384" s="170"/>
      <c r="B1384" s="170"/>
      <c r="C1384" s="170"/>
      <c r="D1384" s="170"/>
      <c r="E1384" s="577"/>
      <c r="F1384" s="578"/>
      <c r="G1384" s="579"/>
      <c r="H1384" s="170"/>
    </row>
    <row r="1385" spans="1:8" ht="14.25">
      <c r="A1385" s="170"/>
      <c r="B1385" s="170"/>
      <c r="C1385" s="170"/>
      <c r="D1385" s="170"/>
      <c r="E1385" s="577"/>
      <c r="F1385" s="578"/>
      <c r="G1385" s="579"/>
      <c r="H1385" s="170"/>
    </row>
    <row r="1386" spans="1:8" ht="14.25">
      <c r="A1386" s="170"/>
      <c r="B1386" s="170"/>
      <c r="C1386" s="170"/>
      <c r="D1386" s="170"/>
      <c r="E1386" s="577"/>
      <c r="F1386" s="578"/>
      <c r="G1386" s="579"/>
      <c r="H1386" s="170"/>
    </row>
    <row r="1387" spans="1:8" ht="14.25">
      <c r="A1387" s="170"/>
      <c r="B1387" s="170"/>
      <c r="C1387" s="170"/>
      <c r="D1387" s="170"/>
      <c r="E1387" s="577"/>
      <c r="F1387" s="578"/>
      <c r="G1387" s="579"/>
      <c r="H1387" s="170"/>
    </row>
    <row r="1388" spans="1:8" ht="14.25">
      <c r="A1388" s="170"/>
      <c r="B1388" s="170"/>
      <c r="C1388" s="170"/>
      <c r="D1388" s="170"/>
      <c r="E1388" s="577"/>
      <c r="F1388" s="578"/>
      <c r="G1388" s="579"/>
      <c r="H1388" s="170"/>
    </row>
    <row r="1389" spans="1:8" ht="14.25">
      <c r="A1389" s="170"/>
      <c r="B1389" s="170"/>
      <c r="C1389" s="170"/>
      <c r="D1389" s="170"/>
      <c r="E1389" s="577"/>
      <c r="F1389" s="578"/>
      <c r="G1389" s="579"/>
      <c r="H1389" s="170"/>
    </row>
    <row r="1390" spans="1:8" ht="14.25">
      <c r="A1390" s="170"/>
      <c r="B1390" s="170"/>
      <c r="C1390" s="170"/>
      <c r="D1390" s="170"/>
      <c r="E1390" s="577"/>
      <c r="F1390" s="578"/>
      <c r="G1390" s="579"/>
      <c r="H1390" s="170"/>
    </row>
    <row r="1391" spans="1:8" ht="14.25">
      <c r="A1391" s="170"/>
      <c r="B1391" s="170"/>
      <c r="C1391" s="170"/>
      <c r="D1391" s="170"/>
      <c r="E1391" s="577"/>
      <c r="F1391" s="578"/>
      <c r="G1391" s="579"/>
      <c r="H1391" s="170"/>
    </row>
    <row r="1392" spans="1:8" ht="14.25">
      <c r="A1392" s="170"/>
      <c r="B1392" s="170"/>
      <c r="C1392" s="170"/>
      <c r="D1392" s="170"/>
      <c r="E1392" s="577"/>
      <c r="F1392" s="578"/>
      <c r="G1392" s="579"/>
      <c r="H1392" s="170"/>
    </row>
    <row r="1393" spans="1:8" ht="14.25">
      <c r="A1393" s="170"/>
      <c r="B1393" s="170"/>
      <c r="C1393" s="170"/>
      <c r="D1393" s="170"/>
      <c r="E1393" s="577"/>
      <c r="F1393" s="578"/>
      <c r="G1393" s="579"/>
      <c r="H1393" s="170"/>
    </row>
    <row r="1394" spans="1:8" ht="14.25">
      <c r="A1394" s="170"/>
      <c r="B1394" s="170"/>
      <c r="C1394" s="170"/>
      <c r="D1394" s="170"/>
      <c r="E1394" s="577"/>
      <c r="F1394" s="578"/>
      <c r="G1394" s="579"/>
      <c r="H1394" s="170"/>
    </row>
    <row r="1395" spans="1:8" ht="14.25">
      <c r="A1395" s="170"/>
      <c r="B1395" s="170"/>
      <c r="C1395" s="170"/>
      <c r="D1395" s="170"/>
      <c r="E1395" s="577"/>
      <c r="F1395" s="578"/>
      <c r="G1395" s="579"/>
      <c r="H1395" s="170"/>
    </row>
    <row r="1396" spans="1:8" ht="14.25">
      <c r="A1396" s="170"/>
      <c r="B1396" s="170"/>
      <c r="C1396" s="170"/>
      <c r="D1396" s="170"/>
      <c r="E1396" s="577"/>
      <c r="F1396" s="578"/>
      <c r="G1396" s="579"/>
      <c r="H1396" s="170"/>
    </row>
    <row r="1397" spans="1:8" ht="14.25">
      <c r="A1397" s="170"/>
      <c r="B1397" s="170"/>
      <c r="C1397" s="170"/>
      <c r="D1397" s="170"/>
      <c r="E1397" s="577"/>
      <c r="F1397" s="578"/>
      <c r="G1397" s="579"/>
      <c r="H1397" s="170"/>
    </row>
    <row r="1398" spans="1:8" ht="14.25">
      <c r="A1398" s="170"/>
      <c r="B1398" s="170"/>
      <c r="C1398" s="170"/>
      <c r="D1398" s="170"/>
      <c r="E1398" s="577"/>
      <c r="F1398" s="578"/>
      <c r="G1398" s="579"/>
      <c r="H1398" s="170"/>
    </row>
    <row r="1399" spans="1:8" ht="14.25">
      <c r="A1399" s="170"/>
      <c r="B1399" s="170"/>
      <c r="C1399" s="170"/>
      <c r="D1399" s="170"/>
      <c r="E1399" s="577"/>
      <c r="F1399" s="578"/>
      <c r="G1399" s="579"/>
      <c r="H1399" s="170"/>
    </row>
    <row r="1400" spans="1:8" ht="14.25">
      <c r="A1400" s="170"/>
      <c r="B1400" s="170"/>
      <c r="C1400" s="170"/>
      <c r="D1400" s="170"/>
      <c r="E1400" s="577"/>
      <c r="F1400" s="578"/>
      <c r="G1400" s="579"/>
      <c r="H1400" s="170"/>
    </row>
    <row r="1401" spans="1:8" ht="14.25">
      <c r="A1401" s="170"/>
      <c r="B1401" s="170"/>
      <c r="C1401" s="170"/>
      <c r="D1401" s="170"/>
      <c r="E1401" s="577"/>
      <c r="F1401" s="578"/>
      <c r="G1401" s="579"/>
      <c r="H1401" s="170"/>
    </row>
    <row r="1402" spans="1:8" ht="14.25">
      <c r="A1402" s="170"/>
      <c r="B1402" s="170"/>
      <c r="C1402" s="170"/>
      <c r="D1402" s="170"/>
      <c r="E1402" s="577"/>
      <c r="F1402" s="578"/>
      <c r="G1402" s="579"/>
      <c r="H1402" s="170"/>
    </row>
    <row r="1403" spans="1:8" ht="14.25">
      <c r="A1403" s="170"/>
      <c r="B1403" s="170"/>
      <c r="C1403" s="170"/>
      <c r="D1403" s="170"/>
      <c r="E1403" s="577"/>
      <c r="F1403" s="578"/>
      <c r="G1403" s="579"/>
      <c r="H1403" s="170"/>
    </row>
    <row r="1404" spans="1:8" ht="14.25">
      <c r="A1404" s="170"/>
      <c r="B1404" s="170"/>
      <c r="C1404" s="170"/>
      <c r="D1404" s="170"/>
      <c r="E1404" s="577"/>
      <c r="F1404" s="578"/>
      <c r="G1404" s="579"/>
      <c r="H1404" s="170"/>
    </row>
    <row r="1405" spans="1:8" ht="14.25">
      <c r="A1405" s="170"/>
      <c r="B1405" s="170"/>
      <c r="C1405" s="170"/>
      <c r="D1405" s="170"/>
      <c r="E1405" s="577"/>
      <c r="F1405" s="578"/>
      <c r="G1405" s="579"/>
      <c r="H1405" s="170"/>
    </row>
    <row r="1406" spans="1:8" ht="14.25">
      <c r="A1406" s="170"/>
      <c r="B1406" s="170"/>
      <c r="C1406" s="170"/>
      <c r="D1406" s="170"/>
      <c r="E1406" s="577"/>
      <c r="F1406" s="578"/>
      <c r="G1406" s="579"/>
      <c r="H1406" s="170"/>
    </row>
    <row r="1407" spans="1:8" ht="14.25">
      <c r="A1407" s="170"/>
      <c r="B1407" s="170"/>
      <c r="C1407" s="170"/>
      <c r="D1407" s="170"/>
      <c r="E1407" s="577"/>
      <c r="F1407" s="578"/>
      <c r="G1407" s="579"/>
      <c r="H1407" s="170"/>
    </row>
    <row r="1408" spans="1:8" ht="14.25">
      <c r="A1408" s="170"/>
      <c r="B1408" s="170"/>
      <c r="C1408" s="170"/>
      <c r="D1408" s="170"/>
      <c r="E1408" s="577"/>
      <c r="F1408" s="578"/>
      <c r="G1408" s="579"/>
      <c r="H1408" s="170"/>
    </row>
    <row r="1409" spans="1:8" ht="14.25">
      <c r="A1409" s="170"/>
      <c r="B1409" s="170"/>
      <c r="C1409" s="170"/>
      <c r="D1409" s="170"/>
      <c r="E1409" s="577"/>
      <c r="F1409" s="578"/>
      <c r="G1409" s="579"/>
      <c r="H1409" s="170"/>
    </row>
    <row r="1410" spans="1:8" ht="14.25">
      <c r="A1410" s="170"/>
      <c r="B1410" s="170"/>
      <c r="C1410" s="170"/>
      <c r="D1410" s="170"/>
      <c r="E1410" s="577"/>
      <c r="F1410" s="578"/>
      <c r="G1410" s="579"/>
      <c r="H1410" s="170"/>
    </row>
    <row r="1411" spans="1:8" ht="14.25">
      <c r="A1411" s="170"/>
      <c r="B1411" s="170"/>
      <c r="C1411" s="170"/>
      <c r="D1411" s="170"/>
      <c r="E1411" s="577"/>
      <c r="F1411" s="578"/>
      <c r="G1411" s="579"/>
      <c r="H1411" s="170"/>
    </row>
    <row r="1412" spans="1:8" ht="14.25">
      <c r="A1412" s="170"/>
      <c r="B1412" s="170"/>
      <c r="C1412" s="170"/>
      <c r="D1412" s="170"/>
      <c r="E1412" s="577"/>
      <c r="F1412" s="578"/>
      <c r="G1412" s="579"/>
      <c r="H1412" s="170"/>
    </row>
    <row r="1413" spans="1:8" ht="14.25">
      <c r="A1413" s="170"/>
      <c r="B1413" s="170"/>
      <c r="C1413" s="170"/>
      <c r="D1413" s="170"/>
      <c r="E1413" s="577"/>
      <c r="F1413" s="578"/>
      <c r="G1413" s="579"/>
      <c r="H1413" s="170"/>
    </row>
    <row r="1414" spans="1:8" ht="14.25">
      <c r="A1414" s="170"/>
      <c r="B1414" s="170"/>
      <c r="C1414" s="170"/>
      <c r="D1414" s="170"/>
      <c r="E1414" s="577"/>
      <c r="F1414" s="578"/>
      <c r="G1414" s="579"/>
      <c r="H1414" s="170"/>
    </row>
    <row r="1415" spans="1:8" ht="14.25">
      <c r="A1415" s="170"/>
      <c r="B1415" s="170"/>
      <c r="C1415" s="170"/>
      <c r="D1415" s="170"/>
      <c r="E1415" s="577"/>
      <c r="F1415" s="578"/>
      <c r="G1415" s="579"/>
      <c r="H1415" s="170"/>
    </row>
    <row r="1416" spans="1:8" ht="14.25">
      <c r="A1416" s="170"/>
      <c r="B1416" s="170"/>
      <c r="C1416" s="170"/>
      <c r="D1416" s="170"/>
      <c r="E1416" s="577"/>
      <c r="F1416" s="578"/>
      <c r="G1416" s="579"/>
      <c r="H1416" s="170"/>
    </row>
    <row r="1417" spans="1:8" ht="14.25">
      <c r="A1417" s="170"/>
      <c r="B1417" s="170"/>
      <c r="C1417" s="170"/>
      <c r="D1417" s="170"/>
      <c r="E1417" s="577"/>
      <c r="F1417" s="578"/>
      <c r="G1417" s="579"/>
      <c r="H1417" s="170"/>
    </row>
    <row r="1418" spans="1:8" ht="14.25">
      <c r="A1418" s="170"/>
      <c r="B1418" s="170"/>
      <c r="C1418" s="170"/>
      <c r="D1418" s="170"/>
      <c r="E1418" s="577"/>
      <c r="F1418" s="578"/>
      <c r="G1418" s="579"/>
      <c r="H1418" s="170"/>
    </row>
    <row r="1419" spans="1:8" ht="14.25">
      <c r="A1419" s="170"/>
      <c r="B1419" s="170"/>
      <c r="C1419" s="170"/>
      <c r="D1419" s="170"/>
      <c r="E1419" s="577"/>
      <c r="F1419" s="578"/>
      <c r="G1419" s="579"/>
      <c r="H1419" s="170"/>
    </row>
    <row r="1420" spans="1:8" ht="14.25">
      <c r="A1420" s="170"/>
      <c r="B1420" s="170"/>
      <c r="C1420" s="170"/>
      <c r="D1420" s="170"/>
      <c r="E1420" s="577"/>
      <c r="F1420" s="578"/>
      <c r="G1420" s="579"/>
      <c r="H1420" s="170"/>
    </row>
    <row r="1421" spans="1:8" ht="14.25">
      <c r="A1421" s="170"/>
      <c r="B1421" s="170"/>
      <c r="C1421" s="170"/>
      <c r="D1421" s="170"/>
      <c r="E1421" s="577"/>
      <c r="F1421" s="578"/>
      <c r="G1421" s="579"/>
      <c r="H1421" s="170"/>
    </row>
    <row r="1422" spans="1:8" ht="14.25">
      <c r="A1422" s="170"/>
      <c r="B1422" s="170"/>
      <c r="C1422" s="170"/>
      <c r="D1422" s="170"/>
      <c r="E1422" s="577"/>
      <c r="F1422" s="578"/>
      <c r="G1422" s="579"/>
      <c r="H1422" s="170"/>
    </row>
    <row r="1423" spans="1:8" ht="14.25">
      <c r="A1423" s="170"/>
      <c r="B1423" s="170"/>
      <c r="C1423" s="170"/>
      <c r="D1423" s="170"/>
      <c r="E1423" s="577"/>
      <c r="F1423" s="578"/>
      <c r="G1423" s="579"/>
      <c r="H1423" s="170"/>
    </row>
    <row r="1424" spans="1:8" ht="14.25">
      <c r="A1424" s="170"/>
      <c r="B1424" s="170"/>
      <c r="C1424" s="170"/>
      <c r="D1424" s="170"/>
      <c r="E1424" s="577"/>
      <c r="F1424" s="578"/>
      <c r="G1424" s="579"/>
      <c r="H1424" s="170"/>
    </row>
    <row r="1425" spans="1:8" ht="14.25">
      <c r="A1425" s="170"/>
      <c r="B1425" s="170"/>
      <c r="C1425" s="170"/>
      <c r="D1425" s="170"/>
      <c r="E1425" s="577"/>
      <c r="F1425" s="578"/>
      <c r="G1425" s="579"/>
      <c r="H1425" s="170"/>
    </row>
    <row r="1426" spans="1:8" ht="14.25">
      <c r="A1426" s="170"/>
      <c r="B1426" s="170"/>
      <c r="C1426" s="170"/>
      <c r="D1426" s="170"/>
      <c r="E1426" s="577"/>
      <c r="F1426" s="578"/>
      <c r="G1426" s="579"/>
      <c r="H1426" s="170"/>
    </row>
    <row r="1427" spans="1:8" ht="14.25">
      <c r="A1427" s="170"/>
      <c r="B1427" s="170"/>
      <c r="C1427" s="170"/>
      <c r="D1427" s="170"/>
      <c r="E1427" s="577"/>
      <c r="F1427" s="578"/>
      <c r="G1427" s="579"/>
      <c r="H1427" s="170"/>
    </row>
    <row r="1428" spans="1:8" ht="14.25">
      <c r="A1428" s="170"/>
      <c r="B1428" s="170"/>
      <c r="C1428" s="170"/>
      <c r="D1428" s="170"/>
      <c r="E1428" s="577"/>
      <c r="F1428" s="578"/>
      <c r="G1428" s="579"/>
      <c r="H1428" s="170"/>
    </row>
    <row r="1429" spans="1:8" ht="14.25">
      <c r="A1429" s="170"/>
      <c r="B1429" s="170"/>
      <c r="C1429" s="170"/>
      <c r="D1429" s="170"/>
      <c r="E1429" s="577"/>
      <c r="F1429" s="578"/>
      <c r="G1429" s="579"/>
      <c r="H1429" s="170"/>
    </row>
    <row r="1430" spans="1:8" ht="14.25">
      <c r="A1430" s="170"/>
      <c r="B1430" s="170"/>
      <c r="C1430" s="170"/>
      <c r="D1430" s="170"/>
      <c r="E1430" s="577"/>
      <c r="F1430" s="578"/>
      <c r="G1430" s="579"/>
      <c r="H1430" s="170"/>
    </row>
    <row r="1431" spans="1:8" ht="14.25">
      <c r="A1431" s="170"/>
      <c r="B1431" s="170"/>
      <c r="C1431" s="170"/>
      <c r="D1431" s="170"/>
      <c r="E1431" s="577"/>
      <c r="F1431" s="578"/>
      <c r="G1431" s="579"/>
      <c r="H1431" s="170"/>
    </row>
    <row r="1432" spans="1:8" ht="14.25">
      <c r="A1432" s="170"/>
      <c r="B1432" s="170"/>
      <c r="C1432" s="170"/>
      <c r="D1432" s="170"/>
      <c r="E1432" s="577"/>
      <c r="F1432" s="578"/>
      <c r="G1432" s="579"/>
      <c r="H1432" s="170"/>
    </row>
    <row r="1433" spans="1:8" ht="14.25">
      <c r="A1433" s="170"/>
      <c r="B1433" s="170"/>
      <c r="C1433" s="170"/>
      <c r="D1433" s="170"/>
      <c r="E1433" s="577"/>
      <c r="F1433" s="578"/>
      <c r="G1433" s="579"/>
      <c r="H1433" s="170"/>
    </row>
    <row r="1434" spans="1:8" ht="14.25">
      <c r="A1434" s="170"/>
      <c r="B1434" s="170"/>
      <c r="C1434" s="170"/>
      <c r="D1434" s="170"/>
      <c r="E1434" s="577"/>
      <c r="F1434" s="578"/>
      <c r="G1434" s="579"/>
      <c r="H1434" s="170"/>
    </row>
    <row r="1435" spans="1:8" ht="14.25">
      <c r="A1435" s="170"/>
      <c r="B1435" s="170"/>
      <c r="C1435" s="170"/>
      <c r="D1435" s="170"/>
      <c r="E1435" s="577"/>
      <c r="F1435" s="578"/>
      <c r="G1435" s="579"/>
      <c r="H1435" s="170"/>
    </row>
    <row r="1436" spans="1:8" ht="14.25">
      <c r="A1436" s="170"/>
      <c r="B1436" s="170"/>
      <c r="C1436" s="170"/>
      <c r="D1436" s="170"/>
      <c r="E1436" s="577"/>
      <c r="F1436" s="578"/>
      <c r="G1436" s="579"/>
      <c r="H1436" s="170"/>
    </row>
    <row r="1437" spans="1:8" ht="14.25">
      <c r="A1437" s="170"/>
      <c r="B1437" s="170"/>
      <c r="C1437" s="170"/>
      <c r="D1437" s="170"/>
      <c r="E1437" s="577"/>
      <c r="F1437" s="578"/>
      <c r="G1437" s="579"/>
      <c r="H1437" s="170"/>
    </row>
    <row r="1438" spans="1:8" ht="14.25">
      <c r="A1438" s="170"/>
      <c r="B1438" s="170"/>
      <c r="C1438" s="170"/>
      <c r="D1438" s="170"/>
      <c r="E1438" s="577"/>
      <c r="F1438" s="578"/>
      <c r="G1438" s="579"/>
      <c r="H1438" s="170"/>
    </row>
    <row r="1439" spans="1:8" ht="14.25">
      <c r="A1439" s="170"/>
      <c r="B1439" s="170"/>
      <c r="C1439" s="170"/>
      <c r="D1439" s="170"/>
      <c r="E1439" s="577"/>
      <c r="F1439" s="578"/>
      <c r="G1439" s="579"/>
      <c r="H1439" s="170"/>
    </row>
    <row r="1440" spans="1:8" ht="14.25">
      <c r="A1440" s="170"/>
      <c r="B1440" s="170"/>
      <c r="C1440" s="170"/>
      <c r="D1440" s="170"/>
      <c r="E1440" s="577"/>
      <c r="F1440" s="578"/>
      <c r="G1440" s="579"/>
      <c r="H1440" s="170"/>
    </row>
    <row r="1441" spans="1:8" ht="14.25">
      <c r="A1441" s="170"/>
      <c r="B1441" s="170"/>
      <c r="C1441" s="170"/>
      <c r="D1441" s="170"/>
      <c r="E1441" s="577"/>
      <c r="F1441" s="578"/>
      <c r="G1441" s="579"/>
      <c r="H1441" s="170"/>
    </row>
    <row r="1442" spans="1:8" ht="14.25">
      <c r="A1442" s="170"/>
      <c r="B1442" s="170"/>
      <c r="C1442" s="170"/>
      <c r="D1442" s="170"/>
      <c r="E1442" s="577"/>
      <c r="F1442" s="578"/>
      <c r="G1442" s="579"/>
      <c r="H1442" s="170"/>
    </row>
    <row r="1443" spans="1:8" ht="14.25">
      <c r="A1443" s="170"/>
      <c r="B1443" s="170"/>
      <c r="C1443" s="170"/>
      <c r="D1443" s="170"/>
      <c r="E1443" s="577"/>
      <c r="F1443" s="578"/>
      <c r="G1443" s="579"/>
      <c r="H1443" s="170"/>
    </row>
    <row r="1444" spans="1:8" ht="14.25">
      <c r="A1444" s="170"/>
      <c r="B1444" s="170"/>
      <c r="C1444" s="170"/>
      <c r="D1444" s="170"/>
      <c r="E1444" s="577"/>
      <c r="F1444" s="578"/>
      <c r="G1444" s="579"/>
      <c r="H1444" s="170"/>
    </row>
    <row r="1445" spans="1:8" ht="14.25">
      <c r="A1445" s="170"/>
      <c r="B1445" s="170"/>
      <c r="C1445" s="170"/>
      <c r="D1445" s="170"/>
      <c r="E1445" s="577"/>
      <c r="F1445" s="578"/>
      <c r="G1445" s="579"/>
      <c r="H1445" s="170"/>
    </row>
    <row r="1446" spans="1:8" ht="14.25">
      <c r="A1446" s="170"/>
      <c r="B1446" s="170"/>
      <c r="C1446" s="170"/>
      <c r="D1446" s="170"/>
      <c r="E1446" s="577"/>
      <c r="F1446" s="578"/>
      <c r="G1446" s="579"/>
      <c r="H1446" s="170"/>
    </row>
    <row r="1447" spans="1:8" ht="14.25">
      <c r="A1447" s="170"/>
      <c r="B1447" s="170"/>
      <c r="C1447" s="170"/>
      <c r="D1447" s="170"/>
      <c r="E1447" s="577"/>
      <c r="F1447" s="578"/>
      <c r="G1447" s="579"/>
      <c r="H1447" s="170"/>
    </row>
    <row r="1448" spans="1:8" ht="14.25">
      <c r="A1448" s="170"/>
      <c r="B1448" s="170"/>
      <c r="C1448" s="170"/>
      <c r="D1448" s="170"/>
      <c r="E1448" s="577"/>
      <c r="F1448" s="578"/>
      <c r="G1448" s="579"/>
      <c r="H1448" s="170"/>
    </row>
    <row r="1449" spans="1:8" ht="14.25">
      <c r="A1449" s="170"/>
      <c r="B1449" s="170"/>
      <c r="C1449" s="170"/>
      <c r="D1449" s="170"/>
      <c r="E1449" s="577"/>
      <c r="F1449" s="578"/>
      <c r="G1449" s="579"/>
      <c r="H1449" s="170"/>
    </row>
    <row r="1450" spans="1:8" ht="14.25">
      <c r="A1450" s="170"/>
      <c r="B1450" s="170"/>
      <c r="C1450" s="170"/>
      <c r="D1450" s="170"/>
      <c r="E1450" s="577"/>
      <c r="F1450" s="578"/>
      <c r="G1450" s="579"/>
      <c r="H1450" s="170"/>
    </row>
    <row r="1451" spans="1:8" ht="14.25">
      <c r="A1451" s="170"/>
      <c r="B1451" s="170"/>
      <c r="C1451" s="170"/>
      <c r="D1451" s="170"/>
      <c r="E1451" s="577"/>
      <c r="F1451" s="578"/>
      <c r="G1451" s="579"/>
      <c r="H1451" s="170"/>
    </row>
    <row r="1452" spans="1:8" ht="14.25">
      <c r="A1452" s="170"/>
      <c r="B1452" s="170"/>
      <c r="C1452" s="170"/>
      <c r="D1452" s="170"/>
      <c r="E1452" s="577"/>
      <c r="F1452" s="578"/>
      <c r="G1452" s="579"/>
      <c r="H1452" s="170"/>
    </row>
    <row r="1453" spans="1:8" ht="14.25">
      <c r="A1453" s="170"/>
      <c r="B1453" s="170"/>
      <c r="C1453" s="170"/>
      <c r="D1453" s="170"/>
      <c r="E1453" s="577"/>
      <c r="F1453" s="578"/>
      <c r="G1453" s="579"/>
      <c r="H1453" s="170"/>
    </row>
    <row r="1454" spans="1:8" ht="14.25">
      <c r="A1454" s="170"/>
      <c r="B1454" s="170"/>
      <c r="C1454" s="170"/>
      <c r="D1454" s="170"/>
      <c r="E1454" s="577"/>
      <c r="F1454" s="578"/>
      <c r="G1454" s="579"/>
      <c r="H1454" s="170"/>
    </row>
    <row r="1455" spans="1:8" ht="14.25">
      <c r="A1455" s="170"/>
      <c r="B1455" s="170"/>
      <c r="C1455" s="170"/>
      <c r="D1455" s="170"/>
      <c r="E1455" s="577"/>
      <c r="F1455" s="578"/>
      <c r="G1455" s="579"/>
      <c r="H1455" s="170"/>
    </row>
    <row r="1456" spans="1:8" ht="14.25">
      <c r="A1456" s="170"/>
      <c r="B1456" s="170"/>
      <c r="C1456" s="170"/>
      <c r="D1456" s="170"/>
      <c r="E1456" s="577"/>
      <c r="F1456" s="578"/>
      <c r="G1456" s="579"/>
      <c r="H1456" s="170"/>
    </row>
    <row r="1457" spans="1:8" ht="14.25">
      <c r="A1457" s="170"/>
      <c r="B1457" s="170"/>
      <c r="C1457" s="170"/>
      <c r="D1457" s="170"/>
      <c r="E1457" s="577"/>
      <c r="F1457" s="578"/>
      <c r="G1457" s="579"/>
      <c r="H1457" s="170"/>
    </row>
    <row r="1458" spans="1:8" ht="14.25">
      <c r="A1458" s="170"/>
      <c r="B1458" s="170"/>
      <c r="C1458" s="170"/>
      <c r="D1458" s="170"/>
      <c r="E1458" s="577"/>
      <c r="F1458" s="578"/>
      <c r="G1458" s="579"/>
      <c r="H1458" s="170"/>
    </row>
    <row r="1459" spans="1:8" ht="14.25">
      <c r="A1459" s="170"/>
      <c r="B1459" s="170"/>
      <c r="C1459" s="170"/>
      <c r="D1459" s="170"/>
      <c r="E1459" s="577"/>
      <c r="F1459" s="578"/>
      <c r="G1459" s="579"/>
      <c r="H1459" s="170"/>
    </row>
    <row r="1460" spans="1:8" ht="14.25">
      <c r="A1460" s="170"/>
      <c r="B1460" s="170"/>
      <c r="C1460" s="170"/>
      <c r="D1460" s="170"/>
      <c r="E1460" s="577"/>
      <c r="F1460" s="578"/>
      <c r="G1460" s="579"/>
      <c r="H1460" s="170"/>
    </row>
    <row r="1461" spans="1:8" ht="14.25">
      <c r="A1461" s="170"/>
      <c r="B1461" s="170"/>
      <c r="C1461" s="170"/>
      <c r="D1461" s="170"/>
      <c r="E1461" s="577"/>
      <c r="F1461" s="578"/>
      <c r="G1461" s="579"/>
      <c r="H1461" s="170"/>
    </row>
    <row r="1462" spans="1:8" ht="14.25">
      <c r="A1462" s="170"/>
      <c r="B1462" s="170"/>
      <c r="C1462" s="170"/>
      <c r="D1462" s="170"/>
      <c r="E1462" s="577"/>
      <c r="F1462" s="578"/>
      <c r="G1462" s="579"/>
      <c r="H1462" s="170"/>
    </row>
    <row r="1463" spans="1:8" ht="14.25">
      <c r="A1463" s="170"/>
      <c r="B1463" s="170"/>
      <c r="C1463" s="170"/>
      <c r="D1463" s="170"/>
      <c r="E1463" s="577"/>
      <c r="F1463" s="578"/>
      <c r="G1463" s="579"/>
      <c r="H1463" s="170"/>
    </row>
    <row r="1464" spans="1:8" ht="14.25">
      <c r="A1464" s="170"/>
      <c r="B1464" s="170"/>
      <c r="C1464" s="170"/>
      <c r="D1464" s="170"/>
      <c r="E1464" s="577"/>
      <c r="F1464" s="578"/>
      <c r="G1464" s="579"/>
      <c r="H1464" s="170"/>
    </row>
    <row r="1465" spans="1:8" ht="14.25">
      <c r="A1465" s="170"/>
      <c r="B1465" s="170"/>
      <c r="C1465" s="170"/>
      <c r="D1465" s="170"/>
      <c r="E1465" s="577"/>
      <c r="F1465" s="578"/>
      <c r="G1465" s="579"/>
      <c r="H1465" s="170"/>
    </row>
    <row r="1466" spans="1:8" ht="14.25">
      <c r="A1466" s="170"/>
      <c r="B1466" s="170"/>
      <c r="C1466" s="170"/>
      <c r="D1466" s="170"/>
      <c r="E1466" s="577"/>
      <c r="F1466" s="578"/>
      <c r="G1466" s="579"/>
      <c r="H1466" s="170"/>
    </row>
    <row r="1467" spans="1:8" ht="14.25">
      <c r="A1467" s="170"/>
      <c r="B1467" s="170"/>
      <c r="C1467" s="170"/>
      <c r="D1467" s="170"/>
      <c r="E1467" s="577"/>
      <c r="F1467" s="578"/>
      <c r="G1467" s="579"/>
      <c r="H1467" s="170"/>
    </row>
    <row r="1468" spans="1:8" ht="14.25">
      <c r="A1468" s="170"/>
      <c r="B1468" s="170"/>
      <c r="C1468" s="170"/>
      <c r="D1468" s="170"/>
      <c r="E1468" s="577"/>
      <c r="F1468" s="578"/>
      <c r="G1468" s="579"/>
      <c r="H1468" s="170"/>
    </row>
    <row r="1469" spans="1:8" ht="14.25">
      <c r="A1469" s="170"/>
      <c r="B1469" s="170"/>
      <c r="C1469" s="170"/>
      <c r="D1469" s="170"/>
      <c r="E1469" s="577"/>
      <c r="F1469" s="578"/>
      <c r="G1469" s="579"/>
      <c r="H1469" s="170"/>
    </row>
  </sheetData>
  <sheetProtection password="DE7A" sheet="1" objects="1" scenarios="1"/>
  <mergeCells count="6">
    <mergeCell ref="A5:A6"/>
    <mergeCell ref="B5:D5"/>
    <mergeCell ref="E5:F6"/>
    <mergeCell ref="G5:G6"/>
    <mergeCell ref="H5:H6"/>
    <mergeCell ref="B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.125" style="0" customWidth="1"/>
    <col min="2" max="2" width="24.875" style="0" customWidth="1"/>
    <col min="3" max="3" width="12.25390625" style="0" customWidth="1"/>
    <col min="4" max="4" width="12.125" style="0" customWidth="1"/>
    <col min="5" max="5" width="48.125" style="0" customWidth="1"/>
    <col min="6" max="6" width="4.50390625" style="0" customWidth="1"/>
    <col min="7" max="7" width="11.875" style="0" customWidth="1"/>
  </cols>
  <sheetData>
    <row r="1" spans="1:7" ht="12">
      <c r="A1" s="7"/>
      <c r="B1" s="7"/>
      <c r="C1" s="7"/>
      <c r="D1" s="7"/>
      <c r="E1" s="7"/>
      <c r="F1" s="7"/>
      <c r="G1" s="8"/>
    </row>
    <row r="2" spans="1:7" ht="12">
      <c r="A2" s="7"/>
      <c r="B2" s="7"/>
      <c r="C2" s="7"/>
      <c r="D2" s="7"/>
      <c r="E2" s="7"/>
      <c r="F2" s="7"/>
      <c r="G2" s="8"/>
    </row>
    <row r="3" spans="1:7" ht="12">
      <c r="A3" s="7"/>
      <c r="B3" s="15" t="s">
        <v>15</v>
      </c>
      <c r="C3" s="616" t="s">
        <v>16</v>
      </c>
      <c r="D3" s="617"/>
      <c r="E3" s="15" t="s">
        <v>17</v>
      </c>
      <c r="F3" s="15" t="s">
        <v>18</v>
      </c>
      <c r="G3" s="16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3:D3"/>
  </mergeCells>
  <printOptions/>
  <pageMargins left="0.699999988079071" right="0.699999988079071" top="0.75" bottom="0.75" header="0.4923610985279083" footer="0.4923610985279083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Jesenáková Katarína</dc:creator>
  <cp:keywords/>
  <dc:description/>
  <cp:lastModifiedBy>Gutek Peter</cp:lastModifiedBy>
  <cp:lastPrinted>2023-07-12T11:43:19Z</cp:lastPrinted>
  <dcterms:created xsi:type="dcterms:W3CDTF">2007-02-14T10:08:29Z</dcterms:created>
  <dcterms:modified xsi:type="dcterms:W3CDTF">2023-09-25T13:08:37Z</dcterms:modified>
  <cp:category/>
  <cp:version/>
  <cp:contentType/>
  <cp:contentStatus/>
</cp:coreProperties>
</file>