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to_zošit" defaultThemeVersion="124226"/>
  <bookViews>
    <workbookView xWindow="-120" yWindow="-120" windowWidth="29040" windowHeight="15840" activeTab="2"/>
  </bookViews>
  <sheets>
    <sheet name="Rekapitulácia stavby" sheetId="5" r:id="rId1"/>
    <sheet name="Súpis prác" sheetId="4" r:id="rId2"/>
    <sheet name="Časti stavby" sheetId="2" r:id="rId3"/>
    <sheet name="101-00" sheetId="6" r:id="rId4"/>
    <sheet name="201-00" sheetId="7" r:id="rId5"/>
    <sheet name="202-00" sheetId="1" r:id="rId6"/>
  </sheets>
  <definedNames>
    <definedName name="_xlnm._FilterDatabase" localSheetId="2" hidden="1">'Časti stavby'!$C$1:$C$174</definedName>
    <definedName name="_xlnm.Print_Area" localSheetId="3">'101-00'!$A$1:$H$77</definedName>
    <definedName name="_xlnm.Print_Area" localSheetId="4">'201-00'!$A$1:$H$271</definedName>
    <definedName name="_xlnm.Print_Area" localSheetId="5">'202-00'!$A$1:$H$270</definedName>
    <definedName name="_xlnm.Print_Area" localSheetId="2">'Časti stavby'!$A$1:$I$128</definedName>
    <definedName name="_xlnm.Print_Area" localSheetId="0">'Rekapitulácia stavby'!$A$1:$G$7</definedName>
    <definedName name="_xlnm.Print_Area" localSheetId="1">'Súpis prác'!$A$1:$I$65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4" i="2" l="1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76" i="6" l="1"/>
  <c r="G20" i="2" s="1"/>
  <c r="G57" i="4" s="1"/>
  <c r="F74" i="6"/>
  <c r="H71" i="6" s="1"/>
  <c r="G19" i="2" s="1"/>
  <c r="I19" i="2" l="1"/>
  <c r="G56" i="4"/>
  <c r="I20" i="2"/>
  <c r="F132" i="1"/>
  <c r="F216" i="1" l="1"/>
  <c r="H93" i="1" l="1"/>
  <c r="H88" i="7"/>
  <c r="G39" i="2" s="1"/>
  <c r="I39" i="2" s="1"/>
  <c r="H89" i="7" l="1"/>
  <c r="H94" i="1"/>
  <c r="G91" i="2"/>
  <c r="G22" i="4" l="1"/>
  <c r="I91" i="2"/>
  <c r="F165" i="7"/>
  <c r="F149" i="7"/>
  <c r="F152" i="7"/>
  <c r="F43" i="7"/>
  <c r="F170" i="1" l="1"/>
  <c r="F43" i="1"/>
  <c r="F219" i="1"/>
  <c r="F212" i="1"/>
  <c r="F224" i="1"/>
  <c r="F223" i="1"/>
  <c r="F225" i="1" s="1"/>
  <c r="H221" i="1" s="1"/>
  <c r="H222" i="1" l="1"/>
  <c r="G116" i="2"/>
  <c r="G52" i="4" l="1"/>
  <c r="I116" i="2"/>
  <c r="G68" i="2"/>
  <c r="I68" i="2" s="1"/>
  <c r="G25" i="2"/>
  <c r="I25" i="2" s="1"/>
  <c r="G24" i="2"/>
  <c r="I24" i="2" s="1"/>
  <c r="F269" i="7"/>
  <c r="F268" i="7"/>
  <c r="F262" i="7"/>
  <c r="F261" i="7"/>
  <c r="F256" i="7"/>
  <c r="H255" i="7" s="1"/>
  <c r="H254" i="7" s="1"/>
  <c r="G70" i="2" s="1"/>
  <c r="I70" i="2" s="1"/>
  <c r="F249" i="7"/>
  <c r="F248" i="7"/>
  <c r="F237" i="7"/>
  <c r="H236" i="7" s="1"/>
  <c r="H235" i="7" s="1"/>
  <c r="G67" i="2" s="1"/>
  <c r="I67" i="2" s="1"/>
  <c r="F233" i="7"/>
  <c r="H232" i="7" s="1"/>
  <c r="H231" i="7" s="1"/>
  <c r="G66" i="2" s="1"/>
  <c r="I66" i="2" s="1"/>
  <c r="F227" i="7"/>
  <c r="H226" i="7" s="1"/>
  <c r="H225" i="7" s="1"/>
  <c r="G65" i="2" s="1"/>
  <c r="I65" i="2" s="1"/>
  <c r="F223" i="7"/>
  <c r="H222" i="7" s="1"/>
  <c r="G64" i="2" s="1"/>
  <c r="I64" i="2" s="1"/>
  <c r="F220" i="7"/>
  <c r="H219" i="7" s="1"/>
  <c r="H218" i="7" s="1"/>
  <c r="G63" i="2" s="1"/>
  <c r="I63" i="2" s="1"/>
  <c r="F215" i="7"/>
  <c r="F214" i="7"/>
  <c r="H210" i="7"/>
  <c r="H209" i="7" s="1"/>
  <c r="G61" i="2" s="1"/>
  <c r="H206" i="7"/>
  <c r="G60" i="2" s="1"/>
  <c r="F202" i="7"/>
  <c r="H201" i="7" s="1"/>
  <c r="H200" i="7" s="1"/>
  <c r="G59" i="2" s="1"/>
  <c r="F196" i="7"/>
  <c r="H195" i="7" s="1"/>
  <c r="H194" i="7" s="1"/>
  <c r="G58" i="2" s="1"/>
  <c r="I58" i="2" s="1"/>
  <c r="F191" i="7"/>
  <c r="F190" i="7"/>
  <c r="F189" i="7"/>
  <c r="F188" i="7"/>
  <c r="F185" i="7"/>
  <c r="F184" i="7"/>
  <c r="F177" i="7"/>
  <c r="F176" i="7"/>
  <c r="F172" i="7"/>
  <c r="H168" i="7" s="1"/>
  <c r="G55" i="2" s="1"/>
  <c r="F163" i="7"/>
  <c r="F159" i="7"/>
  <c r="H158" i="7" s="1"/>
  <c r="G53" i="2" s="1"/>
  <c r="F156" i="7"/>
  <c r="H155" i="7" s="1"/>
  <c r="G52" i="2" s="1"/>
  <c r="H151" i="7"/>
  <c r="H148" i="7"/>
  <c r="H144" i="7"/>
  <c r="G50" i="2" s="1"/>
  <c r="I50" i="2" s="1"/>
  <c r="H141" i="7"/>
  <c r="G49" i="2" s="1"/>
  <c r="H138" i="7"/>
  <c r="H137" i="7" s="1"/>
  <c r="G48" i="2" s="1"/>
  <c r="F134" i="7"/>
  <c r="F133" i="7"/>
  <c r="F128" i="7"/>
  <c r="F127" i="7"/>
  <c r="F122" i="7"/>
  <c r="F121" i="7"/>
  <c r="F116" i="7"/>
  <c r="F115" i="7"/>
  <c r="F111" i="7"/>
  <c r="H110" i="7" s="1"/>
  <c r="F109" i="7"/>
  <c r="H108" i="7" s="1"/>
  <c r="F107" i="7"/>
  <c r="H106" i="7" s="1"/>
  <c r="F103" i="7"/>
  <c r="H102" i="7" s="1"/>
  <c r="H101" i="7" s="1"/>
  <c r="G42" i="2" s="1"/>
  <c r="F99" i="7"/>
  <c r="H98" i="7" s="1"/>
  <c r="H97" i="7" s="1"/>
  <c r="G41" i="2" s="1"/>
  <c r="F95" i="7"/>
  <c r="H94" i="7" s="1"/>
  <c r="H93" i="7" s="1"/>
  <c r="G40" i="2" s="1"/>
  <c r="F83" i="7"/>
  <c r="H82" i="7" s="1"/>
  <c r="H81" i="7" s="1"/>
  <c r="G37" i="2" s="1"/>
  <c r="F76" i="7"/>
  <c r="H75" i="7" s="1"/>
  <c r="H86" i="7" s="1"/>
  <c r="F70" i="7"/>
  <c r="F68" i="7"/>
  <c r="F66" i="7"/>
  <c r="F63" i="7"/>
  <c r="F62" i="7"/>
  <c r="F55" i="7"/>
  <c r="F40" i="7"/>
  <c r="F54" i="7" s="1"/>
  <c r="F38" i="7"/>
  <c r="F53" i="7" s="1"/>
  <c r="F34" i="7"/>
  <c r="F52" i="7" s="1"/>
  <c r="F30" i="7"/>
  <c r="F51" i="7" s="1"/>
  <c r="F26" i="7"/>
  <c r="H25" i="7" s="1"/>
  <c r="G28" i="2" s="1"/>
  <c r="F23" i="7"/>
  <c r="F49" i="7" s="1"/>
  <c r="F20" i="7"/>
  <c r="H19" i="7" s="1"/>
  <c r="G26" i="2" s="1"/>
  <c r="A9" i="7"/>
  <c r="F178" i="7" l="1"/>
  <c r="H174" i="7" s="1"/>
  <c r="G56" i="2" s="1"/>
  <c r="F64" i="7"/>
  <c r="F263" i="7"/>
  <c r="H259" i="7" s="1"/>
  <c r="H258" i="7" s="1"/>
  <c r="G71" i="2" s="1"/>
  <c r="I71" i="2" s="1"/>
  <c r="F166" i="7"/>
  <c r="H161" i="7" s="1"/>
  <c r="H162" i="7" s="1"/>
  <c r="F117" i="7"/>
  <c r="H114" i="7" s="1"/>
  <c r="H113" i="7" s="1"/>
  <c r="G44" i="2" s="1"/>
  <c r="I44" i="2" s="1"/>
  <c r="F250" i="7"/>
  <c r="H246" i="7" s="1"/>
  <c r="G69" i="2" s="1"/>
  <c r="I69" i="2" s="1"/>
  <c r="I60" i="2"/>
  <c r="I61" i="2"/>
  <c r="F50" i="7"/>
  <c r="H33" i="7"/>
  <c r="H32" i="7" s="1"/>
  <c r="G30" i="2" s="1"/>
  <c r="I30" i="2" s="1"/>
  <c r="H39" i="7"/>
  <c r="F270" i="7"/>
  <c r="H266" i="7" s="1"/>
  <c r="H265" i="7" s="1"/>
  <c r="G72" i="2" s="1"/>
  <c r="H29" i="7"/>
  <c r="H28" i="7" s="1"/>
  <c r="G29" i="2" s="1"/>
  <c r="I29" i="2" s="1"/>
  <c r="H37" i="7"/>
  <c r="I59" i="2"/>
  <c r="H147" i="7"/>
  <c r="G51" i="2" s="1"/>
  <c r="I51" i="2" s="1"/>
  <c r="I26" i="2"/>
  <c r="H105" i="7"/>
  <c r="G43" i="2" s="1"/>
  <c r="I41" i="2"/>
  <c r="I49" i="2"/>
  <c r="I55" i="2"/>
  <c r="I28" i="2"/>
  <c r="I37" i="2"/>
  <c r="I42" i="2"/>
  <c r="I53" i="2"/>
  <c r="I56" i="2"/>
  <c r="F48" i="7"/>
  <c r="H60" i="7"/>
  <c r="H59" i="7" s="1"/>
  <c r="G34" i="2" s="1"/>
  <c r="F192" i="7"/>
  <c r="H187" i="7" s="1"/>
  <c r="F129" i="7"/>
  <c r="H126" i="7" s="1"/>
  <c r="H125" i="7" s="1"/>
  <c r="G46" i="2" s="1"/>
  <c r="F123" i="7"/>
  <c r="H120" i="7" s="1"/>
  <c r="H119" i="7" s="1"/>
  <c r="G45" i="2" s="1"/>
  <c r="F135" i="7"/>
  <c r="H132" i="7" s="1"/>
  <c r="H131" i="7" s="1"/>
  <c r="G47" i="2" s="1"/>
  <c r="F186" i="7"/>
  <c r="H183" i="7" s="1"/>
  <c r="H182" i="7" s="1"/>
  <c r="G57" i="2" s="1"/>
  <c r="I57" i="2" s="1"/>
  <c r="F216" i="7"/>
  <c r="H213" i="7" s="1"/>
  <c r="H212" i="7" s="1"/>
  <c r="G62" i="2" s="1"/>
  <c r="I40" i="2"/>
  <c r="I48" i="2"/>
  <c r="I52" i="2"/>
  <c r="H85" i="7"/>
  <c r="G38" i="2" s="1"/>
  <c r="I38" i="2" s="1"/>
  <c r="H79" i="7"/>
  <c r="H78" i="7" s="1"/>
  <c r="A11" i="7"/>
  <c r="A13" i="7" s="1"/>
  <c r="H22" i="7"/>
  <c r="G27" i="2" s="1"/>
  <c r="H42" i="7"/>
  <c r="G32" i="2" s="1"/>
  <c r="I32" i="2" s="1"/>
  <c r="H74" i="7"/>
  <c r="G35" i="2" s="1"/>
  <c r="I35" i="2" s="1"/>
  <c r="F57" i="7" l="1"/>
  <c r="H46" i="7" s="1"/>
  <c r="H45" i="7" s="1"/>
  <c r="H36" i="7"/>
  <c r="G31" i="2" s="1"/>
  <c r="G14" i="4" s="1"/>
  <c r="G54" i="2"/>
  <c r="I54" i="2" s="1"/>
  <c r="I62" i="2"/>
  <c r="I72" i="2"/>
  <c r="G64" i="4"/>
  <c r="H9" i="7"/>
  <c r="G22" i="2" s="1"/>
  <c r="I22" i="2" s="1"/>
  <c r="G33" i="2"/>
  <c r="I33" i="2" s="1"/>
  <c r="I47" i="2"/>
  <c r="I34" i="2"/>
  <c r="I43" i="2"/>
  <c r="H11" i="7"/>
  <c r="G23" i="2" s="1"/>
  <c r="I23" i="2" s="1"/>
  <c r="G36" i="2"/>
  <c r="I36" i="2" s="1"/>
  <c r="I45" i="2"/>
  <c r="I27" i="2"/>
  <c r="I46" i="2"/>
  <c r="A15" i="7"/>
  <c r="I31" i="2" l="1"/>
  <c r="I73" i="2" s="1"/>
  <c r="E5" i="5" s="1"/>
  <c r="A19" i="7"/>
  <c r="F5" i="5" l="1"/>
  <c r="G5" i="5" s="1"/>
  <c r="A22" i="7"/>
  <c r="A25" i="7" l="1"/>
  <c r="A28" i="7" s="1"/>
  <c r="A32" i="7" l="1"/>
  <c r="A36" i="7" s="1"/>
  <c r="A42" i="7" l="1"/>
  <c r="A45" i="7" l="1"/>
  <c r="A59" i="7" s="1"/>
  <c r="A74" i="7" s="1"/>
  <c r="A78" i="7" s="1"/>
  <c r="A81" i="7" s="1"/>
  <c r="A85" i="7" s="1"/>
  <c r="A88" i="7" l="1"/>
  <c r="A93" i="7" s="1"/>
  <c r="A97" i="7" s="1"/>
  <c r="A101" i="7" s="1"/>
  <c r="A105" i="7" s="1"/>
  <c r="A113" i="7" s="1"/>
  <c r="A119" i="7" s="1"/>
  <c r="A125" i="7" s="1"/>
  <c r="A131" i="7" s="1"/>
  <c r="A137" i="7" s="1"/>
  <c r="A141" i="7" s="1"/>
  <c r="A144" i="7" s="1"/>
  <c r="A147" i="7" s="1"/>
  <c r="A155" i="7" s="1"/>
  <c r="A158" i="7" s="1"/>
  <c r="A161" i="7" s="1"/>
  <c r="A168" i="7" s="1"/>
  <c r="A174" i="7" s="1"/>
  <c r="A182" i="7" s="1"/>
  <c r="A194" i="7" s="1"/>
  <c r="A200" i="7" s="1"/>
  <c r="A206" i="7" s="1"/>
  <c r="A209" i="7" s="1"/>
  <c r="A212" i="7" s="1"/>
  <c r="A218" i="7" s="1"/>
  <c r="A222" i="7" s="1"/>
  <c r="A225" i="7" s="1"/>
  <c r="A231" i="7" s="1"/>
  <c r="A235" i="7" s="1"/>
  <c r="A241" i="7" s="1"/>
  <c r="A246" i="7" s="1"/>
  <c r="A254" i="7" s="1"/>
  <c r="A258" i="7" s="1"/>
  <c r="A265" i="7" s="1"/>
  <c r="G7" i="2"/>
  <c r="I7" i="2" s="1"/>
  <c r="G6" i="2"/>
  <c r="I6" i="2" s="1"/>
  <c r="F69" i="6"/>
  <c r="H68" i="6" s="1"/>
  <c r="G18" i="2" s="1"/>
  <c r="F65" i="6"/>
  <c r="F64" i="6"/>
  <c r="F63" i="6"/>
  <c r="F58" i="6"/>
  <c r="F57" i="6"/>
  <c r="H53" i="6"/>
  <c r="H52" i="6" s="1"/>
  <c r="G15" i="2" s="1"/>
  <c r="F48" i="6"/>
  <c r="H47" i="6" s="1"/>
  <c r="H46" i="6" s="1"/>
  <c r="G14" i="2" s="1"/>
  <c r="F44" i="6"/>
  <c r="H43" i="6" s="1"/>
  <c r="G13" i="2" s="1"/>
  <c r="F33" i="6"/>
  <c r="H32" i="6" s="1"/>
  <c r="H39" i="6" s="1"/>
  <c r="F20" i="6"/>
  <c r="H19" i="6" s="1"/>
  <c r="G8" i="2" s="1"/>
  <c r="A9" i="6"/>
  <c r="F66" i="6" l="1"/>
  <c r="H62" i="6" s="1"/>
  <c r="H61" i="6" s="1"/>
  <c r="G17" i="2" s="1"/>
  <c r="G48" i="4" s="1"/>
  <c r="F59" i="6"/>
  <c r="H56" i="6" s="1"/>
  <c r="H55" i="6" s="1"/>
  <c r="G16" i="2" s="1"/>
  <c r="I16" i="2" s="1"/>
  <c r="I14" i="2"/>
  <c r="G45" i="4"/>
  <c r="I18" i="2"/>
  <c r="G54" i="4"/>
  <c r="I15" i="2"/>
  <c r="G46" i="4"/>
  <c r="I17" i="2"/>
  <c r="I13" i="2"/>
  <c r="G44" i="4"/>
  <c r="I8" i="2"/>
  <c r="H38" i="6"/>
  <c r="G12" i="2" s="1"/>
  <c r="H36" i="6"/>
  <c r="H35" i="6" s="1"/>
  <c r="F25" i="6"/>
  <c r="F27" i="6" s="1"/>
  <c r="H23" i="6" s="1"/>
  <c r="H22" i="6" s="1"/>
  <c r="A11" i="6"/>
  <c r="H31" i="6"/>
  <c r="G10" i="2" s="1"/>
  <c r="G47" i="4" l="1"/>
  <c r="H9" i="6"/>
  <c r="G4" i="2" s="1"/>
  <c r="G9" i="2"/>
  <c r="H11" i="6"/>
  <c r="G5" i="2" s="1"/>
  <c r="G11" i="2"/>
  <c r="I12" i="2"/>
  <c r="I10" i="2"/>
  <c r="A13" i="6"/>
  <c r="I11" i="2" l="1"/>
  <c r="I5" i="2"/>
  <c r="I4" i="2"/>
  <c r="I9" i="2"/>
  <c r="A15" i="6"/>
  <c r="A19" i="6" s="1"/>
  <c r="I21" i="2" l="1"/>
  <c r="E4" i="5" s="1"/>
  <c r="A22" i="6"/>
  <c r="A31" i="6" l="1"/>
  <c r="A35" i="6" s="1"/>
  <c r="A38" i="6" l="1"/>
  <c r="A43" i="6" s="1"/>
  <c r="A46" i="6" s="1"/>
  <c r="A52" i="6" s="1"/>
  <c r="A55" i="6" s="1"/>
  <c r="A61" i="6" s="1"/>
  <c r="A68" i="6" s="1"/>
  <c r="A71" i="6" s="1"/>
  <c r="A76" i="6" s="1"/>
  <c r="G121" i="2" l="1"/>
  <c r="G60" i="4" s="1"/>
  <c r="F185" i="1"/>
  <c r="F184" i="1"/>
  <c r="I121" i="2" l="1"/>
  <c r="F186" i="1"/>
  <c r="H182" i="1" s="1"/>
  <c r="G110" i="2" s="1"/>
  <c r="G41" i="4" s="1"/>
  <c r="I110" i="2" l="1"/>
  <c r="F88" i="1"/>
  <c r="H87" i="1" s="1"/>
  <c r="H86" i="1" s="1"/>
  <c r="G89" i="2" s="1"/>
  <c r="F80" i="1"/>
  <c r="F22" i="1"/>
  <c r="F50" i="1" s="1"/>
  <c r="F267" i="1"/>
  <c r="F266" i="1"/>
  <c r="F261" i="1"/>
  <c r="H260" i="1" s="1"/>
  <c r="H259" i="1" s="1"/>
  <c r="G123" i="2" s="1"/>
  <c r="F254" i="1"/>
  <c r="F253" i="1"/>
  <c r="F181" i="1"/>
  <c r="F72" i="1"/>
  <c r="F66" i="1"/>
  <c r="F63" i="1"/>
  <c r="F62" i="1"/>
  <c r="F70" i="1"/>
  <c r="I123" i="2" l="1"/>
  <c r="G62" i="4"/>
  <c r="G20" i="4"/>
  <c r="I89" i="2"/>
  <c r="F255" i="1"/>
  <c r="H251" i="1" s="1"/>
  <c r="G122" i="2" s="1"/>
  <c r="F268" i="1"/>
  <c r="H264" i="1" s="1"/>
  <c r="H263" i="1" s="1"/>
  <c r="G124" i="2" s="1"/>
  <c r="F64" i="1"/>
  <c r="I124" i="2" l="1"/>
  <c r="G63" i="4"/>
  <c r="I122" i="2"/>
  <c r="G61" i="4"/>
  <c r="F68" i="1"/>
  <c r="H60" i="1" s="1"/>
  <c r="H31" i="1" l="1"/>
  <c r="G81" i="2" l="1"/>
  <c r="I81" i="2" l="1"/>
  <c r="G11" i="4"/>
  <c r="F108" i="1"/>
  <c r="H177" i="1" l="1"/>
  <c r="F201" i="1" l="1"/>
  <c r="F200" i="1"/>
  <c r="F199" i="1"/>
  <c r="F198" i="1"/>
  <c r="F195" i="1"/>
  <c r="F194" i="1"/>
  <c r="F193" i="1"/>
  <c r="F192" i="1"/>
  <c r="F79" i="1"/>
  <c r="F78" i="1"/>
  <c r="F21" i="1"/>
  <c r="F49" i="1" s="1"/>
  <c r="F81" i="1" l="1"/>
  <c r="F196" i="1"/>
  <c r="F202" i="1"/>
  <c r="H77" i="1"/>
  <c r="H211" i="1" l="1"/>
  <c r="H210" i="1" s="1"/>
  <c r="H215" i="1"/>
  <c r="H214" i="1" s="1"/>
  <c r="H218" i="1"/>
  <c r="F228" i="1"/>
  <c r="H227" i="1" s="1"/>
  <c r="H155" i="1"/>
  <c r="F175" i="1"/>
  <c r="H174" i="1" s="1"/>
  <c r="H173" i="1" s="1"/>
  <c r="G115" i="2" l="1"/>
  <c r="G108" i="2"/>
  <c r="G39" i="4" s="1"/>
  <c r="G109" i="2"/>
  <c r="G40" i="4" s="1"/>
  <c r="G104" i="2"/>
  <c r="G35" i="4" s="1"/>
  <c r="F238" i="1"/>
  <c r="F242" i="1"/>
  <c r="F232" i="1"/>
  <c r="F151" i="1"/>
  <c r="F150" i="1"/>
  <c r="F104" i="1"/>
  <c r="F100" i="1"/>
  <c r="F161" i="1"/>
  <c r="F140" i="1"/>
  <c r="F136" i="1"/>
  <c r="H135" i="1" s="1"/>
  <c r="H131" i="1"/>
  <c r="F206" i="1"/>
  <c r="I115" i="2" l="1"/>
  <c r="G51" i="4"/>
  <c r="I108" i="2"/>
  <c r="I104" i="2"/>
  <c r="I109" i="2"/>
  <c r="F152" i="1"/>
  <c r="H149" i="1" s="1"/>
  <c r="H148" i="1" s="1"/>
  <c r="F120" i="1"/>
  <c r="F126" i="1"/>
  <c r="F114" i="1"/>
  <c r="F121" i="1"/>
  <c r="F112" i="1"/>
  <c r="H145" i="1"/>
  <c r="F168" i="1"/>
  <c r="F164" i="1"/>
  <c r="H142" i="1"/>
  <c r="F127" i="1"/>
  <c r="F116" i="1"/>
  <c r="F26" i="1"/>
  <c r="F29" i="1"/>
  <c r="F40" i="1"/>
  <c r="F36" i="1"/>
  <c r="H35" i="1" s="1"/>
  <c r="H34" i="1" s="1"/>
  <c r="F20" i="1"/>
  <c r="F171" i="1" l="1"/>
  <c r="H166" i="1" s="1"/>
  <c r="H167" i="1" s="1"/>
  <c r="F23" i="1"/>
  <c r="H19" i="1" s="1"/>
  <c r="F53" i="1"/>
  <c r="G77" i="2" l="1"/>
  <c r="G76" i="2"/>
  <c r="H91" i="1"/>
  <c r="H84" i="1" s="1"/>
  <c r="H83" i="1" s="1"/>
  <c r="H76" i="1"/>
  <c r="H160" i="1"/>
  <c r="H205" i="1"/>
  <c r="H204" i="1" s="1"/>
  <c r="H139" i="1"/>
  <c r="H138" i="1" s="1"/>
  <c r="G100" i="2" s="1"/>
  <c r="G31" i="4" s="1"/>
  <c r="H241" i="1"/>
  <c r="H237" i="1"/>
  <c r="H236" i="1" s="1"/>
  <c r="H231" i="1"/>
  <c r="H230" i="1" s="1"/>
  <c r="G118" i="2" s="1"/>
  <c r="H107" i="1"/>
  <c r="H106" i="1" s="1"/>
  <c r="H103" i="1"/>
  <c r="H102" i="1" s="1"/>
  <c r="H99" i="1"/>
  <c r="H98" i="1" s="1"/>
  <c r="G92" i="2" s="1"/>
  <c r="G23" i="4" s="1"/>
  <c r="G107" i="2"/>
  <c r="G38" i="4" s="1"/>
  <c r="H163" i="1"/>
  <c r="F128" i="1"/>
  <c r="H125" i="1" s="1"/>
  <c r="H124" i="1" s="1"/>
  <c r="G97" i="2" s="1"/>
  <c r="G28" i="4" s="1"/>
  <c r="H113" i="1"/>
  <c r="H111" i="1"/>
  <c r="H115" i="1"/>
  <c r="H25" i="1"/>
  <c r="H28" i="1"/>
  <c r="H39" i="1"/>
  <c r="H38" i="1" s="1"/>
  <c r="G83" i="2" s="1"/>
  <c r="H42" i="1"/>
  <c r="G78" i="2"/>
  <c r="I118" i="2" l="1"/>
  <c r="G55" i="4"/>
  <c r="I97" i="2"/>
  <c r="I100" i="2"/>
  <c r="I77" i="2"/>
  <c r="G7" i="4"/>
  <c r="I83" i="2"/>
  <c r="G13" i="4"/>
  <c r="I92" i="2"/>
  <c r="I107" i="2"/>
  <c r="I78" i="2"/>
  <c r="G8" i="4"/>
  <c r="I76" i="2"/>
  <c r="G6" i="4"/>
  <c r="H240" i="1"/>
  <c r="G120" i="2" s="1"/>
  <c r="G114" i="2"/>
  <c r="G80" i="2"/>
  <c r="G105" i="2"/>
  <c r="G36" i="4" s="1"/>
  <c r="G84" i="2"/>
  <c r="G117" i="2"/>
  <c r="G88" i="2"/>
  <c r="G112" i="2"/>
  <c r="G93" i="2"/>
  <c r="G24" i="4" s="1"/>
  <c r="G101" i="2"/>
  <c r="G32" i="4" s="1"/>
  <c r="G119" i="2"/>
  <c r="G82" i="2"/>
  <c r="G94" i="2"/>
  <c r="G25" i="4" s="1"/>
  <c r="G102" i="2"/>
  <c r="G33" i="4" s="1"/>
  <c r="G106" i="2"/>
  <c r="G37" i="4" s="1"/>
  <c r="G79" i="2"/>
  <c r="G87" i="2"/>
  <c r="G113" i="2"/>
  <c r="F51" i="1"/>
  <c r="F52" i="1"/>
  <c r="F55" i="1"/>
  <c r="H90" i="1"/>
  <c r="H11" i="1" s="1"/>
  <c r="G75" i="2" s="1"/>
  <c r="F48" i="1"/>
  <c r="F54" i="1"/>
  <c r="H130" i="1"/>
  <c r="H134" i="1"/>
  <c r="F122" i="1"/>
  <c r="H119" i="1" s="1"/>
  <c r="H118" i="1" s="1"/>
  <c r="H110" i="1"/>
  <c r="I113" i="2" l="1"/>
  <c r="G49" i="4"/>
  <c r="I120" i="2"/>
  <c r="G59" i="4"/>
  <c r="I117" i="2"/>
  <c r="G53" i="4"/>
  <c r="I114" i="2"/>
  <c r="G50" i="4"/>
  <c r="I112" i="2"/>
  <c r="G43" i="4"/>
  <c r="I119" i="2"/>
  <c r="G58" i="4"/>
  <c r="I93" i="2"/>
  <c r="I106" i="2"/>
  <c r="I87" i="2"/>
  <c r="G18" i="4"/>
  <c r="I102" i="2"/>
  <c r="I101" i="2"/>
  <c r="I84" i="2"/>
  <c r="G15" i="4"/>
  <c r="I79" i="2"/>
  <c r="G9" i="4"/>
  <c r="I94" i="2"/>
  <c r="I105" i="2"/>
  <c r="I75" i="2"/>
  <c r="G5" i="4"/>
  <c r="I82" i="2"/>
  <c r="G12" i="4"/>
  <c r="I88" i="2"/>
  <c r="G19" i="4"/>
  <c r="I80" i="2"/>
  <c r="G10" i="4"/>
  <c r="G103" i="2"/>
  <c r="G34" i="4" s="1"/>
  <c r="G90" i="2"/>
  <c r="G95" i="2"/>
  <c r="G26" i="4" s="1"/>
  <c r="G98" i="2"/>
  <c r="G29" i="4" s="1"/>
  <c r="G99" i="2"/>
  <c r="G30" i="4" s="1"/>
  <c r="G96" i="2"/>
  <c r="G27" i="4" s="1"/>
  <c r="F57" i="1"/>
  <c r="H46" i="1" s="1"/>
  <c r="H45" i="1" s="1"/>
  <c r="H59" i="1"/>
  <c r="I99" i="2" l="1"/>
  <c r="I95" i="2"/>
  <c r="I96" i="2"/>
  <c r="I98" i="2"/>
  <c r="I90" i="2"/>
  <c r="G21" i="4"/>
  <c r="I103" i="2"/>
  <c r="G86" i="2"/>
  <c r="H9" i="1"/>
  <c r="G85" i="2"/>
  <c r="H197" i="1"/>
  <c r="H191" i="1"/>
  <c r="A9" i="1"/>
  <c r="I85" i="2" l="1"/>
  <c r="G16" i="4"/>
  <c r="I86" i="2"/>
  <c r="G17" i="4"/>
  <c r="H190" i="1"/>
  <c r="G111" i="2" s="1"/>
  <c r="G74" i="2"/>
  <c r="A11" i="1"/>
  <c r="A13" i="1" s="1"/>
  <c r="A15" i="1" s="1"/>
  <c r="A19" i="1" s="1"/>
  <c r="I111" i="2" l="1"/>
  <c r="G42" i="4"/>
  <c r="I74" i="2"/>
  <c r="G4" i="4"/>
  <c r="A25" i="1"/>
  <c r="I125" i="2" l="1"/>
  <c r="I126" i="2" s="1"/>
  <c r="I127" i="2" s="1"/>
  <c r="I128" i="2" s="1"/>
  <c r="A28" i="1"/>
  <c r="E6" i="5" l="1"/>
  <c r="F6" i="5" s="1"/>
  <c r="G6" i="5" s="1"/>
  <c r="F4" i="5"/>
  <c r="A31" i="1"/>
  <c r="E7" i="5" l="1"/>
  <c r="F7" i="5"/>
  <c r="G4" i="5"/>
  <c r="G7" i="5" s="1"/>
  <c r="A34" i="1"/>
  <c r="A38" i="1" s="1"/>
  <c r="A42" i="1" l="1"/>
  <c r="A45" i="1" l="1"/>
  <c r="A59" i="1" s="1"/>
  <c r="A76" i="1" s="1"/>
  <c r="A83" i="1" s="1"/>
  <c r="A86" i="1" l="1"/>
  <c r="A90" i="1" s="1"/>
  <c r="A93" i="1" s="1"/>
  <c r="A98" i="1" l="1"/>
  <c r="A102" i="1" s="1"/>
  <c r="A106" i="1" s="1"/>
  <c r="A110" i="1" s="1"/>
  <c r="A118" i="1" s="1"/>
  <c r="A124" i="1" s="1"/>
  <c r="A130" i="1" s="1"/>
  <c r="A134" i="1" s="1"/>
  <c r="A138" i="1" s="1"/>
  <c r="A142" i="1" l="1"/>
  <c r="A145" i="1" s="1"/>
  <c r="A148" i="1" l="1"/>
  <c r="A155" i="1" s="1"/>
  <c r="A160" i="1" s="1"/>
  <c r="A163" i="1" l="1"/>
  <c r="A166" i="1" s="1"/>
  <c r="A173" i="1" s="1"/>
  <c r="A177" i="1" s="1"/>
  <c r="A182" i="1" s="1"/>
  <c r="A190" i="1" l="1"/>
  <c r="A204" i="1" s="1"/>
  <c r="A210" i="1" s="1"/>
  <c r="A214" i="1" s="1"/>
  <c r="A218" i="1" s="1"/>
  <c r="A221" i="1" s="1"/>
  <c r="A227" i="1" s="1"/>
  <c r="A230" i="1" l="1"/>
  <c r="A236" i="1" s="1"/>
  <c r="A240" i="1" s="1"/>
  <c r="A246" i="1" s="1"/>
  <c r="A251" i="1" s="1"/>
  <c r="A259" i="1" s="1"/>
  <c r="A263" i="1" s="1"/>
</calcChain>
</file>

<file path=xl/sharedStrings.xml><?xml version="1.0" encoding="utf-8"?>
<sst xmlns="http://schemas.openxmlformats.org/spreadsheetml/2006/main" count="1627" uniqueCount="428">
  <si>
    <t>KS:</t>
  </si>
  <si>
    <t>POLOŽKA</t>
  </si>
  <si>
    <t>VÝKAZ VÝMER</t>
  </si>
  <si>
    <t>M.J.</t>
  </si>
  <si>
    <t>MNOŽ.</t>
  </si>
  <si>
    <t>Č.</t>
  </si>
  <si>
    <t>KÓD KP</t>
  </si>
  <si>
    <t>KÓD SP</t>
  </si>
  <si>
    <t>KÓD SPP</t>
  </si>
  <si>
    <t>45.00.00</t>
  </si>
  <si>
    <t xml:space="preserve">VŠEOBECNÉ POLOŽKY V PROCESE OBSTARÁVANIA STAVIEB  </t>
  </si>
  <si>
    <t>00010401</t>
  </si>
  <si>
    <t>Poplatky za skládky vybúraných hmôt a sutí</t>
  </si>
  <si>
    <t>t</t>
  </si>
  <si>
    <t>00010403</t>
  </si>
  <si>
    <t>Poplatky za skládky zeminy</t>
  </si>
  <si>
    <t>m3</t>
  </si>
  <si>
    <t>00020801</t>
  </si>
  <si>
    <t>Požiadavky objednávateľa ostatné požiadavky - geodetické kontrolné merania</t>
  </si>
  <si>
    <t>kpl</t>
  </si>
  <si>
    <t>00020803</t>
  </si>
  <si>
    <t>ks</t>
  </si>
  <si>
    <t>45.11.11</t>
  </si>
  <si>
    <t>DEMOLAČNÉ  PRÁCE</t>
  </si>
  <si>
    <t>05010205</t>
  </si>
  <si>
    <t>Búranie konštrukcií muriva, priečok, pilierov,prekladov železobetónových</t>
  </si>
  <si>
    <t>05010404</t>
  </si>
  <si>
    <t>Búranie konštrukcií trámov, nosníkov, prievlakov, konzolových prvkov betónových</t>
  </si>
  <si>
    <t>m2</t>
  </si>
  <si>
    <t>05030162</t>
  </si>
  <si>
    <t>Odstránenie spevnených plôch a vozoviek, krytov bitúmenových</t>
  </si>
  <si>
    <t>m</t>
  </si>
  <si>
    <t>05030407</t>
  </si>
  <si>
    <t>Odstránenie spevnených plôch a vozoviek, zvodidiel, zábradlia,stien, oplotení kovových</t>
  </si>
  <si>
    <t>05080200</t>
  </si>
  <si>
    <t>Doprava vybúraných hmôt vodorovná</t>
  </si>
  <si>
    <t>0508020003</t>
  </si>
  <si>
    <t>05090204</t>
  </si>
  <si>
    <t>Doplňujúce práce, úprava stavebných konštrukcií vysokotlakým vodným lúčom betónových</t>
  </si>
  <si>
    <t>0509020401</t>
  </si>
  <si>
    <t>Doplňujúce práce, úprava stavebných konštrukcií vysokotlakým vodným lúčom betónových, čistenie</t>
  </si>
  <si>
    <t xml:space="preserve">45.11.24 </t>
  </si>
  <si>
    <t>OSTATNÉ  VÝKOPOVÉ  A  SÚVISIACE  ZEMNÉ  PRÁCE</t>
  </si>
  <si>
    <t>01020200</t>
  </si>
  <si>
    <t>Odkopávky a prekopávky nezapažené</t>
  </si>
  <si>
    <t>0102020007</t>
  </si>
  <si>
    <t>Odkopávky a prekopávky nezapažené, tr. horniny 1-4</t>
  </si>
  <si>
    <t>01040100</t>
  </si>
  <si>
    <t>Konštrukcie z hornín - skládky</t>
  </si>
  <si>
    <t>0104010007</t>
  </si>
  <si>
    <t>Konštrukcie z hornín - skládky  tr.horniny 1-4</t>
  </si>
  <si>
    <t>01060204</t>
  </si>
  <si>
    <t>Premiestnenie  vodorovné nad 5 000 m</t>
  </si>
  <si>
    <t>0106020401</t>
  </si>
  <si>
    <t>Premiestnenie  výkopku resp. rúbaniny, vodorovné nad 5 000 m, tr. horniny 1-4</t>
  </si>
  <si>
    <t>45.21.21</t>
  </si>
  <si>
    <t>PRÁCE  NA  HRUBEJ  STAVBE  MOSTOV  A  VISUTÝCH  DIAĽNÍC</t>
  </si>
  <si>
    <t>11050602</t>
  </si>
  <si>
    <t>Zvislé konštrukcie inžinierskych stavieb, rímsy z betónu železového</t>
  </si>
  <si>
    <t>1105060208</t>
  </si>
  <si>
    <t>Zvislé konštrukcie inžinierskych stavieb, rímsy z betónu železového, tr. C 35/45 (B 45)</t>
  </si>
  <si>
    <t xml:space="preserve"> -  rímsy :</t>
  </si>
  <si>
    <t>11050621</t>
  </si>
  <si>
    <t>Zvislé konštrukcie inžinierskych stavieb, rímsy, výstuž z betonárskej ocele</t>
  </si>
  <si>
    <t>1105062106</t>
  </si>
  <si>
    <t>Zvislé konštrukcie inžinierskych stavieb, rímsy, výstuž z betonárskej ocele 10505 ( B500 B )</t>
  </si>
  <si>
    <t>11080102</t>
  </si>
  <si>
    <t xml:space="preserve">Vodorovné nosné konštrukcie inžinierskych stavieb, prechodové dosky z betónu železového </t>
  </si>
  <si>
    <t xml:space="preserve"> - podkladný betón :</t>
  </si>
  <si>
    <t xml:space="preserve"> - prechodové dosky :</t>
  </si>
  <si>
    <t>1108010207</t>
  </si>
  <si>
    <t>Vodorovné nosné konštrukcie inžinierskych stavieb, prechodové dosky  z betónu železového, tr. C 30/37 (B 35)</t>
  </si>
  <si>
    <t xml:space="preserve"> - záverný múrik :</t>
  </si>
  <si>
    <t>11080121</t>
  </si>
  <si>
    <t>Vodorovné nosné konštrukcie inžinierskych stavieb, prechodové dosky, výstuž z betonárskej ocele</t>
  </si>
  <si>
    <t>1108012106</t>
  </si>
  <si>
    <t>Vodorovné nosné konštrukcie inžinierskych stavieb, prechodové dosky, výstuž z betonárskej ocele 10505 ( B500 B )</t>
  </si>
  <si>
    <t>11080202</t>
  </si>
  <si>
    <t>Vodorovné nosné konštrukcie inžinierskych stavieb, mostné dosky z betónu železového</t>
  </si>
  <si>
    <t>11080221</t>
  </si>
  <si>
    <t>Vodorovné nosné konštrukcie inžinierskych stavieb, mostné dosky, výstuž z betonárskej ocele</t>
  </si>
  <si>
    <t>1108022106</t>
  </si>
  <si>
    <t>Vodorovné nosné konštrukcie inžinierskych stavieb, mostné dosky, výstuž z betonárskej ocele 10505 ( B500 B )</t>
  </si>
  <si>
    <t>21200116</t>
  </si>
  <si>
    <t>Podkladné a vedľajšie konštrukcie, výplň za oporami a protimrazové kliny zo štrkopiesku</t>
  </si>
  <si>
    <t>21250106</t>
  </si>
  <si>
    <t>Doplňujúce konštrukcie, zvodidlá oceľové</t>
  </si>
  <si>
    <t>2125010602</t>
  </si>
  <si>
    <t>Doplňujúce konštrukcie, zvodidlá oceľové zábradeľné</t>
  </si>
  <si>
    <t xml:space="preserve">45.22.20 </t>
  </si>
  <si>
    <t>IZOLAČNÉ  PRÁCE  PROTI VODE</t>
  </si>
  <si>
    <t>61010101</t>
  </si>
  <si>
    <t>Izolácie proti vode a zemnej vlhkosti, bežných konštrukcií náterivami a tmelmi</t>
  </si>
  <si>
    <t>6101010101</t>
  </si>
  <si>
    <t>Izolácie proti vode a zemnej vlhkosti, bežných konštrukcií náterivami a tmelmi na ploche vodorovnej</t>
  </si>
  <si>
    <t xml:space="preserve"> - prechodová doska : penetračný náter</t>
  </si>
  <si>
    <t>6101010102</t>
  </si>
  <si>
    <t>Izolácie proti vode a zemnej vlhkosti, bežných konštrukcií náterivami a tmelmi na ploche zvislej</t>
  </si>
  <si>
    <t>61010502</t>
  </si>
  <si>
    <t>Izolácie proti vode a zemnej vlhkosti, mostoviek pásmi</t>
  </si>
  <si>
    <t>6101050201</t>
  </si>
  <si>
    <t>Izolácie proti vode a zemnej vlhkosti, mostoviek pásmi na ploche vodorovnej</t>
  </si>
  <si>
    <t xml:space="preserve">45.23.12 </t>
  </si>
  <si>
    <t>PRÁCE  NA  VRCHNEJ  STAVBE  DIAĽNÍC  (OKREM VISUTÝCH), CIEST, ULÍC, CHODNÍKOV  A NEKRYTÝCH  PARKOVÍSK</t>
  </si>
  <si>
    <t>22030641</t>
  </si>
  <si>
    <t>Podkladné a krycie vrstvy z asfaltových zmesí, bitúmenové vrstvy, asfaltový koberec mastixový</t>
  </si>
  <si>
    <t>2203064101</t>
  </si>
  <si>
    <t>Podkladné a krycie vrstvy z asfaltových zmesí, bitúmenové vrstvy, asfaltový koberec mastixový triedy I</t>
  </si>
  <si>
    <t>22030643</t>
  </si>
  <si>
    <t>Podkladné a krycie vrstvy z asfaltových zmesí, bitúmenové vrstvy, asfaltový koberec drenážny</t>
  </si>
  <si>
    <t>2203064302</t>
  </si>
  <si>
    <t>Podkladné a krycie vrstvy z asfaltových zmesí, bitúmenové vrstvy, asfaltový koberec drenážny z plastbetónu</t>
  </si>
  <si>
    <t>22040752</t>
  </si>
  <si>
    <t>Kryty dláždené,chodníkov komunikácií,rigolov - vyplnenie škár elastickou zálievkou</t>
  </si>
  <si>
    <t>22250980</t>
  </si>
  <si>
    <t>Doplňujúce konštrukcie,  obrubníky chodníkové</t>
  </si>
  <si>
    <t>2225098001</t>
  </si>
  <si>
    <t>Doplňujúce konštrukcie,  obrubníky chodníkové betónové</t>
  </si>
  <si>
    <t>45.24.12</t>
  </si>
  <si>
    <t>PRÁCE  NA  HRUBEJ  STAVBE  ÚPRAV  TOKOV, HRÁDZÍ, ZAVLAŽOVACÍCH  KANÁLOV  A  AKVADUKTOV</t>
  </si>
  <si>
    <t>11200101</t>
  </si>
  <si>
    <t>Podkladné konštrukcie, podkladné vrstvy, z betónu prostého</t>
  </si>
  <si>
    <t>1120010106</t>
  </si>
  <si>
    <t>Podkladné konštrukcie, podkladné vrstvy z betónu prostého, tr. C 25/30 (B 30)</t>
  </si>
  <si>
    <t>31210303</t>
  </si>
  <si>
    <t>Spevnené plochy, dlažby z  lomového  kameňa</t>
  </si>
  <si>
    <t>3121030302</t>
  </si>
  <si>
    <t>Spevnené plochy, dlažby z lomového kameňa na cementovú maltu</t>
  </si>
  <si>
    <t>STAVBA :</t>
  </si>
  <si>
    <t>Oprava diaľničných mostov ev.č.D2-079 cez mlynský náhon Rudava a ev.č.D2-080 cez potok Rudava</t>
  </si>
  <si>
    <t>OBJEKT :</t>
  </si>
  <si>
    <t xml:space="preserve"> - vybúranie monolitických ríms</t>
  </si>
  <si>
    <t>05030262</t>
  </si>
  <si>
    <t>Odstránenie spevnených plôch a vozoviek, podkladov bitúmenových</t>
  </si>
  <si>
    <t>0503026201</t>
  </si>
  <si>
    <t>Odstránenie spevnených plôch a vozoviek, podkladov bitúmenových hr.do 100 mm</t>
  </si>
  <si>
    <t xml:space="preserve"> - vybúranie konštrukcie vozovky, liaty asfalt, hr. 20 mm  :</t>
  </si>
  <si>
    <t>05020131</t>
  </si>
  <si>
    <t>Vybúranie, odstránenie konštrukcií - izolácie povlakovej</t>
  </si>
  <si>
    <t xml:space="preserve"> - vybúranie izolácie /mastix+bales/, hr. 15mm :</t>
  </si>
  <si>
    <t>05010405</t>
  </si>
  <si>
    <t>Búranie konštrukcií trámov, nosníkov, prievlakov, konzolových prvkov železobetónových</t>
  </si>
  <si>
    <t>1108010208</t>
  </si>
  <si>
    <t>Vodorovné nosné konštrukcie inžinierskych stavieb, prechodové dosky  z betónu železového, tr. C 35/45 (B 45)</t>
  </si>
  <si>
    <t>1108010203</t>
  </si>
  <si>
    <t>Vodorovné nosné konštrukcie inžinierskych stavieb, prechodové dosky  z betónu železového, tr. C 12/15 (B 15)</t>
  </si>
  <si>
    <t>11080112</t>
  </si>
  <si>
    <t>Vodorovné nosné konštrukcie inžinierskych stavieb, prechodové dosky, debnenie z dielcov</t>
  </si>
  <si>
    <t>1108011201</t>
  </si>
  <si>
    <t>Vodorovné nosné konštrukcie inžinierskych stavieb, prechodové dosky, debnenie z dielcov drevených</t>
  </si>
  <si>
    <t xml:space="preserve"> - záverný múrik : </t>
  </si>
  <si>
    <t xml:space="preserve"> - prechodové dosky:</t>
  </si>
  <si>
    <t>21250423</t>
  </si>
  <si>
    <t>Doplňujúce konštrukcie, dilatačné zariadenia, vložka dilatačných škár</t>
  </si>
  <si>
    <t>21250424</t>
  </si>
  <si>
    <t>Doplňujúce konštrukcie, dilatačné zariadenia, tesnenie dilatačných škár</t>
  </si>
  <si>
    <t>2125042401</t>
  </si>
  <si>
    <t>Doplňujúce konštrukcie, dilatačné zariadenia, tesnenie dilatačných škár asfaltovou zálievkou</t>
  </si>
  <si>
    <t>21080409</t>
  </si>
  <si>
    <t>Vodorovné nosné konštrukcie, kĺby a ložiská, kĺb zo železobetónu</t>
  </si>
  <si>
    <t>11050612</t>
  </si>
  <si>
    <t>Zvislé konštrukcie inžinierskych stavieb, rímsy, debnenie z dielcov</t>
  </si>
  <si>
    <t>1105061201</t>
  </si>
  <si>
    <t>Zvislé konštrukcie inžinierskych stavieb, rímsy, debnenie z dielcov drevených</t>
  </si>
  <si>
    <t xml:space="preserve"> - zábradľové zvodidlo (úroveň zachytenia H3):</t>
  </si>
  <si>
    <t xml:space="preserve"> - zálievka v priečnom smere - napojenie starej a novej vozovky :</t>
  </si>
  <si>
    <t xml:space="preserve"> - betónový obrubník okolo lomového kameňa (1000x200x50)</t>
  </si>
  <si>
    <t xml:space="preserve"> - dlažba z lomového kameňa :  </t>
  </si>
  <si>
    <t>1108020208</t>
  </si>
  <si>
    <t>Vodorovné nosné konštrukcie inžinierskych stavieb, mostné dosky  z betónu železového, tr. C 35/45 (B 45)</t>
  </si>
  <si>
    <t xml:space="preserve"> - spriahujúca doska</t>
  </si>
  <si>
    <t>11080212</t>
  </si>
  <si>
    <t>Vodorovné nosné konštrukcie inžinierskych stavieb, mostné dosky, debnenie z dielcov</t>
  </si>
  <si>
    <t>1108021201</t>
  </si>
  <si>
    <t>Vodorovné nosné konštrukcie inžinierskych stavieb, mostné dosky, debnenie z dielcov drevených</t>
  </si>
  <si>
    <t xml:space="preserve"> - nosná konštrukcia - betonárska výstuž :</t>
  </si>
  <si>
    <t xml:space="preserve"> - spriahujúca doska:</t>
  </si>
  <si>
    <t xml:space="preserve"> - asfaltový izolačný pás, hr. 5mm</t>
  </si>
  <si>
    <t xml:space="preserve"> - očistenie čela nosnej konštrukcie</t>
  </si>
  <si>
    <t>21250422</t>
  </si>
  <si>
    <t>Doplňujúce konštrukcie, dilatačné zariadenia, výplň dilatačných škár</t>
  </si>
  <si>
    <t>Doprava vybúraných hmôt vodorovná, nad 1 km</t>
  </si>
  <si>
    <t xml:space="preserve"> - vybúranie izolácie /mastix+bales/, hr. 15mm</t>
  </si>
  <si>
    <t xml:space="preserve"> - vybúranie konštrukcie vozovky, liaty asfalt, hr. 20 mm</t>
  </si>
  <si>
    <t xml:space="preserve"> - oceľové zvodidlá</t>
  </si>
  <si>
    <t xml:space="preserve"> - zmesový komunálny odpad</t>
  </si>
  <si>
    <t>Časť stavby</t>
  </si>
  <si>
    <t>Čislo položky</t>
  </si>
  <si>
    <t>Názov položky</t>
  </si>
  <si>
    <t>M.j.</t>
  </si>
  <si>
    <t>Množstvo</t>
  </si>
  <si>
    <t>Jednotková cena</t>
  </si>
  <si>
    <t>Cena bez DPH</t>
  </si>
  <si>
    <t xml:space="preserve">45.00.00  </t>
  </si>
  <si>
    <t xml:space="preserve">T         </t>
  </si>
  <si>
    <t xml:space="preserve">M3        </t>
  </si>
  <si>
    <t xml:space="preserve">ks        </t>
  </si>
  <si>
    <t xml:space="preserve">45.11.11  </t>
  </si>
  <si>
    <t xml:space="preserve">M2        </t>
  </si>
  <si>
    <t xml:space="preserve">05030162       </t>
  </si>
  <si>
    <t xml:space="preserve">M         </t>
  </si>
  <si>
    <t xml:space="preserve">05030407       </t>
  </si>
  <si>
    <t xml:space="preserve">05080200       </t>
  </si>
  <si>
    <t xml:space="preserve">45.11.21 </t>
  </si>
  <si>
    <t>45.11.24</t>
  </si>
  <si>
    <t>M3</t>
  </si>
  <si>
    <t xml:space="preserve">45.21.21  </t>
  </si>
  <si>
    <t xml:space="preserve">M        </t>
  </si>
  <si>
    <t>45.22.20</t>
  </si>
  <si>
    <t>45.23.12</t>
  </si>
  <si>
    <t xml:space="preserve">45.24.12 </t>
  </si>
  <si>
    <t>DPH 20%</t>
  </si>
  <si>
    <t>Cena s DPH</t>
  </si>
  <si>
    <t>M</t>
  </si>
  <si>
    <t xml:space="preserve">M2      </t>
  </si>
  <si>
    <t xml:space="preserve">M       </t>
  </si>
  <si>
    <t>45.00.00 - Všeobecné položky v procese obstarávania stavieb</t>
  </si>
  <si>
    <t>Klasifikácia produkcie</t>
  </si>
  <si>
    <t>45.11.11 - Demolačné práce</t>
  </si>
  <si>
    <t>45.11.24 - Ostatné výkopové a súvisiace zemné práce</t>
  </si>
  <si>
    <t>45.21.21 - Práce na hrubej stavbe mostov a visutých diaľníc</t>
  </si>
  <si>
    <t>45.22.20 -Izolačné práce proti vode</t>
  </si>
  <si>
    <t>45.23.12 - Práce na vrchnej stavbe diaľníc (okrem visutých), ciest, ulíc, chodníkov a nekrytých parkovísk</t>
  </si>
  <si>
    <t>45.24.12 - práce na hrubej stavbe úprav tokov, hrádzí, zavlažovacích kanálov .........</t>
  </si>
  <si>
    <t>Číslo časti stavby</t>
  </si>
  <si>
    <t>Klasifikácia stavieb</t>
  </si>
  <si>
    <t>Název časti stavby</t>
  </si>
  <si>
    <t>Celkový súčet</t>
  </si>
  <si>
    <t xml:space="preserve"> - vybúranie oceľových zvodidiel: </t>
  </si>
  <si>
    <t>SO 202-00 Oprava mosta ev.č.D2-080 cez potok Rudava</t>
  </si>
  <si>
    <t>0503016201</t>
  </si>
  <si>
    <t>Odstránenie spevnených plôch a vozoviek, krytov bitúmenových hr.do 100 mm</t>
  </si>
  <si>
    <t xml:space="preserve"> - vybúranie konštrukcie vozovky, asfaltový betón, hr. 80 mm  :</t>
  </si>
  <si>
    <t xml:space="preserve"> - vybúranie  vyrovnávacej bet. vrstvy, hr. 85mm a 135mm :</t>
  </si>
  <si>
    <t xml:space="preserve"> - vybúranie  vyrovnávacej bet. vrstvy, hr. 85mm a 135mm</t>
  </si>
  <si>
    <t xml:space="preserve"> - vybúranie konštrukcie vozovky, asfaltový betón, hr. 80 mm</t>
  </si>
  <si>
    <t>22030744</t>
  </si>
  <si>
    <t>Podkladné a krycie vrstvy z asfaltových zmesí, liaty asfalt, cestný</t>
  </si>
  <si>
    <t xml:space="preserve"> - pod dlažbu z lomového kameňa :  19,2*0,10</t>
  </si>
  <si>
    <t>21250426</t>
  </si>
  <si>
    <t>Doplňujúce konštrukcie, dilatačné zariadenia, mostné závery povrchové posun</t>
  </si>
  <si>
    <t>2125042601</t>
  </si>
  <si>
    <t>Doplňujúce konštrukcie, dilatačné zariadenia, mostné závery povrchové posun do 60 mm</t>
  </si>
  <si>
    <t xml:space="preserve"> - mechanický  mostný záver, pohyb 50 mm (dodávka, osadenie kotvenie) :</t>
  </si>
  <si>
    <t>21250906</t>
  </si>
  <si>
    <t>Doplňujúce konštrukcie, drobné zariadenia oceľové</t>
  </si>
  <si>
    <t xml:space="preserve">   osadenie rúrky s kotviacim plechom do plastmalty,s mriežkou  vrátane úpravy okolo odvodnenia (vybúranie a vyspravenie káps okolo plechov )     </t>
  </si>
  <si>
    <t xml:space="preserve"> - odvodnenie - drenážny plastbetón (š=100mm)</t>
  </si>
  <si>
    <t>21250320</t>
  </si>
  <si>
    <t>Doplňujúce konštrukcie, odvodnenie mostov, odvodňovače</t>
  </si>
  <si>
    <t xml:space="preserve"> - zábradľové zvodidlo (úroveň zachytenia H3 so zábranou proti preliezaniu)</t>
  </si>
  <si>
    <t xml:space="preserve"> - vybúranie pôvodnej prechodovej dosky</t>
  </si>
  <si>
    <t xml:space="preserve"> - odkop na úroveň pôvodnej prechodovej dosky</t>
  </si>
  <si>
    <t xml:space="preserve"> - odkop pre realizáciu nového záverného múrika</t>
  </si>
  <si>
    <t xml:space="preserve"> - prechodová doska : asfaltový náter 2 * 164,8m2</t>
  </si>
  <si>
    <t xml:space="preserve"> - záverný múrik : penetračný náter</t>
  </si>
  <si>
    <t xml:space="preserve"> - záverný múrik : asfaltový náter 2 * 7,32m2</t>
  </si>
  <si>
    <t xml:space="preserve"> - prechodová doska : asfaltový náter 2 * 17,16m2</t>
  </si>
  <si>
    <t xml:space="preserve"> - záverný múrik : asfaltový náter 2 * 37,10m2</t>
  </si>
  <si>
    <t>vrátane: nerezová odvodňovacia rúrka ,    D 51/2, dĺ. 1175 mm s kotviacim plechom 200x200x2 mm rovná = 2ks</t>
  </si>
  <si>
    <t xml:space="preserve">Požiadavky objednávateľa ostatné požiadavky vypracovávania dokumentácie, dokumentácia DSRS - 3x v tlačenej forme  + 1x v digitálnej forme + 3xvypracovanie mostného zošita </t>
  </si>
  <si>
    <t xml:space="preserve"> - naloženie a odvoz na skládku, 20km:</t>
  </si>
  <si>
    <t xml:space="preserve"> - očistenie dilatačných škár</t>
  </si>
  <si>
    <t xml:space="preserve"> - vyčistenie povrchu NK po odbúraní mostného zvršku</t>
  </si>
  <si>
    <t xml:space="preserve"> -  rímsa :  tr.C 35/45 XC4,5D3,XF4:</t>
  </si>
  <si>
    <t xml:space="preserve"> - trvalo pružná zálievka popri rímsach+predtesnenie+náter na zlepšenie priľnavosti zálievky</t>
  </si>
  <si>
    <t xml:space="preserve"> -  výsuž rímsy vrátane kotevných prvkov :5,03+0,7</t>
  </si>
  <si>
    <t xml:space="preserve"> - prechodová oblasť - protimrazový klin</t>
  </si>
  <si>
    <t xml:space="preserve"> - spodná stavba, trvalo pružná zálievka s predtesnením (na styku prechodových dosiek a záverného múrika)</t>
  </si>
  <si>
    <t>05020883</t>
  </si>
  <si>
    <t>Vybúranie, odstránenie konštrukcií vonkajších oceľových potrubí, doplnkových konštrukcií</t>
  </si>
  <si>
    <t xml:space="preserve"> - odstránenie odvodňovačov</t>
  </si>
  <si>
    <t xml:space="preserve"> - spodná stavba - vrubový kĺb v mieste uloženia prechodovej dosky</t>
  </si>
  <si>
    <t xml:space="preserve"> - odvodnenie - odvodňovače so zvislým zvodom pod NK, vrátene ich osadenia </t>
  </si>
  <si>
    <t xml:space="preserve"> - nosná konštrukcia, pružná vložka (Hrúbka 50mm), ktorá sa nachádza medzi čelom nosnej konštrukcie a záverným múrikom</t>
  </si>
  <si>
    <t xml:space="preserve"> - spodná stavba, pružná vložka (Hrúbka 20mm, dĺžka 0,5m), ktorá sa nachádza v mieste napojenia prechodovej dosky na záverný múrik</t>
  </si>
  <si>
    <t xml:space="preserve"> - kotvenie betonárskej výstuže (profil 10mm) do stávajúcej opory, vrty 14mm, hĺbka vrtu 155mm = 320ks (vrátane vlepenia)</t>
  </si>
  <si>
    <t xml:space="preserve"> - kotvenie spriahujúcej dosky do nosníkov KA vrtmi 14mm, hĺbka vrtu 105mm, profil 10mm = 10400ks  (vrátane vlepenia)</t>
  </si>
  <si>
    <t xml:space="preserve"> - odstránenie nepevných častí betónu (príprava plôch na sanáciu):</t>
  </si>
  <si>
    <t xml:space="preserve"> - sanácia pohľadových plôch (spodná stavba)</t>
  </si>
  <si>
    <t xml:space="preserve"> - sanácia pohľadových plôch (nosná konštrukcia)</t>
  </si>
  <si>
    <t xml:space="preserve"> - očistenie stávajúceho záverného múrika, ku ktorému sa bude kotviť nová časť múrika</t>
  </si>
  <si>
    <t xml:space="preserve"> - kotvenia 163 ks (vrty priemer 26 mm a kotevné prvky (kotvy "K"), vrátane vlepenia) + kotevný impregnačný náter :  </t>
  </si>
  <si>
    <t xml:space="preserve">45.34.21 </t>
  </si>
  <si>
    <t>INŠTALOVANIE  OSVETLENIA  A SIGNALIZAČNÝCH  SYSTÉMOV  CIEST,  LETÍSK</t>
  </si>
  <si>
    <t>Oceľové konštrukcie - tabuľky výstražné a označovacie</t>
  </si>
  <si>
    <t xml:space="preserve"> - demontáž a spätná montáž tabuľky s ev.číslom mosta</t>
  </si>
  <si>
    <t>45.41.10</t>
  </si>
  <si>
    <t>OMIETKARSKÉ  PRÁCE</t>
  </si>
  <si>
    <t>13091513</t>
  </si>
  <si>
    <t>Vonkajšie povrchy stien, reprofilácia zvislých a šikmých plôch maltou sanačnou</t>
  </si>
  <si>
    <t xml:space="preserve"> - reprofilácia sanačnými hmotami do pôvodného tvaru do 20 mm</t>
  </si>
  <si>
    <t>45.44.23</t>
  </si>
  <si>
    <t>MAĽBY  A  NÁTERY  OSTATNÝCH  STAVIEB</t>
  </si>
  <si>
    <t>84010807</t>
  </si>
  <si>
    <t>Náter omietok a betónových povrchov, farba epoxidová</t>
  </si>
  <si>
    <t>8401080703</t>
  </si>
  <si>
    <t>Náter omietok a betónových povrchov, farba epoxidová, mostoviek</t>
  </si>
  <si>
    <t xml:space="preserve"> - spojenie izolácie a nosnej konštrukcie (zapečaťujúca vrstva):</t>
  </si>
  <si>
    <t>84010816</t>
  </si>
  <si>
    <t>Náter omietok a betónových povrchov, impregnačný cementový náter</t>
  </si>
  <si>
    <t>8401081603</t>
  </si>
  <si>
    <t>Náter omietok a betónových povrchov, impregnačný cementový náter mostoviek</t>
  </si>
  <si>
    <t xml:space="preserve"> - spojovací náter zabezpečujúci spojenie pôvodného betónu s vysprávkovou hmotou</t>
  </si>
  <si>
    <t xml:space="preserve"> - vybúranie záverného múrika</t>
  </si>
  <si>
    <t xml:space="preserve"> - odkop protimrazového klinu, po pracovnú škáru záverného múrika</t>
  </si>
  <si>
    <t>01040402</t>
  </si>
  <si>
    <t>Konštrukcie z hornín - zásypy so zhutnením</t>
  </si>
  <si>
    <t>0104040207</t>
  </si>
  <si>
    <t>Konštrukcie z hornín - zásypy so zhutnením, tr. horniny 1-4</t>
  </si>
  <si>
    <t xml:space="preserve"> - spätný zásyp protimrazového klinu, po hornú úroveň prechodových dosiek</t>
  </si>
  <si>
    <t>21251161</t>
  </si>
  <si>
    <t>Doplňujúce konštrukcie, špeciálne pomocné, ošetrenie betonárskej výstuže</t>
  </si>
  <si>
    <t>antikorózna ochrana vyčnievajúcej (obnaženej) betonárskej výstuže (oprava 5-10% plochy)</t>
  </si>
  <si>
    <t>45.34.21 Inštalovanie osvetlenia a signalizačných systémov ciest, letísk</t>
  </si>
  <si>
    <t>45.34.21</t>
  </si>
  <si>
    <t>45.44.23 - Maľby a nátery ostatných stavieb</t>
  </si>
  <si>
    <t xml:space="preserve">45.44.23  </t>
  </si>
  <si>
    <t>45.41.10 - Omietkarské práce</t>
  </si>
  <si>
    <t>202-00 Oprava mosta ev.č.D2-080 cez potok Rudava</t>
  </si>
  <si>
    <t>Celkom za 202-00 Oprava mosta ev.č.D2-080 cez potok Rudava</t>
  </si>
  <si>
    <t xml:space="preserve">45.23.11 </t>
  </si>
  <si>
    <t>22010104</t>
  </si>
  <si>
    <t>Podkladné a krycie vrstvy bez spojiva nestmelené, štrkodrva</t>
  </si>
  <si>
    <t>22020421</t>
  </si>
  <si>
    <t>Podkladné a krycie vrstvy s hydraulickým spojivom, cementobetónové jednovrstvové, kamenivo spevnené cementom</t>
  </si>
  <si>
    <t xml:space="preserve">45.23.12  </t>
  </si>
  <si>
    <t>22030329</t>
  </si>
  <si>
    <t>Podkladné a krycie vrstvy z asfaltových zmesí, bitúmenové postreky, nátery,posypy infiltračný postrek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</si>
  <si>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</si>
  <si>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</si>
  <si>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</si>
  <si>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</si>
  <si>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22250358</t>
  </si>
  <si>
    <t>Doplňujúce konštrukcie, zvodidlá prefabrikované</t>
  </si>
  <si>
    <t xml:space="preserve"> - vybúranie oceľových zvodidiel (v mieste mosta): </t>
  </si>
  <si>
    <t xml:space="preserve"> - výkop zeminy v srednom deliacom páse: </t>
  </si>
  <si>
    <t>PRÁCE  NA  SPODNEJ  STAVBE  DIAĽNÍC  (OKREM VISUTÝCH), CIEST, ULÍC, CHODNÍKOV  A NEKRYTÝCH  PARKOVÍSK</t>
  </si>
  <si>
    <t xml:space="preserve"> - vozovka, ŠD fr. 0/63mm, H=250mm</t>
  </si>
  <si>
    <t>2202042102</t>
  </si>
  <si>
    <t>Podkladné a krycie vrstvy s hydraulickým spojivom, cementobetónové jednovrstvové, kamenivo spevnené cementom CBGM C 5/6</t>
  </si>
  <si>
    <t xml:space="preserve"> - vozovka, CBGM 5/6, H=170mm</t>
  </si>
  <si>
    <t>2203032904</t>
  </si>
  <si>
    <t>Podkladné a krycie vrstvy z asfaltových zmesí, bitúmenové postreky, nátery,posypy infiltračný postrek z modifikovanej emulzie</t>
  </si>
  <si>
    <t>2203033004</t>
  </si>
  <si>
    <t>Podkladné a krycie vrstvy z asfaltových zmesí, bitúmenové postreky, nátery,posypy spojovací postrek z modifikovanej emulzie</t>
  </si>
  <si>
    <t xml:space="preserve"> - PS EK; 0.25kg/m2</t>
  </si>
  <si>
    <t xml:space="preserve"> - PS EK; 0.30kg/m2</t>
  </si>
  <si>
    <t>2203064004</t>
  </si>
  <si>
    <t>Podkladné a krycie vrstvy z asfaltových zmesí, bitúmenové vrstvy, asfaltový betón  triedy I modifikovaný</t>
  </si>
  <si>
    <t xml:space="preserve">  - vozovka, AC 11O, H=40mm</t>
  </si>
  <si>
    <t xml:space="preserve">  - vozovka, AC 16L, H=60mm</t>
  </si>
  <si>
    <t xml:space="preserve">  - vozovka, AC 22P, H=80mm</t>
  </si>
  <si>
    <t xml:space="preserve"> - betónové zvodidlo v mieste stredného deliaceho pásu (úroveň zachytenia H3)</t>
  </si>
  <si>
    <t>SO 101-00 Prejazd stredným deliacim pásom</t>
  </si>
  <si>
    <t>101-00 Prejazd stredným deliacim pásom</t>
  </si>
  <si>
    <t>Celkom za 101-00 Prejazd stredným deliacim pásom</t>
  </si>
  <si>
    <t>SO 201-00 Oprava mosta ev.č.D2-079 cez mlynský náhon Rudava</t>
  </si>
  <si>
    <t xml:space="preserve"> - vybúranie  vyrovnávacej bet. vrstvy, hr. 50mm :</t>
  </si>
  <si>
    <t>0503016202</t>
  </si>
  <si>
    <t>Odstránenie spevnených plôch a vozoviek, krytov bitúmenových hr. nad 100 do 200 mm</t>
  </si>
  <si>
    <t xml:space="preserve"> - vybúranie konštrukcie vozovky (v mieste mosta a nových prechodových dosiek), asfaltový betón, hr. 120 mm  :</t>
  </si>
  <si>
    <t xml:space="preserve"> - vybúranie konštrukcie vozovky (v mieste mosta) , liaty asfalt, hr. 20 mm  :</t>
  </si>
  <si>
    <t>05030264</t>
  </si>
  <si>
    <t>Odstránenie spevnených plôch a vozoviek, podkladov z kameniva hrubého drveného</t>
  </si>
  <si>
    <t>0503026402</t>
  </si>
  <si>
    <t>Odstránenie spevnených plôch a vozoviek, podkladov z kameniva hrubého drveného hr. nad 100 do 200 mm</t>
  </si>
  <si>
    <t xml:space="preserve"> - vybúranie konštrukcie vozovky (v mieste mosta a nových prechodových dosiek), obaľovaný štrkopiesok, hr. 130 mm   :</t>
  </si>
  <si>
    <t>0503026403</t>
  </si>
  <si>
    <t>Odstránenie spevnených plôch a vozoviek, podkladov z kameniva hrubého drveného hr. nad 200 do 300 mm</t>
  </si>
  <si>
    <t xml:space="preserve"> - vybúranie konštrukcie vozovky (v mieste mosta a nových prechodových dosiek), obaľovaný štrkopiesok, hr. 55-265 mm  :</t>
  </si>
  <si>
    <t xml:space="preserve"> - vybúranie  vyrovnávacej bet. vrstvy, hr. 50mm</t>
  </si>
  <si>
    <t xml:space="preserve"> - vybúranie konštrukcie vozovky, asfaltový betón, hr. 120 mm</t>
  </si>
  <si>
    <t xml:space="preserve"> - vybúranie konštrukcie vozovky, obaľovaný štrkopiesok, hr. 130 mm</t>
  </si>
  <si>
    <t xml:space="preserve"> - vybúranie konštrukcie vozovky, obaľovaný štrkopiesok, hr. 55-265 mm</t>
  </si>
  <si>
    <t xml:space="preserve"> - odkop protimrazové klinu, po dolnú úroveň opory: </t>
  </si>
  <si>
    <t xml:space="preserve"> -  výsuž rímsy vrátane kotevných prvkov :1,774+0,158</t>
  </si>
  <si>
    <t xml:space="preserve"> - ochranná vrstva izolácie:</t>
  </si>
  <si>
    <t xml:space="preserve"> - spodná stavba - vrubový kĺb</t>
  </si>
  <si>
    <t>2125010601</t>
  </si>
  <si>
    <t>Doplňujúce konštrukcie, zvodidlá oceľové jednoduché</t>
  </si>
  <si>
    <t xml:space="preserve"> - mostné zvodidlo (úroveň zachytenia H3) :</t>
  </si>
  <si>
    <t xml:space="preserve">   dodávka s povrchovou úpravou ,montážou, kotvením, zálievkou plastbetónovou pod pätky zvodidl. stĺpikov</t>
  </si>
  <si>
    <t xml:space="preserve">   dodávka s povrchovou úpravou ,montážou, kotvením, zálievkou plastbetónovou pod pätky zvodidl. stĺpikov </t>
  </si>
  <si>
    <t xml:space="preserve"> - kotvenie betonárskej výstuže (profil 10mm) do stávajúceho záv. múrika, vrty 14mm, hĺbka vrtu 155mm = 516ks (vrátane vlepenia)</t>
  </si>
  <si>
    <t xml:space="preserve"> - kotvenie spriahujúcej dosky do nosníkov KA vrtmi 14mm, hĺbka vrtu 105mm, profil 10mm = 5724ks (vrátane vlepenia)</t>
  </si>
  <si>
    <t xml:space="preserve"> - kotvenie 36 ks (vrty priemer 26 mm a kotevné prvky (kotvy "K"), vrátane vlepenia) + kotevný impregnačný náter :  </t>
  </si>
  <si>
    <t xml:space="preserve"> - prechodová doska : asfaltový náter 2 * 171,2m2</t>
  </si>
  <si>
    <t xml:space="preserve"> - prechodová doska : asfaltový náter 2 * 21,24m2</t>
  </si>
  <si>
    <t xml:space="preserve"> - záverný múrik : asfaltový náter 2 * 77,64m2</t>
  </si>
  <si>
    <t xml:space="preserve"> - vozovka, CBGM 5/6, H=70-280mm</t>
  </si>
  <si>
    <t xml:space="preserve">  - vozovka, AC 22L, H=60mm</t>
  </si>
  <si>
    <t xml:space="preserve"> - vozovka, SMA 11 O, H=40mm</t>
  </si>
  <si>
    <t xml:space="preserve"> - pod dlažbu z lomového kameňa :  20,2*0,10</t>
  </si>
  <si>
    <t>84010817</t>
  </si>
  <si>
    <t>Náter omietok a betónových povrchov, ochranný náter</t>
  </si>
  <si>
    <t>8401081701</t>
  </si>
  <si>
    <t>Náter omietok a betónových povrchov, ochranný náter zjednocujúci na báze cementov</t>
  </si>
  <si>
    <t xml:space="preserve"> </t>
  </si>
  <si>
    <t xml:space="preserve"> - farebný ochranný protichloridový a protikarbonatačný náterový systém </t>
  </si>
  <si>
    <t>201-00 Oprava mosta ev.č.D2-079 cez mlynský náhon Rudava</t>
  </si>
  <si>
    <t>Celkom za 201-00 Oprava mosta ev.č.D2-079 cez mlynský náhon Rudava</t>
  </si>
  <si>
    <t>45.23.11 - Práce na spodnej stavbe diaľníc (okrem visutých), ciest, ulíc, chodníkov a nekrytých parkovísk</t>
  </si>
  <si>
    <t>45.23.11</t>
  </si>
  <si>
    <t>SO 101-00</t>
  </si>
  <si>
    <t>SO 201-00</t>
  </si>
  <si>
    <t>SO 202-00</t>
  </si>
  <si>
    <t xml:space="preserve"> Prejazd stredným deliacim pásom</t>
  </si>
  <si>
    <t>Oprava mosta ev.č.D2-079 cez mlynský náhon Rudava</t>
  </si>
  <si>
    <t>Oprava mosta ev.č.D2-080 cez potok Rudava</t>
  </si>
  <si>
    <t>2203033002</t>
  </si>
  <si>
    <t xml:space="preserve">- spojovací postrek : </t>
  </si>
  <si>
    <t xml:space="preserve">- spojovací postrek + zaklínenie: </t>
  </si>
  <si>
    <t>Podkladné a krycie vrstvy z asfaltových zmesí, bitúmenové postreky, nátery, posypy spojovací postrek</t>
  </si>
  <si>
    <t>Podkladné a krycie vrstvy z asfaltových zmesí, bitúmenové postreky, nátery, posypy spojovací postrek z modifikovaného asfaltu</t>
  </si>
  <si>
    <t xml:space="preserve"> - vozovka, obrus. vrstva, (SMA 11PMB, 40mm)</t>
  </si>
  <si>
    <t>- vozovka, ochranná vrstva izolácie (LA 45mm)</t>
  </si>
  <si>
    <t>- trvalo pružná zálievka medzi starou a novou vozovkou</t>
  </si>
  <si>
    <t>129203201</t>
  </si>
  <si>
    <t>Čistenie koryta vodotoku šírky dna nad 5m hĺbka dna do 5m, hornina 3</t>
  </si>
  <si>
    <t>- očistenie dna potokov od nánosov</t>
  </si>
  <si>
    <t>M2</t>
  </si>
  <si>
    <t>Doplňujúce konštrukcie, ochranné zariadenia, odrazníky</t>
  </si>
  <si>
    <t>Doplňujúce konštrukcie, ochranné zariadenia, nadstavce na zvodidlá</t>
  </si>
  <si>
    <t>- na betónových zvodidlách biele</t>
  </si>
  <si>
    <t xml:space="preserve">- na betónových zvodidlách modré         </t>
  </si>
  <si>
    <t xml:space="preserve"> - smerové stĺpiky na nadstavcoch oceľových zvodidiel modré </t>
  </si>
  <si>
    <t>22250463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</si>
</sst>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00000"/>
    <numFmt numFmtId="165" formatCode="0000000000"/>
    <numFmt numFmtId="166" formatCode="#,###,###,###,##0.00"/>
    <numFmt numFmtId="167" formatCode="###0.00"/>
    <numFmt numFmtId="168" formatCode="#"/>
  </numFmts>
  <fonts count="36"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u/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Helv"/>
    </font>
    <font>
      <b/>
      <i/>
      <sz val="1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sz val="10"/>
      <name val="Arial"/>
      <family val="2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rgb="FF000000"/>
      <name val="Ariel"/>
      <charset val="238"/>
    </font>
    <font>
      <b/>
      <sz val="9"/>
      <color rgb="FF000000"/>
      <name val="Ariel"/>
      <charset val="238"/>
    </font>
    <font>
      <b/>
      <sz val="9"/>
      <name val="Ariel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el"/>
      <charset val="238"/>
    </font>
    <font>
      <sz val="9"/>
      <name val="Arial CE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el"/>
      <charset val="238"/>
    </font>
    <font>
      <sz val="11"/>
      <name val="Calibri"/>
      <family val="2"/>
      <scheme val="minor"/>
    </font>
    <font>
      <sz val="10"/>
      <color rgb="FF000000"/>
      <name val="Arial CE"/>
      <family val="2"/>
      <charset val="238"/>
    </font>
    <font>
      <b/>
      <sz val="11"/>
      <color theme="1"/>
      <name val="Calibri"/>
      <family val="2"/>
      <scheme val="minor"/>
    </font>
    <font>
      <i/>
      <u/>
      <sz val="10"/>
      <name val="Arial"/>
      <family val="2"/>
      <charset val="238"/>
    </font>
    <font>
      <b/>
      <sz val="10"/>
      <color rgb="FF000000"/>
      <name val="Arial CE"/>
      <family val="2"/>
      <charset val="238"/>
    </font>
    <font>
      <b/>
      <sz val="11"/>
      <color rgb="FF1F497D"/>
      <name val="Calibri"/>
      <family val="2"/>
      <charset val="238"/>
      <scheme val="minor"/>
    </font>
    <font>
      <i/>
      <sz val="10"/>
      <name val="Arial CE"/>
      <charset val="238"/>
    </font>
    <font>
      <b/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3" fillId="3" borderId="0"/>
    <xf numFmtId="0" fontId="16" fillId="0" borderId="0"/>
    <xf numFmtId="0" fontId="22" fillId="0" borderId="0"/>
    <xf numFmtId="0" fontId="14" fillId="3" borderId="0"/>
    <xf numFmtId="0" fontId="24" fillId="0" borderId="0"/>
    <xf numFmtId="0" fontId="14" fillId="0" borderId="0"/>
  </cellStyleXfs>
  <cellXfs count="265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4" fontId="3" fillId="0" borderId="15" xfId="0" applyNumberFormat="1" applyFont="1" applyFill="1" applyBorder="1" applyAlignment="1">
      <alignment vertical="top" wrapText="1"/>
    </xf>
    <xf numFmtId="0" fontId="1" fillId="0" borderId="14" xfId="0" quotePrefix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164" fontId="2" fillId="0" borderId="17" xfId="0" applyNumberFormat="1" applyFont="1" applyFill="1" applyBorder="1" applyAlignment="1">
      <alignment horizontal="left" vertical="top" wrapText="1"/>
    </xf>
    <xf numFmtId="165" fontId="2" fillId="0" borderId="17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7" xfId="0" applyFont="1" applyFill="1" applyBorder="1" applyAlignment="1">
      <alignment horizontal="center" vertical="top" wrapText="1"/>
    </xf>
    <xf numFmtId="4" fontId="1" fillId="0" borderId="18" xfId="0" applyNumberFormat="1" applyFont="1" applyFill="1" applyBorder="1" applyAlignment="1">
      <alignment vertical="top"/>
    </xf>
    <xf numFmtId="164" fontId="2" fillId="0" borderId="17" xfId="0" quotePrefix="1" applyNumberFormat="1" applyFont="1" applyFill="1" applyBorder="1" applyAlignment="1">
      <alignment horizontal="left" vertical="top" wrapText="1"/>
    </xf>
    <xf numFmtId="4" fontId="2" fillId="0" borderId="18" xfId="0" applyNumberFormat="1" applyFont="1" applyFill="1" applyBorder="1" applyAlignment="1">
      <alignment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left" vertical="top" wrapText="1"/>
    </xf>
    <xf numFmtId="49" fontId="2" fillId="0" borderId="17" xfId="0" quotePrefix="1" applyNumberFormat="1" applyFont="1" applyFill="1" applyBorder="1" applyAlignment="1">
      <alignment horizontal="left" vertical="top"/>
    </xf>
    <xf numFmtId="49" fontId="2" fillId="0" borderId="17" xfId="0" applyNumberFormat="1" applyFont="1" applyFill="1" applyBorder="1" applyAlignment="1">
      <alignment horizontal="left" vertical="top"/>
    </xf>
    <xf numFmtId="164" fontId="4" fillId="0" borderId="17" xfId="0" applyNumberFormat="1" applyFont="1" applyFill="1" applyBorder="1" applyAlignment="1">
      <alignment horizontal="left" vertical="top" wrapText="1"/>
    </xf>
    <xf numFmtId="165" fontId="4" fillId="0" borderId="17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7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vertical="top"/>
    </xf>
    <xf numFmtId="0" fontId="3" fillId="0" borderId="0" xfId="0" applyFont="1" applyFill="1" applyAlignment="1">
      <alignment vertical="top" wrapText="1"/>
    </xf>
    <xf numFmtId="2" fontId="3" fillId="0" borderId="0" xfId="0" applyNumberFormat="1" applyFont="1" applyFill="1" applyAlignment="1">
      <alignment wrapText="1"/>
    </xf>
    <xf numFmtId="0" fontId="2" fillId="0" borderId="17" xfId="0" applyFont="1" applyFill="1" applyBorder="1" applyAlignment="1">
      <alignment horizontal="center" vertical="top"/>
    </xf>
    <xf numFmtId="2" fontId="3" fillId="0" borderId="0" xfId="0" applyNumberFormat="1" applyFont="1" applyFill="1" applyAlignment="1">
      <alignment vertical="top" wrapText="1"/>
    </xf>
    <xf numFmtId="0" fontId="1" fillId="0" borderId="17" xfId="0" applyFont="1" applyFill="1" applyBorder="1" applyAlignment="1">
      <alignment horizontal="left" vertical="top" wrapText="1"/>
    </xf>
    <xf numFmtId="49" fontId="1" fillId="0" borderId="17" xfId="0" applyNumberFormat="1" applyFont="1" applyFill="1" applyBorder="1" applyAlignment="1">
      <alignment horizontal="left" vertical="top"/>
    </xf>
    <xf numFmtId="49" fontId="1" fillId="0" borderId="17" xfId="0" quotePrefix="1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1" fillId="0" borderId="17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vertical="top" wrapText="1"/>
    </xf>
    <xf numFmtId="0" fontId="1" fillId="0" borderId="17" xfId="0" quotePrefix="1" applyFont="1" applyFill="1" applyBorder="1" applyAlignment="1">
      <alignment horizontal="center" vertical="top" wrapText="1"/>
    </xf>
    <xf numFmtId="4" fontId="1" fillId="0" borderId="18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19" xfId="0" applyFont="1" applyFill="1" applyBorder="1"/>
    <xf numFmtId="49" fontId="2" fillId="0" borderId="17" xfId="0" applyNumberFormat="1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0" fontId="2" fillId="0" borderId="17" xfId="0" applyNumberFormat="1" applyFont="1" applyFill="1" applyBorder="1" applyAlignment="1" applyProtection="1">
      <alignment horizontal="left" vertical="top" wrapText="1"/>
      <protection locked="0"/>
    </xf>
    <xf numFmtId="0" fontId="1" fillId="0" borderId="17" xfId="0" applyNumberFormat="1" applyFont="1" applyFill="1" applyBorder="1" applyAlignment="1" applyProtection="1">
      <alignment horizontal="left" vertical="top" wrapTex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 indent="1"/>
      <protection locked="0"/>
    </xf>
    <xf numFmtId="4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11" fillId="0" borderId="0" xfId="0" applyFont="1" applyFill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  <protection locked="0"/>
    </xf>
    <xf numFmtId="4" fontId="3" fillId="0" borderId="0" xfId="0" applyNumberFormat="1" applyFont="1" applyFill="1" applyBorder="1" applyAlignment="1">
      <alignment horizontal="righ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16" xfId="0" applyFont="1" applyFill="1" applyBorder="1"/>
    <xf numFmtId="0" fontId="1" fillId="0" borderId="17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wrapText="1"/>
    </xf>
    <xf numFmtId="49" fontId="2" fillId="0" borderId="17" xfId="0" applyNumberFormat="1" applyFont="1" applyFill="1" applyBorder="1" applyAlignment="1">
      <alignment vertical="top" wrapText="1"/>
    </xf>
    <xf numFmtId="49" fontId="2" fillId="0" borderId="17" xfId="0" applyNumberFormat="1" applyFont="1" applyFill="1" applyBorder="1" applyAlignment="1">
      <alignment horizontal="left" vertical="top" wrapText="1"/>
    </xf>
    <xf numFmtId="4" fontId="3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16" xfId="0" applyFont="1" applyFill="1" applyBorder="1"/>
    <xf numFmtId="49" fontId="3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4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righ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4" fontId="3" fillId="0" borderId="1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12" fillId="0" borderId="0" xfId="0" applyFont="1" applyAlignment="1">
      <alignment vertical="top"/>
    </xf>
    <xf numFmtId="0" fontId="14" fillId="3" borderId="24" xfId="1" applyFont="1" applyBorder="1"/>
    <xf numFmtId="0" fontId="15" fillId="3" borderId="24" xfId="1" applyFont="1" applyBorder="1"/>
    <xf numFmtId="0" fontId="15" fillId="3" borderId="24" xfId="1" applyFont="1" applyBorder="1" applyAlignment="1">
      <alignment vertical="top"/>
    </xf>
    <xf numFmtId="0" fontId="14" fillId="3" borderId="24" xfId="1" applyFont="1" applyBorder="1" applyAlignment="1">
      <alignment horizontal="center" vertical="top"/>
    </xf>
    <xf numFmtId="0" fontId="12" fillId="0" borderId="0" xfId="0" applyFont="1" applyFill="1"/>
    <xf numFmtId="164" fontId="1" fillId="0" borderId="24" xfId="0" quotePrefix="1" applyNumberFormat="1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vertical="top" wrapText="1"/>
    </xf>
    <xf numFmtId="2" fontId="18" fillId="0" borderId="24" xfId="1" applyNumberFormat="1" applyFont="1" applyFill="1" applyBorder="1" applyAlignment="1" applyProtection="1">
      <alignment vertical="top"/>
    </xf>
    <xf numFmtId="0" fontId="12" fillId="0" borderId="0" xfId="0" applyFont="1" applyFill="1" applyProtection="1"/>
    <xf numFmtId="0" fontId="17" fillId="0" borderId="17" xfId="2" applyFont="1" applyBorder="1" applyAlignment="1" applyProtection="1">
      <alignment wrapText="1"/>
    </xf>
    <xf numFmtId="0" fontId="17" fillId="0" borderId="17" xfId="2" applyFont="1" applyBorder="1" applyAlignment="1">
      <alignment wrapText="1"/>
    </xf>
    <xf numFmtId="49" fontId="1" fillId="0" borderId="24" xfId="0" quotePrefix="1" applyNumberFormat="1" applyFont="1" applyFill="1" applyBorder="1" applyAlignment="1">
      <alignment horizontal="left" vertical="top"/>
    </xf>
    <xf numFmtId="0" fontId="1" fillId="0" borderId="24" xfId="0" applyFont="1" applyFill="1" applyBorder="1" applyAlignment="1">
      <alignment vertical="top" wrapText="1"/>
    </xf>
    <xf numFmtId="2" fontId="12" fillId="0" borderId="24" xfId="2" applyNumberFormat="1" applyFont="1" applyFill="1" applyBorder="1" applyAlignment="1" applyProtection="1">
      <alignment vertical="top"/>
    </xf>
    <xf numFmtId="0" fontId="12" fillId="0" borderId="0" xfId="0" applyFont="1" applyProtection="1"/>
    <xf numFmtId="0" fontId="17" fillId="0" borderId="17" xfId="2" applyFont="1" applyBorder="1" applyAlignment="1">
      <alignment vertical="top" wrapText="1"/>
    </xf>
    <xf numFmtId="0" fontId="19" fillId="0" borderId="24" xfId="0" applyFont="1" applyFill="1" applyBorder="1" applyAlignment="1" applyProtection="1">
      <alignment vertical="top" wrapText="1"/>
    </xf>
    <xf numFmtId="0" fontId="1" fillId="0" borderId="26" xfId="0" applyFont="1" applyFill="1" applyBorder="1" applyAlignment="1">
      <alignment horizontal="left" vertical="top" wrapText="1"/>
    </xf>
    <xf numFmtId="0" fontId="12" fillId="0" borderId="17" xfId="0" applyFont="1" applyBorder="1"/>
    <xf numFmtId="0" fontId="17" fillId="0" borderId="25" xfId="2" applyFont="1" applyBorder="1" applyAlignment="1" applyProtection="1">
      <alignment wrapText="1"/>
    </xf>
    <xf numFmtId="0" fontId="17" fillId="0" borderId="25" xfId="2" applyFont="1" applyBorder="1" applyAlignment="1" applyProtection="1">
      <alignment vertical="top" wrapText="1"/>
    </xf>
    <xf numFmtId="4" fontId="14" fillId="2" borderId="24" xfId="1" applyNumberFormat="1" applyFont="1" applyFill="1" applyBorder="1" applyAlignment="1" applyProtection="1">
      <alignment horizontal="center" vertical="top"/>
      <protection locked="0"/>
    </xf>
    <xf numFmtId="0" fontId="14" fillId="3" borderId="24" xfId="4" applyBorder="1"/>
    <xf numFmtId="0" fontId="14" fillId="3" borderId="24" xfId="4" applyBorder="1" applyAlignment="1">
      <alignment horizontal="center"/>
    </xf>
    <xf numFmtId="49" fontId="24" fillId="0" borderId="24" xfId="5" applyNumberFormat="1" applyBorder="1"/>
    <xf numFmtId="0" fontId="24" fillId="0" borderId="24" xfId="5" applyBorder="1"/>
    <xf numFmtId="166" fontId="24" fillId="0" borderId="24" xfId="5" applyNumberFormat="1" applyBorder="1"/>
    <xf numFmtId="166" fontId="14" fillId="0" borderId="24" xfId="5" applyNumberFormat="1" applyFont="1" applyBorder="1"/>
    <xf numFmtId="0" fontId="2" fillId="0" borderId="17" xfId="0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49" fontId="10" fillId="0" borderId="17" xfId="0" quotePrefix="1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23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4" fontId="1" fillId="0" borderId="12" xfId="0" applyNumberFormat="1" applyFont="1" applyFill="1" applyBorder="1" applyAlignment="1">
      <alignment horizontal="right" vertical="top" wrapText="1"/>
    </xf>
    <xf numFmtId="0" fontId="6" fillId="0" borderId="19" xfId="0" applyFont="1" applyFill="1" applyBorder="1"/>
    <xf numFmtId="0" fontId="2" fillId="0" borderId="20" xfId="0" applyFont="1" applyFill="1" applyBorder="1" applyAlignment="1">
      <alignment horizontal="left" wrapText="1"/>
    </xf>
    <xf numFmtId="4" fontId="5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left" vertical="top" wrapText="1"/>
    </xf>
    <xf numFmtId="2" fontId="11" fillId="0" borderId="0" xfId="0" applyNumberFormat="1" applyFont="1" applyFill="1" applyAlignment="1">
      <alignment wrapText="1"/>
    </xf>
    <xf numFmtId="4" fontId="2" fillId="0" borderId="18" xfId="0" applyNumberFormat="1" applyFont="1" applyFill="1" applyBorder="1" applyAlignment="1">
      <alignment vertical="top" wrapText="1"/>
    </xf>
    <xf numFmtId="1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49" fontId="1" fillId="0" borderId="20" xfId="0" quotePrefix="1" applyNumberFormat="1" applyFont="1" applyFill="1" applyBorder="1" applyAlignment="1">
      <alignment horizontal="left" vertical="top"/>
    </xf>
    <xf numFmtId="0" fontId="7" fillId="0" borderId="16" xfId="0" applyFont="1" applyFill="1" applyBorder="1" applyAlignment="1">
      <alignment vertical="top"/>
    </xf>
    <xf numFmtId="2" fontId="5" fillId="0" borderId="0" xfId="0" applyNumberFormat="1" applyFont="1" applyFill="1" applyAlignment="1">
      <alignment vertical="top" wrapText="1"/>
    </xf>
    <xf numFmtId="49" fontId="10" fillId="0" borderId="20" xfId="0" quotePrefix="1" applyNumberFormat="1" applyFont="1" applyFill="1" applyBorder="1" applyAlignment="1">
      <alignment horizontal="left" vertical="top"/>
    </xf>
    <xf numFmtId="49" fontId="2" fillId="0" borderId="20" xfId="0" applyNumberFormat="1" applyFont="1" applyFill="1" applyBorder="1" applyAlignment="1">
      <alignment horizontal="left" vertical="top"/>
    </xf>
    <xf numFmtId="4" fontId="8" fillId="0" borderId="0" xfId="0" applyNumberFormat="1" applyFont="1" applyFill="1" applyAlignment="1">
      <alignment wrapText="1"/>
    </xf>
    <xf numFmtId="0" fontId="2" fillId="0" borderId="20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2" fontId="11" fillId="0" borderId="0" xfId="0" applyNumberFormat="1" applyFont="1" applyFill="1" applyAlignment="1">
      <alignment vertical="top" wrapText="1"/>
    </xf>
    <xf numFmtId="4" fontId="7" fillId="0" borderId="18" xfId="0" applyNumberFormat="1" applyFont="1" applyFill="1" applyBorder="1" applyAlignment="1">
      <alignment vertical="top"/>
    </xf>
    <xf numFmtId="2" fontId="5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top"/>
    </xf>
    <xf numFmtId="2" fontId="2" fillId="0" borderId="18" xfId="0" applyNumberFormat="1" applyFont="1" applyFill="1" applyBorder="1" applyAlignment="1">
      <alignment vertical="top"/>
    </xf>
    <xf numFmtId="2" fontId="1" fillId="0" borderId="18" xfId="0" applyNumberFormat="1" applyFont="1" applyFill="1" applyBorder="1" applyAlignment="1">
      <alignment vertical="top"/>
    </xf>
    <xf numFmtId="167" fontId="0" fillId="0" borderId="0" xfId="0" applyNumberFormat="1" applyFill="1"/>
    <xf numFmtId="2" fontId="0" fillId="0" borderId="0" xfId="0" applyNumberFormat="1"/>
    <xf numFmtId="167" fontId="0" fillId="0" borderId="0" xfId="0" applyNumberFormat="1"/>
    <xf numFmtId="4" fontId="0" fillId="0" borderId="0" xfId="0" applyNumberFormat="1"/>
    <xf numFmtId="2" fontId="0" fillId="0" borderId="0" xfId="0" applyNumberFormat="1" applyFill="1"/>
    <xf numFmtId="0" fontId="17" fillId="0" borderId="24" xfId="2" quotePrefix="1" applyFont="1" applyFill="1" applyBorder="1" applyAlignment="1" applyProtection="1">
      <alignment vertical="top"/>
    </xf>
    <xf numFmtId="0" fontId="12" fillId="0" borderId="24" xfId="2" applyFont="1" applyFill="1" applyBorder="1" applyAlignment="1" applyProtection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12" fillId="0" borderId="24" xfId="2" quotePrefix="1" applyFont="1" applyFill="1" applyBorder="1" applyAlignment="1" applyProtection="1">
      <alignment vertical="top"/>
    </xf>
    <xf numFmtId="0" fontId="17" fillId="0" borderId="24" xfId="2" quotePrefix="1" applyFont="1" applyFill="1" applyBorder="1" applyProtection="1"/>
    <xf numFmtId="49" fontId="17" fillId="0" borderId="24" xfId="2" applyNumberFormat="1" applyFont="1" applyFill="1" applyBorder="1" applyAlignment="1" applyProtection="1">
      <alignment horizontal="left"/>
    </xf>
    <xf numFmtId="0" fontId="17" fillId="0" borderId="24" xfId="2" quotePrefix="1" applyFont="1" applyFill="1" applyBorder="1" applyAlignment="1" applyProtection="1">
      <alignment horizontal="left" vertical="top"/>
    </xf>
    <xf numFmtId="0" fontId="1" fillId="0" borderId="27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" fillId="0" borderId="20" xfId="0" applyFont="1" applyFill="1" applyBorder="1" applyAlignment="1">
      <alignment horizontal="left" wrapText="1"/>
    </xf>
    <xf numFmtId="49" fontId="2" fillId="0" borderId="20" xfId="0" applyNumberFormat="1" applyFont="1" applyFill="1" applyBorder="1" applyAlignment="1">
      <alignment vertical="top" wrapText="1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168" fontId="2" fillId="0" borderId="17" xfId="0" applyNumberFormat="1" applyFont="1" applyFill="1" applyBorder="1" applyAlignment="1" applyProtection="1">
      <alignment horizontal="left" vertical="top"/>
    </xf>
    <xf numFmtId="168" fontId="1" fillId="0" borderId="17" xfId="0" applyNumberFormat="1" applyFont="1" applyFill="1" applyBorder="1" applyAlignment="1" applyProtection="1">
      <alignment horizontal="left" vertical="top"/>
    </xf>
    <xf numFmtId="168" fontId="5" fillId="0" borderId="0" xfId="0" applyNumberFormat="1" applyFont="1" applyFill="1" applyBorder="1" applyAlignment="1" applyProtection="1">
      <alignment vertical="top" wrapText="1"/>
    </xf>
    <xf numFmtId="2" fontId="3" fillId="0" borderId="20" xfId="0" applyNumberFormat="1" applyFont="1" applyFill="1" applyBorder="1" applyAlignment="1" applyProtection="1">
      <alignment horizontal="right" vertical="top" wrapText="1"/>
    </xf>
    <xf numFmtId="168" fontId="1" fillId="0" borderId="17" xfId="0" applyNumberFormat="1" applyFont="1" applyFill="1" applyBorder="1" applyAlignment="1" applyProtection="1">
      <alignment horizontal="center" vertical="top"/>
    </xf>
    <xf numFmtId="4" fontId="1" fillId="0" borderId="30" xfId="0" applyNumberFormat="1" applyFont="1" applyFill="1" applyBorder="1" applyAlignment="1" applyProtection="1">
      <alignment horizontal="right" vertical="top"/>
      <protection locked="0"/>
    </xf>
    <xf numFmtId="49" fontId="2" fillId="0" borderId="2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vertical="top"/>
    </xf>
    <xf numFmtId="0" fontId="2" fillId="0" borderId="31" xfId="0" applyFont="1" applyFill="1" applyBorder="1" applyAlignment="1">
      <alignment vertical="top" wrapText="1"/>
    </xf>
    <xf numFmtId="4" fontId="2" fillId="0" borderId="18" xfId="0" applyNumberFormat="1" applyFont="1" applyFill="1" applyBorder="1" applyAlignment="1">
      <alignment horizontal="right" vertical="top" wrapText="1"/>
    </xf>
    <xf numFmtId="0" fontId="1" fillId="0" borderId="17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4" fontId="3" fillId="0" borderId="20" xfId="0" applyNumberFormat="1" applyFont="1" applyFill="1" applyBorder="1" applyAlignment="1" applyProtection="1">
      <alignment vertical="top" wrapText="1"/>
      <protection locked="0"/>
    </xf>
    <xf numFmtId="4" fontId="1" fillId="0" borderId="18" xfId="0" applyNumberFormat="1" applyFont="1" applyFill="1" applyBorder="1" applyAlignment="1">
      <alignment horizontal="right" vertical="top" wrapText="1"/>
    </xf>
    <xf numFmtId="4" fontId="3" fillId="0" borderId="20" xfId="0" applyNumberFormat="1" applyFont="1" applyFill="1" applyBorder="1" applyAlignment="1">
      <alignment horizontal="right" vertical="top" wrapText="1"/>
    </xf>
    <xf numFmtId="0" fontId="2" fillId="0" borderId="19" xfId="0" applyFont="1" applyFill="1" applyBorder="1" applyAlignment="1">
      <alignment horizontal="center" vertical="top"/>
    </xf>
    <xf numFmtId="0" fontId="25" fillId="0" borderId="16" xfId="0" applyFont="1" applyFill="1" applyBorder="1"/>
    <xf numFmtId="0" fontId="25" fillId="0" borderId="19" xfId="0" applyFont="1" applyFill="1" applyBorder="1"/>
    <xf numFmtId="49" fontId="1" fillId="0" borderId="24" xfId="0" applyNumberFormat="1" applyFont="1" applyFill="1" applyBorder="1" applyAlignment="1">
      <alignment horizontal="left" vertical="top"/>
    </xf>
    <xf numFmtId="0" fontId="17" fillId="0" borderId="17" xfId="2" applyFont="1" applyBorder="1" applyAlignment="1" applyProtection="1">
      <alignment vertical="top" wrapText="1"/>
    </xf>
    <xf numFmtId="0" fontId="2" fillId="0" borderId="0" xfId="0" applyFont="1" applyFill="1"/>
    <xf numFmtId="164" fontId="2" fillId="0" borderId="17" xfId="0" applyNumberFormat="1" applyFont="1" applyFill="1" applyBorder="1" applyAlignment="1">
      <alignment horizontal="left" vertical="top"/>
    </xf>
    <xf numFmtId="165" fontId="2" fillId="0" borderId="2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0" fontId="0" fillId="4" borderId="0" xfId="0" applyFill="1"/>
    <xf numFmtId="49" fontId="2" fillId="0" borderId="20" xfId="0" applyNumberFormat="1" applyFont="1" applyFill="1" applyBorder="1" applyAlignment="1">
      <alignment horizontal="left" vertical="top" wrapText="1"/>
    </xf>
    <xf numFmtId="0" fontId="27" fillId="0" borderId="0" xfId="0" applyFont="1" applyFill="1"/>
    <xf numFmtId="0" fontId="25" fillId="0" borderId="0" xfId="0" applyFont="1" applyFill="1"/>
    <xf numFmtId="2" fontId="28" fillId="0" borderId="0" xfId="0" applyNumberFormat="1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wrapText="1"/>
    </xf>
    <xf numFmtId="0" fontId="17" fillId="0" borderId="17" xfId="2" applyFont="1" applyFill="1" applyBorder="1" applyAlignment="1">
      <alignment wrapText="1"/>
    </xf>
    <xf numFmtId="166" fontId="17" fillId="0" borderId="24" xfId="2" applyNumberFormat="1" applyFont="1" applyFill="1" applyBorder="1" applyAlignment="1">
      <alignment vertical="top"/>
    </xf>
    <xf numFmtId="49" fontId="1" fillId="0" borderId="27" xfId="0" quotePrefix="1" applyNumberFormat="1" applyFont="1" applyFill="1" applyBorder="1" applyAlignment="1">
      <alignment horizontal="left" vertical="top"/>
    </xf>
    <xf numFmtId="0" fontId="1" fillId="0" borderId="22" xfId="0" applyFont="1" applyFill="1" applyBorder="1" applyAlignment="1">
      <alignment vertical="top" wrapText="1"/>
    </xf>
    <xf numFmtId="0" fontId="17" fillId="0" borderId="17" xfId="2" applyFont="1" applyFill="1" applyBorder="1" applyAlignment="1" applyProtection="1">
      <alignment wrapText="1"/>
    </xf>
    <xf numFmtId="0" fontId="12" fillId="0" borderId="24" xfId="2" applyFont="1" applyFill="1" applyBorder="1" applyAlignment="1" applyProtection="1">
      <alignment wrapText="1"/>
    </xf>
    <xf numFmtId="0" fontId="12" fillId="0" borderId="24" xfId="2" applyFont="1" applyFill="1" applyBorder="1" applyProtection="1"/>
    <xf numFmtId="0" fontId="17" fillId="0" borderId="27" xfId="2" applyFont="1" applyBorder="1" applyAlignment="1" applyProtection="1">
      <alignment vertical="top" wrapText="1"/>
    </xf>
    <xf numFmtId="4" fontId="30" fillId="0" borderId="0" xfId="0" applyNumberFormat="1" applyFont="1"/>
    <xf numFmtId="49" fontId="31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9" fontId="32" fillId="0" borderId="17" xfId="0" applyNumberFormat="1" applyFont="1" applyFill="1" applyBorder="1" applyAlignment="1">
      <alignment horizontal="left" vertical="top"/>
    </xf>
    <xf numFmtId="4" fontId="32" fillId="0" borderId="18" xfId="0" applyNumberFormat="1" applyFont="1" applyFill="1" applyBorder="1" applyAlignment="1">
      <alignment vertical="top"/>
    </xf>
    <xf numFmtId="0" fontId="32" fillId="0" borderId="0" xfId="0" applyFont="1" applyFill="1" applyAlignment="1">
      <alignment vertical="top" wrapText="1"/>
    </xf>
    <xf numFmtId="166" fontId="12" fillId="0" borderId="24" xfId="2" applyNumberFormat="1" applyFont="1" applyFill="1" applyBorder="1" applyAlignment="1">
      <alignment vertical="top"/>
    </xf>
    <xf numFmtId="49" fontId="19" fillId="0" borderId="24" xfId="0" quotePrefix="1" applyNumberFormat="1" applyFont="1" applyFill="1" applyBorder="1" applyAlignment="1" applyProtection="1">
      <alignment horizontal="left" vertical="top"/>
    </xf>
    <xf numFmtId="49" fontId="19" fillId="0" borderId="27" xfId="0" quotePrefix="1" applyNumberFormat="1" applyFont="1" applyFill="1" applyBorder="1" applyAlignment="1" applyProtection="1">
      <alignment horizontal="left" vertical="top"/>
    </xf>
    <xf numFmtId="166" fontId="17" fillId="0" borderId="28" xfId="2" applyNumberFormat="1" applyFont="1" applyFill="1" applyBorder="1" applyAlignment="1">
      <alignment vertical="top"/>
    </xf>
    <xf numFmtId="0" fontId="17" fillId="0" borderId="25" xfId="2" applyFont="1" applyFill="1" applyBorder="1" applyAlignment="1">
      <alignment wrapText="1"/>
    </xf>
    <xf numFmtId="0" fontId="17" fillId="0" borderId="17" xfId="2" applyFont="1" applyFill="1" applyBorder="1" applyAlignment="1">
      <alignment vertical="top" wrapText="1"/>
    </xf>
    <xf numFmtId="0" fontId="12" fillId="0" borderId="17" xfId="0" applyFont="1" applyFill="1" applyBorder="1"/>
    <xf numFmtId="166" fontId="20" fillId="0" borderId="24" xfId="2" applyNumberFormat="1" applyFont="1" applyFill="1" applyBorder="1"/>
    <xf numFmtId="0" fontId="12" fillId="0" borderId="0" xfId="0" applyFont="1" applyFill="1" applyAlignment="1">
      <alignment vertical="top"/>
    </xf>
    <xf numFmtId="0" fontId="21" fillId="0" borderId="29" xfId="0" applyFont="1" applyFill="1" applyBorder="1" applyAlignment="1">
      <alignment vertical="top"/>
    </xf>
    <xf numFmtId="166" fontId="20" fillId="0" borderId="24" xfId="3" applyNumberFormat="1" applyFont="1" applyFill="1" applyBorder="1"/>
    <xf numFmtId="0" fontId="21" fillId="0" borderId="21" xfId="0" applyFont="1" applyFill="1" applyBorder="1" applyAlignment="1">
      <alignment vertical="top"/>
    </xf>
    <xf numFmtId="166" fontId="23" fillId="0" borderId="27" xfId="0" applyNumberFormat="1" applyFont="1" applyFill="1" applyBorder="1"/>
    <xf numFmtId="0" fontId="33" fillId="0" borderId="0" xfId="0" applyFont="1" applyFill="1"/>
    <xf numFmtId="0" fontId="34" fillId="0" borderId="0" xfId="0" applyFont="1" applyFill="1"/>
    <xf numFmtId="0" fontId="1" fillId="0" borderId="32" xfId="0" applyFont="1" applyFill="1" applyBorder="1"/>
    <xf numFmtId="0" fontId="1" fillId="0" borderId="8" xfId="0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left" vertical="top"/>
    </xf>
    <xf numFmtId="49" fontId="1" fillId="0" borderId="8" xfId="0" quotePrefix="1" applyNumberFormat="1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34" fillId="0" borderId="1" xfId="0" applyFont="1" applyFill="1" applyBorder="1"/>
    <xf numFmtId="0" fontId="1" fillId="0" borderId="8" xfId="0" applyFont="1" applyFill="1" applyBorder="1" applyAlignment="1">
      <alignment horizontal="center" vertical="top"/>
    </xf>
    <xf numFmtId="0" fontId="0" fillId="0" borderId="1" xfId="0" applyFill="1" applyBorder="1"/>
    <xf numFmtId="0" fontId="17" fillId="0" borderId="31" xfId="2" applyFont="1" applyFill="1" applyBorder="1" applyAlignment="1">
      <alignment wrapText="1"/>
    </xf>
    <xf numFmtId="0" fontId="1" fillId="0" borderId="28" xfId="0" applyFont="1" applyFill="1" applyBorder="1" applyAlignment="1">
      <alignment vertical="top" wrapText="1"/>
    </xf>
    <xf numFmtId="2" fontId="18" fillId="0" borderId="28" xfId="1" applyNumberFormat="1" applyFont="1" applyFill="1" applyBorder="1" applyAlignment="1" applyProtection="1">
      <alignment vertical="top"/>
    </xf>
    <xf numFmtId="0" fontId="35" fillId="0" borderId="0" xfId="0" applyFont="1"/>
    <xf numFmtId="0" fontId="14" fillId="0" borderId="24" xfId="6" applyBorder="1"/>
    <xf numFmtId="0" fontId="14" fillId="3" borderId="24" xfId="1" applyFont="1" applyBorder="1"/>
    <xf numFmtId="0" fontId="29" fillId="0" borderId="29" xfId="2" applyFont="1" applyFill="1" applyBorder="1" applyAlignment="1">
      <alignment horizontal="left"/>
    </xf>
    <xf numFmtId="0" fontId="29" fillId="0" borderId="28" xfId="2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6" fillId="0" borderId="29" xfId="2" applyFont="1" applyFill="1" applyBorder="1"/>
    <xf numFmtId="0" fontId="26" fillId="0" borderId="28" xfId="2" applyFont="1" applyFill="1" applyBorder="1"/>
    <xf numFmtId="166" fontId="26" fillId="0" borderId="26" xfId="2" applyNumberFormat="1" applyFont="1" applyFill="1" applyBorder="1"/>
    <xf numFmtId="0" fontId="26" fillId="0" borderId="26" xfId="2" applyFont="1" applyFill="1" applyBorder="1"/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</cellXfs>
  <cellStyles count="7">
    <cellStyle name="Font_Ariel_Normal" xfId="5"/>
    <cellStyle name="Font_Ariel_Normal_Bold" xfId="6"/>
    <cellStyle name="Font_Ariel_Normal_Bold_BG_Gray" xfId="4"/>
    <cellStyle name="Font_Ariel_Small" xfId="2"/>
    <cellStyle name="Font_Ariel_Small_Bold" xfId="3"/>
    <cellStyle name="Font_Ariel_Small_Bold_BG_Gray" xfId="1"/>
    <cellStyle name="Normálne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3:G13"/>
  <sheetViews>
    <sheetView view="pageLayout" zoomScaleNormal="100" zoomScaleSheetLayoutView="100" workbookViewId="0"/>
  </sheetViews>
  <sheetFormatPr defaultRowHeight="15"/>
  <cols>
    <col min="1" max="1" width="2.42578125" customWidth="1"/>
    <col min="2" max="2" width="15.28515625" bestFit="1" customWidth="1"/>
    <col min="3" max="3" width="16.85546875" bestFit="1" customWidth="1"/>
    <col min="4" max="4" width="44.42578125" bestFit="1" customWidth="1"/>
    <col min="5" max="7" width="19.5703125" customWidth="1"/>
  </cols>
  <sheetData>
    <row r="3" spans="2:7">
      <c r="B3" s="112" t="s">
        <v>224</v>
      </c>
      <c r="C3" s="112" t="s">
        <v>225</v>
      </c>
      <c r="D3" s="112" t="s">
        <v>226</v>
      </c>
      <c r="E3" s="113" t="s">
        <v>192</v>
      </c>
      <c r="F3" s="113" t="s">
        <v>211</v>
      </c>
      <c r="G3" s="113" t="s">
        <v>212</v>
      </c>
    </row>
    <row r="4" spans="2:7">
      <c r="B4" s="114" t="s">
        <v>404</v>
      </c>
      <c r="C4" s="115">
        <v>2141</v>
      </c>
      <c r="D4" s="115" t="s">
        <v>407</v>
      </c>
      <c r="E4" s="116">
        <f>'Časti stavby'!I21</f>
        <v>0</v>
      </c>
      <c r="F4" s="116">
        <f>ROUNDDOWN(E4*0.2,2)</f>
        <v>0</v>
      </c>
      <c r="G4" s="116">
        <f>E4+F4</f>
        <v>0</v>
      </c>
    </row>
    <row r="5" spans="2:7">
      <c r="B5" s="114" t="s">
        <v>405</v>
      </c>
      <c r="C5" s="115">
        <v>2141</v>
      </c>
      <c r="D5" s="115" t="s">
        <v>408</v>
      </c>
      <c r="E5" s="116">
        <f>'Časti stavby'!I73</f>
        <v>0</v>
      </c>
      <c r="F5" s="116">
        <f t="shared" ref="F5:F6" si="0">ROUNDDOWN(E5*0.2,2)</f>
        <v>0</v>
      </c>
      <c r="G5" s="116">
        <f t="shared" ref="G5:G6" si="1">E5+F5</f>
        <v>0</v>
      </c>
    </row>
    <row r="6" spans="2:7">
      <c r="B6" s="114" t="s">
        <v>406</v>
      </c>
      <c r="C6" s="115">
        <v>2141</v>
      </c>
      <c r="D6" s="115" t="s">
        <v>409</v>
      </c>
      <c r="E6" s="116">
        <f>'Časti stavby'!I125</f>
        <v>0</v>
      </c>
      <c r="F6" s="116">
        <f t="shared" si="0"/>
        <v>0</v>
      </c>
      <c r="G6" s="116">
        <f t="shared" si="1"/>
        <v>0</v>
      </c>
    </row>
    <row r="7" spans="2:7">
      <c r="B7" s="246" t="s">
        <v>227</v>
      </c>
      <c r="C7" s="246"/>
      <c r="D7" s="246"/>
      <c r="E7" s="117">
        <f>SUM(E4:E6)</f>
        <v>0</v>
      </c>
      <c r="F7" s="117">
        <f t="shared" ref="F7:G7" si="2">SUM(F4:F6)</f>
        <v>0</v>
      </c>
      <c r="G7" s="117">
        <f t="shared" si="2"/>
        <v>0</v>
      </c>
    </row>
    <row r="12" spans="2:7">
      <c r="E12" s="213"/>
    </row>
    <row r="13" spans="2:7">
      <c r="E13" s="156"/>
    </row>
  </sheetData>
  <sheetProtection algorithmName="SHA-512" hashValue="m5XSLJ35n4UxlSQq+Zh3shK0TJ8N+e2ZtcJoBn5dZ2rTazaPUfjlpCpna0YSFlqfBGSvr8Hw8T4uNbOhpKKIpQ==" saltValue="9RddyqY65Rfzota/WqA0+g==" spinCount="100000" sheet="1" selectLockedCells="1" selectUnlockedCells="1"/>
  <mergeCells count="1">
    <mergeCell ref="B7:D7"/>
  </mergeCells>
  <printOptions horizontalCentered="1"/>
  <pageMargins left="0.70866141732283505" right="0.70866141732283505" top="0.74803149606299202" bottom="0.74803149606299202" header="0.31496062992126" footer="0.31496062992126"/>
  <pageSetup paperSize="9" scale="95" orientation="landscape" r:id="rId1"/>
  <headerFooter>
    <oddHeader>&amp;LVýkaz výmer aktuálny k 29.11.2019
Oprava diaľničných mostov ev.č.D2-079 cez mlynský náhon Rudava a ev.č.D2-080 cez potok Rudava &amp;RRekapitulácia stavby</oddHead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K64"/>
  <sheetViews>
    <sheetView view="pageLayout" zoomScaleNormal="100" zoomScaleSheetLayoutView="100" workbookViewId="0">
      <selection activeCell="E23" sqref="E23"/>
    </sheetView>
  </sheetViews>
  <sheetFormatPr defaultRowHeight="15"/>
  <cols>
    <col min="1" max="1" width="2.5703125" customWidth="1"/>
    <col min="2" max="2" width="31.85546875" customWidth="1"/>
    <col min="3" max="3" width="9" customWidth="1"/>
    <col min="4" max="4" width="10.85546875" customWidth="1"/>
    <col min="5" max="5" width="57.85546875" customWidth="1"/>
    <col min="6" max="6" width="7.7109375" customWidth="1"/>
    <col min="7" max="7" width="9.7109375" bestFit="1" customWidth="1"/>
    <col min="8" max="8" width="1.140625" customWidth="1"/>
    <col min="9" max="9" width="15.85546875" customWidth="1"/>
  </cols>
  <sheetData>
    <row r="1" spans="1:11">
      <c r="A1" s="88"/>
      <c r="B1" s="88"/>
      <c r="C1" s="88"/>
      <c r="D1" s="88"/>
      <c r="E1" s="88"/>
      <c r="F1" s="88"/>
      <c r="G1" s="89"/>
      <c r="H1" s="88"/>
      <c r="I1" s="89"/>
    </row>
    <row r="2" spans="1:11">
      <c r="A2" s="88"/>
      <c r="B2" s="88"/>
      <c r="C2" s="88"/>
      <c r="D2" s="88"/>
      <c r="E2" s="88"/>
      <c r="F2" s="88"/>
      <c r="G2" s="89"/>
      <c r="H2" s="88"/>
      <c r="I2" s="89"/>
    </row>
    <row r="3" spans="1:11">
      <c r="A3" s="88"/>
      <c r="B3" s="90" t="s">
        <v>217</v>
      </c>
      <c r="C3" s="247" t="s">
        <v>187</v>
      </c>
      <c r="D3" s="247"/>
      <c r="E3" s="90" t="s">
        <v>188</v>
      </c>
      <c r="F3" s="91" t="s">
        <v>189</v>
      </c>
      <c r="G3" s="92" t="s">
        <v>190</v>
      </c>
      <c r="H3" s="88"/>
      <c r="I3" s="93" t="s">
        <v>191</v>
      </c>
    </row>
    <row r="4" spans="1:11" ht="24.75">
      <c r="A4" s="94"/>
      <c r="B4" s="109" t="s">
        <v>216</v>
      </c>
      <c r="C4" s="158" t="s">
        <v>193</v>
      </c>
      <c r="D4" s="95" t="s">
        <v>11</v>
      </c>
      <c r="E4" s="96" t="s">
        <v>12</v>
      </c>
      <c r="F4" s="159" t="s">
        <v>194</v>
      </c>
      <c r="G4" s="97">
        <f>'Časti stavby'!G4+'Časti stavby'!G22+'Časti stavby'!G74</f>
        <v>1121.96</v>
      </c>
      <c r="H4" s="94"/>
      <c r="I4" s="111"/>
      <c r="J4" s="154"/>
      <c r="K4" s="154"/>
    </row>
    <row r="5" spans="1:11">
      <c r="A5" s="98"/>
      <c r="B5" s="99"/>
      <c r="C5" s="158" t="s">
        <v>9</v>
      </c>
      <c r="D5" s="95" t="s">
        <v>14</v>
      </c>
      <c r="E5" s="96" t="s">
        <v>15</v>
      </c>
      <c r="F5" s="159" t="s">
        <v>195</v>
      </c>
      <c r="G5" s="97">
        <f>'Časti stavby'!G5+'Časti stavby'!G23+'Časti stavby'!G75</f>
        <v>1164.3599999999999</v>
      </c>
      <c r="H5" s="98"/>
      <c r="I5" s="111"/>
    </row>
    <row r="6" spans="1:11" ht="25.5">
      <c r="A6" s="88"/>
      <c r="B6" s="100"/>
      <c r="C6" s="158" t="s">
        <v>9</v>
      </c>
      <c r="D6" s="101" t="s">
        <v>17</v>
      </c>
      <c r="E6" s="96" t="s">
        <v>18</v>
      </c>
      <c r="F6" s="44" t="s">
        <v>19</v>
      </c>
      <c r="G6" s="97">
        <f>'Časti stavby'!G6+'Časti stavby'!G24+'Časti stavby'!G76</f>
        <v>3</v>
      </c>
      <c r="H6" s="88"/>
      <c r="I6" s="111"/>
    </row>
    <row r="7" spans="1:11" ht="38.25">
      <c r="A7" s="88"/>
      <c r="B7" s="100"/>
      <c r="C7" s="161" t="s">
        <v>193</v>
      </c>
      <c r="D7" s="101" t="s">
        <v>20</v>
      </c>
      <c r="E7" s="102" t="s">
        <v>260</v>
      </c>
      <c r="F7" s="159" t="s">
        <v>196</v>
      </c>
      <c r="G7" s="97">
        <f>'Časti stavby'!G7+'Časti stavby'!G25+'Časti stavby'!G77</f>
        <v>3</v>
      </c>
      <c r="H7" s="88"/>
      <c r="I7" s="111"/>
      <c r="J7" s="154"/>
    </row>
    <row r="8" spans="1:11" ht="25.5">
      <c r="A8" s="88"/>
      <c r="B8" s="110" t="s">
        <v>218</v>
      </c>
      <c r="C8" s="158" t="s">
        <v>197</v>
      </c>
      <c r="D8" s="207" t="s">
        <v>24</v>
      </c>
      <c r="E8" s="208" t="s">
        <v>25</v>
      </c>
      <c r="F8" s="159" t="s">
        <v>195</v>
      </c>
      <c r="G8" s="103">
        <f>'Časti stavby'!G26+'Časti stavby'!G78</f>
        <v>113.91</v>
      </c>
      <c r="H8" s="88"/>
      <c r="I8" s="111"/>
    </row>
    <row r="9" spans="1:11" ht="25.5">
      <c r="A9" s="104"/>
      <c r="B9" s="99"/>
      <c r="C9" s="158" t="s">
        <v>197</v>
      </c>
      <c r="D9" s="101" t="s">
        <v>26</v>
      </c>
      <c r="E9" s="96" t="s">
        <v>27</v>
      </c>
      <c r="F9" s="159" t="s">
        <v>195</v>
      </c>
      <c r="G9" s="103">
        <f>'Časti stavby'!G27+'Časti stavby'!G79</f>
        <v>57.98</v>
      </c>
      <c r="H9" s="104"/>
      <c r="I9" s="111"/>
    </row>
    <row r="10" spans="1:11">
      <c r="A10" s="88"/>
      <c r="B10" s="100"/>
      <c r="C10" s="162" t="s">
        <v>197</v>
      </c>
      <c r="D10" s="207" t="s">
        <v>137</v>
      </c>
      <c r="E10" s="208" t="s">
        <v>138</v>
      </c>
      <c r="F10" s="159" t="s">
        <v>198</v>
      </c>
      <c r="G10" s="103">
        <f>'Časti stavby'!G28+'Časti stavby'!G80</f>
        <v>667.55</v>
      </c>
      <c r="H10" s="88"/>
      <c r="I10" s="111"/>
    </row>
    <row r="11" spans="1:11" ht="25.5">
      <c r="A11" s="88"/>
      <c r="B11" s="100"/>
      <c r="C11" s="158" t="s">
        <v>197</v>
      </c>
      <c r="D11" s="207" t="s">
        <v>269</v>
      </c>
      <c r="E11" s="208" t="s">
        <v>270</v>
      </c>
      <c r="F11" s="159" t="s">
        <v>196</v>
      </c>
      <c r="G11" s="103">
        <f>'Časti stavby'!G81</f>
        <v>4</v>
      </c>
      <c r="H11" s="88"/>
      <c r="I11" s="111"/>
    </row>
    <row r="12" spans="1:11">
      <c r="A12" s="88"/>
      <c r="B12" s="100"/>
      <c r="C12" s="162" t="s">
        <v>197</v>
      </c>
      <c r="D12" s="162" t="s">
        <v>199</v>
      </c>
      <c r="E12" s="210" t="s">
        <v>30</v>
      </c>
      <c r="F12" s="211" t="s">
        <v>198</v>
      </c>
      <c r="G12" s="103">
        <f>'Časti stavby'!G29+'Časti stavby'!G82</f>
        <v>998.8</v>
      </c>
      <c r="H12" s="88"/>
      <c r="I12" s="111"/>
    </row>
    <row r="13" spans="1:11">
      <c r="A13" s="88"/>
      <c r="B13" s="100"/>
      <c r="C13" s="162" t="s">
        <v>197</v>
      </c>
      <c r="D13" s="162" t="s">
        <v>132</v>
      </c>
      <c r="E13" s="210" t="s">
        <v>133</v>
      </c>
      <c r="F13" s="211" t="s">
        <v>198</v>
      </c>
      <c r="G13" s="103">
        <f>'Časti stavby'!G30+'Časti stavby'!G83</f>
        <v>667.55</v>
      </c>
      <c r="H13" s="88"/>
      <c r="I13" s="111"/>
    </row>
    <row r="14" spans="1:11" ht="24.75">
      <c r="A14" s="88"/>
      <c r="B14" s="100"/>
      <c r="C14" s="158" t="s">
        <v>197</v>
      </c>
      <c r="D14" s="158" t="s">
        <v>363</v>
      </c>
      <c r="E14" s="210" t="s">
        <v>364</v>
      </c>
      <c r="F14" s="159" t="s">
        <v>198</v>
      </c>
      <c r="G14" s="103">
        <f>'Časti stavby'!G31</f>
        <v>1166</v>
      </c>
      <c r="H14" s="88"/>
      <c r="I14" s="111"/>
    </row>
    <row r="15" spans="1:11" ht="24">
      <c r="A15" s="88"/>
      <c r="B15" s="105"/>
      <c r="C15" s="158" t="s">
        <v>197</v>
      </c>
      <c r="D15" s="158" t="s">
        <v>201</v>
      </c>
      <c r="E15" s="106" t="s">
        <v>33</v>
      </c>
      <c r="F15" s="159" t="s">
        <v>200</v>
      </c>
      <c r="G15" s="103">
        <f>'Časti stavby'!G8+'Časti stavby'!G32+'Časti stavby'!G84</f>
        <v>388.12</v>
      </c>
      <c r="H15" s="88"/>
      <c r="I15" s="111"/>
    </row>
    <row r="16" spans="1:11">
      <c r="A16" s="88"/>
      <c r="B16" s="100"/>
      <c r="C16" s="162" t="s">
        <v>197</v>
      </c>
      <c r="D16" s="162" t="s">
        <v>202</v>
      </c>
      <c r="E16" s="210" t="s">
        <v>35</v>
      </c>
      <c r="F16" s="211" t="s">
        <v>194</v>
      </c>
      <c r="G16" s="97">
        <f>'Časti stavby'!G9+'Časti stavby'!G33+'Časti stavby'!G85</f>
        <v>1138.27</v>
      </c>
      <c r="H16" s="88"/>
      <c r="I16" s="111"/>
    </row>
    <row r="17" spans="1:10" ht="25.5">
      <c r="A17" s="88"/>
      <c r="B17" s="100"/>
      <c r="C17" s="158" t="s">
        <v>197</v>
      </c>
      <c r="D17" s="101" t="s">
        <v>37</v>
      </c>
      <c r="E17" s="96" t="s">
        <v>38</v>
      </c>
      <c r="F17" s="159" t="s">
        <v>198</v>
      </c>
      <c r="G17" s="97">
        <f>'Časti stavby'!G34+'Časti stavby'!G86</f>
        <v>2150.4299999999998</v>
      </c>
      <c r="H17" s="88"/>
      <c r="I17" s="111"/>
    </row>
    <row r="18" spans="1:10" ht="24">
      <c r="A18" s="88"/>
      <c r="B18" s="110" t="s">
        <v>219</v>
      </c>
      <c r="C18" s="158" t="s">
        <v>203</v>
      </c>
      <c r="D18" s="101" t="s">
        <v>43</v>
      </c>
      <c r="E18" s="96" t="s">
        <v>44</v>
      </c>
      <c r="F18" s="159" t="s">
        <v>195</v>
      </c>
      <c r="G18" s="103">
        <f>'Časti stavby'!G10+'Časti stavby'!G35+'Časti stavby'!G87</f>
        <v>1164.3599999999999</v>
      </c>
      <c r="H18" s="88"/>
      <c r="I18" s="111"/>
      <c r="J18" s="154"/>
    </row>
    <row r="19" spans="1:10">
      <c r="A19" s="88"/>
      <c r="B19" s="100"/>
      <c r="C19" s="162" t="s">
        <v>204</v>
      </c>
      <c r="D19" s="46" t="s">
        <v>47</v>
      </c>
      <c r="E19" s="96" t="s">
        <v>48</v>
      </c>
      <c r="F19" s="159" t="s">
        <v>195</v>
      </c>
      <c r="G19" s="103">
        <f>'Časti stavby'!G11+'Časti stavby'!G36+'Časti stavby'!G88</f>
        <v>1164.3599999999999</v>
      </c>
      <c r="H19" s="88"/>
      <c r="I19" s="111"/>
    </row>
    <row r="20" spans="1:10">
      <c r="A20" s="88"/>
      <c r="B20" s="100"/>
      <c r="C20" s="158" t="s">
        <v>204</v>
      </c>
      <c r="D20" s="101" t="s">
        <v>306</v>
      </c>
      <c r="E20" s="208" t="s">
        <v>307</v>
      </c>
      <c r="F20" s="159" t="s">
        <v>195</v>
      </c>
      <c r="G20" s="103">
        <f>'Časti stavby'!G37+'Časti stavby'!G89</f>
        <v>202.94</v>
      </c>
      <c r="H20" s="88"/>
      <c r="I20" s="111"/>
    </row>
    <row r="21" spans="1:10">
      <c r="A21" s="88"/>
      <c r="B21" s="100"/>
      <c r="C21" s="162" t="s">
        <v>204</v>
      </c>
      <c r="D21" s="163" t="s">
        <v>51</v>
      </c>
      <c r="E21" s="96" t="s">
        <v>52</v>
      </c>
      <c r="F21" s="159" t="s">
        <v>205</v>
      </c>
      <c r="G21" s="103">
        <f>'Časti stavby'!G12+'Časti stavby'!G38+'Časti stavby'!G90</f>
        <v>1164.3599999999999</v>
      </c>
      <c r="H21" s="88"/>
      <c r="I21" s="111"/>
    </row>
    <row r="22" spans="1:10" ht="25.5">
      <c r="A22" s="88"/>
      <c r="B22" s="100"/>
      <c r="C22" s="161" t="s">
        <v>204</v>
      </c>
      <c r="D22" s="101" t="s">
        <v>418</v>
      </c>
      <c r="E22" s="102" t="s">
        <v>419</v>
      </c>
      <c r="F22" s="159" t="s">
        <v>198</v>
      </c>
      <c r="G22" s="103">
        <f>'Časti stavby'!G39+'Časti stavby'!G91</f>
        <v>430</v>
      </c>
      <c r="H22" s="88"/>
      <c r="I22" s="111"/>
    </row>
    <row r="23" spans="1:10" ht="25.5">
      <c r="A23" s="88"/>
      <c r="B23" s="109" t="s">
        <v>220</v>
      </c>
      <c r="C23" s="158" t="s">
        <v>206</v>
      </c>
      <c r="D23" s="164">
        <v>11050602</v>
      </c>
      <c r="E23" s="165" t="s">
        <v>58</v>
      </c>
      <c r="F23" s="159" t="s">
        <v>195</v>
      </c>
      <c r="G23" s="103">
        <f>'Časti stavby'!G40+'Časti stavby'!G92</f>
        <v>49.91</v>
      </c>
      <c r="H23" s="88"/>
      <c r="I23" s="111"/>
    </row>
    <row r="24" spans="1:10">
      <c r="A24" s="88"/>
      <c r="B24" s="100"/>
      <c r="C24" s="158" t="s">
        <v>206</v>
      </c>
      <c r="D24" s="46" t="s">
        <v>160</v>
      </c>
      <c r="E24" s="102" t="s">
        <v>161</v>
      </c>
      <c r="F24" s="159" t="s">
        <v>198</v>
      </c>
      <c r="G24" s="103">
        <f>'Časti stavby'!G41+'Časti stavby'!G93</f>
        <v>194.08</v>
      </c>
      <c r="H24" s="88"/>
      <c r="I24" s="111"/>
    </row>
    <row r="25" spans="1:10" ht="25.5">
      <c r="A25" s="88"/>
      <c r="B25" s="100"/>
      <c r="C25" s="158" t="s">
        <v>55</v>
      </c>
      <c r="D25" s="164">
        <v>11050621</v>
      </c>
      <c r="E25" s="102" t="s">
        <v>63</v>
      </c>
      <c r="F25" s="159" t="s">
        <v>194</v>
      </c>
      <c r="G25" s="103">
        <f>'Časti stavby'!G42+'Časti stavby'!G94</f>
        <v>7.66</v>
      </c>
      <c r="H25" s="88"/>
      <c r="I25" s="111"/>
    </row>
    <row r="26" spans="1:10" ht="25.5">
      <c r="A26" s="88"/>
      <c r="B26" s="100"/>
      <c r="C26" s="158" t="s">
        <v>55</v>
      </c>
      <c r="D26" s="101" t="s">
        <v>66</v>
      </c>
      <c r="E26" s="107" t="s">
        <v>67</v>
      </c>
      <c r="F26" s="159" t="s">
        <v>195</v>
      </c>
      <c r="G26" s="103">
        <f>'Časti stavby'!G43+'Časti stavby'!G95</f>
        <v>298.73</v>
      </c>
      <c r="H26" s="88"/>
      <c r="I26" s="111"/>
    </row>
    <row r="27" spans="1:10" ht="25.5">
      <c r="A27" s="88"/>
      <c r="B27" s="100"/>
      <c r="C27" s="158" t="s">
        <v>55</v>
      </c>
      <c r="D27" s="101" t="s">
        <v>146</v>
      </c>
      <c r="E27" s="102" t="s">
        <v>147</v>
      </c>
      <c r="F27" s="159" t="s">
        <v>198</v>
      </c>
      <c r="G27" s="103">
        <f>'Časti stavby'!G44+'Časti stavby'!G96</f>
        <v>181.09</v>
      </c>
      <c r="H27" s="88"/>
      <c r="I27" s="111"/>
    </row>
    <row r="28" spans="1:10" ht="25.5">
      <c r="A28" s="88"/>
      <c r="B28" s="100"/>
      <c r="C28" s="158" t="s">
        <v>55</v>
      </c>
      <c r="D28" s="101" t="s">
        <v>73</v>
      </c>
      <c r="E28" s="102" t="s">
        <v>74</v>
      </c>
      <c r="F28" s="159" t="s">
        <v>194</v>
      </c>
      <c r="G28" s="103">
        <f>'Časti stavby'!G45+'Časti stavby'!G97</f>
        <v>25.49</v>
      </c>
      <c r="H28" s="88"/>
      <c r="I28" s="111"/>
    </row>
    <row r="29" spans="1:10" ht="25.5">
      <c r="A29" s="88"/>
      <c r="B29" s="100"/>
      <c r="C29" s="158" t="s">
        <v>55</v>
      </c>
      <c r="D29" s="101" t="s">
        <v>77</v>
      </c>
      <c r="E29" s="102" t="s">
        <v>78</v>
      </c>
      <c r="F29" s="159" t="s">
        <v>195</v>
      </c>
      <c r="G29" s="103">
        <f>'Časti stavby'!G46+'Časti stavby'!G98</f>
        <v>122.48</v>
      </c>
      <c r="H29" s="88"/>
      <c r="I29" s="111"/>
    </row>
    <row r="30" spans="1:10" ht="25.5">
      <c r="A30" s="88"/>
      <c r="B30" s="100"/>
      <c r="C30" s="158" t="s">
        <v>55</v>
      </c>
      <c r="D30" s="101" t="s">
        <v>171</v>
      </c>
      <c r="E30" s="96" t="s">
        <v>172</v>
      </c>
      <c r="F30" s="159" t="s">
        <v>198</v>
      </c>
      <c r="G30" s="103">
        <f>'Časti stavby'!G47+'Časti stavby'!G99</f>
        <v>16.87</v>
      </c>
      <c r="H30" s="88"/>
      <c r="I30" s="111"/>
    </row>
    <row r="31" spans="1:10" ht="25.5">
      <c r="A31" s="88"/>
      <c r="B31" s="100"/>
      <c r="C31" s="158" t="s">
        <v>55</v>
      </c>
      <c r="D31" s="101" t="s">
        <v>79</v>
      </c>
      <c r="E31" s="96" t="s">
        <v>80</v>
      </c>
      <c r="F31" s="159" t="s">
        <v>194</v>
      </c>
      <c r="G31" s="103">
        <f>'Časti stavby'!G48+'Časti stavby'!G100</f>
        <v>19.420000000000002</v>
      </c>
      <c r="H31" s="88"/>
      <c r="I31" s="111"/>
    </row>
    <row r="32" spans="1:10">
      <c r="A32" s="88"/>
      <c r="B32" s="100"/>
      <c r="C32" s="158" t="s">
        <v>55</v>
      </c>
      <c r="D32" s="46" t="s">
        <v>158</v>
      </c>
      <c r="E32" s="96" t="s">
        <v>159</v>
      </c>
      <c r="F32" s="159" t="s">
        <v>213</v>
      </c>
      <c r="G32" s="103">
        <f>'Časti stavby'!G49+'Časti stavby'!G101</f>
        <v>85.26</v>
      </c>
      <c r="H32" s="88"/>
      <c r="I32" s="111"/>
    </row>
    <row r="33" spans="1:11" ht="25.5">
      <c r="A33" s="88"/>
      <c r="B33" s="100"/>
      <c r="C33" s="158" t="s">
        <v>55</v>
      </c>
      <c r="D33" s="46" t="s">
        <v>83</v>
      </c>
      <c r="E33" s="47" t="s">
        <v>84</v>
      </c>
      <c r="F33" s="159" t="s">
        <v>195</v>
      </c>
      <c r="G33" s="103">
        <f>'Časti stavby'!G50+'Časti stavby'!G102</f>
        <v>204.04</v>
      </c>
      <c r="H33" s="88"/>
      <c r="I33" s="111"/>
    </row>
    <row r="34" spans="1:11">
      <c r="A34" s="88"/>
      <c r="B34" s="100"/>
      <c r="C34" s="158" t="s">
        <v>55</v>
      </c>
      <c r="D34" s="164">
        <v>21250106</v>
      </c>
      <c r="E34" s="102" t="s">
        <v>86</v>
      </c>
      <c r="F34" s="159" t="s">
        <v>207</v>
      </c>
      <c r="G34" s="103">
        <f>'Časti stavby'!G51+'Časti stavby'!G103</f>
        <v>148.1</v>
      </c>
      <c r="H34" s="88"/>
      <c r="I34" s="111"/>
    </row>
    <row r="35" spans="1:11">
      <c r="A35" s="88"/>
      <c r="B35" s="100"/>
      <c r="C35" s="158" t="s">
        <v>55</v>
      </c>
      <c r="D35" s="164" t="s">
        <v>248</v>
      </c>
      <c r="E35" s="96" t="s">
        <v>249</v>
      </c>
      <c r="F35" s="159" t="s">
        <v>196</v>
      </c>
      <c r="G35" s="103">
        <f>'Časti stavby'!G104</f>
        <v>6</v>
      </c>
      <c r="H35" s="88"/>
      <c r="I35" s="111"/>
      <c r="K35" s="154"/>
    </row>
    <row r="36" spans="1:11" ht="25.5">
      <c r="A36" s="88"/>
      <c r="B36" s="100"/>
      <c r="C36" s="158" t="s">
        <v>55</v>
      </c>
      <c r="D36" s="101" t="s">
        <v>179</v>
      </c>
      <c r="E36" s="96" t="s">
        <v>180</v>
      </c>
      <c r="F36" s="159" t="s">
        <v>214</v>
      </c>
      <c r="G36" s="103">
        <f>'Časti stavby'!G52+'Časti stavby'!G105</f>
        <v>54.38</v>
      </c>
      <c r="H36" s="88"/>
      <c r="I36" s="111"/>
    </row>
    <row r="37" spans="1:11" ht="25.5">
      <c r="A37" s="88"/>
      <c r="B37" s="100"/>
      <c r="C37" s="158" t="s">
        <v>55</v>
      </c>
      <c r="D37" s="101" t="s">
        <v>152</v>
      </c>
      <c r="E37" s="96" t="s">
        <v>153</v>
      </c>
      <c r="F37" s="159" t="s">
        <v>213</v>
      </c>
      <c r="G37" s="103">
        <f>'Časti stavby'!G53+'Časti stavby'!G106</f>
        <v>85.26</v>
      </c>
      <c r="H37" s="88"/>
      <c r="I37" s="111"/>
    </row>
    <row r="38" spans="1:11" ht="25.5">
      <c r="A38" s="88"/>
      <c r="B38" s="100"/>
      <c r="C38" s="158" t="s">
        <v>55</v>
      </c>
      <c r="D38" s="101" t="s">
        <v>154</v>
      </c>
      <c r="E38" s="102" t="s">
        <v>155</v>
      </c>
      <c r="F38" s="159" t="s">
        <v>215</v>
      </c>
      <c r="G38" s="103">
        <f>'Časti stavby'!G54+'Časti stavby'!G107</f>
        <v>346.12</v>
      </c>
      <c r="H38" s="88"/>
      <c r="I38" s="111"/>
    </row>
    <row r="39" spans="1:11" ht="25.5">
      <c r="A39" s="88"/>
      <c r="B39" s="100"/>
      <c r="C39" s="158" t="s">
        <v>55</v>
      </c>
      <c r="D39" s="101" t="s">
        <v>239</v>
      </c>
      <c r="E39" s="96" t="s">
        <v>240</v>
      </c>
      <c r="F39" s="159" t="s">
        <v>213</v>
      </c>
      <c r="G39" s="103">
        <f>'Časti stavby'!G108</f>
        <v>52.22</v>
      </c>
      <c r="H39" s="88"/>
      <c r="I39" s="111"/>
    </row>
    <row r="40" spans="1:11">
      <c r="A40" s="88"/>
      <c r="B40" s="100"/>
      <c r="C40" s="158" t="s">
        <v>55</v>
      </c>
      <c r="D40" s="101" t="s">
        <v>244</v>
      </c>
      <c r="E40" s="107" t="s">
        <v>245</v>
      </c>
      <c r="F40" s="159" t="s">
        <v>196</v>
      </c>
      <c r="G40" s="219">
        <f>'Časti stavby'!G55+'Časti stavby'!G109</f>
        <v>17159</v>
      </c>
      <c r="H40" s="88"/>
      <c r="I40" s="111"/>
    </row>
    <row r="41" spans="1:11" ht="25.5">
      <c r="A41" s="88"/>
      <c r="B41" s="100"/>
      <c r="C41" s="158" t="s">
        <v>55</v>
      </c>
      <c r="D41" s="192" t="s">
        <v>311</v>
      </c>
      <c r="E41" s="107" t="s">
        <v>312</v>
      </c>
      <c r="F41" s="159" t="s">
        <v>198</v>
      </c>
      <c r="G41" s="219">
        <f>'Časti stavby'!G56+'Časti stavby'!G110</f>
        <v>123.41</v>
      </c>
      <c r="H41" s="88"/>
      <c r="I41" s="111"/>
    </row>
    <row r="42" spans="1:11" ht="25.5">
      <c r="A42" s="88"/>
      <c r="B42" s="110" t="s">
        <v>221</v>
      </c>
      <c r="C42" s="158" t="s">
        <v>208</v>
      </c>
      <c r="D42" s="46" t="s">
        <v>91</v>
      </c>
      <c r="E42" s="47" t="s">
        <v>92</v>
      </c>
      <c r="F42" s="159" t="s">
        <v>198</v>
      </c>
      <c r="G42" s="103">
        <f>'Časti stavby'!G57+'Časti stavby'!G111</f>
        <v>1489.38</v>
      </c>
      <c r="H42" s="88"/>
      <c r="I42" s="111"/>
      <c r="K42" s="154"/>
    </row>
    <row r="43" spans="1:11">
      <c r="A43" s="88"/>
      <c r="B43" s="100"/>
      <c r="C43" s="158" t="s">
        <v>208</v>
      </c>
      <c r="D43" s="164">
        <v>61010502</v>
      </c>
      <c r="E43" s="102" t="s">
        <v>99</v>
      </c>
      <c r="F43" s="159" t="s">
        <v>198</v>
      </c>
      <c r="G43" s="103">
        <f>'Časti stavby'!G58+'Časti stavby'!G112</f>
        <v>908.16</v>
      </c>
      <c r="H43" s="88"/>
      <c r="I43" s="111"/>
    </row>
    <row r="44" spans="1:11" ht="36.75">
      <c r="A44" s="88"/>
      <c r="B44" s="109" t="s">
        <v>402</v>
      </c>
      <c r="C44" s="158" t="s">
        <v>403</v>
      </c>
      <c r="D44" s="101" t="s">
        <v>322</v>
      </c>
      <c r="E44" s="96" t="s">
        <v>323</v>
      </c>
      <c r="F44" s="159" t="s">
        <v>195</v>
      </c>
      <c r="G44" s="103">
        <f>'Časti stavby'!G13</f>
        <v>240</v>
      </c>
      <c r="H44" s="88"/>
      <c r="I44" s="111"/>
    </row>
    <row r="45" spans="1:11" ht="25.5">
      <c r="A45" s="88"/>
      <c r="B45" s="100"/>
      <c r="C45" s="158" t="s">
        <v>403</v>
      </c>
      <c r="D45" s="164" t="s">
        <v>324</v>
      </c>
      <c r="E45" s="96" t="s">
        <v>325</v>
      </c>
      <c r="F45" s="159" t="s">
        <v>195</v>
      </c>
      <c r="G45" s="103">
        <f>'Časti stavby'!G14+'Časti stavby'!G59</f>
        <v>245.45</v>
      </c>
      <c r="H45" s="88"/>
      <c r="I45" s="111"/>
    </row>
    <row r="46" spans="1:11" ht="36.75">
      <c r="A46" s="88"/>
      <c r="B46" s="109" t="s">
        <v>222</v>
      </c>
      <c r="C46" s="158" t="s">
        <v>326</v>
      </c>
      <c r="D46" s="164" t="s">
        <v>327</v>
      </c>
      <c r="E46" s="96" t="s">
        <v>328</v>
      </c>
      <c r="F46" s="159" t="s">
        <v>198</v>
      </c>
      <c r="G46" s="103">
        <f>'Časti stavby'!G15+'Časti stavby'!G60</f>
        <v>1440</v>
      </c>
      <c r="H46" s="88"/>
      <c r="I46" s="111"/>
      <c r="K46" s="154"/>
    </row>
    <row r="47" spans="1:11" ht="25.5">
      <c r="A47" s="88"/>
      <c r="B47" s="100"/>
      <c r="C47" s="158" t="s">
        <v>326</v>
      </c>
      <c r="D47" s="164" t="s">
        <v>329</v>
      </c>
      <c r="E47" s="96" t="s">
        <v>330</v>
      </c>
      <c r="F47" s="159" t="s">
        <v>198</v>
      </c>
      <c r="G47" s="103">
        <f>'Časti stavby'!G16+'Časti stavby'!G61</f>
        <v>3100</v>
      </c>
      <c r="H47" s="88"/>
      <c r="I47" s="111"/>
    </row>
    <row r="48" spans="1:11" ht="25.5">
      <c r="A48" s="88"/>
      <c r="B48" s="100"/>
      <c r="C48" s="158" t="s">
        <v>209</v>
      </c>
      <c r="D48" s="164" t="s">
        <v>331</v>
      </c>
      <c r="E48" s="96" t="s">
        <v>332</v>
      </c>
      <c r="F48" s="159" t="s">
        <v>195</v>
      </c>
      <c r="G48" s="103">
        <f>'Časti stavby'!G17+'Časti stavby'!G62</f>
        <v>241.2</v>
      </c>
      <c r="H48" s="88"/>
      <c r="I48" s="111"/>
    </row>
    <row r="49" spans="1:11" ht="25.5">
      <c r="A49" s="88"/>
      <c r="B49" s="100"/>
      <c r="C49" s="158" t="s">
        <v>209</v>
      </c>
      <c r="D49" s="164" t="s">
        <v>104</v>
      </c>
      <c r="E49" s="96" t="s">
        <v>105</v>
      </c>
      <c r="F49" s="159" t="s">
        <v>195</v>
      </c>
      <c r="G49" s="103">
        <f>'Časti stavby'!G63+'Časti stavby'!G113</f>
        <v>68.28</v>
      </c>
      <c r="H49" s="88"/>
      <c r="I49" s="111"/>
    </row>
    <row r="50" spans="1:11" ht="25.5">
      <c r="A50" s="88"/>
      <c r="B50" s="100"/>
      <c r="C50" s="158" t="s">
        <v>209</v>
      </c>
      <c r="D50" s="164" t="s">
        <v>108</v>
      </c>
      <c r="E50" s="96" t="s">
        <v>109</v>
      </c>
      <c r="F50" s="159" t="s">
        <v>421</v>
      </c>
      <c r="G50" s="103">
        <f>'Časti stavby'!G114</f>
        <v>5.88</v>
      </c>
      <c r="H50" s="88"/>
      <c r="I50" s="111"/>
    </row>
    <row r="51" spans="1:11">
      <c r="A51" s="88"/>
      <c r="B51" s="100"/>
      <c r="C51" s="158" t="s">
        <v>209</v>
      </c>
      <c r="D51" s="164" t="s">
        <v>236</v>
      </c>
      <c r="E51" s="96" t="s">
        <v>237</v>
      </c>
      <c r="F51" s="159" t="s">
        <v>205</v>
      </c>
      <c r="G51" s="103">
        <f>'Časti stavby'!G115</f>
        <v>19.62</v>
      </c>
      <c r="H51" s="88"/>
      <c r="I51" s="111"/>
    </row>
    <row r="52" spans="1:11" ht="25.5">
      <c r="A52" s="88"/>
      <c r="B52" s="100"/>
      <c r="C52" s="158" t="s">
        <v>209</v>
      </c>
      <c r="D52" s="46" t="s">
        <v>329</v>
      </c>
      <c r="E52" s="96" t="s">
        <v>413</v>
      </c>
      <c r="F52" s="159" t="s">
        <v>421</v>
      </c>
      <c r="G52" s="103">
        <f>'Časti stavby'!G116</f>
        <v>872</v>
      </c>
      <c r="H52" s="88"/>
      <c r="I52" s="111"/>
    </row>
    <row r="53" spans="1:11" ht="25.5">
      <c r="A53" s="88"/>
      <c r="B53" s="100"/>
      <c r="C53" s="158" t="s">
        <v>209</v>
      </c>
      <c r="D53" s="164" t="s">
        <v>112</v>
      </c>
      <c r="E53" s="96" t="s">
        <v>113</v>
      </c>
      <c r="F53" s="159" t="s">
        <v>207</v>
      </c>
      <c r="G53" s="103">
        <f>'Časti stavby'!G64+'Časti stavby'!G117</f>
        <v>88</v>
      </c>
      <c r="H53" s="88"/>
      <c r="I53" s="111"/>
    </row>
    <row r="54" spans="1:11">
      <c r="A54" s="88"/>
      <c r="B54" s="100"/>
      <c r="C54" s="158" t="s">
        <v>209</v>
      </c>
      <c r="D54" s="164" t="s">
        <v>333</v>
      </c>
      <c r="E54" s="96" t="s">
        <v>334</v>
      </c>
      <c r="F54" s="159" t="s">
        <v>200</v>
      </c>
      <c r="G54" s="103">
        <f>'Časti stavby'!G18</f>
        <v>240</v>
      </c>
      <c r="H54" s="88"/>
      <c r="I54" s="111"/>
    </row>
    <row r="55" spans="1:11">
      <c r="A55" s="88"/>
      <c r="B55" s="100"/>
      <c r="C55" s="158" t="s">
        <v>209</v>
      </c>
      <c r="D55" s="164" t="s">
        <v>114</v>
      </c>
      <c r="E55" s="96" t="s">
        <v>115</v>
      </c>
      <c r="F55" s="159" t="s">
        <v>207</v>
      </c>
      <c r="G55" s="103">
        <f>'Časti stavby'!G65+'Časti stavby'!G118</f>
        <v>81.599999999999994</v>
      </c>
      <c r="H55" s="88"/>
      <c r="I55" s="111"/>
    </row>
    <row r="56" spans="1:11">
      <c r="A56" s="88"/>
      <c r="B56" s="100"/>
      <c r="C56" s="161" t="s">
        <v>209</v>
      </c>
      <c r="D56" s="101" t="s">
        <v>427</v>
      </c>
      <c r="E56" s="243" t="s">
        <v>422</v>
      </c>
      <c r="F56" s="159" t="s">
        <v>196</v>
      </c>
      <c r="G56" s="103">
        <f>'Časti stavby'!G19</f>
        <v>16</v>
      </c>
      <c r="H56" s="88"/>
      <c r="I56" s="111"/>
    </row>
    <row r="57" spans="1:11" ht="25.5">
      <c r="A57" s="88"/>
      <c r="B57" s="100"/>
      <c r="C57" s="161" t="s">
        <v>209</v>
      </c>
      <c r="D57" s="101">
        <v>22250465</v>
      </c>
      <c r="E57" s="243" t="s">
        <v>423</v>
      </c>
      <c r="F57" s="159" t="s">
        <v>196</v>
      </c>
      <c r="G57" s="103">
        <f>'Časti stavby'!G20</f>
        <v>24</v>
      </c>
      <c r="H57" s="88"/>
      <c r="I57" s="111"/>
    </row>
    <row r="58" spans="1:11" ht="36">
      <c r="A58" s="88"/>
      <c r="B58" s="110" t="s">
        <v>223</v>
      </c>
      <c r="C58" s="158" t="s">
        <v>210</v>
      </c>
      <c r="D58" s="207" t="s">
        <v>120</v>
      </c>
      <c r="E58" s="96" t="s">
        <v>121</v>
      </c>
      <c r="F58" s="159" t="s">
        <v>195</v>
      </c>
      <c r="G58" s="103">
        <f>'Časti stavby'!G66+'Časti stavby'!G119</f>
        <v>3.94</v>
      </c>
      <c r="H58" s="88"/>
      <c r="I58" s="111"/>
    </row>
    <row r="59" spans="1:11">
      <c r="A59" s="88"/>
      <c r="B59" s="108"/>
      <c r="C59" s="158" t="s">
        <v>210</v>
      </c>
      <c r="D59" s="101" t="s">
        <v>124</v>
      </c>
      <c r="E59" s="96" t="s">
        <v>125</v>
      </c>
      <c r="F59" s="159" t="s">
        <v>198</v>
      </c>
      <c r="G59" s="103">
        <f>'Časti stavby'!G67+'Časti stavby'!G120</f>
        <v>39.4</v>
      </c>
      <c r="H59" s="88"/>
      <c r="I59" s="111"/>
    </row>
    <row r="60" spans="1:11" ht="24">
      <c r="A60" s="88"/>
      <c r="B60" s="110" t="s">
        <v>314</v>
      </c>
      <c r="C60" s="158" t="s">
        <v>315</v>
      </c>
      <c r="D60" s="220">
        <v>91022701</v>
      </c>
      <c r="E60" s="208" t="s">
        <v>285</v>
      </c>
      <c r="F60" s="159" t="s">
        <v>196</v>
      </c>
      <c r="G60" s="103">
        <f>'Časti stavby'!G68+'Časti stavby'!G121</f>
        <v>2</v>
      </c>
      <c r="H60" s="88"/>
      <c r="I60" s="111"/>
    </row>
    <row r="61" spans="1:11" ht="25.5">
      <c r="A61" s="88"/>
      <c r="B61" s="110" t="s">
        <v>318</v>
      </c>
      <c r="C61" s="158" t="s">
        <v>287</v>
      </c>
      <c r="D61" s="221" t="s">
        <v>289</v>
      </c>
      <c r="E61" s="208" t="s">
        <v>290</v>
      </c>
      <c r="F61" s="159" t="s">
        <v>198</v>
      </c>
      <c r="G61" s="103">
        <f>'Časti stavby'!G69+'Časti stavby'!G122</f>
        <v>1234.05</v>
      </c>
      <c r="H61" s="88"/>
      <c r="I61" s="111"/>
      <c r="K61" s="154"/>
    </row>
    <row r="62" spans="1:11" ht="24">
      <c r="A62" s="88"/>
      <c r="B62" s="110" t="s">
        <v>316</v>
      </c>
      <c r="C62" s="158" t="s">
        <v>317</v>
      </c>
      <c r="D62" s="207" t="s">
        <v>294</v>
      </c>
      <c r="E62" s="96" t="s">
        <v>295</v>
      </c>
      <c r="F62" s="159" t="s">
        <v>198</v>
      </c>
      <c r="G62" s="103">
        <f>'Časti stavby'!G70+'Časti stavby'!G123</f>
        <v>836.48</v>
      </c>
      <c r="H62" s="88"/>
      <c r="I62" s="111"/>
    </row>
    <row r="63" spans="1:11" ht="25.5">
      <c r="A63" s="88"/>
      <c r="B63" s="193"/>
      <c r="C63" s="158" t="s">
        <v>317</v>
      </c>
      <c r="D63" s="207" t="s">
        <v>299</v>
      </c>
      <c r="E63" s="96" t="s">
        <v>300</v>
      </c>
      <c r="F63" s="159" t="s">
        <v>198</v>
      </c>
      <c r="G63" s="103">
        <f>'Časti stavby'!G71+'Časti stavby'!G124</f>
        <v>1234.05</v>
      </c>
      <c r="H63" s="88"/>
      <c r="I63" s="111"/>
    </row>
    <row r="64" spans="1:11">
      <c r="A64" s="88"/>
      <c r="B64" s="212"/>
      <c r="C64" s="158" t="s">
        <v>317</v>
      </c>
      <c r="D64" s="207" t="s">
        <v>394</v>
      </c>
      <c r="E64" s="96" t="s">
        <v>395</v>
      </c>
      <c r="F64" s="159" t="s">
        <v>198</v>
      </c>
      <c r="G64" s="103">
        <f>'Časti stavby'!G72</f>
        <v>480.05</v>
      </c>
      <c r="H64" s="88"/>
      <c r="I64" s="111"/>
    </row>
  </sheetData>
  <sheetProtection algorithmName="SHA-512" hashValue="4U4TgtZrrcFhkpSb9coICHyyYNlY658UDjjRNsfdoanRS/U0Rga/K5sXleCIhc2TEXJNUuKQK7dDkqDiLTVllg==" saltValue="XDnsEGOuXiHz0MZHE3CpJA==" spinCount="100000" sheet="1" objects="1" scenarios="1"/>
  <mergeCells count="1">
    <mergeCell ref="C3:D3"/>
  </mergeCells>
  <printOptions horizontalCentered="1"/>
  <pageMargins left="0.196850393700787" right="0.196850393700787" top="0.74803149606299202" bottom="0.74803149606299202" header="0.31496062992126" footer="0.31496062992126"/>
  <pageSetup paperSize="9" scale="84" orientation="landscape" r:id="rId1"/>
  <headerFooter>
    <oddHeader>&amp;LVýkaz výmer aktuálny k 29.11.2019
Oprava diaľničných mostov ev.č.D2-079 cez mlynský náhon Rudava a ev.č.D2-080 cez potok Rudava&amp;RSúpis prác</oddHeader>
    <oddFooter>Strana &amp;P z &amp;N</oddFooter>
  </headerFooter>
  <rowBreaks count="2" manualBreakCount="2">
    <brk id="28" max="9" man="1"/>
    <brk id="5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L179"/>
  <sheetViews>
    <sheetView tabSelected="1" view="pageLayout" zoomScaleNormal="100" zoomScaleSheetLayoutView="100" workbookViewId="0"/>
  </sheetViews>
  <sheetFormatPr defaultRowHeight="15"/>
  <cols>
    <col min="1" max="1" width="2.5703125" customWidth="1"/>
    <col min="2" max="2" width="31.85546875" customWidth="1"/>
    <col min="3" max="3" width="9" customWidth="1"/>
    <col min="4" max="4" width="10.85546875" customWidth="1"/>
    <col min="5" max="5" width="57.85546875" customWidth="1"/>
    <col min="6" max="6" width="7.7109375" customWidth="1"/>
    <col min="7" max="7" width="9.7109375" bestFit="1" customWidth="1"/>
    <col min="8" max="8" width="15.85546875" customWidth="1"/>
    <col min="9" max="9" width="18.85546875" customWidth="1"/>
  </cols>
  <sheetData>
    <row r="1" spans="1:12">
      <c r="A1" s="88"/>
      <c r="B1" s="88"/>
      <c r="C1" s="88"/>
      <c r="D1" s="88"/>
      <c r="E1" s="88"/>
      <c r="F1" s="88"/>
      <c r="G1" s="89"/>
      <c r="H1" s="89"/>
      <c r="I1" s="89"/>
    </row>
    <row r="2" spans="1:12">
      <c r="A2" s="88"/>
      <c r="B2" s="88"/>
      <c r="C2" s="88"/>
      <c r="D2" s="88"/>
      <c r="E2" s="88"/>
      <c r="F2" s="88"/>
      <c r="G2" s="89"/>
      <c r="H2" s="89"/>
      <c r="I2" s="89"/>
    </row>
    <row r="3" spans="1:12">
      <c r="A3" s="88"/>
      <c r="B3" s="90" t="s">
        <v>186</v>
      </c>
      <c r="C3" s="247" t="s">
        <v>187</v>
      </c>
      <c r="D3" s="247"/>
      <c r="E3" s="90" t="s">
        <v>188</v>
      </c>
      <c r="F3" s="91" t="s">
        <v>189</v>
      </c>
      <c r="G3" s="92" t="s">
        <v>190</v>
      </c>
      <c r="H3" s="93" t="s">
        <v>191</v>
      </c>
      <c r="I3" s="93" t="s">
        <v>192</v>
      </c>
    </row>
    <row r="4" spans="1:12" ht="24.75">
      <c r="A4" s="88"/>
      <c r="B4" s="205" t="s">
        <v>355</v>
      </c>
      <c r="C4" s="161" t="s">
        <v>193</v>
      </c>
      <c r="D4" s="101" t="s">
        <v>11</v>
      </c>
      <c r="E4" s="102" t="s">
        <v>12</v>
      </c>
      <c r="F4" s="159" t="s">
        <v>194</v>
      </c>
      <c r="G4" s="97">
        <f>'101-00'!H9</f>
        <v>0.05</v>
      </c>
      <c r="H4" s="206">
        <f>ROUND('Súpis prác'!I4,2)</f>
        <v>0</v>
      </c>
      <c r="I4" s="206">
        <f t="shared" ref="I4:I70" si="0">ROUND(H4,2)*G4</f>
        <v>0</v>
      </c>
      <c r="J4" s="154"/>
    </row>
    <row r="5" spans="1:12">
      <c r="A5" s="88"/>
      <c r="B5" s="205"/>
      <c r="C5" s="161" t="s">
        <v>193</v>
      </c>
      <c r="D5" s="101" t="s">
        <v>14</v>
      </c>
      <c r="E5" s="102" t="s">
        <v>15</v>
      </c>
      <c r="F5" s="159" t="s">
        <v>195</v>
      </c>
      <c r="G5" s="97">
        <f>'101-00'!H11</f>
        <v>576</v>
      </c>
      <c r="H5" s="206">
        <f>ROUND('Súpis prác'!I5,2)</f>
        <v>0</v>
      </c>
      <c r="I5" s="206">
        <f t="shared" si="0"/>
        <v>0</v>
      </c>
      <c r="J5" s="154"/>
      <c r="L5" s="245"/>
    </row>
    <row r="6" spans="1:12" ht="25.5">
      <c r="A6" s="88"/>
      <c r="B6" s="205"/>
      <c r="C6" s="161" t="s">
        <v>9</v>
      </c>
      <c r="D6" s="101" t="s">
        <v>17</v>
      </c>
      <c r="E6" s="102" t="s">
        <v>18</v>
      </c>
      <c r="F6" s="159" t="s">
        <v>19</v>
      </c>
      <c r="G6" s="97">
        <f>'101-00'!H13</f>
        <v>1</v>
      </c>
      <c r="H6" s="206">
        <f>ROUND('Súpis prác'!I6,2)</f>
        <v>0</v>
      </c>
      <c r="I6" s="206">
        <f t="shared" si="0"/>
        <v>0</v>
      </c>
      <c r="J6" s="154"/>
    </row>
    <row r="7" spans="1:12" ht="38.25">
      <c r="A7" s="88"/>
      <c r="B7" s="205"/>
      <c r="C7" s="161" t="s">
        <v>193</v>
      </c>
      <c r="D7" s="101" t="s">
        <v>20</v>
      </c>
      <c r="E7" s="102" t="s">
        <v>260</v>
      </c>
      <c r="F7" s="159" t="s">
        <v>196</v>
      </c>
      <c r="G7" s="97">
        <f>'101-00'!H15</f>
        <v>1</v>
      </c>
      <c r="H7" s="206">
        <f>ROUND('Súpis prác'!I7,2)</f>
        <v>0</v>
      </c>
      <c r="I7" s="206">
        <f t="shared" si="0"/>
        <v>0</v>
      </c>
      <c r="J7" s="154"/>
    </row>
    <row r="8" spans="1:12" ht="25.5">
      <c r="A8" s="88"/>
      <c r="B8" s="205"/>
      <c r="C8" s="161" t="s">
        <v>197</v>
      </c>
      <c r="D8" s="101" t="s">
        <v>201</v>
      </c>
      <c r="E8" s="102" t="s">
        <v>33</v>
      </c>
      <c r="F8" s="159" t="s">
        <v>200</v>
      </c>
      <c r="G8" s="97">
        <f>'101-00'!H19</f>
        <v>240</v>
      </c>
      <c r="H8" s="206">
        <f>ROUND('Súpis prác'!I15,2)</f>
        <v>0</v>
      </c>
      <c r="I8" s="206">
        <f t="shared" si="0"/>
        <v>0</v>
      </c>
      <c r="J8" s="154"/>
    </row>
    <row r="9" spans="1:12">
      <c r="A9" s="88"/>
      <c r="B9" s="205"/>
      <c r="C9" s="161" t="s">
        <v>197</v>
      </c>
      <c r="D9" s="101" t="s">
        <v>202</v>
      </c>
      <c r="E9" s="102" t="s">
        <v>35</v>
      </c>
      <c r="F9" s="159" t="s">
        <v>194</v>
      </c>
      <c r="G9" s="97">
        <f>'101-00'!H22</f>
        <v>10.130000000000001</v>
      </c>
      <c r="H9" s="206">
        <f>ROUND('Súpis prác'!I16,2)</f>
        <v>0</v>
      </c>
      <c r="I9" s="206">
        <f t="shared" si="0"/>
        <v>0</v>
      </c>
      <c r="J9" s="154"/>
    </row>
    <row r="10" spans="1:12">
      <c r="A10" s="88"/>
      <c r="B10" s="205"/>
      <c r="C10" s="161" t="s">
        <v>204</v>
      </c>
      <c r="D10" s="101" t="s">
        <v>43</v>
      </c>
      <c r="E10" s="102" t="s">
        <v>44</v>
      </c>
      <c r="F10" s="159" t="s">
        <v>195</v>
      </c>
      <c r="G10" s="97">
        <f>'101-00'!H31</f>
        <v>576</v>
      </c>
      <c r="H10" s="206">
        <f>ROUND('Súpis prác'!I18,2)</f>
        <v>0</v>
      </c>
      <c r="I10" s="206">
        <f t="shared" si="0"/>
        <v>0</v>
      </c>
      <c r="J10" s="154"/>
    </row>
    <row r="11" spans="1:12">
      <c r="A11" s="88"/>
      <c r="B11" s="205"/>
      <c r="C11" s="161" t="s">
        <v>204</v>
      </c>
      <c r="D11" s="101" t="s">
        <v>47</v>
      </c>
      <c r="E11" s="102" t="s">
        <v>48</v>
      </c>
      <c r="F11" s="159" t="s">
        <v>195</v>
      </c>
      <c r="G11" s="97">
        <f>'101-00'!H35</f>
        <v>576</v>
      </c>
      <c r="H11" s="206">
        <f>ROUND('Súpis prác'!I19,2)</f>
        <v>0</v>
      </c>
      <c r="I11" s="206">
        <f t="shared" si="0"/>
        <v>0</v>
      </c>
      <c r="J11" s="154"/>
    </row>
    <row r="12" spans="1:12">
      <c r="A12" s="88"/>
      <c r="B12" s="205"/>
      <c r="C12" s="161" t="s">
        <v>204</v>
      </c>
      <c r="D12" s="101" t="s">
        <v>51</v>
      </c>
      <c r="E12" s="102" t="s">
        <v>52</v>
      </c>
      <c r="F12" s="159" t="s">
        <v>195</v>
      </c>
      <c r="G12" s="97">
        <f>'101-00'!H38</f>
        <v>576</v>
      </c>
      <c r="H12" s="206">
        <f>ROUND('Súpis prác'!I21,2)</f>
        <v>0</v>
      </c>
      <c r="I12" s="206">
        <f t="shared" si="0"/>
        <v>0</v>
      </c>
      <c r="J12" s="154"/>
    </row>
    <row r="13" spans="1:12">
      <c r="A13" s="88"/>
      <c r="B13" s="205"/>
      <c r="C13" s="161" t="s">
        <v>321</v>
      </c>
      <c r="D13" s="101" t="s">
        <v>322</v>
      </c>
      <c r="E13" s="102" t="s">
        <v>323</v>
      </c>
      <c r="F13" s="159" t="s">
        <v>195</v>
      </c>
      <c r="G13" s="97">
        <f>'101-00'!H43</f>
        <v>240</v>
      </c>
      <c r="H13" s="206">
        <f>ROUND('Súpis prác'!I44,2)</f>
        <v>0</v>
      </c>
      <c r="I13" s="206">
        <f t="shared" si="0"/>
        <v>0</v>
      </c>
      <c r="J13" s="154"/>
    </row>
    <row r="14" spans="1:12" ht="25.5">
      <c r="A14" s="88"/>
      <c r="B14" s="205"/>
      <c r="C14" s="161" t="s">
        <v>321</v>
      </c>
      <c r="D14" s="101" t="s">
        <v>324</v>
      </c>
      <c r="E14" s="102" t="s">
        <v>325</v>
      </c>
      <c r="F14" s="159" t="s">
        <v>195</v>
      </c>
      <c r="G14" s="97">
        <f>'101-00'!H46</f>
        <v>163.19999999999999</v>
      </c>
      <c r="H14" s="206">
        <f>ROUND('Súpis prác'!I45,2)</f>
        <v>0</v>
      </c>
      <c r="I14" s="206">
        <f t="shared" si="0"/>
        <v>0</v>
      </c>
      <c r="J14" s="154"/>
    </row>
    <row r="15" spans="1:12" ht="25.5">
      <c r="A15" s="88"/>
      <c r="B15" s="205"/>
      <c r="C15" s="161" t="s">
        <v>326</v>
      </c>
      <c r="D15" s="101" t="s">
        <v>327</v>
      </c>
      <c r="E15" s="102" t="s">
        <v>328</v>
      </c>
      <c r="F15" s="159" t="s">
        <v>198</v>
      </c>
      <c r="G15" s="97">
        <f>'101-00'!H52</f>
        <v>960</v>
      </c>
      <c r="H15" s="206">
        <f>ROUND('Súpis prác'!I46,2)</f>
        <v>0</v>
      </c>
      <c r="I15" s="206">
        <f t="shared" si="0"/>
        <v>0</v>
      </c>
      <c r="J15" s="154"/>
      <c r="K15" s="154"/>
    </row>
    <row r="16" spans="1:12" ht="25.5">
      <c r="A16" s="88"/>
      <c r="B16" s="205"/>
      <c r="C16" s="161" t="s">
        <v>326</v>
      </c>
      <c r="D16" s="101" t="s">
        <v>329</v>
      </c>
      <c r="E16" s="102" t="s">
        <v>330</v>
      </c>
      <c r="F16" s="159" t="s">
        <v>198</v>
      </c>
      <c r="G16" s="97">
        <f>'101-00'!H55</f>
        <v>1920</v>
      </c>
      <c r="H16" s="206">
        <f>ROUND('Súpis prác'!I47,2)</f>
        <v>0</v>
      </c>
      <c r="I16" s="206">
        <f t="shared" si="0"/>
        <v>0</v>
      </c>
      <c r="J16" s="154"/>
    </row>
    <row r="17" spans="1:10" ht="25.5">
      <c r="A17" s="88"/>
      <c r="B17" s="205"/>
      <c r="C17" s="161" t="s">
        <v>209</v>
      </c>
      <c r="D17" s="101" t="s">
        <v>331</v>
      </c>
      <c r="E17" s="102" t="s">
        <v>332</v>
      </c>
      <c r="F17" s="159" t="s">
        <v>195</v>
      </c>
      <c r="G17" s="97">
        <f>'101-00'!H61</f>
        <v>172.8</v>
      </c>
      <c r="H17" s="206">
        <f>ROUND('Súpis prác'!I48,2)</f>
        <v>0</v>
      </c>
      <c r="I17" s="206">
        <f t="shared" si="0"/>
        <v>0</v>
      </c>
      <c r="J17" s="154"/>
    </row>
    <row r="18" spans="1:10">
      <c r="A18" s="88"/>
      <c r="B18" s="205"/>
      <c r="C18" s="161" t="s">
        <v>209</v>
      </c>
      <c r="D18" s="101" t="s">
        <v>333</v>
      </c>
      <c r="E18" s="102" t="s">
        <v>334</v>
      </c>
      <c r="F18" s="159" t="s">
        <v>200</v>
      </c>
      <c r="G18" s="97">
        <f>'101-00'!H68</f>
        <v>240</v>
      </c>
      <c r="H18" s="206">
        <f>ROUND('Súpis prác'!I54,2)</f>
        <v>0</v>
      </c>
      <c r="I18" s="206">
        <f t="shared" si="0"/>
        <v>0</v>
      </c>
      <c r="J18" s="154"/>
    </row>
    <row r="19" spans="1:10">
      <c r="A19" s="88"/>
      <c r="B19" s="242"/>
      <c r="C19" s="161" t="s">
        <v>209</v>
      </c>
      <c r="D19" s="101" t="s">
        <v>427</v>
      </c>
      <c r="E19" s="243" t="s">
        <v>422</v>
      </c>
      <c r="F19" s="159" t="s">
        <v>196</v>
      </c>
      <c r="G19" s="244">
        <f>'101-00'!H71</f>
        <v>16</v>
      </c>
      <c r="H19" s="206">
        <f>ROUND('Súpis prác'!I56,2)</f>
        <v>0</v>
      </c>
      <c r="I19" s="206">
        <f t="shared" si="0"/>
        <v>0</v>
      </c>
      <c r="J19" s="154"/>
    </row>
    <row r="20" spans="1:10" ht="25.5">
      <c r="A20" s="88"/>
      <c r="B20" s="242"/>
      <c r="C20" s="161" t="s">
        <v>209</v>
      </c>
      <c r="D20" s="101">
        <v>22250465</v>
      </c>
      <c r="E20" s="243" t="s">
        <v>423</v>
      </c>
      <c r="F20" s="159" t="s">
        <v>196</v>
      </c>
      <c r="G20" s="244">
        <f>'101-00'!H76</f>
        <v>24</v>
      </c>
      <c r="H20" s="206">
        <f>ROUND('Súpis prác'!I57,2)</f>
        <v>0</v>
      </c>
      <c r="I20" s="206">
        <f t="shared" si="0"/>
        <v>0</v>
      </c>
      <c r="J20" s="154"/>
    </row>
    <row r="21" spans="1:10">
      <c r="A21" s="88"/>
      <c r="B21" s="251" t="s">
        <v>356</v>
      </c>
      <c r="C21" s="252"/>
      <c r="D21" s="252"/>
      <c r="E21" s="252"/>
      <c r="F21" s="252"/>
      <c r="G21" s="252"/>
      <c r="H21" s="254"/>
      <c r="I21" s="222">
        <f>SUM(I4:I20)</f>
        <v>0</v>
      </c>
      <c r="J21" s="154"/>
    </row>
    <row r="22" spans="1:10" ht="24.75">
      <c r="A22" s="88"/>
      <c r="B22" s="205" t="s">
        <v>400</v>
      </c>
      <c r="C22" s="161" t="s">
        <v>193</v>
      </c>
      <c r="D22" s="101" t="s">
        <v>11</v>
      </c>
      <c r="E22" s="102" t="s">
        <v>12</v>
      </c>
      <c r="F22" s="159" t="s">
        <v>194</v>
      </c>
      <c r="G22" s="97">
        <f>'201-00'!H9</f>
        <v>644.26</v>
      </c>
      <c r="H22" s="219">
        <f>ROUND('Súpis prác'!I4,2)</f>
        <v>0</v>
      </c>
      <c r="I22" s="219">
        <f t="shared" si="0"/>
        <v>0</v>
      </c>
      <c r="J22" s="154"/>
    </row>
    <row r="23" spans="1:10">
      <c r="A23" s="88"/>
      <c r="B23" s="205"/>
      <c r="C23" s="161" t="s">
        <v>193</v>
      </c>
      <c r="D23" s="101" t="s">
        <v>14</v>
      </c>
      <c r="E23" s="102" t="s">
        <v>15</v>
      </c>
      <c r="F23" s="159" t="s">
        <v>195</v>
      </c>
      <c r="G23" s="97">
        <f>'201-00'!H11</f>
        <v>192.4</v>
      </c>
      <c r="H23" s="219">
        <f>ROUND('Súpis prác'!I5,2)</f>
        <v>0</v>
      </c>
      <c r="I23" s="219">
        <f t="shared" si="0"/>
        <v>0</v>
      </c>
      <c r="J23" s="154"/>
    </row>
    <row r="24" spans="1:10" ht="25.5">
      <c r="A24" s="88"/>
      <c r="B24" s="205"/>
      <c r="C24" s="161" t="s">
        <v>9</v>
      </c>
      <c r="D24" s="101" t="s">
        <v>17</v>
      </c>
      <c r="E24" s="102" t="s">
        <v>18</v>
      </c>
      <c r="F24" s="159" t="s">
        <v>19</v>
      </c>
      <c r="G24" s="97">
        <f>'201-00'!H13</f>
        <v>1</v>
      </c>
      <c r="H24" s="219">
        <f>ROUND('Súpis prác'!I6,2)</f>
        <v>0</v>
      </c>
      <c r="I24" s="219">
        <f t="shared" si="0"/>
        <v>0</v>
      </c>
      <c r="J24" s="154"/>
    </row>
    <row r="25" spans="1:10" ht="38.25">
      <c r="A25" s="88"/>
      <c r="B25" s="205"/>
      <c r="C25" s="161" t="s">
        <v>193</v>
      </c>
      <c r="D25" s="101" t="s">
        <v>20</v>
      </c>
      <c r="E25" s="102" t="s">
        <v>260</v>
      </c>
      <c r="F25" s="159" t="s">
        <v>196</v>
      </c>
      <c r="G25" s="97">
        <f>'201-00'!H15</f>
        <v>1</v>
      </c>
      <c r="H25" s="219">
        <f>ROUND('Súpis prác'!I7,2)</f>
        <v>0</v>
      </c>
      <c r="I25" s="219">
        <f t="shared" si="0"/>
        <v>0</v>
      </c>
      <c r="J25" s="154"/>
    </row>
    <row r="26" spans="1:10" ht="25.5">
      <c r="A26" s="88"/>
      <c r="B26" s="205"/>
      <c r="C26" s="161" t="s">
        <v>197</v>
      </c>
      <c r="D26" s="101" t="s">
        <v>24</v>
      </c>
      <c r="E26" s="102" t="s">
        <v>25</v>
      </c>
      <c r="F26" s="159" t="s">
        <v>195</v>
      </c>
      <c r="G26" s="97">
        <f>'201-00'!H19</f>
        <v>12.31</v>
      </c>
      <c r="H26" s="219">
        <f>ROUND('Súpis prác'!I8,2)</f>
        <v>0</v>
      </c>
      <c r="I26" s="219">
        <f t="shared" si="0"/>
        <v>0</v>
      </c>
      <c r="J26" s="154"/>
    </row>
    <row r="27" spans="1:10" ht="25.5">
      <c r="A27" s="88"/>
      <c r="B27" s="205"/>
      <c r="C27" s="161" t="s">
        <v>197</v>
      </c>
      <c r="D27" s="101" t="s">
        <v>26</v>
      </c>
      <c r="E27" s="102" t="s">
        <v>27</v>
      </c>
      <c r="F27" s="159" t="s">
        <v>195</v>
      </c>
      <c r="G27" s="97">
        <f>'201-00'!H22</f>
        <v>12.59</v>
      </c>
      <c r="H27" s="219">
        <f>ROUND('Súpis prác'!I9,2)</f>
        <v>0</v>
      </c>
      <c r="I27" s="219">
        <f t="shared" si="0"/>
        <v>0</v>
      </c>
      <c r="J27" s="154"/>
    </row>
    <row r="28" spans="1:10">
      <c r="A28" s="88"/>
      <c r="B28" s="205"/>
      <c r="C28" s="161" t="s">
        <v>197</v>
      </c>
      <c r="D28" s="101" t="s">
        <v>137</v>
      </c>
      <c r="E28" s="102" t="s">
        <v>138</v>
      </c>
      <c r="F28" s="159" t="s">
        <v>198</v>
      </c>
      <c r="G28" s="97">
        <f>'201-00'!H25</f>
        <v>251.75</v>
      </c>
      <c r="H28" s="219">
        <f>ROUND('Súpis prác'!I10,2)</f>
        <v>0</v>
      </c>
      <c r="I28" s="219">
        <f t="shared" si="0"/>
        <v>0</v>
      </c>
      <c r="J28" s="154"/>
    </row>
    <row r="29" spans="1:10">
      <c r="A29" s="88"/>
      <c r="B29" s="205"/>
      <c r="C29" s="161" t="s">
        <v>197</v>
      </c>
      <c r="D29" s="101" t="s">
        <v>199</v>
      </c>
      <c r="E29" s="102" t="s">
        <v>30</v>
      </c>
      <c r="F29" s="159" t="s">
        <v>198</v>
      </c>
      <c r="G29" s="97">
        <f>'201-00'!H28</f>
        <v>583</v>
      </c>
      <c r="H29" s="219">
        <f>ROUND('Súpis prác'!I12,2)</f>
        <v>0</v>
      </c>
      <c r="I29" s="219">
        <f t="shared" si="0"/>
        <v>0</v>
      </c>
      <c r="J29" s="154"/>
    </row>
    <row r="30" spans="1:10" ht="25.5">
      <c r="A30" s="88"/>
      <c r="B30" s="205"/>
      <c r="C30" s="161" t="s">
        <v>197</v>
      </c>
      <c r="D30" s="101" t="s">
        <v>132</v>
      </c>
      <c r="E30" s="102" t="s">
        <v>133</v>
      </c>
      <c r="F30" s="159" t="s">
        <v>198</v>
      </c>
      <c r="G30" s="97">
        <f>'201-00'!H32</f>
        <v>251.75</v>
      </c>
      <c r="H30" s="219">
        <f>ROUND('Súpis prác'!I13,2)</f>
        <v>0</v>
      </c>
      <c r="I30" s="219">
        <f t="shared" si="0"/>
        <v>0</v>
      </c>
      <c r="J30" s="154"/>
    </row>
    <row r="31" spans="1:10" ht="25.5">
      <c r="A31" s="88"/>
      <c r="B31" s="205"/>
      <c r="C31" s="161" t="s">
        <v>197</v>
      </c>
      <c r="D31" s="101" t="s">
        <v>363</v>
      </c>
      <c r="E31" s="102" t="s">
        <v>364</v>
      </c>
      <c r="F31" s="159" t="s">
        <v>198</v>
      </c>
      <c r="G31" s="97">
        <f>'201-00'!H36</f>
        <v>1166</v>
      </c>
      <c r="H31" s="219">
        <f>ROUND('Súpis prác'!I14,2)</f>
        <v>0</v>
      </c>
      <c r="I31" s="219">
        <f t="shared" si="0"/>
        <v>0</v>
      </c>
      <c r="J31" s="154"/>
    </row>
    <row r="32" spans="1:10" ht="25.5">
      <c r="A32" s="88"/>
      <c r="B32" s="205"/>
      <c r="C32" s="161" t="s">
        <v>197</v>
      </c>
      <c r="D32" s="101" t="s">
        <v>201</v>
      </c>
      <c r="E32" s="102" t="s">
        <v>33</v>
      </c>
      <c r="F32" s="159" t="s">
        <v>200</v>
      </c>
      <c r="G32" s="97">
        <f>'201-00'!H42</f>
        <v>35.119999999999997</v>
      </c>
      <c r="H32" s="219">
        <f>ROUND('Súpis prác'!I15,2)</f>
        <v>0</v>
      </c>
      <c r="I32" s="219">
        <f t="shared" si="0"/>
        <v>0</v>
      </c>
      <c r="J32" s="154"/>
    </row>
    <row r="33" spans="1:11">
      <c r="A33" s="88"/>
      <c r="B33" s="205"/>
      <c r="C33" s="161" t="s">
        <v>197</v>
      </c>
      <c r="D33" s="101" t="s">
        <v>202</v>
      </c>
      <c r="E33" s="102" t="s">
        <v>35</v>
      </c>
      <c r="F33" s="159" t="s">
        <v>194</v>
      </c>
      <c r="G33" s="97">
        <f>'201-00'!H45</f>
        <v>645.74</v>
      </c>
      <c r="H33" s="219">
        <f>ROUND('Súpis prác'!I16,2)</f>
        <v>0</v>
      </c>
      <c r="I33" s="219">
        <f t="shared" si="0"/>
        <v>0</v>
      </c>
      <c r="J33" s="154"/>
    </row>
    <row r="34" spans="1:11" ht="25.5">
      <c r="A34" s="88"/>
      <c r="B34" s="205"/>
      <c r="C34" s="161" t="s">
        <v>197</v>
      </c>
      <c r="D34" s="101" t="s">
        <v>37</v>
      </c>
      <c r="E34" s="102" t="s">
        <v>38</v>
      </c>
      <c r="F34" s="159" t="s">
        <v>198</v>
      </c>
      <c r="G34" s="97">
        <f>'201-00'!H59</f>
        <v>827.5</v>
      </c>
      <c r="H34" s="219">
        <f>ROUND('Súpis prác'!I17,2)</f>
        <v>0</v>
      </c>
      <c r="I34" s="219">
        <f t="shared" si="0"/>
        <v>0</v>
      </c>
      <c r="J34" s="154"/>
    </row>
    <row r="35" spans="1:11">
      <c r="A35" s="88"/>
      <c r="B35" s="205"/>
      <c r="C35" s="161" t="s">
        <v>204</v>
      </c>
      <c r="D35" s="101" t="s">
        <v>43</v>
      </c>
      <c r="E35" s="102" t="s">
        <v>44</v>
      </c>
      <c r="F35" s="159" t="s">
        <v>195</v>
      </c>
      <c r="G35" s="97">
        <f>'201-00'!H74</f>
        <v>192.4</v>
      </c>
      <c r="H35" s="219">
        <f>ROUND('Súpis prác'!I18,2)</f>
        <v>0</v>
      </c>
      <c r="I35" s="219">
        <f t="shared" si="0"/>
        <v>0</v>
      </c>
      <c r="J35" s="154"/>
    </row>
    <row r="36" spans="1:11">
      <c r="A36" s="88"/>
      <c r="B36" s="205"/>
      <c r="C36" s="161" t="s">
        <v>204</v>
      </c>
      <c r="D36" s="101" t="s">
        <v>47</v>
      </c>
      <c r="E36" s="102" t="s">
        <v>48</v>
      </c>
      <c r="F36" s="159" t="s">
        <v>195</v>
      </c>
      <c r="G36" s="97">
        <f>'201-00'!H78</f>
        <v>192.4</v>
      </c>
      <c r="H36" s="219">
        <f>ROUND('Súpis prác'!I19,2)</f>
        <v>0</v>
      </c>
      <c r="I36" s="219">
        <f t="shared" si="0"/>
        <v>0</v>
      </c>
      <c r="J36" s="154"/>
    </row>
    <row r="37" spans="1:11">
      <c r="A37" s="88"/>
      <c r="B37" s="205"/>
      <c r="C37" s="161" t="s">
        <v>204</v>
      </c>
      <c r="D37" s="101" t="s">
        <v>306</v>
      </c>
      <c r="E37" s="102" t="s">
        <v>307</v>
      </c>
      <c r="F37" s="159" t="s">
        <v>195</v>
      </c>
      <c r="G37" s="97">
        <f>'201-00'!H81</f>
        <v>115.44</v>
      </c>
      <c r="H37" s="219">
        <f>ROUND('Súpis prác'!I20,2)</f>
        <v>0</v>
      </c>
      <c r="I37" s="219">
        <f t="shared" si="0"/>
        <v>0</v>
      </c>
      <c r="J37" s="154"/>
    </row>
    <row r="38" spans="1:11">
      <c r="A38" s="88"/>
      <c r="B38" s="205"/>
      <c r="C38" s="161" t="s">
        <v>204</v>
      </c>
      <c r="D38" s="101" t="s">
        <v>51</v>
      </c>
      <c r="E38" s="102" t="s">
        <v>52</v>
      </c>
      <c r="F38" s="159" t="s">
        <v>195</v>
      </c>
      <c r="G38" s="97">
        <f>'201-00'!H85</f>
        <v>192.4</v>
      </c>
      <c r="H38" s="219">
        <f>ROUND('Súpis prác'!I21,2)</f>
        <v>0</v>
      </c>
      <c r="I38" s="219">
        <f t="shared" si="0"/>
        <v>0</v>
      </c>
      <c r="J38" s="154"/>
      <c r="K38" s="154"/>
    </row>
    <row r="39" spans="1:11" ht="25.5">
      <c r="A39" s="88"/>
      <c r="B39" s="205"/>
      <c r="C39" s="161" t="s">
        <v>204</v>
      </c>
      <c r="D39" s="101" t="s">
        <v>418</v>
      </c>
      <c r="E39" s="102" t="s">
        <v>419</v>
      </c>
      <c r="F39" s="159" t="s">
        <v>198</v>
      </c>
      <c r="G39" s="97">
        <f>'201-00'!H88</f>
        <v>230</v>
      </c>
      <c r="H39" s="219">
        <f>ROUND('Súpis prác'!I22,2)</f>
        <v>0</v>
      </c>
      <c r="I39" s="219">
        <f t="shared" si="0"/>
        <v>0</v>
      </c>
      <c r="J39" s="154"/>
      <c r="K39" s="154"/>
    </row>
    <row r="40" spans="1:11" ht="25.5">
      <c r="A40" s="88"/>
      <c r="B40" s="205"/>
      <c r="C40" s="161" t="s">
        <v>206</v>
      </c>
      <c r="D40" s="101">
        <v>11050602</v>
      </c>
      <c r="E40" s="102" t="s">
        <v>58</v>
      </c>
      <c r="F40" s="159" t="s">
        <v>195</v>
      </c>
      <c r="G40" s="97">
        <f>'201-00'!H93</f>
        <v>16.7</v>
      </c>
      <c r="H40" s="219">
        <f>ROUND('Súpis prác'!I23,2)</f>
        <v>0</v>
      </c>
      <c r="I40" s="219">
        <f t="shared" si="0"/>
        <v>0</v>
      </c>
      <c r="J40" s="154"/>
      <c r="K40" s="154"/>
    </row>
    <row r="41" spans="1:11">
      <c r="A41" s="88"/>
      <c r="B41" s="205"/>
      <c r="C41" s="161" t="s">
        <v>206</v>
      </c>
      <c r="D41" s="101" t="s">
        <v>160</v>
      </c>
      <c r="E41" s="102" t="s">
        <v>161</v>
      </c>
      <c r="F41" s="159" t="s">
        <v>198</v>
      </c>
      <c r="G41" s="97">
        <f>'201-00'!H97</f>
        <v>49.32</v>
      </c>
      <c r="H41" s="219">
        <f>ROUND('Súpis prác'!I24,2)</f>
        <v>0</v>
      </c>
      <c r="I41" s="219">
        <f t="shared" si="0"/>
        <v>0</v>
      </c>
      <c r="J41" s="154"/>
    </row>
    <row r="42" spans="1:11" ht="25.5">
      <c r="A42" s="88"/>
      <c r="B42" s="205"/>
      <c r="C42" s="161" t="s">
        <v>55</v>
      </c>
      <c r="D42" s="101">
        <v>11050621</v>
      </c>
      <c r="E42" s="102" t="s">
        <v>63</v>
      </c>
      <c r="F42" s="159" t="s">
        <v>194</v>
      </c>
      <c r="G42" s="97">
        <f>'201-00'!H101</f>
        <v>1.93</v>
      </c>
      <c r="H42" s="219">
        <f>ROUND('Súpis prác'!I25,2)</f>
        <v>0</v>
      </c>
      <c r="I42" s="219">
        <f t="shared" si="0"/>
        <v>0</v>
      </c>
      <c r="J42" s="154"/>
    </row>
    <row r="43" spans="1:11" ht="25.5">
      <c r="A43" s="88"/>
      <c r="B43" s="205"/>
      <c r="C43" s="161" t="s">
        <v>55</v>
      </c>
      <c r="D43" s="101" t="s">
        <v>66</v>
      </c>
      <c r="E43" s="102" t="s">
        <v>67</v>
      </c>
      <c r="F43" s="159" t="s">
        <v>195</v>
      </c>
      <c r="G43" s="97">
        <f>'201-00'!H105</f>
        <v>157.68</v>
      </c>
      <c r="H43" s="219">
        <f>ROUND('Súpis prác'!I26,2)</f>
        <v>0</v>
      </c>
      <c r="I43" s="219">
        <f t="shared" si="0"/>
        <v>0</v>
      </c>
      <c r="J43" s="154"/>
    </row>
    <row r="44" spans="1:11" ht="25.5">
      <c r="A44" s="88"/>
      <c r="B44" s="205"/>
      <c r="C44" s="161" t="s">
        <v>55</v>
      </c>
      <c r="D44" s="101" t="s">
        <v>146</v>
      </c>
      <c r="E44" s="102" t="s">
        <v>147</v>
      </c>
      <c r="F44" s="159" t="s">
        <v>198</v>
      </c>
      <c r="G44" s="97">
        <f>'201-00'!H113</f>
        <v>100.08</v>
      </c>
      <c r="H44" s="219">
        <f>ROUND('Súpis prác'!I27,2)</f>
        <v>0</v>
      </c>
      <c r="I44" s="219">
        <f t="shared" si="0"/>
        <v>0</v>
      </c>
      <c r="J44" s="154"/>
    </row>
    <row r="45" spans="1:11" ht="25.5">
      <c r="A45" s="88"/>
      <c r="B45" s="205"/>
      <c r="C45" s="161" t="s">
        <v>55</v>
      </c>
      <c r="D45" s="101" t="s">
        <v>73</v>
      </c>
      <c r="E45" s="102" t="s">
        <v>74</v>
      </c>
      <c r="F45" s="159" t="s">
        <v>194</v>
      </c>
      <c r="G45" s="97">
        <f>'201-00'!H119</f>
        <v>13.34</v>
      </c>
      <c r="H45" s="219">
        <f>ROUND('Súpis prác'!I28,2)</f>
        <v>0</v>
      </c>
      <c r="I45" s="219">
        <f t="shared" si="0"/>
        <v>0</v>
      </c>
      <c r="J45" s="154"/>
    </row>
    <row r="46" spans="1:11" ht="25.5">
      <c r="A46" s="88"/>
      <c r="B46" s="205"/>
      <c r="C46" s="161" t="s">
        <v>55</v>
      </c>
      <c r="D46" s="101" t="s">
        <v>77</v>
      </c>
      <c r="E46" s="102" t="s">
        <v>78</v>
      </c>
      <c r="F46" s="159" t="s">
        <v>195</v>
      </c>
      <c r="G46" s="97">
        <f>'201-00'!H125</f>
        <v>57.91</v>
      </c>
      <c r="H46" s="219">
        <f>ROUND('Súpis prác'!I29,2)</f>
        <v>0</v>
      </c>
      <c r="I46" s="219">
        <f t="shared" si="0"/>
        <v>0</v>
      </c>
      <c r="J46" s="154"/>
    </row>
    <row r="47" spans="1:11" ht="25.5">
      <c r="A47" s="88"/>
      <c r="B47" s="205"/>
      <c r="C47" s="161" t="s">
        <v>55</v>
      </c>
      <c r="D47" s="101" t="s">
        <v>171</v>
      </c>
      <c r="E47" s="102" t="s">
        <v>172</v>
      </c>
      <c r="F47" s="159" t="s">
        <v>198</v>
      </c>
      <c r="G47" s="97">
        <f>'201-00'!H131</f>
        <v>9.99</v>
      </c>
      <c r="H47" s="219">
        <f>ROUND('Súpis prác'!I30,2)</f>
        <v>0</v>
      </c>
      <c r="I47" s="219">
        <f t="shared" si="0"/>
        <v>0</v>
      </c>
      <c r="J47" s="154"/>
    </row>
    <row r="48" spans="1:11" ht="25.5">
      <c r="A48" s="88"/>
      <c r="B48" s="205"/>
      <c r="C48" s="161" t="s">
        <v>55</v>
      </c>
      <c r="D48" s="101" t="s">
        <v>79</v>
      </c>
      <c r="E48" s="102" t="s">
        <v>80</v>
      </c>
      <c r="F48" s="159" t="s">
        <v>194</v>
      </c>
      <c r="G48" s="97">
        <f>'201-00'!H137</f>
        <v>5.3</v>
      </c>
      <c r="H48" s="219">
        <f>ROUND('Súpis prác'!I31,2)</f>
        <v>0</v>
      </c>
      <c r="I48" s="219">
        <f t="shared" si="0"/>
        <v>0</v>
      </c>
      <c r="J48" s="154"/>
    </row>
    <row r="49" spans="1:10">
      <c r="A49" s="88"/>
      <c r="B49" s="205"/>
      <c r="C49" s="161" t="s">
        <v>55</v>
      </c>
      <c r="D49" s="101" t="s">
        <v>158</v>
      </c>
      <c r="E49" s="102" t="s">
        <v>159</v>
      </c>
      <c r="F49" s="159" t="s">
        <v>213</v>
      </c>
      <c r="G49" s="97">
        <f>'201-00'!H141</f>
        <v>43.46</v>
      </c>
      <c r="H49" s="219">
        <f>ROUND('Súpis prác'!I32,2)</f>
        <v>0</v>
      </c>
      <c r="I49" s="219">
        <f t="shared" si="0"/>
        <v>0</v>
      </c>
      <c r="J49" s="154"/>
    </row>
    <row r="50" spans="1:10" ht="25.5">
      <c r="A50" s="88"/>
      <c r="B50" s="205"/>
      <c r="C50" s="161" t="s">
        <v>55</v>
      </c>
      <c r="D50" s="101" t="s">
        <v>83</v>
      </c>
      <c r="E50" s="102" t="s">
        <v>84</v>
      </c>
      <c r="F50" s="159" t="s">
        <v>195</v>
      </c>
      <c r="G50" s="97">
        <f>'201-00'!H144</f>
        <v>89.09</v>
      </c>
      <c r="H50" s="219">
        <f>ROUND('Súpis prác'!I33,2)</f>
        <v>0</v>
      </c>
      <c r="I50" s="219">
        <f t="shared" si="0"/>
        <v>0</v>
      </c>
      <c r="J50" s="154"/>
    </row>
    <row r="51" spans="1:10">
      <c r="A51" s="88"/>
      <c r="B51" s="205"/>
      <c r="C51" s="161" t="s">
        <v>55</v>
      </c>
      <c r="D51" s="101">
        <v>21250106</v>
      </c>
      <c r="E51" s="102" t="s">
        <v>86</v>
      </c>
      <c r="F51" s="159" t="s">
        <v>207</v>
      </c>
      <c r="G51" s="97">
        <f>'201-00'!H147</f>
        <v>35.1</v>
      </c>
      <c r="H51" s="219">
        <f>ROUND('Súpis prác'!I34,2)</f>
        <v>0</v>
      </c>
      <c r="I51" s="219">
        <f t="shared" si="0"/>
        <v>0</v>
      </c>
      <c r="J51" s="154"/>
    </row>
    <row r="52" spans="1:10" ht="25.5">
      <c r="A52" s="88"/>
      <c r="B52" s="205"/>
      <c r="C52" s="161" t="s">
        <v>55</v>
      </c>
      <c r="D52" s="101" t="s">
        <v>179</v>
      </c>
      <c r="E52" s="102" t="s">
        <v>180</v>
      </c>
      <c r="F52" s="159" t="s">
        <v>214</v>
      </c>
      <c r="G52" s="97">
        <f>'201-00'!H155</f>
        <v>28.5</v>
      </c>
      <c r="H52" s="219">
        <f>ROUND('Súpis prác'!I36,2)</f>
        <v>0</v>
      </c>
      <c r="I52" s="219">
        <f t="shared" si="0"/>
        <v>0</v>
      </c>
      <c r="J52" s="154"/>
    </row>
    <row r="53" spans="1:10" ht="25.5">
      <c r="A53" s="88"/>
      <c r="B53" s="205"/>
      <c r="C53" s="161" t="s">
        <v>55</v>
      </c>
      <c r="D53" s="101" t="s">
        <v>152</v>
      </c>
      <c r="E53" s="102" t="s">
        <v>153</v>
      </c>
      <c r="F53" s="159" t="s">
        <v>213</v>
      </c>
      <c r="G53" s="97">
        <f>'201-00'!H158</f>
        <v>43.46</v>
      </c>
      <c r="H53" s="219">
        <f>ROUND('Súpis prác'!I37,2)</f>
        <v>0</v>
      </c>
      <c r="I53" s="219">
        <f t="shared" si="0"/>
        <v>0</v>
      </c>
      <c r="J53" s="154"/>
    </row>
    <row r="54" spans="1:10" ht="25.5">
      <c r="A54" s="88"/>
      <c r="B54" s="205"/>
      <c r="C54" s="161" t="s">
        <v>55</v>
      </c>
      <c r="D54" s="101" t="s">
        <v>154</v>
      </c>
      <c r="E54" s="102" t="s">
        <v>155</v>
      </c>
      <c r="F54" s="159" t="s">
        <v>215</v>
      </c>
      <c r="G54" s="97">
        <f>'201-00'!H161</f>
        <v>141.66</v>
      </c>
      <c r="H54" s="219">
        <f>ROUND('Súpis prác'!I38,2)</f>
        <v>0</v>
      </c>
      <c r="I54" s="219">
        <f t="shared" si="0"/>
        <v>0</v>
      </c>
      <c r="J54" s="154"/>
    </row>
    <row r="55" spans="1:10">
      <c r="A55" s="88"/>
      <c r="B55" s="205"/>
      <c r="C55" s="161" t="s">
        <v>55</v>
      </c>
      <c r="D55" s="101" t="s">
        <v>244</v>
      </c>
      <c r="E55" s="102" t="s">
        <v>245</v>
      </c>
      <c r="F55" s="159" t="s">
        <v>196</v>
      </c>
      <c r="G55" s="97">
        <f>'201-00'!H168</f>
        <v>6276</v>
      </c>
      <c r="H55" s="219">
        <f>ROUND('Súpis prác'!I40,2)</f>
        <v>0</v>
      </c>
      <c r="I55" s="219">
        <f t="shared" si="0"/>
        <v>0</v>
      </c>
      <c r="J55" s="154"/>
    </row>
    <row r="56" spans="1:10" ht="25.5">
      <c r="A56" s="88"/>
      <c r="B56" s="205"/>
      <c r="C56" s="161" t="s">
        <v>55</v>
      </c>
      <c r="D56" s="101" t="s">
        <v>311</v>
      </c>
      <c r="E56" s="102" t="s">
        <v>312</v>
      </c>
      <c r="F56" s="159" t="s">
        <v>198</v>
      </c>
      <c r="G56" s="97">
        <f>'201-00'!H174</f>
        <v>48.01</v>
      </c>
      <c r="H56" s="219">
        <f>ROUND('Súpis prác'!I41,2)</f>
        <v>0</v>
      </c>
      <c r="I56" s="219">
        <f t="shared" si="0"/>
        <v>0</v>
      </c>
      <c r="J56" s="154"/>
    </row>
    <row r="57" spans="1:10" ht="25.5">
      <c r="A57" s="88"/>
      <c r="B57" s="205"/>
      <c r="C57" s="161" t="s">
        <v>208</v>
      </c>
      <c r="D57" s="101" t="s">
        <v>91</v>
      </c>
      <c r="E57" s="102" t="s">
        <v>92</v>
      </c>
      <c r="F57" s="159" t="s">
        <v>198</v>
      </c>
      <c r="G57" s="97">
        <f>'201-00'!H182</f>
        <v>810.24</v>
      </c>
      <c r="H57" s="219">
        <f>ROUND('Súpis prác'!I42,2)</f>
        <v>0</v>
      </c>
      <c r="I57" s="219">
        <f t="shared" si="0"/>
        <v>0</v>
      </c>
      <c r="J57" s="154"/>
    </row>
    <row r="58" spans="1:10">
      <c r="A58" s="88"/>
      <c r="B58" s="205"/>
      <c r="C58" s="161" t="s">
        <v>208</v>
      </c>
      <c r="D58" s="101">
        <v>61010502</v>
      </c>
      <c r="E58" s="102" t="s">
        <v>99</v>
      </c>
      <c r="F58" s="159" t="s">
        <v>198</v>
      </c>
      <c r="G58" s="97">
        <f>'201-00'!H194</f>
        <v>346.48</v>
      </c>
      <c r="H58" s="219">
        <f>ROUND('Súpis prác'!I43,2)</f>
        <v>0</v>
      </c>
      <c r="I58" s="219">
        <f t="shared" si="0"/>
        <v>0</v>
      </c>
      <c r="J58" s="154"/>
    </row>
    <row r="59" spans="1:10" ht="25.5">
      <c r="A59" s="88"/>
      <c r="B59" s="205"/>
      <c r="C59" s="161" t="s">
        <v>321</v>
      </c>
      <c r="D59" s="101" t="s">
        <v>324</v>
      </c>
      <c r="E59" s="102" t="s">
        <v>325</v>
      </c>
      <c r="F59" s="159" t="s">
        <v>195</v>
      </c>
      <c r="G59" s="97">
        <f>'201-00'!H200</f>
        <v>82.25</v>
      </c>
      <c r="H59" s="219">
        <f>ROUND('Súpis prác'!I45,2)</f>
        <v>0</v>
      </c>
      <c r="I59" s="219">
        <f t="shared" si="0"/>
        <v>0</v>
      </c>
      <c r="J59" s="154"/>
    </row>
    <row r="60" spans="1:10" ht="25.5">
      <c r="A60" s="88"/>
      <c r="B60" s="205"/>
      <c r="C60" s="161" t="s">
        <v>326</v>
      </c>
      <c r="D60" s="101" t="s">
        <v>327</v>
      </c>
      <c r="E60" s="102" t="s">
        <v>328</v>
      </c>
      <c r="F60" s="159" t="s">
        <v>198</v>
      </c>
      <c r="G60" s="97">
        <f>'201-00'!H206</f>
        <v>480</v>
      </c>
      <c r="H60" s="219">
        <f>ROUND('Súpis prác'!I46,2)</f>
        <v>0</v>
      </c>
      <c r="I60" s="219">
        <f t="shared" si="0"/>
        <v>0</v>
      </c>
      <c r="J60" s="154"/>
    </row>
    <row r="61" spans="1:10" ht="25.5">
      <c r="A61" s="88"/>
      <c r="B61" s="205"/>
      <c r="C61" s="161" t="s">
        <v>326</v>
      </c>
      <c r="D61" s="101" t="s">
        <v>329</v>
      </c>
      <c r="E61" s="102" t="s">
        <v>330</v>
      </c>
      <c r="F61" s="159" t="s">
        <v>198</v>
      </c>
      <c r="G61" s="97">
        <f>'201-00'!H209</f>
        <v>1180</v>
      </c>
      <c r="H61" s="219">
        <f>ROUND('Súpis prác'!I47,2)</f>
        <v>0</v>
      </c>
      <c r="I61" s="219">
        <f t="shared" si="0"/>
        <v>0</v>
      </c>
      <c r="J61" s="154"/>
    </row>
    <row r="62" spans="1:10" ht="25.5">
      <c r="A62" s="88"/>
      <c r="B62" s="205"/>
      <c r="C62" s="161" t="s">
        <v>209</v>
      </c>
      <c r="D62" s="101" t="s">
        <v>331</v>
      </c>
      <c r="E62" s="102" t="s">
        <v>332</v>
      </c>
      <c r="F62" s="159" t="s">
        <v>195</v>
      </c>
      <c r="G62" s="97">
        <f>'201-00'!H212</f>
        <v>68.400000000000006</v>
      </c>
      <c r="H62" s="219">
        <f>ROUND('Súpis prác'!I48,2)</f>
        <v>0</v>
      </c>
      <c r="I62" s="219">
        <f t="shared" si="0"/>
        <v>0</v>
      </c>
      <c r="J62" s="154"/>
    </row>
    <row r="63" spans="1:10" ht="25.5">
      <c r="A63" s="88"/>
      <c r="B63" s="205"/>
      <c r="C63" s="161" t="s">
        <v>209</v>
      </c>
      <c r="D63" s="101" t="s">
        <v>104</v>
      </c>
      <c r="E63" s="102" t="s">
        <v>105</v>
      </c>
      <c r="F63" s="159" t="s">
        <v>195</v>
      </c>
      <c r="G63" s="97">
        <f>'201-00'!H218</f>
        <v>27.2</v>
      </c>
      <c r="H63" s="219">
        <f>ROUND('Súpis prác'!I49,2)</f>
        <v>0</v>
      </c>
      <c r="I63" s="219">
        <f t="shared" si="0"/>
        <v>0</v>
      </c>
      <c r="J63" s="154"/>
    </row>
    <row r="64" spans="1:10" ht="25.5">
      <c r="A64" s="88"/>
      <c r="B64" s="205"/>
      <c r="C64" s="161" t="s">
        <v>209</v>
      </c>
      <c r="D64" s="101" t="s">
        <v>112</v>
      </c>
      <c r="E64" s="102" t="s">
        <v>113</v>
      </c>
      <c r="F64" s="159" t="s">
        <v>207</v>
      </c>
      <c r="G64" s="97">
        <f>'201-00'!H222</f>
        <v>44</v>
      </c>
      <c r="H64" s="219">
        <f>ROUND('Súpis prác'!I53,2)</f>
        <v>0</v>
      </c>
      <c r="I64" s="219">
        <f t="shared" si="0"/>
        <v>0</v>
      </c>
      <c r="J64" s="154"/>
    </row>
    <row r="65" spans="1:10">
      <c r="A65" s="88"/>
      <c r="B65" s="205"/>
      <c r="C65" s="161" t="s">
        <v>209</v>
      </c>
      <c r="D65" s="101" t="s">
        <v>114</v>
      </c>
      <c r="E65" s="102" t="s">
        <v>115</v>
      </c>
      <c r="F65" s="159" t="s">
        <v>207</v>
      </c>
      <c r="G65" s="97">
        <f>'201-00'!H225</f>
        <v>48</v>
      </c>
      <c r="H65" s="219">
        <f>ROUND('Súpis prác'!I55,2)</f>
        <v>0</v>
      </c>
      <c r="I65" s="219">
        <f t="shared" si="0"/>
        <v>0</v>
      </c>
      <c r="J65" s="154"/>
    </row>
    <row r="66" spans="1:10">
      <c r="A66" s="88"/>
      <c r="B66" s="205"/>
      <c r="C66" s="161" t="s">
        <v>210</v>
      </c>
      <c r="D66" s="101" t="s">
        <v>120</v>
      </c>
      <c r="E66" s="102" t="s">
        <v>121</v>
      </c>
      <c r="F66" s="159" t="s">
        <v>195</v>
      </c>
      <c r="G66" s="97">
        <f>'201-00'!H231</f>
        <v>2.02</v>
      </c>
      <c r="H66" s="219">
        <f>ROUND('Súpis prác'!I58,2)</f>
        <v>0</v>
      </c>
      <c r="I66" s="219">
        <f t="shared" si="0"/>
        <v>0</v>
      </c>
      <c r="J66" s="154"/>
    </row>
    <row r="67" spans="1:10">
      <c r="A67" s="88"/>
      <c r="B67" s="205"/>
      <c r="C67" s="161" t="s">
        <v>210</v>
      </c>
      <c r="D67" s="101" t="s">
        <v>124</v>
      </c>
      <c r="E67" s="102" t="s">
        <v>125</v>
      </c>
      <c r="F67" s="159" t="s">
        <v>198</v>
      </c>
      <c r="G67" s="97">
        <f>'201-00'!H235</f>
        <v>20.2</v>
      </c>
      <c r="H67" s="219">
        <f>ROUND('Súpis prác'!I59,2)</f>
        <v>0</v>
      </c>
      <c r="I67" s="219">
        <f t="shared" si="0"/>
        <v>0</v>
      </c>
      <c r="J67" s="154"/>
    </row>
    <row r="68" spans="1:10">
      <c r="A68" s="88"/>
      <c r="B68" s="205"/>
      <c r="C68" s="161" t="s">
        <v>315</v>
      </c>
      <c r="D68" s="101">
        <v>91022701</v>
      </c>
      <c r="E68" s="102" t="s">
        <v>285</v>
      </c>
      <c r="F68" s="159" t="s">
        <v>196</v>
      </c>
      <c r="G68" s="97">
        <f>'201-00'!H241</f>
        <v>1</v>
      </c>
      <c r="H68" s="219">
        <f>ROUND('Súpis prác'!I60,2)</f>
        <v>0</v>
      </c>
      <c r="I68" s="219">
        <f t="shared" si="0"/>
        <v>0</v>
      </c>
      <c r="J68" s="154"/>
    </row>
    <row r="69" spans="1:10" ht="25.5">
      <c r="A69" s="88"/>
      <c r="B69" s="205"/>
      <c r="C69" s="161" t="s">
        <v>287</v>
      </c>
      <c r="D69" s="101" t="s">
        <v>289</v>
      </c>
      <c r="E69" s="102" t="s">
        <v>290</v>
      </c>
      <c r="F69" s="159" t="s">
        <v>198</v>
      </c>
      <c r="G69" s="97">
        <f>'201-00'!H246</f>
        <v>480.05</v>
      </c>
      <c r="H69" s="219">
        <f>ROUND('Súpis prác'!I61,2)</f>
        <v>0</v>
      </c>
      <c r="I69" s="219">
        <f t="shared" si="0"/>
        <v>0</v>
      </c>
      <c r="J69" s="154"/>
    </row>
    <row r="70" spans="1:10">
      <c r="A70" s="88"/>
      <c r="B70" s="205"/>
      <c r="C70" s="161" t="s">
        <v>317</v>
      </c>
      <c r="D70" s="101" t="s">
        <v>294</v>
      </c>
      <c r="E70" s="102" t="s">
        <v>295</v>
      </c>
      <c r="F70" s="159" t="s">
        <v>198</v>
      </c>
      <c r="G70" s="97">
        <f>'201-00'!H254</f>
        <v>346.48</v>
      </c>
      <c r="H70" s="219">
        <f>ROUND('Súpis prác'!I62,2)</f>
        <v>0</v>
      </c>
      <c r="I70" s="219">
        <f t="shared" si="0"/>
        <v>0</v>
      </c>
      <c r="J70" s="154"/>
    </row>
    <row r="71" spans="1:10" ht="25.5">
      <c r="A71" s="88"/>
      <c r="B71" s="205"/>
      <c r="C71" s="161" t="s">
        <v>317</v>
      </c>
      <c r="D71" s="101" t="s">
        <v>299</v>
      </c>
      <c r="E71" s="102" t="s">
        <v>300</v>
      </c>
      <c r="F71" s="159" t="s">
        <v>198</v>
      </c>
      <c r="G71" s="97">
        <f>'201-00'!H258</f>
        <v>480.05</v>
      </c>
      <c r="H71" s="219">
        <f>ROUND('Súpis prác'!I63,2)</f>
        <v>0</v>
      </c>
      <c r="I71" s="219">
        <f t="shared" ref="I71:I72" si="1">ROUND(H71,2)*G71</f>
        <v>0</v>
      </c>
      <c r="J71" s="154"/>
    </row>
    <row r="72" spans="1:10">
      <c r="A72" s="88"/>
      <c r="B72" s="205"/>
      <c r="C72" s="161" t="s">
        <v>317</v>
      </c>
      <c r="D72" s="101" t="s">
        <v>394</v>
      </c>
      <c r="E72" s="102" t="s">
        <v>395</v>
      </c>
      <c r="F72" s="159" t="s">
        <v>198</v>
      </c>
      <c r="G72" s="97">
        <f>'201-00'!H265</f>
        <v>480.05</v>
      </c>
      <c r="H72" s="219">
        <f>ROUND('Súpis prác'!I64,2)</f>
        <v>0</v>
      </c>
      <c r="I72" s="219">
        <f t="shared" si="1"/>
        <v>0</v>
      </c>
      <c r="J72" s="154"/>
    </row>
    <row r="73" spans="1:10">
      <c r="A73" s="88"/>
      <c r="B73" s="251" t="s">
        <v>401</v>
      </c>
      <c r="C73" s="252"/>
      <c r="D73" s="252"/>
      <c r="E73" s="252"/>
      <c r="F73" s="252"/>
      <c r="G73" s="252"/>
      <c r="H73" s="253"/>
      <c r="I73" s="222">
        <f>SUM(I22:I72)</f>
        <v>0</v>
      </c>
      <c r="J73" s="154"/>
    </row>
    <row r="74" spans="1:10" ht="24.75">
      <c r="A74" s="94"/>
      <c r="B74" s="223" t="s">
        <v>319</v>
      </c>
      <c r="C74" s="158" t="s">
        <v>193</v>
      </c>
      <c r="D74" s="95" t="s">
        <v>11</v>
      </c>
      <c r="E74" s="96" t="s">
        <v>12</v>
      </c>
      <c r="F74" s="159" t="s">
        <v>194</v>
      </c>
      <c r="G74" s="97">
        <f>'202-00'!H9</f>
        <v>477.65</v>
      </c>
      <c r="H74" s="219">
        <f>ROUND('Súpis prác'!I4,2)</f>
        <v>0</v>
      </c>
      <c r="I74" s="219">
        <f t="shared" ref="I74:I106" si="2">ROUND(H74,2)*G74</f>
        <v>0</v>
      </c>
      <c r="J74" s="154"/>
    </row>
    <row r="75" spans="1:10">
      <c r="A75" s="98"/>
      <c r="B75" s="209"/>
      <c r="C75" s="158" t="s">
        <v>9</v>
      </c>
      <c r="D75" s="95" t="s">
        <v>14</v>
      </c>
      <c r="E75" s="96" t="s">
        <v>15</v>
      </c>
      <c r="F75" s="159" t="s">
        <v>195</v>
      </c>
      <c r="G75" s="97">
        <f>'202-00'!H11</f>
        <v>395.96</v>
      </c>
      <c r="H75" s="219">
        <f>ROUND('Súpis prác'!I5,2)</f>
        <v>0</v>
      </c>
      <c r="I75" s="219">
        <f t="shared" si="2"/>
        <v>0</v>
      </c>
      <c r="J75" s="154"/>
    </row>
    <row r="76" spans="1:10" ht="25.5">
      <c r="A76" s="88"/>
      <c r="B76" s="205"/>
      <c r="C76" s="158" t="s">
        <v>9</v>
      </c>
      <c r="D76" s="101" t="s">
        <v>17</v>
      </c>
      <c r="E76" s="96" t="s">
        <v>18</v>
      </c>
      <c r="F76" s="44" t="s">
        <v>19</v>
      </c>
      <c r="G76" s="97">
        <f>'202-00'!H13</f>
        <v>1</v>
      </c>
      <c r="H76" s="219">
        <f>ROUND('Súpis prác'!I6,2)</f>
        <v>0</v>
      </c>
      <c r="I76" s="219">
        <f t="shared" si="2"/>
        <v>0</v>
      </c>
      <c r="J76" s="154"/>
    </row>
    <row r="77" spans="1:10" ht="38.25">
      <c r="A77" s="88"/>
      <c r="B77" s="205"/>
      <c r="C77" s="161" t="s">
        <v>193</v>
      </c>
      <c r="D77" s="101" t="s">
        <v>20</v>
      </c>
      <c r="E77" s="102" t="s">
        <v>260</v>
      </c>
      <c r="F77" s="159" t="s">
        <v>196</v>
      </c>
      <c r="G77" s="97">
        <f>'202-00'!H15</f>
        <v>1</v>
      </c>
      <c r="H77" s="219">
        <f>ROUND('Súpis prác'!I7,2)</f>
        <v>0</v>
      </c>
      <c r="I77" s="219">
        <f t="shared" si="2"/>
        <v>0</v>
      </c>
      <c r="J77" s="154"/>
    </row>
    <row r="78" spans="1:10" ht="25.5">
      <c r="A78" s="88"/>
      <c r="B78" s="205"/>
      <c r="C78" s="158" t="s">
        <v>197</v>
      </c>
      <c r="D78" s="207" t="s">
        <v>24</v>
      </c>
      <c r="E78" s="208" t="s">
        <v>25</v>
      </c>
      <c r="F78" s="159" t="s">
        <v>195</v>
      </c>
      <c r="G78" s="103">
        <f>'202-00'!H19</f>
        <v>101.6</v>
      </c>
      <c r="H78" s="219">
        <f>ROUND('Súpis prác'!I8,2)</f>
        <v>0</v>
      </c>
      <c r="I78" s="219">
        <f t="shared" si="2"/>
        <v>0</v>
      </c>
      <c r="J78" s="154"/>
    </row>
    <row r="79" spans="1:10" ht="25.5">
      <c r="A79" s="104"/>
      <c r="B79" s="209"/>
      <c r="C79" s="158" t="s">
        <v>197</v>
      </c>
      <c r="D79" s="101" t="s">
        <v>26</v>
      </c>
      <c r="E79" s="96" t="s">
        <v>27</v>
      </c>
      <c r="F79" s="159" t="s">
        <v>195</v>
      </c>
      <c r="G79" s="103">
        <f>'202-00'!H25</f>
        <v>45.39</v>
      </c>
      <c r="H79" s="219">
        <f>ROUND('Súpis prác'!I9,2)</f>
        <v>0</v>
      </c>
      <c r="I79" s="219">
        <f t="shared" si="2"/>
        <v>0</v>
      </c>
      <c r="J79" s="154"/>
    </row>
    <row r="80" spans="1:10">
      <c r="A80" s="88"/>
      <c r="B80" s="205"/>
      <c r="C80" s="162" t="s">
        <v>197</v>
      </c>
      <c r="D80" s="207" t="s">
        <v>137</v>
      </c>
      <c r="E80" s="208" t="s">
        <v>138</v>
      </c>
      <c r="F80" s="159" t="s">
        <v>198</v>
      </c>
      <c r="G80" s="103">
        <f>'202-00'!H28</f>
        <v>415.8</v>
      </c>
      <c r="H80" s="219">
        <f>ROUND('Súpis prác'!I10,2)</f>
        <v>0</v>
      </c>
      <c r="I80" s="219">
        <f t="shared" si="2"/>
        <v>0</v>
      </c>
      <c r="J80" s="154"/>
    </row>
    <row r="81" spans="1:10" ht="25.5">
      <c r="A81" s="88"/>
      <c r="B81" s="205"/>
      <c r="C81" s="161" t="s">
        <v>197</v>
      </c>
      <c r="D81" s="207" t="s">
        <v>269</v>
      </c>
      <c r="E81" s="208" t="s">
        <v>270</v>
      </c>
      <c r="F81" s="159" t="s">
        <v>196</v>
      </c>
      <c r="G81" s="103">
        <f>'202-00'!H31</f>
        <v>4</v>
      </c>
      <c r="H81" s="219">
        <f>ROUND('Súpis prác'!I11,2)</f>
        <v>0</v>
      </c>
      <c r="I81" s="219">
        <f t="shared" si="2"/>
        <v>0</v>
      </c>
      <c r="J81" s="154"/>
    </row>
    <row r="82" spans="1:10">
      <c r="A82" s="88"/>
      <c r="B82" s="205"/>
      <c r="C82" s="162" t="s">
        <v>197</v>
      </c>
      <c r="D82" s="162" t="s">
        <v>199</v>
      </c>
      <c r="E82" s="210" t="s">
        <v>30</v>
      </c>
      <c r="F82" s="211" t="s">
        <v>198</v>
      </c>
      <c r="G82" s="103">
        <f>'202-00'!H34</f>
        <v>415.8</v>
      </c>
      <c r="H82" s="219">
        <f>ROUND('Súpis prác'!I12,2)</f>
        <v>0</v>
      </c>
      <c r="I82" s="219">
        <f t="shared" si="2"/>
        <v>0</v>
      </c>
      <c r="J82" s="154"/>
    </row>
    <row r="83" spans="1:10">
      <c r="A83" s="88"/>
      <c r="B83" s="205"/>
      <c r="C83" s="162" t="s">
        <v>197</v>
      </c>
      <c r="D83" s="162" t="s">
        <v>132</v>
      </c>
      <c r="E83" s="210" t="s">
        <v>133</v>
      </c>
      <c r="F83" s="211" t="s">
        <v>198</v>
      </c>
      <c r="G83" s="103">
        <f>'202-00'!H38</f>
        <v>415.8</v>
      </c>
      <c r="H83" s="219">
        <f>ROUND('Súpis prác'!I13,2)</f>
        <v>0</v>
      </c>
      <c r="I83" s="219">
        <f t="shared" si="2"/>
        <v>0</v>
      </c>
      <c r="J83" s="154"/>
    </row>
    <row r="84" spans="1:10" ht="24">
      <c r="A84" s="88"/>
      <c r="B84" s="224"/>
      <c r="C84" s="158" t="s">
        <v>197</v>
      </c>
      <c r="D84" s="158" t="s">
        <v>201</v>
      </c>
      <c r="E84" s="106" t="s">
        <v>33</v>
      </c>
      <c r="F84" s="159" t="s">
        <v>200</v>
      </c>
      <c r="G84" s="103">
        <f>'202-00'!H42</f>
        <v>113</v>
      </c>
      <c r="H84" s="219">
        <f>ROUND('Súpis prác'!I15,2)</f>
        <v>0</v>
      </c>
      <c r="I84" s="219">
        <f t="shared" si="2"/>
        <v>0</v>
      </c>
      <c r="J84" s="154"/>
    </row>
    <row r="85" spans="1:10">
      <c r="A85" s="88"/>
      <c r="B85" s="205"/>
      <c r="C85" s="162" t="s">
        <v>197</v>
      </c>
      <c r="D85" s="162" t="s">
        <v>202</v>
      </c>
      <c r="E85" s="210" t="s">
        <v>35</v>
      </c>
      <c r="F85" s="211" t="s">
        <v>194</v>
      </c>
      <c r="G85" s="97">
        <f>'202-00'!H45</f>
        <v>482.4</v>
      </c>
      <c r="H85" s="219">
        <f>ROUND('Súpis prác'!I16,2)</f>
        <v>0</v>
      </c>
      <c r="I85" s="219">
        <f t="shared" si="2"/>
        <v>0</v>
      </c>
      <c r="J85" s="154"/>
    </row>
    <row r="86" spans="1:10" ht="25.5">
      <c r="A86" s="88"/>
      <c r="B86" s="205"/>
      <c r="C86" s="158" t="s">
        <v>197</v>
      </c>
      <c r="D86" s="101" t="s">
        <v>37</v>
      </c>
      <c r="E86" s="96" t="s">
        <v>38</v>
      </c>
      <c r="F86" s="159" t="s">
        <v>198</v>
      </c>
      <c r="G86" s="97">
        <f>'202-00'!H59</f>
        <v>1322.93</v>
      </c>
      <c r="H86" s="219">
        <f>ROUND('Súpis prác'!I17,2)</f>
        <v>0</v>
      </c>
      <c r="I86" s="219">
        <f t="shared" si="2"/>
        <v>0</v>
      </c>
      <c r="J86" s="154"/>
    </row>
    <row r="87" spans="1:10">
      <c r="A87" s="88"/>
      <c r="B87" s="205"/>
      <c r="C87" s="158" t="s">
        <v>41</v>
      </c>
      <c r="D87" s="101" t="s">
        <v>43</v>
      </c>
      <c r="E87" s="96" t="s">
        <v>44</v>
      </c>
      <c r="F87" s="159" t="s">
        <v>195</v>
      </c>
      <c r="G87" s="103">
        <f>'202-00'!H76</f>
        <v>395.96</v>
      </c>
      <c r="H87" s="219">
        <f>ROUND('Súpis prác'!I18,2)</f>
        <v>0</v>
      </c>
      <c r="I87" s="219">
        <f t="shared" si="2"/>
        <v>0</v>
      </c>
      <c r="J87" s="154"/>
    </row>
    <row r="88" spans="1:10">
      <c r="A88" s="88"/>
      <c r="B88" s="205"/>
      <c r="C88" s="162" t="s">
        <v>204</v>
      </c>
      <c r="D88" s="46" t="s">
        <v>47</v>
      </c>
      <c r="E88" s="96" t="s">
        <v>48</v>
      </c>
      <c r="F88" s="159" t="s">
        <v>195</v>
      </c>
      <c r="G88" s="103">
        <f>'202-00'!H83</f>
        <v>395.96</v>
      </c>
      <c r="H88" s="219">
        <f>ROUND('Súpis prác'!I19,2)</f>
        <v>0</v>
      </c>
      <c r="I88" s="219">
        <f t="shared" si="2"/>
        <v>0</v>
      </c>
      <c r="J88" s="154"/>
    </row>
    <row r="89" spans="1:10">
      <c r="A89" s="88"/>
      <c r="B89" s="205"/>
      <c r="C89" s="158" t="s">
        <v>204</v>
      </c>
      <c r="D89" s="101" t="s">
        <v>306</v>
      </c>
      <c r="E89" s="208" t="s">
        <v>307</v>
      </c>
      <c r="F89" s="159" t="s">
        <v>195</v>
      </c>
      <c r="G89" s="103">
        <f>'202-00'!H86</f>
        <v>87.5</v>
      </c>
      <c r="H89" s="219">
        <f>ROUND('Súpis prác'!I20,2)</f>
        <v>0</v>
      </c>
      <c r="I89" s="219">
        <f t="shared" si="2"/>
        <v>0</v>
      </c>
      <c r="J89" s="154"/>
    </row>
    <row r="90" spans="1:10">
      <c r="A90" s="88"/>
      <c r="B90" s="205"/>
      <c r="C90" s="162" t="s">
        <v>204</v>
      </c>
      <c r="D90" s="163" t="s">
        <v>51</v>
      </c>
      <c r="E90" s="102" t="s">
        <v>52</v>
      </c>
      <c r="F90" s="159" t="s">
        <v>205</v>
      </c>
      <c r="G90" s="103">
        <f>'202-00'!H90</f>
        <v>395.96</v>
      </c>
      <c r="H90" s="219">
        <f>ROUND('Súpis prác'!I21,2)</f>
        <v>0</v>
      </c>
      <c r="I90" s="219">
        <f t="shared" si="2"/>
        <v>0</v>
      </c>
      <c r="J90" s="154"/>
    </row>
    <row r="91" spans="1:10" ht="25.5">
      <c r="A91" s="88"/>
      <c r="B91" s="205"/>
      <c r="C91" s="161" t="s">
        <v>204</v>
      </c>
      <c r="D91" s="101" t="s">
        <v>418</v>
      </c>
      <c r="E91" s="102" t="s">
        <v>419</v>
      </c>
      <c r="F91" s="159" t="s">
        <v>198</v>
      </c>
      <c r="G91" s="103">
        <f>'202-00'!H93</f>
        <v>200</v>
      </c>
      <c r="H91" s="219">
        <f>ROUND('Súpis prác'!I22,2)</f>
        <v>0</v>
      </c>
      <c r="I91" s="219">
        <f t="shared" si="2"/>
        <v>0</v>
      </c>
      <c r="J91" s="154"/>
    </row>
    <row r="92" spans="1:10" ht="25.5">
      <c r="A92" s="88"/>
      <c r="B92" s="205"/>
      <c r="C92" s="158" t="s">
        <v>206</v>
      </c>
      <c r="D92" s="164">
        <v>11050602</v>
      </c>
      <c r="E92" s="102" t="s">
        <v>58</v>
      </c>
      <c r="F92" s="159" t="s">
        <v>195</v>
      </c>
      <c r="G92" s="103">
        <f>'202-00'!H98</f>
        <v>33.21</v>
      </c>
      <c r="H92" s="219">
        <f>ROUND('Súpis prác'!I23,2)</f>
        <v>0</v>
      </c>
      <c r="I92" s="219">
        <f t="shared" si="2"/>
        <v>0</v>
      </c>
      <c r="J92" s="154"/>
    </row>
    <row r="93" spans="1:10">
      <c r="A93" s="88"/>
      <c r="B93" s="205"/>
      <c r="C93" s="158" t="s">
        <v>206</v>
      </c>
      <c r="D93" s="46" t="s">
        <v>160</v>
      </c>
      <c r="E93" s="102" t="s">
        <v>161</v>
      </c>
      <c r="F93" s="159" t="s">
        <v>198</v>
      </c>
      <c r="G93" s="103">
        <f>'202-00'!H102</f>
        <v>144.76</v>
      </c>
      <c r="H93" s="219">
        <f>ROUND('Súpis prác'!I24,2)</f>
        <v>0</v>
      </c>
      <c r="I93" s="219">
        <f t="shared" si="2"/>
        <v>0</v>
      </c>
      <c r="J93" s="154"/>
    </row>
    <row r="94" spans="1:10" ht="25.5">
      <c r="A94" s="88"/>
      <c r="B94" s="205"/>
      <c r="C94" s="158" t="s">
        <v>55</v>
      </c>
      <c r="D94" s="164">
        <v>11050621</v>
      </c>
      <c r="E94" s="102" t="s">
        <v>63</v>
      </c>
      <c r="F94" s="159" t="s">
        <v>194</v>
      </c>
      <c r="G94" s="103">
        <f>'202-00'!H106</f>
        <v>5.73</v>
      </c>
      <c r="H94" s="219">
        <f>ROUND('Súpis prác'!I25,2)</f>
        <v>0</v>
      </c>
      <c r="I94" s="219">
        <f t="shared" si="2"/>
        <v>0</v>
      </c>
      <c r="J94" s="154"/>
    </row>
    <row r="95" spans="1:10" ht="25.5">
      <c r="A95" s="88"/>
      <c r="B95" s="205"/>
      <c r="C95" s="158" t="s">
        <v>55</v>
      </c>
      <c r="D95" s="101" t="s">
        <v>66</v>
      </c>
      <c r="E95" s="107" t="s">
        <v>67</v>
      </c>
      <c r="F95" s="159" t="s">
        <v>195</v>
      </c>
      <c r="G95" s="103">
        <f>'202-00'!H110</f>
        <v>141.05000000000001</v>
      </c>
      <c r="H95" s="219">
        <f>ROUND('Súpis prác'!I26,2)</f>
        <v>0</v>
      </c>
      <c r="I95" s="219">
        <f t="shared" si="2"/>
        <v>0</v>
      </c>
      <c r="J95" s="154"/>
    </row>
    <row r="96" spans="1:10" ht="25.5">
      <c r="A96" s="88"/>
      <c r="B96" s="205"/>
      <c r="C96" s="158" t="s">
        <v>55</v>
      </c>
      <c r="D96" s="101" t="s">
        <v>146</v>
      </c>
      <c r="E96" s="102" t="s">
        <v>147</v>
      </c>
      <c r="F96" s="159" t="s">
        <v>198</v>
      </c>
      <c r="G96" s="103">
        <f>'202-00'!H118</f>
        <v>81.010000000000005</v>
      </c>
      <c r="H96" s="219">
        <f>ROUND('Súpis prác'!I27,2)</f>
        <v>0</v>
      </c>
      <c r="I96" s="219">
        <f t="shared" si="2"/>
        <v>0</v>
      </c>
      <c r="J96" s="154"/>
    </row>
    <row r="97" spans="1:11" ht="25.5">
      <c r="A97" s="88"/>
      <c r="B97" s="205"/>
      <c r="C97" s="158" t="s">
        <v>55</v>
      </c>
      <c r="D97" s="101" t="s">
        <v>73</v>
      </c>
      <c r="E97" s="102" t="s">
        <v>74</v>
      </c>
      <c r="F97" s="159" t="s">
        <v>194</v>
      </c>
      <c r="G97" s="103">
        <f>'202-00'!H124</f>
        <v>12.15</v>
      </c>
      <c r="H97" s="219">
        <f>ROUND('Súpis prác'!I28,2)</f>
        <v>0</v>
      </c>
      <c r="I97" s="219">
        <f t="shared" si="2"/>
        <v>0</v>
      </c>
      <c r="J97" s="154"/>
    </row>
    <row r="98" spans="1:11" ht="25.5">
      <c r="A98" s="88"/>
      <c r="B98" s="205"/>
      <c r="C98" s="158" t="s">
        <v>55</v>
      </c>
      <c r="D98" s="101" t="s">
        <v>77</v>
      </c>
      <c r="E98" s="102" t="s">
        <v>78</v>
      </c>
      <c r="F98" s="159" t="s">
        <v>195</v>
      </c>
      <c r="G98" s="103">
        <f>'202-00'!H130</f>
        <v>64.569999999999993</v>
      </c>
      <c r="H98" s="219">
        <f>ROUND('Súpis prác'!I29,2)</f>
        <v>0</v>
      </c>
      <c r="I98" s="219">
        <f t="shared" si="2"/>
        <v>0</v>
      </c>
      <c r="J98" s="154"/>
    </row>
    <row r="99" spans="1:11" ht="25.5">
      <c r="A99" s="88"/>
      <c r="B99" s="205"/>
      <c r="C99" s="158" t="s">
        <v>55</v>
      </c>
      <c r="D99" s="101" t="s">
        <v>171</v>
      </c>
      <c r="E99" s="96" t="s">
        <v>172</v>
      </c>
      <c r="F99" s="159" t="s">
        <v>198</v>
      </c>
      <c r="G99" s="103">
        <f>'202-00'!H134</f>
        <v>6.88</v>
      </c>
      <c r="H99" s="219">
        <f>ROUND('Súpis prác'!I30,2)</f>
        <v>0</v>
      </c>
      <c r="I99" s="219">
        <f t="shared" si="2"/>
        <v>0</v>
      </c>
      <c r="J99" s="154"/>
    </row>
    <row r="100" spans="1:11" ht="25.5">
      <c r="A100" s="88"/>
      <c r="B100" s="205"/>
      <c r="C100" s="158" t="s">
        <v>55</v>
      </c>
      <c r="D100" s="101" t="s">
        <v>79</v>
      </c>
      <c r="E100" s="96" t="s">
        <v>80</v>
      </c>
      <c r="F100" s="159" t="s">
        <v>194</v>
      </c>
      <c r="G100" s="103">
        <f>'202-00'!H138</f>
        <v>14.12</v>
      </c>
      <c r="H100" s="219">
        <f>ROUND('Súpis prác'!I31,2)</f>
        <v>0</v>
      </c>
      <c r="I100" s="219">
        <f t="shared" si="2"/>
        <v>0</v>
      </c>
      <c r="J100" s="154"/>
    </row>
    <row r="101" spans="1:11">
      <c r="A101" s="88"/>
      <c r="B101" s="205"/>
      <c r="C101" s="158" t="s">
        <v>55</v>
      </c>
      <c r="D101" s="46" t="s">
        <v>158</v>
      </c>
      <c r="E101" s="96" t="s">
        <v>159</v>
      </c>
      <c r="F101" s="159" t="s">
        <v>213</v>
      </c>
      <c r="G101" s="103">
        <f>'202-00'!H142</f>
        <v>41.8</v>
      </c>
      <c r="H101" s="219">
        <f>ROUND('Súpis prác'!I32,2)</f>
        <v>0</v>
      </c>
      <c r="I101" s="219">
        <f t="shared" si="2"/>
        <v>0</v>
      </c>
      <c r="J101" s="154"/>
    </row>
    <row r="102" spans="1:11" ht="25.5">
      <c r="A102" s="88"/>
      <c r="B102" s="205"/>
      <c r="C102" s="158" t="s">
        <v>55</v>
      </c>
      <c r="D102" s="46" t="s">
        <v>83</v>
      </c>
      <c r="E102" s="47" t="s">
        <v>84</v>
      </c>
      <c r="F102" s="159" t="s">
        <v>195</v>
      </c>
      <c r="G102" s="103">
        <f>'202-00'!H145</f>
        <v>114.95</v>
      </c>
      <c r="H102" s="219">
        <f>ROUND('Súpis prác'!I33,2)</f>
        <v>0</v>
      </c>
      <c r="I102" s="219">
        <f t="shared" si="2"/>
        <v>0</v>
      </c>
      <c r="J102" s="154"/>
    </row>
    <row r="103" spans="1:11">
      <c r="A103" s="88"/>
      <c r="B103" s="205"/>
      <c r="C103" s="158" t="s">
        <v>55</v>
      </c>
      <c r="D103" s="164">
        <v>21250106</v>
      </c>
      <c r="E103" s="102" t="s">
        <v>86</v>
      </c>
      <c r="F103" s="159" t="s">
        <v>207</v>
      </c>
      <c r="G103" s="103">
        <f>'202-00'!H148</f>
        <v>113</v>
      </c>
      <c r="H103" s="219">
        <f>ROUND('Súpis prác'!I34,2)</f>
        <v>0</v>
      </c>
      <c r="I103" s="219">
        <f t="shared" si="2"/>
        <v>0</v>
      </c>
      <c r="J103" s="154"/>
    </row>
    <row r="104" spans="1:11">
      <c r="A104" s="88"/>
      <c r="B104" s="205"/>
      <c r="C104" s="158" t="s">
        <v>55</v>
      </c>
      <c r="D104" s="164" t="s">
        <v>248</v>
      </c>
      <c r="E104" s="96" t="s">
        <v>249</v>
      </c>
      <c r="F104" s="159" t="s">
        <v>196</v>
      </c>
      <c r="G104" s="103">
        <f>'202-00'!H155</f>
        <v>6</v>
      </c>
      <c r="H104" s="219">
        <f>ROUND('Súpis prác'!I35,2)</f>
        <v>0</v>
      </c>
      <c r="I104" s="219">
        <f t="shared" si="2"/>
        <v>0</v>
      </c>
      <c r="J104" s="154"/>
    </row>
    <row r="105" spans="1:11" ht="25.5">
      <c r="A105" s="88"/>
      <c r="B105" s="205"/>
      <c r="C105" s="158" t="s">
        <v>55</v>
      </c>
      <c r="D105" s="101" t="s">
        <v>179</v>
      </c>
      <c r="E105" s="96" t="s">
        <v>180</v>
      </c>
      <c r="F105" s="159" t="s">
        <v>214</v>
      </c>
      <c r="G105" s="103">
        <f>'202-00'!H160</f>
        <v>25.88</v>
      </c>
      <c r="H105" s="219">
        <f>ROUND('Súpis prác'!I36,2)</f>
        <v>0</v>
      </c>
      <c r="I105" s="219">
        <f t="shared" si="2"/>
        <v>0</v>
      </c>
      <c r="J105" s="154"/>
    </row>
    <row r="106" spans="1:11" ht="25.5">
      <c r="A106" s="88"/>
      <c r="B106" s="205"/>
      <c r="C106" s="158" t="s">
        <v>55</v>
      </c>
      <c r="D106" s="101" t="s">
        <v>152</v>
      </c>
      <c r="E106" s="96" t="s">
        <v>153</v>
      </c>
      <c r="F106" s="159" t="s">
        <v>213</v>
      </c>
      <c r="G106" s="103">
        <f>'202-00'!H163</f>
        <v>41.8</v>
      </c>
      <c r="H106" s="219">
        <f>ROUND('Súpis prác'!I37,2)</f>
        <v>0</v>
      </c>
      <c r="I106" s="219">
        <f t="shared" si="2"/>
        <v>0</v>
      </c>
      <c r="J106" s="154"/>
    </row>
    <row r="107" spans="1:11" ht="25.5">
      <c r="A107" s="88"/>
      <c r="B107" s="205"/>
      <c r="C107" s="158" t="s">
        <v>55</v>
      </c>
      <c r="D107" s="101" t="s">
        <v>154</v>
      </c>
      <c r="E107" s="96" t="s">
        <v>155</v>
      </c>
      <c r="F107" s="159" t="s">
        <v>215</v>
      </c>
      <c r="G107" s="103">
        <f>'202-00'!H166</f>
        <v>204.46</v>
      </c>
      <c r="H107" s="219">
        <f>ROUND('Súpis prác'!I38,2)</f>
        <v>0</v>
      </c>
      <c r="I107" s="219">
        <f t="shared" ref="I107:I124" si="3">ROUND(H107,2)*G107</f>
        <v>0</v>
      </c>
      <c r="J107" s="154"/>
    </row>
    <row r="108" spans="1:11" ht="25.5">
      <c r="A108" s="88"/>
      <c r="B108" s="205"/>
      <c r="C108" s="158" t="s">
        <v>55</v>
      </c>
      <c r="D108" s="46" t="s">
        <v>239</v>
      </c>
      <c r="E108" s="96" t="s">
        <v>240</v>
      </c>
      <c r="F108" s="159" t="s">
        <v>213</v>
      </c>
      <c r="G108" s="103">
        <f>'202-00'!H173</f>
        <v>52.22</v>
      </c>
      <c r="H108" s="219">
        <f>ROUND('Súpis prác'!I39,2)</f>
        <v>0</v>
      </c>
      <c r="I108" s="219">
        <f t="shared" si="3"/>
        <v>0</v>
      </c>
      <c r="J108" s="154"/>
    </row>
    <row r="109" spans="1:11">
      <c r="A109" s="88"/>
      <c r="B109" s="205"/>
      <c r="C109" s="158" t="s">
        <v>55</v>
      </c>
      <c r="D109" s="46" t="s">
        <v>244</v>
      </c>
      <c r="E109" s="96" t="s">
        <v>245</v>
      </c>
      <c r="F109" s="159" t="s">
        <v>196</v>
      </c>
      <c r="G109" s="219">
        <f>'202-00'!H177</f>
        <v>10883</v>
      </c>
      <c r="H109" s="219">
        <f>ROUND('Súpis prác'!I40,2)</f>
        <v>0</v>
      </c>
      <c r="I109" s="219">
        <f t="shared" si="3"/>
        <v>0</v>
      </c>
      <c r="J109" s="154"/>
    </row>
    <row r="110" spans="1:11" ht="25.5">
      <c r="A110" s="88"/>
      <c r="B110" s="205"/>
      <c r="C110" s="158" t="s">
        <v>55</v>
      </c>
      <c r="D110" s="192" t="s">
        <v>311</v>
      </c>
      <c r="E110" s="107" t="s">
        <v>312</v>
      </c>
      <c r="F110" s="159" t="s">
        <v>198</v>
      </c>
      <c r="G110" s="219">
        <f>'202-00'!H182</f>
        <v>75.400000000000006</v>
      </c>
      <c r="H110" s="219">
        <f>ROUND('Súpis prác'!I41,2)</f>
        <v>0</v>
      </c>
      <c r="I110" s="219">
        <f t="shared" si="3"/>
        <v>0</v>
      </c>
      <c r="J110" s="154"/>
    </row>
    <row r="111" spans="1:11" ht="25.5">
      <c r="A111" s="88"/>
      <c r="B111" s="205"/>
      <c r="C111" s="158" t="s">
        <v>208</v>
      </c>
      <c r="D111" s="46" t="s">
        <v>91</v>
      </c>
      <c r="E111" s="96" t="s">
        <v>92</v>
      </c>
      <c r="F111" s="159" t="s">
        <v>198</v>
      </c>
      <c r="G111" s="103">
        <f>'202-00'!H190</f>
        <v>679.14</v>
      </c>
      <c r="H111" s="219">
        <f>ROUND('Súpis prác'!I42,2)</f>
        <v>0</v>
      </c>
      <c r="I111" s="219">
        <f t="shared" si="3"/>
        <v>0</v>
      </c>
      <c r="J111" s="154"/>
    </row>
    <row r="112" spans="1:11">
      <c r="A112" s="88"/>
      <c r="B112" s="205"/>
      <c r="C112" s="158" t="s">
        <v>208</v>
      </c>
      <c r="D112" s="164">
        <v>61010502</v>
      </c>
      <c r="E112" s="96" t="s">
        <v>99</v>
      </c>
      <c r="F112" s="159" t="s">
        <v>198</v>
      </c>
      <c r="G112" s="103">
        <f>'202-00'!H204</f>
        <v>561.67999999999995</v>
      </c>
      <c r="H112" s="219">
        <f>ROUND('Súpis prác'!I43,2)</f>
        <v>0</v>
      </c>
      <c r="I112" s="219">
        <f t="shared" si="3"/>
        <v>0</v>
      </c>
      <c r="J112" s="154"/>
      <c r="K112" s="154"/>
    </row>
    <row r="113" spans="1:10" ht="25.5">
      <c r="A113" s="88"/>
      <c r="B113" s="205"/>
      <c r="C113" s="158" t="s">
        <v>209</v>
      </c>
      <c r="D113" s="101" t="s">
        <v>104</v>
      </c>
      <c r="E113" s="96" t="s">
        <v>105</v>
      </c>
      <c r="F113" s="159" t="s">
        <v>195</v>
      </c>
      <c r="G113" s="103">
        <f>'202-00'!H210</f>
        <v>41.08</v>
      </c>
      <c r="H113" s="219">
        <f>ROUND('Súpis prác'!I49,2)</f>
        <v>0</v>
      </c>
      <c r="I113" s="219">
        <f t="shared" si="3"/>
        <v>0</v>
      </c>
      <c r="J113" s="154"/>
    </row>
    <row r="114" spans="1:10" ht="25.5">
      <c r="A114" s="88"/>
      <c r="B114" s="225"/>
      <c r="C114" s="158" t="s">
        <v>209</v>
      </c>
      <c r="D114" s="101" t="s">
        <v>108</v>
      </c>
      <c r="E114" s="96" t="s">
        <v>109</v>
      </c>
      <c r="F114" s="159" t="s">
        <v>421</v>
      </c>
      <c r="G114" s="103">
        <f>'202-00'!H214</f>
        <v>5.88</v>
      </c>
      <c r="H114" s="219">
        <f>ROUND('Súpis prác'!I50,2)</f>
        <v>0</v>
      </c>
      <c r="I114" s="219">
        <f t="shared" si="3"/>
        <v>0</v>
      </c>
      <c r="J114" s="154"/>
    </row>
    <row r="115" spans="1:10">
      <c r="A115" s="88"/>
      <c r="B115" s="225"/>
      <c r="C115" s="158" t="s">
        <v>209</v>
      </c>
      <c r="D115" s="101" t="s">
        <v>236</v>
      </c>
      <c r="E115" s="96" t="s">
        <v>237</v>
      </c>
      <c r="F115" s="159" t="s">
        <v>195</v>
      </c>
      <c r="G115" s="103">
        <f>'202-00'!H218</f>
        <v>19.62</v>
      </c>
      <c r="H115" s="219">
        <f>ROUND('Súpis prác'!I51,2)</f>
        <v>0</v>
      </c>
      <c r="I115" s="219">
        <f t="shared" si="3"/>
        <v>0</v>
      </c>
      <c r="J115" s="154"/>
    </row>
    <row r="116" spans="1:10" ht="25.5">
      <c r="A116" s="88"/>
      <c r="B116" s="225"/>
      <c r="C116" s="158" t="s">
        <v>209</v>
      </c>
      <c r="D116" s="46" t="s">
        <v>329</v>
      </c>
      <c r="E116" s="96" t="s">
        <v>413</v>
      </c>
      <c r="F116" s="159" t="s">
        <v>421</v>
      </c>
      <c r="G116" s="103">
        <f>'202-00'!H221</f>
        <v>872</v>
      </c>
      <c r="H116" s="219">
        <f>ROUND('Súpis prác'!I52,2)</f>
        <v>0</v>
      </c>
      <c r="I116" s="219">
        <f t="shared" si="3"/>
        <v>0</v>
      </c>
      <c r="J116" s="154"/>
    </row>
    <row r="117" spans="1:10" ht="24">
      <c r="A117" s="88"/>
      <c r="B117" s="225"/>
      <c r="C117" s="158" t="s">
        <v>209</v>
      </c>
      <c r="D117" s="220" t="s">
        <v>112</v>
      </c>
      <c r="E117" s="106" t="s">
        <v>113</v>
      </c>
      <c r="F117" s="159" t="s">
        <v>207</v>
      </c>
      <c r="G117" s="103">
        <f>'202-00'!H227</f>
        <v>44</v>
      </c>
      <c r="H117" s="219">
        <f>ROUND('Súpis prác'!I53,2)</f>
        <v>0</v>
      </c>
      <c r="I117" s="219">
        <f t="shared" si="3"/>
        <v>0</v>
      </c>
      <c r="J117" s="154"/>
    </row>
    <row r="118" spans="1:10">
      <c r="A118" s="88"/>
      <c r="B118" s="225"/>
      <c r="C118" s="158" t="s">
        <v>209</v>
      </c>
      <c r="D118" s="207" t="s">
        <v>114</v>
      </c>
      <c r="E118" s="47" t="s">
        <v>115</v>
      </c>
      <c r="F118" s="159" t="s">
        <v>207</v>
      </c>
      <c r="G118" s="103">
        <f>'202-00'!H230</f>
        <v>33.6</v>
      </c>
      <c r="H118" s="219">
        <f>ROUND('Súpis prác'!I55,2)</f>
        <v>0</v>
      </c>
      <c r="I118" s="219">
        <f t="shared" si="3"/>
        <v>0</v>
      </c>
      <c r="J118" s="154"/>
    </row>
    <row r="119" spans="1:10">
      <c r="A119" s="88"/>
      <c r="B119" s="225"/>
      <c r="C119" s="158" t="s">
        <v>210</v>
      </c>
      <c r="D119" s="207" t="s">
        <v>120</v>
      </c>
      <c r="E119" s="96" t="s">
        <v>121</v>
      </c>
      <c r="F119" s="159" t="s">
        <v>195</v>
      </c>
      <c r="G119" s="103">
        <f>'202-00'!H236</f>
        <v>1.92</v>
      </c>
      <c r="H119" s="219">
        <f>ROUND('Súpis prác'!I58,2)</f>
        <v>0</v>
      </c>
      <c r="I119" s="219">
        <f t="shared" si="3"/>
        <v>0</v>
      </c>
      <c r="J119" s="154"/>
    </row>
    <row r="120" spans="1:10">
      <c r="A120" s="88"/>
      <c r="B120" s="225"/>
      <c r="C120" s="158" t="s">
        <v>210</v>
      </c>
      <c r="D120" s="101" t="s">
        <v>124</v>
      </c>
      <c r="E120" s="96" t="s">
        <v>125</v>
      </c>
      <c r="F120" s="159" t="s">
        <v>198</v>
      </c>
      <c r="G120" s="103">
        <f>'202-00'!H240</f>
        <v>19.2</v>
      </c>
      <c r="H120" s="219">
        <f>ROUND('Súpis prác'!I59,2)</f>
        <v>0</v>
      </c>
      <c r="I120" s="219">
        <f t="shared" si="3"/>
        <v>0</v>
      </c>
      <c r="J120" s="154"/>
    </row>
    <row r="121" spans="1:10">
      <c r="A121" s="88"/>
      <c r="B121" s="225"/>
      <c r="C121" s="158" t="s">
        <v>315</v>
      </c>
      <c r="D121" s="101">
        <v>91022701</v>
      </c>
      <c r="E121" s="96" t="s">
        <v>285</v>
      </c>
      <c r="F121" s="159" t="s">
        <v>196</v>
      </c>
      <c r="G121" s="103">
        <f>'202-00'!H246</f>
        <v>1</v>
      </c>
      <c r="H121" s="219">
        <f>ROUND('Súpis prác'!I60,2)</f>
        <v>0</v>
      </c>
      <c r="I121" s="219">
        <f t="shared" si="3"/>
        <v>0</v>
      </c>
      <c r="J121" s="154"/>
    </row>
    <row r="122" spans="1:10" ht="25.5">
      <c r="A122" s="88"/>
      <c r="B122" s="225"/>
      <c r="C122" s="158" t="s">
        <v>287</v>
      </c>
      <c r="D122" s="101" t="s">
        <v>289</v>
      </c>
      <c r="E122" s="96" t="s">
        <v>290</v>
      </c>
      <c r="F122" s="159" t="s">
        <v>198</v>
      </c>
      <c r="G122" s="103">
        <f>'202-00'!H251</f>
        <v>754</v>
      </c>
      <c r="H122" s="219">
        <f>ROUND('Súpis prác'!I61,2)</f>
        <v>0</v>
      </c>
      <c r="I122" s="219">
        <f t="shared" si="3"/>
        <v>0</v>
      </c>
      <c r="J122" s="154"/>
    </row>
    <row r="123" spans="1:10">
      <c r="A123" s="88"/>
      <c r="B123" s="225"/>
      <c r="C123" s="158" t="s">
        <v>317</v>
      </c>
      <c r="D123" s="101" t="s">
        <v>294</v>
      </c>
      <c r="E123" s="96" t="s">
        <v>295</v>
      </c>
      <c r="F123" s="159" t="s">
        <v>198</v>
      </c>
      <c r="G123" s="103">
        <f>'202-00'!H259</f>
        <v>490</v>
      </c>
      <c r="H123" s="219">
        <f>ROUND('Súpis prác'!I62,2)</f>
        <v>0</v>
      </c>
      <c r="I123" s="219">
        <f t="shared" si="3"/>
        <v>0</v>
      </c>
      <c r="J123" s="154"/>
    </row>
    <row r="124" spans="1:10" ht="25.5">
      <c r="A124" s="88"/>
      <c r="B124" s="225"/>
      <c r="C124" s="158" t="s">
        <v>317</v>
      </c>
      <c r="D124" s="101" t="s">
        <v>299</v>
      </c>
      <c r="E124" s="96" t="s">
        <v>300</v>
      </c>
      <c r="F124" s="159" t="s">
        <v>198</v>
      </c>
      <c r="G124" s="103">
        <f>'202-00'!H263</f>
        <v>754</v>
      </c>
      <c r="H124" s="219">
        <f>ROUND('Súpis prác'!I63,2)</f>
        <v>0</v>
      </c>
      <c r="I124" s="219">
        <f t="shared" si="3"/>
        <v>0</v>
      </c>
      <c r="J124" s="154"/>
    </row>
    <row r="125" spans="1:10">
      <c r="A125" s="88"/>
      <c r="B125" s="251" t="s">
        <v>320</v>
      </c>
      <c r="C125" s="252"/>
      <c r="D125" s="252"/>
      <c r="E125" s="252"/>
      <c r="F125" s="252"/>
      <c r="G125" s="252"/>
      <c r="H125" s="253"/>
      <c r="I125" s="222">
        <f>SUM(I74:I124)</f>
        <v>0</v>
      </c>
    </row>
    <row r="126" spans="1:10">
      <c r="A126" s="88"/>
      <c r="B126" s="248" t="s">
        <v>227</v>
      </c>
      <c r="C126" s="249"/>
      <c r="D126" s="249"/>
      <c r="E126" s="249"/>
      <c r="F126" s="249"/>
      <c r="G126" s="249"/>
      <c r="H126" s="250"/>
      <c r="I126" s="226">
        <f>I21+I73+I125</f>
        <v>0</v>
      </c>
    </row>
    <row r="127" spans="1:10">
      <c r="A127" s="88"/>
      <c r="B127" s="94"/>
      <c r="C127" s="94"/>
      <c r="D127" s="94"/>
      <c r="E127" s="94"/>
      <c r="F127" s="94"/>
      <c r="G127" s="227"/>
      <c r="H127" s="228" t="s">
        <v>211</v>
      </c>
      <c r="I127" s="229">
        <f>I126*0.2</f>
        <v>0</v>
      </c>
    </row>
    <row r="128" spans="1:10">
      <c r="A128" s="88"/>
      <c r="B128" s="94"/>
      <c r="C128" s="94"/>
      <c r="D128" s="94"/>
      <c r="E128" s="94"/>
      <c r="F128" s="94"/>
      <c r="G128" s="227"/>
      <c r="H128" s="230" t="s">
        <v>212</v>
      </c>
      <c r="I128" s="231">
        <f>SUM(I126:I127)</f>
        <v>0</v>
      </c>
    </row>
    <row r="177" spans="7:8">
      <c r="H177" s="154"/>
    </row>
    <row r="179" spans="7:8">
      <c r="G179" s="154"/>
    </row>
  </sheetData>
  <sheetProtection algorithmName="SHA-512" hashValue="cSME2/6w0MSRPwO+LPheONhfa5FmPBfKCJmLKt8yZveyQ/vo49fmlIXti5mEN7X2W9Pko2T8kkZu6MdSSzXOiw==" saltValue="lQ1VIYYN8e4T7hJW41Yxfg==" spinCount="100000" sheet="1" selectLockedCells="1" selectUnlockedCells="1"/>
  <autoFilter ref="C1:C174"/>
  <mergeCells count="5">
    <mergeCell ref="C3:D3"/>
    <mergeCell ref="B126:H126"/>
    <mergeCell ref="B125:H125"/>
    <mergeCell ref="B21:H21"/>
    <mergeCell ref="B73:H73"/>
  </mergeCells>
  <printOptions horizontalCentered="1"/>
  <pageMargins left="0.196850393700787" right="0.196850393700787" top="0.74803149606299202" bottom="0.74803149606299202" header="0.31496062992126" footer="0.31496062992126"/>
  <pageSetup paperSize="9" scale="82" orientation="landscape" r:id="rId1"/>
  <headerFooter>
    <oddHeader>&amp;LVýkaz výmer aktuálny k 29.11.2019
Oprava diaľničných mostov ev.č.D2-079 cez mlynský náhon Rudava a ev.č.D2-080 cez potok Rudava&amp;RČasti stavby</oddHeader>
    <oddFooter>Strana &amp;P z &amp;N</oddFooter>
  </headerFooter>
  <rowBreaks count="3" manualBreakCount="3">
    <brk id="56" max="8" man="1"/>
    <brk id="85" max="8" man="1"/>
    <brk id="10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I114"/>
  <sheetViews>
    <sheetView view="pageLayout" zoomScaleNormal="100" zoomScaleSheetLayoutView="100" workbookViewId="0"/>
  </sheetViews>
  <sheetFormatPr defaultRowHeight="15"/>
  <cols>
    <col min="1" max="1" width="4.7109375" customWidth="1"/>
    <col min="2" max="2" width="8.140625" customWidth="1"/>
    <col min="3" max="3" width="9" bestFit="1" customWidth="1"/>
    <col min="4" max="4" width="10.85546875" customWidth="1"/>
    <col min="5" max="5" width="57.42578125" customWidth="1"/>
    <col min="6" max="6" width="10.5703125" bestFit="1" customWidth="1"/>
    <col min="7" max="7" width="5.7109375" customWidth="1"/>
    <col min="8" max="8" width="10" bestFit="1" customWidth="1"/>
  </cols>
  <sheetData>
    <row r="1" spans="1:9" ht="26.25">
      <c r="A1" s="1" t="s">
        <v>128</v>
      </c>
      <c r="B1" s="1"/>
      <c r="C1" s="2"/>
      <c r="D1" s="3"/>
      <c r="E1" s="119" t="s">
        <v>129</v>
      </c>
      <c r="F1" s="4"/>
      <c r="G1" s="5"/>
      <c r="H1" s="6"/>
    </row>
    <row r="2" spans="1:9">
      <c r="A2" s="1" t="s">
        <v>130</v>
      </c>
      <c r="B2" s="1"/>
      <c r="C2" s="2"/>
      <c r="D2" s="3"/>
      <c r="E2" s="194" t="s">
        <v>354</v>
      </c>
      <c r="F2" s="4"/>
      <c r="G2" s="5"/>
      <c r="H2" s="6"/>
    </row>
    <row r="3" spans="1:9" ht="15.75" thickBot="1">
      <c r="A3" s="7" t="s">
        <v>0</v>
      </c>
      <c r="B3" s="1"/>
      <c r="C3" s="2"/>
      <c r="D3" s="3"/>
      <c r="E3" s="136">
        <v>2141</v>
      </c>
      <c r="F3" s="4"/>
      <c r="G3" s="8"/>
      <c r="H3" s="9"/>
    </row>
    <row r="4" spans="1:9">
      <c r="A4" s="255" t="s">
        <v>1</v>
      </c>
      <c r="B4" s="256"/>
      <c r="C4" s="256"/>
      <c r="D4" s="10"/>
      <c r="E4" s="257" t="s">
        <v>2</v>
      </c>
      <c r="F4" s="258"/>
      <c r="G4" s="261" t="s">
        <v>3</v>
      </c>
      <c r="H4" s="263" t="s">
        <v>4</v>
      </c>
      <c r="I4" s="156"/>
    </row>
    <row r="5" spans="1:9" ht="15.75" thickBot="1">
      <c r="A5" s="11" t="s">
        <v>5</v>
      </c>
      <c r="B5" s="12" t="s">
        <v>6</v>
      </c>
      <c r="C5" s="12" t="s">
        <v>7</v>
      </c>
      <c r="D5" s="12" t="s">
        <v>8</v>
      </c>
      <c r="E5" s="259"/>
      <c r="F5" s="260"/>
      <c r="G5" s="262"/>
      <c r="H5" s="264"/>
    </row>
    <row r="6" spans="1:9">
      <c r="A6" s="13"/>
      <c r="B6" s="14"/>
      <c r="C6" s="14"/>
      <c r="D6" s="15"/>
      <c r="E6" s="16"/>
      <c r="F6" s="17"/>
      <c r="G6" s="18"/>
      <c r="H6" s="19"/>
    </row>
    <row r="7" spans="1:9" ht="16.5" customHeight="1">
      <c r="A7" s="20"/>
      <c r="B7" s="21" t="s">
        <v>9</v>
      </c>
      <c r="C7" s="34"/>
      <c r="D7" s="35"/>
      <c r="E7" s="36" t="s">
        <v>10</v>
      </c>
      <c r="F7" s="37"/>
      <c r="G7" s="38"/>
      <c r="H7" s="27"/>
      <c r="I7" s="156"/>
    </row>
    <row r="8" spans="1:9">
      <c r="A8" s="20"/>
      <c r="B8" s="21"/>
      <c r="C8" s="22"/>
      <c r="D8" s="23"/>
      <c r="E8" s="24"/>
      <c r="F8" s="25"/>
      <c r="G8" s="26"/>
      <c r="H8" s="27"/>
    </row>
    <row r="9" spans="1:9" s="85" customFormat="1">
      <c r="A9" s="30">
        <f>MAX(A$1:A7)+1</f>
        <v>1</v>
      </c>
      <c r="B9" s="21"/>
      <c r="C9" s="28" t="s">
        <v>11</v>
      </c>
      <c r="D9" s="23"/>
      <c r="E9" s="138" t="s">
        <v>12</v>
      </c>
      <c r="F9" s="25"/>
      <c r="G9" s="26" t="s">
        <v>13</v>
      </c>
      <c r="H9" s="29">
        <f>H22-F25</f>
        <v>0.05</v>
      </c>
    </row>
    <row r="10" spans="1:9" s="85" customFormat="1">
      <c r="A10" s="30"/>
      <c r="B10" s="21"/>
      <c r="C10" s="28"/>
      <c r="D10" s="23"/>
      <c r="E10" s="138"/>
      <c r="F10" s="25"/>
      <c r="G10" s="26"/>
      <c r="H10" s="29"/>
    </row>
    <row r="11" spans="1:9" s="198" customFormat="1">
      <c r="A11" s="30">
        <f>MAX(A$1:A10)+1</f>
        <v>2</v>
      </c>
      <c r="B11" s="21"/>
      <c r="C11" s="28" t="s">
        <v>14</v>
      </c>
      <c r="D11" s="23"/>
      <c r="E11" s="138" t="s">
        <v>15</v>
      </c>
      <c r="F11" s="25"/>
      <c r="G11" s="26" t="s">
        <v>16</v>
      </c>
      <c r="H11" s="29">
        <f>H35</f>
        <v>576</v>
      </c>
    </row>
    <row r="12" spans="1:9">
      <c r="A12" s="20"/>
      <c r="B12" s="21"/>
      <c r="C12" s="28"/>
      <c r="D12" s="23"/>
      <c r="E12" s="24"/>
      <c r="F12" s="25"/>
      <c r="G12" s="26"/>
      <c r="H12" s="29"/>
    </row>
    <row r="13" spans="1:9" ht="25.5">
      <c r="A13" s="30">
        <f>MAX(A$1:A12)+1</f>
        <v>3</v>
      </c>
      <c r="B13" s="31"/>
      <c r="C13" s="32" t="s">
        <v>17</v>
      </c>
      <c r="D13" s="33"/>
      <c r="E13" s="138" t="s">
        <v>18</v>
      </c>
      <c r="F13" s="138"/>
      <c r="G13" s="26" t="s">
        <v>19</v>
      </c>
      <c r="H13" s="29">
        <v>1</v>
      </c>
    </row>
    <row r="14" spans="1:9">
      <c r="A14" s="20"/>
      <c r="B14" s="21"/>
      <c r="C14" s="28"/>
      <c r="D14" s="23"/>
      <c r="E14" s="24"/>
      <c r="F14" s="25"/>
      <c r="G14" s="26"/>
      <c r="H14" s="27"/>
    </row>
    <row r="15" spans="1:9" ht="51">
      <c r="A15" s="30">
        <f>MAX(A$1:A14)+1</f>
        <v>4</v>
      </c>
      <c r="B15" s="31"/>
      <c r="C15" s="32" t="s">
        <v>20</v>
      </c>
      <c r="D15" s="33"/>
      <c r="E15" s="138" t="s">
        <v>260</v>
      </c>
      <c r="F15" s="138"/>
      <c r="G15" s="26" t="s">
        <v>21</v>
      </c>
      <c r="H15" s="29">
        <v>1</v>
      </c>
    </row>
    <row r="16" spans="1:9">
      <c r="A16" s="20"/>
      <c r="B16" s="21"/>
      <c r="C16" s="28"/>
      <c r="D16" s="23"/>
      <c r="E16" s="24"/>
      <c r="F16" s="25"/>
      <c r="G16" s="26"/>
      <c r="H16" s="27"/>
    </row>
    <row r="17" spans="1:8" s="85" customFormat="1" ht="15.75">
      <c r="A17" s="20"/>
      <c r="B17" s="21" t="s">
        <v>22</v>
      </c>
      <c r="C17" s="34"/>
      <c r="D17" s="35"/>
      <c r="E17" s="36" t="s">
        <v>23</v>
      </c>
      <c r="F17" s="37"/>
      <c r="G17" s="38"/>
      <c r="H17" s="27"/>
    </row>
    <row r="18" spans="1:8" s="85" customFormat="1">
      <c r="A18" s="39"/>
      <c r="B18" s="44"/>
      <c r="C18" s="45"/>
      <c r="D18" s="46"/>
      <c r="E18" s="40"/>
      <c r="F18" s="43"/>
      <c r="G18" s="48"/>
      <c r="H18" s="27"/>
    </row>
    <row r="19" spans="1:8" s="198" customFormat="1" ht="25.5">
      <c r="A19" s="30">
        <f>MAX(A$1:A18)+1</f>
        <v>5</v>
      </c>
      <c r="B19" s="31"/>
      <c r="C19" s="32" t="s">
        <v>32</v>
      </c>
      <c r="D19" s="33"/>
      <c r="E19" s="138" t="s">
        <v>33</v>
      </c>
      <c r="F19" s="138"/>
      <c r="G19" s="42" t="s">
        <v>31</v>
      </c>
      <c r="H19" s="29">
        <f>F20</f>
        <v>240</v>
      </c>
    </row>
    <row r="20" spans="1:8" s="198" customFormat="1">
      <c r="A20" s="30"/>
      <c r="B20" s="31"/>
      <c r="C20" s="32"/>
      <c r="D20" s="33"/>
      <c r="E20" s="40" t="s">
        <v>335</v>
      </c>
      <c r="F20" s="43">
        <f>120+120</f>
        <v>240</v>
      </c>
      <c r="G20" s="42"/>
      <c r="H20" s="29"/>
    </row>
    <row r="21" spans="1:8" s="85" customFormat="1">
      <c r="A21" s="30"/>
      <c r="B21" s="31"/>
      <c r="C21" s="32"/>
      <c r="D21" s="33"/>
      <c r="E21" s="40"/>
      <c r="F21" s="43"/>
      <c r="G21" s="42"/>
      <c r="H21" s="29"/>
    </row>
    <row r="22" spans="1:8" s="85" customFormat="1">
      <c r="A22" s="30">
        <f>MAX(A$1:A20)+1</f>
        <v>6</v>
      </c>
      <c r="B22" s="31"/>
      <c r="C22" s="32" t="s">
        <v>34</v>
      </c>
      <c r="D22" s="33"/>
      <c r="E22" s="138" t="s">
        <v>35</v>
      </c>
      <c r="F22" s="138"/>
      <c r="G22" s="42" t="s">
        <v>13</v>
      </c>
      <c r="H22" s="29">
        <f>H23</f>
        <v>10.130000000000001</v>
      </c>
    </row>
    <row r="23" spans="1:8" s="85" customFormat="1">
      <c r="A23" s="39"/>
      <c r="B23" s="44"/>
      <c r="C23" s="45"/>
      <c r="D23" s="139" t="s">
        <v>36</v>
      </c>
      <c r="E23" s="47" t="s">
        <v>181</v>
      </c>
      <c r="F23" s="47"/>
      <c r="G23" s="48" t="s">
        <v>13</v>
      </c>
      <c r="H23" s="27">
        <f>F27</f>
        <v>10.130000000000001</v>
      </c>
    </row>
    <row r="24" spans="1:8" s="85" customFormat="1">
      <c r="A24" s="39"/>
      <c r="B24" s="44"/>
      <c r="C24" s="45"/>
      <c r="D24" s="139"/>
      <c r="E24" s="166" t="s">
        <v>261</v>
      </c>
      <c r="F24" s="43"/>
      <c r="G24" s="48"/>
      <c r="H24" s="27"/>
    </row>
    <row r="25" spans="1:8" s="85" customFormat="1">
      <c r="A25" s="39"/>
      <c r="B25" s="44"/>
      <c r="C25" s="45"/>
      <c r="D25" s="139"/>
      <c r="E25" s="40" t="s">
        <v>184</v>
      </c>
      <c r="F25" s="43">
        <f>F20*0.042</f>
        <v>10.08</v>
      </c>
      <c r="G25" s="48"/>
      <c r="H25" s="27"/>
    </row>
    <row r="26" spans="1:8" s="85" customFormat="1">
      <c r="A26" s="39"/>
      <c r="B26" s="44"/>
      <c r="C26" s="45"/>
      <c r="D26" s="139"/>
      <c r="E26" s="40" t="s">
        <v>185</v>
      </c>
      <c r="F26" s="141">
        <v>0.05</v>
      </c>
      <c r="G26" s="48"/>
      <c r="H26" s="27"/>
    </row>
    <row r="27" spans="1:8" s="85" customFormat="1">
      <c r="A27" s="39"/>
      <c r="B27" s="44"/>
      <c r="C27" s="45"/>
      <c r="D27" s="139"/>
      <c r="E27" s="40"/>
      <c r="F27" s="52">
        <f>SUM(F25:F26)</f>
        <v>10.130000000000001</v>
      </c>
      <c r="G27" s="48"/>
      <c r="H27" s="27"/>
    </row>
    <row r="28" spans="1:8" s="85" customFormat="1">
      <c r="A28" s="39"/>
      <c r="B28" s="44"/>
      <c r="C28" s="45"/>
      <c r="D28" s="46"/>
      <c r="E28" s="47"/>
      <c r="F28" s="47"/>
      <c r="G28" s="48"/>
      <c r="H28" s="27"/>
    </row>
    <row r="29" spans="1:8" s="85" customFormat="1">
      <c r="A29" s="56"/>
      <c r="B29" s="57" t="s">
        <v>41</v>
      </c>
      <c r="C29" s="58"/>
      <c r="D29" s="33"/>
      <c r="E29" s="36" t="s">
        <v>42</v>
      </c>
      <c r="F29" s="59"/>
      <c r="G29" s="42"/>
      <c r="H29" s="27"/>
    </row>
    <row r="30" spans="1:8" s="85" customFormat="1">
      <c r="A30" s="49"/>
      <c r="B30" s="26"/>
      <c r="C30" s="26"/>
      <c r="D30" s="50"/>
      <c r="E30" s="51"/>
      <c r="F30" s="52"/>
      <c r="G30" s="53"/>
      <c r="H30" s="54"/>
    </row>
    <row r="31" spans="1:8" s="198" customFormat="1">
      <c r="A31" s="30">
        <f>MAX(A$1:A30)+1</f>
        <v>7</v>
      </c>
      <c r="B31" s="118"/>
      <c r="C31" s="32" t="s">
        <v>43</v>
      </c>
      <c r="D31" s="33"/>
      <c r="E31" s="138" t="s">
        <v>44</v>
      </c>
      <c r="F31" s="119"/>
      <c r="G31" s="42" t="s">
        <v>16</v>
      </c>
      <c r="H31" s="29">
        <f>H32</f>
        <v>576</v>
      </c>
    </row>
    <row r="32" spans="1:8" s="198" customFormat="1">
      <c r="A32" s="69"/>
      <c r="B32" s="70"/>
      <c r="C32" s="45"/>
      <c r="D32" s="46" t="s">
        <v>45</v>
      </c>
      <c r="E32" s="47" t="s">
        <v>46</v>
      </c>
      <c r="F32" s="55"/>
      <c r="G32" s="48" t="s">
        <v>16</v>
      </c>
      <c r="H32" s="27">
        <f>F33</f>
        <v>576</v>
      </c>
    </row>
    <row r="33" spans="1:8" s="198" customFormat="1">
      <c r="A33" s="49"/>
      <c r="B33" s="26"/>
      <c r="C33" s="26"/>
      <c r="D33" s="50"/>
      <c r="E33" s="51" t="s">
        <v>336</v>
      </c>
      <c r="F33" s="52">
        <f>2*120*4*0.6</f>
        <v>576</v>
      </c>
      <c r="G33" s="53"/>
      <c r="H33" s="54"/>
    </row>
    <row r="34" spans="1:8" s="198" customFormat="1">
      <c r="A34" s="49"/>
      <c r="B34" s="26"/>
      <c r="C34" s="26"/>
      <c r="D34" s="50"/>
      <c r="E34" s="51"/>
      <c r="F34" s="52"/>
      <c r="G34" s="53"/>
      <c r="H34" s="54"/>
    </row>
    <row r="35" spans="1:8" s="198" customFormat="1">
      <c r="A35" s="30">
        <f>MAX(A$1:A34)+1</f>
        <v>8</v>
      </c>
      <c r="B35" s="118"/>
      <c r="C35" s="32" t="s">
        <v>47</v>
      </c>
      <c r="D35" s="33"/>
      <c r="E35" s="138" t="s">
        <v>48</v>
      </c>
      <c r="F35" s="119"/>
      <c r="G35" s="42" t="s">
        <v>16</v>
      </c>
      <c r="H35" s="29">
        <f>H36</f>
        <v>576</v>
      </c>
    </row>
    <row r="36" spans="1:8" s="198" customFormat="1">
      <c r="A36" s="69"/>
      <c r="B36" s="70"/>
      <c r="C36" s="45"/>
      <c r="D36" s="46" t="s">
        <v>49</v>
      </c>
      <c r="E36" s="47" t="s">
        <v>50</v>
      </c>
      <c r="F36" s="55"/>
      <c r="G36" s="48" t="s">
        <v>16</v>
      </c>
      <c r="H36" s="27">
        <f>H39</f>
        <v>576</v>
      </c>
    </row>
    <row r="37" spans="1:8" s="198" customFormat="1">
      <c r="A37" s="130"/>
      <c r="B37" s="70"/>
      <c r="C37" s="45"/>
      <c r="D37" s="46"/>
      <c r="E37" s="47"/>
      <c r="F37" s="55"/>
      <c r="G37" s="48"/>
      <c r="H37" s="27"/>
    </row>
    <row r="38" spans="1:8" s="198" customFormat="1">
      <c r="A38" s="30">
        <f>MAX(A$1:A37)+1</f>
        <v>9</v>
      </c>
      <c r="B38" s="118"/>
      <c r="C38" s="32" t="s">
        <v>51</v>
      </c>
      <c r="D38" s="33"/>
      <c r="E38" s="138" t="s">
        <v>52</v>
      </c>
      <c r="F38" s="119"/>
      <c r="G38" s="42" t="s">
        <v>16</v>
      </c>
      <c r="H38" s="29">
        <f>H39</f>
        <v>576</v>
      </c>
    </row>
    <row r="39" spans="1:8" s="198" customFormat="1" ht="25.5">
      <c r="A39" s="69"/>
      <c r="B39" s="70"/>
      <c r="C39" s="45"/>
      <c r="D39" s="46" t="s">
        <v>53</v>
      </c>
      <c r="E39" s="47" t="s">
        <v>54</v>
      </c>
      <c r="F39" s="55"/>
      <c r="G39" s="48" t="s">
        <v>16</v>
      </c>
      <c r="H39" s="27">
        <f>H32</f>
        <v>576</v>
      </c>
    </row>
    <row r="40" spans="1:8" s="198" customFormat="1">
      <c r="A40" s="69"/>
      <c r="B40" s="70"/>
      <c r="C40" s="45"/>
      <c r="D40" s="46"/>
      <c r="E40" s="47"/>
      <c r="F40" s="55"/>
      <c r="G40" s="48"/>
      <c r="H40" s="27"/>
    </row>
    <row r="41" spans="1:8" ht="38.25">
      <c r="A41" s="71"/>
      <c r="B41" s="72" t="s">
        <v>321</v>
      </c>
      <c r="C41" s="21"/>
      <c r="D41" s="73"/>
      <c r="E41" s="36" t="s">
        <v>337</v>
      </c>
      <c r="F41" s="59"/>
      <c r="G41" s="50"/>
      <c r="H41" s="27"/>
    </row>
    <row r="42" spans="1:8">
      <c r="A42" s="71"/>
      <c r="B42" s="72"/>
      <c r="C42" s="21"/>
      <c r="D42" s="199"/>
      <c r="E42" s="36"/>
      <c r="F42" s="59"/>
      <c r="G42" s="50"/>
      <c r="H42" s="27"/>
    </row>
    <row r="43" spans="1:8" s="198" customFormat="1">
      <c r="A43" s="30">
        <f>MAX(A$1:A40)+1</f>
        <v>10</v>
      </c>
      <c r="B43" s="72"/>
      <c r="C43" s="32" t="s">
        <v>322</v>
      </c>
      <c r="D43" s="143"/>
      <c r="E43" s="138" t="s">
        <v>323</v>
      </c>
      <c r="F43" s="138"/>
      <c r="G43" s="42" t="s">
        <v>16</v>
      </c>
      <c r="H43" s="29">
        <f>F44</f>
        <v>240</v>
      </c>
    </row>
    <row r="44" spans="1:8" s="198" customFormat="1">
      <c r="A44" s="56"/>
      <c r="B44" s="70"/>
      <c r="C44" s="45"/>
      <c r="D44" s="46"/>
      <c r="E44" s="40" t="s">
        <v>338</v>
      </c>
      <c r="F44" s="74">
        <f>2*(120*4*0.25)</f>
        <v>240</v>
      </c>
      <c r="G44" s="48"/>
      <c r="H44" s="27"/>
    </row>
    <row r="45" spans="1:8">
      <c r="A45" s="71"/>
      <c r="B45" s="72"/>
      <c r="C45" s="21"/>
      <c r="D45" s="199"/>
      <c r="E45" s="36"/>
      <c r="F45" s="59"/>
      <c r="G45" s="50"/>
      <c r="H45" s="27"/>
    </row>
    <row r="46" spans="1:8" s="85" customFormat="1" ht="38.25">
      <c r="A46" s="30">
        <f>MAX(A$1:A44)+1</f>
        <v>11</v>
      </c>
      <c r="B46" s="118"/>
      <c r="C46" s="32" t="s">
        <v>324</v>
      </c>
      <c r="D46" s="143"/>
      <c r="E46" s="138" t="s">
        <v>325</v>
      </c>
      <c r="F46" s="119"/>
      <c r="G46" s="42" t="s">
        <v>16</v>
      </c>
      <c r="H46" s="29">
        <f>H47</f>
        <v>163.19999999999999</v>
      </c>
    </row>
    <row r="47" spans="1:8" s="85" customFormat="1" ht="38.25">
      <c r="A47" s="69"/>
      <c r="B47" s="70"/>
      <c r="C47" s="45"/>
      <c r="D47" s="139" t="s">
        <v>339</v>
      </c>
      <c r="E47" s="47" t="s">
        <v>340</v>
      </c>
      <c r="F47" s="47"/>
      <c r="G47" s="48" t="s">
        <v>16</v>
      </c>
      <c r="H47" s="27">
        <f>F48</f>
        <v>163.19999999999999</v>
      </c>
    </row>
    <row r="48" spans="1:8" s="85" customFormat="1">
      <c r="A48" s="56"/>
      <c r="B48" s="70"/>
      <c r="C48" s="45"/>
      <c r="D48" s="46"/>
      <c r="E48" s="40" t="s">
        <v>341</v>
      </c>
      <c r="F48" s="74">
        <f>2*(120*4*0.17)</f>
        <v>163.19999999999999</v>
      </c>
      <c r="G48" s="48"/>
      <c r="H48" s="27"/>
    </row>
    <row r="49" spans="1:8" s="85" customFormat="1">
      <c r="A49" s="56"/>
      <c r="B49" s="70"/>
      <c r="C49" s="45"/>
      <c r="D49" s="46"/>
      <c r="E49" s="40"/>
      <c r="F49" s="74"/>
      <c r="G49" s="48"/>
      <c r="H49" s="27"/>
    </row>
    <row r="50" spans="1:8" s="85" customFormat="1" ht="38.25">
      <c r="A50" s="71"/>
      <c r="B50" s="72" t="s">
        <v>102</v>
      </c>
      <c r="C50" s="21"/>
      <c r="D50" s="73"/>
      <c r="E50" s="36" t="s">
        <v>103</v>
      </c>
      <c r="F50" s="60"/>
      <c r="G50" s="50"/>
      <c r="H50" s="27"/>
    </row>
    <row r="51" spans="1:8" s="85" customFormat="1">
      <c r="A51" s="71"/>
      <c r="B51" s="72"/>
      <c r="C51" s="21"/>
      <c r="D51" s="199"/>
      <c r="E51" s="36"/>
      <c r="F51" s="60"/>
      <c r="G51" s="50"/>
      <c r="H51" s="27"/>
    </row>
    <row r="52" spans="1:8" s="200" customFormat="1" ht="25.5">
      <c r="A52" s="30">
        <f>MAX(A$1:A50)+1</f>
        <v>12</v>
      </c>
      <c r="B52" s="72"/>
      <c r="C52" s="32" t="s">
        <v>327</v>
      </c>
      <c r="D52" s="143"/>
      <c r="E52" s="138" t="s">
        <v>328</v>
      </c>
      <c r="F52" s="138"/>
      <c r="G52" s="42" t="s">
        <v>28</v>
      </c>
      <c r="H52" s="29">
        <f>H53</f>
        <v>960</v>
      </c>
    </row>
    <row r="53" spans="1:8" s="85" customFormat="1" ht="38.25">
      <c r="A53" s="71"/>
      <c r="B53" s="72"/>
      <c r="C53" s="21"/>
      <c r="D53" s="139" t="s">
        <v>342</v>
      </c>
      <c r="E53" s="47" t="s">
        <v>343</v>
      </c>
      <c r="F53" s="47"/>
      <c r="G53" s="48" t="s">
        <v>28</v>
      </c>
      <c r="H53" s="27">
        <f>2*(120*4)</f>
        <v>960</v>
      </c>
    </row>
    <row r="54" spans="1:8" s="85" customFormat="1">
      <c r="A54" s="71"/>
      <c r="B54" s="72"/>
      <c r="C54" s="21"/>
      <c r="D54" s="73"/>
      <c r="E54" s="40"/>
      <c r="F54" s="60"/>
      <c r="G54" s="50"/>
      <c r="H54" s="27"/>
    </row>
    <row r="55" spans="1:8" s="198" customFormat="1" ht="25.5">
      <c r="A55" s="30">
        <f>MAX(A$1:A52)+1</f>
        <v>13</v>
      </c>
      <c r="B55" s="118"/>
      <c r="C55" s="32" t="s">
        <v>329</v>
      </c>
      <c r="D55" s="33"/>
      <c r="E55" s="138" t="s">
        <v>330</v>
      </c>
      <c r="F55" s="144"/>
      <c r="G55" s="42" t="s">
        <v>28</v>
      </c>
      <c r="H55" s="29">
        <f>H56</f>
        <v>1920</v>
      </c>
    </row>
    <row r="56" spans="1:8" s="198" customFormat="1" ht="38.25">
      <c r="A56" s="76"/>
      <c r="B56" s="70"/>
      <c r="C56" s="45"/>
      <c r="D56" s="139" t="s">
        <v>344</v>
      </c>
      <c r="E56" s="47" t="s">
        <v>345</v>
      </c>
      <c r="F56" s="47"/>
      <c r="G56" s="48" t="s">
        <v>28</v>
      </c>
      <c r="H56" s="27">
        <f>F59</f>
        <v>1920</v>
      </c>
    </row>
    <row r="57" spans="1:8" s="198" customFormat="1">
      <c r="A57" s="56"/>
      <c r="B57" s="70"/>
      <c r="C57" s="45"/>
      <c r="D57" s="46"/>
      <c r="E57" s="40" t="s">
        <v>346</v>
      </c>
      <c r="F57" s="74">
        <f>2*(120*4)</f>
        <v>960</v>
      </c>
      <c r="G57" s="48"/>
      <c r="H57" s="27"/>
    </row>
    <row r="58" spans="1:8" s="198" customFormat="1">
      <c r="A58" s="56"/>
      <c r="B58" s="70"/>
      <c r="C58" s="45"/>
      <c r="D58" s="46"/>
      <c r="E58" s="40" t="s">
        <v>347</v>
      </c>
      <c r="F58" s="132">
        <f>2*(120*4)</f>
        <v>960</v>
      </c>
      <c r="G58" s="48"/>
      <c r="H58" s="27"/>
    </row>
    <row r="59" spans="1:8" s="198" customFormat="1">
      <c r="A59" s="56"/>
      <c r="B59" s="70"/>
      <c r="C59" s="45"/>
      <c r="D59" s="46"/>
      <c r="E59" s="40"/>
      <c r="F59" s="74">
        <f>SUM(F57:F58)</f>
        <v>1920</v>
      </c>
      <c r="G59" s="48"/>
      <c r="H59" s="27"/>
    </row>
    <row r="60" spans="1:8" s="85" customFormat="1">
      <c r="A60" s="76"/>
      <c r="B60" s="70"/>
      <c r="C60" s="45"/>
      <c r="D60" s="46"/>
      <c r="E60" s="47"/>
      <c r="F60" s="74"/>
      <c r="G60" s="48"/>
      <c r="H60" s="27"/>
    </row>
    <row r="61" spans="1:8" s="85" customFormat="1" ht="25.5">
      <c r="A61" s="30">
        <f>MAX(A$1:A56)+1</f>
        <v>14</v>
      </c>
      <c r="B61" s="118"/>
      <c r="C61" s="32" t="s">
        <v>331</v>
      </c>
      <c r="D61" s="33"/>
      <c r="E61" s="138" t="s">
        <v>332</v>
      </c>
      <c r="F61" s="144"/>
      <c r="G61" s="42" t="s">
        <v>16</v>
      </c>
      <c r="H61" s="29">
        <f>H62</f>
        <v>172.8</v>
      </c>
    </row>
    <row r="62" spans="1:8" s="85" customFormat="1" ht="25.5">
      <c r="A62" s="76"/>
      <c r="B62" s="70"/>
      <c r="C62" s="45"/>
      <c r="D62" s="46" t="s">
        <v>348</v>
      </c>
      <c r="E62" s="47" t="s">
        <v>349</v>
      </c>
      <c r="F62" s="74"/>
      <c r="G62" s="48" t="s">
        <v>16</v>
      </c>
      <c r="H62" s="27">
        <f>F66</f>
        <v>172.8</v>
      </c>
    </row>
    <row r="63" spans="1:8" s="85" customFormat="1">
      <c r="A63" s="56"/>
      <c r="B63" s="70"/>
      <c r="C63" s="45"/>
      <c r="D63" s="46"/>
      <c r="E63" s="40" t="s">
        <v>350</v>
      </c>
      <c r="F63" s="74">
        <f>2*(120*4*0.04)</f>
        <v>38.4</v>
      </c>
      <c r="G63" s="48"/>
      <c r="H63" s="27"/>
    </row>
    <row r="64" spans="1:8" s="85" customFormat="1">
      <c r="A64" s="56"/>
      <c r="B64" s="70"/>
      <c r="C64" s="45"/>
      <c r="D64" s="46"/>
      <c r="E64" s="40" t="s">
        <v>351</v>
      </c>
      <c r="F64" s="74">
        <f>2*(120*4*0.06)</f>
        <v>57.6</v>
      </c>
      <c r="G64" s="48"/>
      <c r="H64" s="27"/>
    </row>
    <row r="65" spans="1:8" s="85" customFormat="1">
      <c r="A65" s="56"/>
      <c r="B65" s="70"/>
      <c r="C65" s="45"/>
      <c r="D65" s="46"/>
      <c r="E65" s="40" t="s">
        <v>352</v>
      </c>
      <c r="F65" s="132">
        <f>2*(120*4*0.08)</f>
        <v>76.8</v>
      </c>
      <c r="G65" s="48"/>
      <c r="H65" s="27"/>
    </row>
    <row r="66" spans="1:8" s="85" customFormat="1">
      <c r="A66" s="56"/>
      <c r="B66" s="70"/>
      <c r="C66" s="45"/>
      <c r="D66" s="46"/>
      <c r="E66" s="40"/>
      <c r="F66" s="43">
        <f>SUM(F63:F65)</f>
        <v>172.8</v>
      </c>
      <c r="G66" s="48"/>
      <c r="H66" s="27"/>
    </row>
    <row r="67" spans="1:8" s="85" customFormat="1">
      <c r="A67" s="56"/>
      <c r="B67" s="70"/>
      <c r="C67" s="45"/>
      <c r="D67" s="46"/>
      <c r="E67" s="40"/>
      <c r="F67" s="43"/>
      <c r="G67" s="48"/>
      <c r="H67" s="27"/>
    </row>
    <row r="68" spans="1:8" s="85" customFormat="1">
      <c r="A68" s="30">
        <f>MAX(A$1:A67)+1</f>
        <v>15</v>
      </c>
      <c r="B68" s="131"/>
      <c r="C68" s="32" t="s">
        <v>333</v>
      </c>
      <c r="D68" s="143"/>
      <c r="E68" s="138" t="s">
        <v>334</v>
      </c>
      <c r="F68" s="138"/>
      <c r="G68" s="42" t="s">
        <v>31</v>
      </c>
      <c r="H68" s="29">
        <f>F69</f>
        <v>240</v>
      </c>
    </row>
    <row r="69" spans="1:8" s="85" customFormat="1" ht="25.5">
      <c r="A69" s="76"/>
      <c r="B69" s="131"/>
      <c r="C69" s="33"/>
      <c r="D69" s="46"/>
      <c r="E69" s="40" t="s">
        <v>353</v>
      </c>
      <c r="F69" s="74">
        <f>120+120</f>
        <v>240</v>
      </c>
      <c r="G69" s="48"/>
      <c r="H69" s="27"/>
    </row>
    <row r="70" spans="1:8" s="85" customFormat="1">
      <c r="A70" s="56"/>
      <c r="B70" s="70"/>
      <c r="C70" s="45"/>
      <c r="D70" s="46"/>
      <c r="E70" s="40"/>
      <c r="F70" s="43"/>
      <c r="G70" s="48"/>
      <c r="H70" s="27"/>
    </row>
    <row r="71" spans="1:8" s="85" customFormat="1">
      <c r="A71" s="30">
        <f>MAX(A$1:A70)+1</f>
        <v>16</v>
      </c>
      <c r="B71" s="118"/>
      <c r="C71" s="32" t="s">
        <v>427</v>
      </c>
      <c r="D71" s="33"/>
      <c r="E71" s="138" t="s">
        <v>422</v>
      </c>
      <c r="F71" s="144"/>
      <c r="G71" s="48"/>
      <c r="H71" s="29">
        <f>F74</f>
        <v>16</v>
      </c>
    </row>
    <row r="72" spans="1:8" s="85" customFormat="1">
      <c r="A72" s="76"/>
      <c r="B72" s="70"/>
      <c r="C72" s="45"/>
      <c r="D72" s="46"/>
      <c r="E72" s="214" t="s">
        <v>424</v>
      </c>
      <c r="F72" s="232">
        <v>8</v>
      </c>
      <c r="G72" s="48" t="s">
        <v>21</v>
      </c>
    </row>
    <row r="73" spans="1:8" s="85" customFormat="1">
      <c r="A73" s="56"/>
      <c r="B73" s="70"/>
      <c r="C73" s="45"/>
      <c r="D73" s="46"/>
      <c r="E73" s="215" t="s">
        <v>425</v>
      </c>
      <c r="F73" s="233">
        <v>8</v>
      </c>
      <c r="G73" s="48" t="s">
        <v>21</v>
      </c>
    </row>
    <row r="74" spans="1:8" s="85" customFormat="1">
      <c r="A74" s="56"/>
      <c r="B74" s="70"/>
      <c r="C74" s="45"/>
      <c r="D74" s="46"/>
      <c r="E74" s="40"/>
      <c r="F74" s="232">
        <f>SUM(F72:F73)</f>
        <v>16</v>
      </c>
      <c r="G74" s="48"/>
    </row>
    <row r="75" spans="1:8" s="85" customFormat="1">
      <c r="A75" s="56"/>
      <c r="B75" s="70"/>
      <c r="C75" s="45"/>
      <c r="D75" s="46"/>
      <c r="E75" s="40"/>
      <c r="G75" s="48"/>
    </row>
    <row r="76" spans="1:8" s="85" customFormat="1" ht="25.5">
      <c r="A76" s="30">
        <f>MAX(A$1:A75)+1</f>
        <v>17</v>
      </c>
      <c r="B76" s="118"/>
      <c r="C76" s="32">
        <v>22250465</v>
      </c>
      <c r="D76" s="33"/>
      <c r="E76" s="138" t="s">
        <v>423</v>
      </c>
      <c r="F76" s="144"/>
      <c r="G76" s="42" t="s">
        <v>21</v>
      </c>
      <c r="H76" s="29">
        <f>H77</f>
        <v>24</v>
      </c>
    </row>
    <row r="77" spans="1:8" s="85" customFormat="1" ht="15.75" thickBot="1">
      <c r="A77" s="234"/>
      <c r="B77" s="235"/>
      <c r="C77" s="236"/>
      <c r="D77" s="237"/>
      <c r="E77" s="238" t="s">
        <v>426</v>
      </c>
      <c r="F77" s="239"/>
      <c r="G77" s="240" t="s">
        <v>21</v>
      </c>
      <c r="H77" s="241">
        <v>24</v>
      </c>
    </row>
    <row r="78" spans="1:8">
      <c r="A78" s="78"/>
      <c r="B78" s="78"/>
      <c r="C78" s="79"/>
      <c r="D78" s="80"/>
      <c r="E78" s="66"/>
    </row>
    <row r="79" spans="1:8">
      <c r="A79" s="78"/>
      <c r="B79" s="78"/>
      <c r="C79" s="79"/>
      <c r="D79" s="80"/>
      <c r="E79" s="66"/>
      <c r="F79" s="67"/>
      <c r="G79" s="81"/>
      <c r="H79" s="82"/>
    </row>
    <row r="80" spans="1:8">
      <c r="A80" s="78"/>
      <c r="B80" s="78"/>
      <c r="C80" s="79"/>
      <c r="D80" s="80"/>
      <c r="E80" s="66"/>
      <c r="F80" s="67"/>
      <c r="G80" s="81"/>
      <c r="H80" s="82"/>
    </row>
    <row r="81" spans="1:8">
      <c r="A81" s="78"/>
      <c r="B81" s="78"/>
      <c r="C81" s="79"/>
      <c r="D81" s="80"/>
      <c r="E81" s="66"/>
      <c r="F81" s="67"/>
      <c r="G81" s="81"/>
      <c r="H81" s="82"/>
    </row>
    <row r="82" spans="1:8">
      <c r="A82" s="78"/>
      <c r="B82" s="78"/>
      <c r="C82" s="79"/>
      <c r="D82" s="80"/>
      <c r="E82" s="66"/>
      <c r="F82" s="67"/>
      <c r="G82" s="81"/>
      <c r="H82" s="82"/>
    </row>
    <row r="83" spans="1:8">
      <c r="A83" s="78"/>
      <c r="B83" s="78"/>
      <c r="C83" s="79"/>
      <c r="D83" s="80"/>
      <c r="E83" s="66"/>
      <c r="F83" s="67"/>
      <c r="G83" s="81"/>
      <c r="H83" s="82"/>
    </row>
    <row r="84" spans="1:8">
      <c r="A84" s="78"/>
      <c r="B84" s="78"/>
      <c r="C84" s="79"/>
      <c r="D84" s="80"/>
      <c r="E84" s="66"/>
      <c r="F84" s="67"/>
      <c r="G84" s="81"/>
      <c r="H84" s="82"/>
    </row>
    <row r="85" spans="1:8">
      <c r="A85" s="78"/>
      <c r="B85" s="78"/>
      <c r="C85" s="79"/>
      <c r="D85" s="80"/>
      <c r="E85" s="66"/>
      <c r="F85" s="67"/>
      <c r="G85" s="81"/>
      <c r="H85" s="82"/>
    </row>
    <row r="86" spans="1:8">
      <c r="A86" s="78"/>
      <c r="B86" s="78"/>
      <c r="C86" s="79"/>
      <c r="D86" s="80"/>
      <c r="E86" s="66"/>
      <c r="F86" s="67"/>
      <c r="G86" s="81"/>
      <c r="H86" s="82"/>
    </row>
    <row r="87" spans="1:8">
      <c r="A87" s="78"/>
      <c r="B87" s="78"/>
      <c r="C87" s="79"/>
      <c r="D87" s="80"/>
      <c r="E87" s="66"/>
      <c r="F87" s="67"/>
      <c r="G87" s="81"/>
      <c r="H87" s="82"/>
    </row>
    <row r="88" spans="1:8">
      <c r="A88" s="78"/>
      <c r="B88" s="78"/>
      <c r="C88" s="79"/>
      <c r="D88" s="80"/>
      <c r="E88" s="66"/>
      <c r="F88" s="67"/>
      <c r="G88" s="81"/>
      <c r="H88" s="82"/>
    </row>
    <row r="89" spans="1:8">
      <c r="A89" s="78"/>
      <c r="B89" s="78"/>
      <c r="C89" s="79"/>
      <c r="D89" s="80"/>
      <c r="E89" s="66"/>
      <c r="F89" s="67"/>
      <c r="G89" s="81"/>
      <c r="H89" s="82"/>
    </row>
    <row r="90" spans="1:8">
      <c r="A90" s="78"/>
      <c r="B90" s="78"/>
      <c r="C90" s="79"/>
      <c r="D90" s="80"/>
      <c r="E90" s="66"/>
      <c r="F90" s="67"/>
      <c r="G90" s="81"/>
      <c r="H90" s="82"/>
    </row>
    <row r="91" spans="1:8">
      <c r="A91" s="78"/>
      <c r="B91" s="78"/>
      <c r="C91" s="79"/>
      <c r="D91" s="80"/>
      <c r="E91" s="66"/>
      <c r="F91" s="67"/>
      <c r="G91" s="81"/>
      <c r="H91" s="82"/>
    </row>
    <row r="92" spans="1:8">
      <c r="A92" s="78"/>
      <c r="B92" s="78"/>
      <c r="C92" s="79"/>
      <c r="D92" s="80"/>
      <c r="E92" s="66"/>
      <c r="F92" s="67"/>
      <c r="G92" s="81"/>
      <c r="H92" s="82"/>
    </row>
    <row r="93" spans="1:8">
      <c r="A93" s="78"/>
      <c r="B93" s="78"/>
      <c r="C93" s="79"/>
      <c r="D93" s="80"/>
      <c r="E93" s="66"/>
      <c r="F93" s="67"/>
      <c r="G93" s="81"/>
      <c r="H93" s="82"/>
    </row>
    <row r="94" spans="1:8">
      <c r="A94" s="78"/>
      <c r="B94" s="78"/>
      <c r="C94" s="79"/>
      <c r="D94" s="80"/>
      <c r="E94" s="66"/>
      <c r="F94" s="67"/>
      <c r="G94" s="81"/>
      <c r="H94" s="82"/>
    </row>
    <row r="95" spans="1:8">
      <c r="A95" s="78"/>
      <c r="B95" s="78"/>
      <c r="C95" s="79"/>
      <c r="D95" s="80"/>
      <c r="E95" s="66"/>
      <c r="F95" s="67"/>
      <c r="G95" s="81"/>
      <c r="H95" s="82"/>
    </row>
    <row r="96" spans="1:8">
      <c r="A96" s="78"/>
      <c r="B96" s="78"/>
      <c r="C96" s="79"/>
      <c r="D96" s="80"/>
      <c r="E96" s="66"/>
      <c r="F96" s="67"/>
      <c r="G96" s="81"/>
      <c r="H96" s="82"/>
    </row>
    <row r="97" spans="1:8">
      <c r="A97" s="78"/>
      <c r="B97" s="78"/>
      <c r="C97" s="79"/>
      <c r="D97" s="80"/>
      <c r="E97" s="66"/>
      <c r="F97" s="67"/>
      <c r="G97" s="81"/>
      <c r="H97" s="82"/>
    </row>
    <row r="98" spans="1:8">
      <c r="A98" s="78"/>
      <c r="B98" s="78"/>
      <c r="C98" s="79"/>
      <c r="D98" s="80"/>
      <c r="E98" s="66"/>
      <c r="F98" s="67"/>
      <c r="G98" s="81"/>
      <c r="H98" s="82"/>
    </row>
    <row r="99" spans="1:8">
      <c r="A99" s="78"/>
      <c r="B99" s="78"/>
      <c r="C99" s="79"/>
      <c r="D99" s="80"/>
      <c r="E99" s="66"/>
      <c r="F99" s="67"/>
      <c r="G99" s="81"/>
      <c r="H99" s="82"/>
    </row>
    <row r="100" spans="1:8">
      <c r="A100" s="78"/>
      <c r="B100" s="78"/>
      <c r="C100" s="79"/>
      <c r="D100" s="80"/>
      <c r="E100" s="66"/>
      <c r="F100" s="67"/>
      <c r="G100" s="81"/>
      <c r="H100" s="82"/>
    </row>
    <row r="101" spans="1:8">
      <c r="A101" s="78"/>
      <c r="B101" s="78"/>
      <c r="C101" s="79"/>
      <c r="D101" s="80"/>
      <c r="E101" s="66"/>
      <c r="F101" s="67"/>
      <c r="G101" s="81"/>
      <c r="H101" s="82"/>
    </row>
    <row r="102" spans="1:8">
      <c r="A102" s="78"/>
      <c r="B102" s="78"/>
      <c r="C102" s="79"/>
      <c r="D102" s="80"/>
      <c r="E102" s="66"/>
      <c r="F102" s="67"/>
      <c r="G102" s="81"/>
      <c r="H102" s="82"/>
    </row>
    <row r="103" spans="1:8">
      <c r="A103" s="78"/>
      <c r="B103" s="78"/>
      <c r="C103" s="79"/>
      <c r="D103" s="80"/>
      <c r="E103" s="83"/>
      <c r="F103" s="84"/>
      <c r="G103" s="81"/>
      <c r="H103" s="82"/>
    </row>
    <row r="104" spans="1:8">
      <c r="A104" s="78"/>
      <c r="B104" s="78"/>
      <c r="C104" s="79"/>
      <c r="D104" s="80"/>
      <c r="E104" s="77"/>
      <c r="F104" s="64"/>
      <c r="G104" s="81"/>
      <c r="H104" s="82"/>
    </row>
    <row r="105" spans="1:8">
      <c r="A105" s="78"/>
      <c r="B105" s="78"/>
      <c r="C105" s="79"/>
      <c r="D105" s="80"/>
      <c r="E105" s="77"/>
      <c r="F105" s="64"/>
      <c r="G105" s="81"/>
      <c r="H105" s="82"/>
    </row>
    <row r="106" spans="1:8">
      <c r="A106" s="78"/>
      <c r="B106" s="78"/>
      <c r="C106" s="79"/>
      <c r="D106" s="80"/>
      <c r="E106" s="77"/>
      <c r="F106" s="64"/>
      <c r="G106" s="81"/>
      <c r="H106" s="82"/>
    </row>
    <row r="107" spans="1:8">
      <c r="A107" s="78"/>
      <c r="B107" s="78"/>
      <c r="C107" s="79"/>
      <c r="D107" s="80"/>
      <c r="E107" s="77"/>
      <c r="F107" s="64"/>
      <c r="G107" s="81"/>
      <c r="H107" s="82"/>
    </row>
    <row r="108" spans="1:8">
      <c r="A108" s="78"/>
      <c r="B108" s="78"/>
      <c r="C108" s="79"/>
      <c r="D108" s="80"/>
      <c r="E108" s="77"/>
      <c r="F108" s="64"/>
      <c r="G108" s="81"/>
      <c r="H108" s="82"/>
    </row>
    <row r="109" spans="1:8">
      <c r="A109" s="78"/>
      <c r="B109" s="78"/>
      <c r="C109" s="79"/>
      <c r="D109" s="80"/>
      <c r="E109" s="77"/>
      <c r="F109" s="64"/>
      <c r="G109" s="81"/>
      <c r="H109" s="82"/>
    </row>
    <row r="110" spans="1:8">
      <c r="A110" s="78"/>
      <c r="B110" s="78"/>
      <c r="C110" s="79"/>
      <c r="D110" s="80"/>
      <c r="E110" s="77"/>
      <c r="F110" s="64"/>
      <c r="G110" s="81"/>
      <c r="H110" s="82"/>
    </row>
    <row r="111" spans="1:8">
      <c r="A111" s="78"/>
      <c r="B111" s="78"/>
      <c r="C111" s="79"/>
      <c r="D111" s="80"/>
      <c r="E111" s="77"/>
      <c r="F111" s="64"/>
      <c r="G111" s="81"/>
      <c r="H111" s="82"/>
    </row>
    <row r="112" spans="1:8">
      <c r="A112" s="78"/>
      <c r="B112" s="78"/>
      <c r="C112" s="79"/>
      <c r="D112" s="80"/>
      <c r="E112" s="77"/>
      <c r="F112" s="64"/>
      <c r="G112" s="81"/>
      <c r="H112" s="82"/>
    </row>
    <row r="113" spans="1:8">
      <c r="A113" s="78"/>
      <c r="B113" s="78"/>
      <c r="C113" s="79"/>
      <c r="D113" s="80"/>
      <c r="E113" s="77"/>
      <c r="F113" s="64"/>
      <c r="G113" s="81"/>
      <c r="H113" s="82"/>
    </row>
    <row r="114" spans="1:8">
      <c r="A114" s="78"/>
      <c r="B114" s="78"/>
      <c r="C114" s="79"/>
      <c r="D114" s="80"/>
      <c r="E114" s="77"/>
      <c r="F114" s="64"/>
      <c r="G114" s="81"/>
      <c r="H114" s="82"/>
    </row>
  </sheetData>
  <sheetProtection algorithmName="SHA-512" hashValue="NI8IHxiLPdPCRMMTaWgF57FRZO8TICdrgdNTgzr50+KrhDb/DErY2vzK5N9vulZoXlx7SlYH3bVJXQOWVzNW4Q==" saltValue="RC5FGA9iMeoeLnEoASc8Zw==" spinCount="100000" sheet="1" selectLockedCells="1" selectUnlockedCells="1"/>
  <mergeCells count="4">
    <mergeCell ref="A4:C4"/>
    <mergeCell ref="E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&amp;LSO 101-00, Prejazd stredným deliacim pásom&amp;RVýkaz výmer</oddHeader>
    <oddFooter>Strana &amp;P z &amp;N</oddFooter>
  </headerFooter>
  <rowBreaks count="1" manualBreakCount="1">
    <brk id="4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I318"/>
  <sheetViews>
    <sheetView view="pageBreakPreview" zoomScaleNormal="100" zoomScaleSheetLayoutView="100" workbookViewId="0"/>
  </sheetViews>
  <sheetFormatPr defaultRowHeight="15"/>
  <cols>
    <col min="1" max="1" width="4.7109375" customWidth="1"/>
    <col min="2" max="2" width="8.140625" customWidth="1"/>
    <col min="3" max="3" width="10" bestFit="1" customWidth="1"/>
    <col min="4" max="4" width="10.85546875" customWidth="1"/>
    <col min="5" max="5" width="57.42578125" customWidth="1"/>
    <col min="6" max="6" width="10.5703125" bestFit="1" customWidth="1"/>
    <col min="7" max="7" width="5.7109375" customWidth="1"/>
    <col min="8" max="8" width="10" bestFit="1" customWidth="1"/>
  </cols>
  <sheetData>
    <row r="1" spans="1:9" ht="26.25">
      <c r="A1" s="1" t="s">
        <v>128</v>
      </c>
      <c r="B1" s="1"/>
      <c r="C1" s="2"/>
      <c r="D1" s="3"/>
      <c r="E1" s="119" t="s">
        <v>129</v>
      </c>
      <c r="F1" s="4"/>
      <c r="G1" s="5"/>
      <c r="H1" s="6"/>
    </row>
    <row r="2" spans="1:9">
      <c r="A2" s="1" t="s">
        <v>130</v>
      </c>
      <c r="B2" s="1"/>
      <c r="C2" s="2"/>
      <c r="D2" s="3"/>
      <c r="E2" s="194" t="s">
        <v>357</v>
      </c>
      <c r="F2" s="4"/>
      <c r="G2" s="5"/>
      <c r="H2" s="6"/>
    </row>
    <row r="3" spans="1:9" ht="15.75" thickBot="1">
      <c r="A3" s="7" t="s">
        <v>0</v>
      </c>
      <c r="B3" s="1"/>
      <c r="C3" s="2"/>
      <c r="D3" s="3"/>
      <c r="E3" s="136">
        <v>2141</v>
      </c>
      <c r="F3" s="4"/>
      <c r="G3" s="8"/>
      <c r="H3" s="9"/>
    </row>
    <row r="4" spans="1:9">
      <c r="A4" s="255" t="s">
        <v>1</v>
      </c>
      <c r="B4" s="256"/>
      <c r="C4" s="256"/>
      <c r="D4" s="10"/>
      <c r="E4" s="257" t="s">
        <v>2</v>
      </c>
      <c r="F4" s="258"/>
      <c r="G4" s="261" t="s">
        <v>3</v>
      </c>
      <c r="H4" s="263" t="s">
        <v>4</v>
      </c>
      <c r="I4" s="156"/>
    </row>
    <row r="5" spans="1:9" ht="15.75" thickBot="1">
      <c r="A5" s="11" t="s">
        <v>5</v>
      </c>
      <c r="B5" s="12" t="s">
        <v>6</v>
      </c>
      <c r="C5" s="12" t="s">
        <v>7</v>
      </c>
      <c r="D5" s="12" t="s">
        <v>8</v>
      </c>
      <c r="E5" s="259"/>
      <c r="F5" s="260"/>
      <c r="G5" s="262"/>
      <c r="H5" s="264"/>
    </row>
    <row r="6" spans="1:9">
      <c r="A6" s="13"/>
      <c r="B6" s="14"/>
      <c r="C6" s="14"/>
      <c r="D6" s="15"/>
      <c r="E6" s="16"/>
      <c r="F6" s="17"/>
      <c r="G6" s="18"/>
      <c r="H6" s="19"/>
    </row>
    <row r="7" spans="1:9" ht="16.5" customHeight="1">
      <c r="A7" s="20"/>
      <c r="B7" s="21" t="s">
        <v>9</v>
      </c>
      <c r="C7" s="34"/>
      <c r="D7" s="35"/>
      <c r="E7" s="36" t="s">
        <v>10</v>
      </c>
      <c r="F7" s="37"/>
      <c r="G7" s="38"/>
      <c r="H7" s="27"/>
    </row>
    <row r="8" spans="1:9">
      <c r="A8" s="20"/>
      <c r="B8" s="21"/>
      <c r="C8" s="22"/>
      <c r="D8" s="23"/>
      <c r="E8" s="24"/>
      <c r="F8" s="25"/>
      <c r="G8" s="26"/>
      <c r="H8" s="27"/>
    </row>
    <row r="9" spans="1:9" s="85" customFormat="1">
      <c r="A9" s="30">
        <f>MAX(A$1:A7)+1</f>
        <v>1</v>
      </c>
      <c r="B9" s="21"/>
      <c r="C9" s="28" t="s">
        <v>11</v>
      </c>
      <c r="D9" s="23"/>
      <c r="E9" s="138" t="s">
        <v>12</v>
      </c>
      <c r="F9" s="25"/>
      <c r="G9" s="26" t="s">
        <v>13</v>
      </c>
      <c r="H9" s="29">
        <f>H45-F55</f>
        <v>644.26</v>
      </c>
    </row>
    <row r="10" spans="1:9" s="85" customFormat="1">
      <c r="A10" s="30"/>
      <c r="B10" s="21"/>
      <c r="C10" s="28"/>
      <c r="D10" s="23"/>
      <c r="E10" s="138"/>
      <c r="F10" s="25"/>
      <c r="G10" s="26"/>
      <c r="H10" s="29"/>
    </row>
    <row r="11" spans="1:9" s="85" customFormat="1">
      <c r="A11" s="30">
        <f>MAX(A$1:A10)+1</f>
        <v>2</v>
      </c>
      <c r="B11" s="21"/>
      <c r="C11" s="28" t="s">
        <v>14</v>
      </c>
      <c r="D11" s="23"/>
      <c r="E11" s="138" t="s">
        <v>15</v>
      </c>
      <c r="F11" s="25"/>
      <c r="G11" s="26" t="s">
        <v>16</v>
      </c>
      <c r="H11" s="29">
        <f>H78</f>
        <v>192.4</v>
      </c>
    </row>
    <row r="12" spans="1:9">
      <c r="A12" s="20"/>
      <c r="B12" s="21"/>
      <c r="C12" s="28"/>
      <c r="D12" s="23"/>
      <c r="E12" s="24"/>
      <c r="F12" s="25"/>
      <c r="G12" s="26"/>
      <c r="H12" s="29"/>
    </row>
    <row r="13" spans="1:9" ht="25.5">
      <c r="A13" s="30">
        <f>MAX(A$1:A12)+1</f>
        <v>3</v>
      </c>
      <c r="B13" s="31"/>
      <c r="C13" s="32" t="s">
        <v>17</v>
      </c>
      <c r="D13" s="33"/>
      <c r="E13" s="138" t="s">
        <v>18</v>
      </c>
      <c r="F13" s="138"/>
      <c r="G13" s="26" t="s">
        <v>19</v>
      </c>
      <c r="H13" s="29">
        <v>1</v>
      </c>
    </row>
    <row r="14" spans="1:9">
      <c r="A14" s="20"/>
      <c r="B14" s="21"/>
      <c r="C14" s="28"/>
      <c r="D14" s="23"/>
      <c r="E14" s="24"/>
      <c r="F14" s="25"/>
      <c r="G14" s="26"/>
      <c r="H14" s="27"/>
    </row>
    <row r="15" spans="1:9" ht="51">
      <c r="A15" s="30">
        <f>MAX(A$1:A14)+1</f>
        <v>4</v>
      </c>
      <c r="B15" s="31"/>
      <c r="C15" s="32" t="s">
        <v>20</v>
      </c>
      <c r="D15" s="33"/>
      <c r="E15" s="138" t="s">
        <v>260</v>
      </c>
      <c r="F15" s="138"/>
      <c r="G15" s="26" t="s">
        <v>21</v>
      </c>
      <c r="H15" s="29">
        <v>1</v>
      </c>
    </row>
    <row r="16" spans="1:9">
      <c r="A16" s="20"/>
      <c r="B16" s="21"/>
      <c r="C16" s="28"/>
      <c r="D16" s="23"/>
      <c r="E16" s="24"/>
      <c r="F16" s="25"/>
      <c r="G16" s="26"/>
      <c r="H16" s="27"/>
    </row>
    <row r="17" spans="1:8" s="85" customFormat="1" ht="15.75">
      <c r="A17" s="20"/>
      <c r="B17" s="21" t="s">
        <v>22</v>
      </c>
      <c r="C17" s="34"/>
      <c r="D17" s="35"/>
      <c r="E17" s="36" t="s">
        <v>23</v>
      </c>
      <c r="F17" s="37"/>
      <c r="G17" s="38"/>
      <c r="H17" s="27"/>
    </row>
    <row r="18" spans="1:8" s="85" customFormat="1" ht="15.75">
      <c r="A18" s="20"/>
      <c r="B18" s="21"/>
      <c r="C18" s="34"/>
      <c r="D18" s="35"/>
      <c r="E18" s="36"/>
      <c r="F18" s="37"/>
      <c r="G18" s="38"/>
      <c r="H18" s="27"/>
    </row>
    <row r="19" spans="1:8" s="85" customFormat="1" ht="25.5">
      <c r="A19" s="30">
        <f>MAX(A$1:A18)+1</f>
        <v>5</v>
      </c>
      <c r="B19" s="118"/>
      <c r="C19" s="32" t="s">
        <v>24</v>
      </c>
      <c r="D19" s="33"/>
      <c r="E19" s="138" t="s">
        <v>25</v>
      </c>
      <c r="F19" s="119"/>
      <c r="G19" s="42" t="s">
        <v>16</v>
      </c>
      <c r="H19" s="29">
        <f>F20</f>
        <v>12.31</v>
      </c>
    </row>
    <row r="20" spans="1:8" s="85" customFormat="1">
      <c r="A20" s="39"/>
      <c r="B20" s="31"/>
      <c r="C20" s="32"/>
      <c r="D20" s="33"/>
      <c r="E20" s="40" t="s">
        <v>131</v>
      </c>
      <c r="F20" s="41">
        <f>0.49*(12.56+12.56)</f>
        <v>12.31</v>
      </c>
      <c r="G20" s="42"/>
      <c r="H20" s="27"/>
    </row>
    <row r="21" spans="1:8" s="85" customFormat="1">
      <c r="A21" s="39"/>
      <c r="B21" s="31"/>
      <c r="C21" s="32"/>
      <c r="D21" s="33"/>
      <c r="E21" s="40"/>
      <c r="F21" s="43"/>
      <c r="G21" s="42"/>
      <c r="H21" s="27"/>
    </row>
    <row r="22" spans="1:8" s="85" customFormat="1" ht="25.5">
      <c r="A22" s="30">
        <f>MAX(A$1:A21)+1</f>
        <v>6</v>
      </c>
      <c r="B22" s="118"/>
      <c r="C22" s="32" t="s">
        <v>140</v>
      </c>
      <c r="D22" s="33"/>
      <c r="E22" s="138" t="s">
        <v>141</v>
      </c>
      <c r="F22" s="119"/>
      <c r="G22" s="42" t="s">
        <v>16</v>
      </c>
      <c r="H22" s="29">
        <f>F23</f>
        <v>12.59</v>
      </c>
    </row>
    <row r="23" spans="1:8" s="85" customFormat="1">
      <c r="A23" s="39"/>
      <c r="B23" s="31"/>
      <c r="C23" s="32"/>
      <c r="D23" s="33"/>
      <c r="E23" s="40" t="s">
        <v>358</v>
      </c>
      <c r="F23" s="43">
        <f>0.05*(9.5*26.5)</f>
        <v>12.59</v>
      </c>
      <c r="G23" s="42"/>
      <c r="H23" s="27"/>
    </row>
    <row r="24" spans="1:8" s="85" customFormat="1">
      <c r="A24" s="39"/>
      <c r="B24" s="31"/>
      <c r="C24" s="32"/>
      <c r="D24" s="33"/>
      <c r="E24" s="40"/>
      <c r="F24" s="43"/>
      <c r="G24" s="42"/>
      <c r="H24" s="27"/>
    </row>
    <row r="25" spans="1:8" s="85" customFormat="1">
      <c r="A25" s="30">
        <f>MAX(A$1:A24)+1</f>
        <v>7</v>
      </c>
      <c r="B25" s="118"/>
      <c r="C25" s="32" t="s">
        <v>137</v>
      </c>
      <c r="D25" s="33"/>
      <c r="E25" s="138" t="s">
        <v>138</v>
      </c>
      <c r="F25" s="119"/>
      <c r="G25" s="42" t="s">
        <v>28</v>
      </c>
      <c r="H25" s="29">
        <f>F26</f>
        <v>251.75</v>
      </c>
    </row>
    <row r="26" spans="1:8" s="85" customFormat="1">
      <c r="A26" s="39"/>
      <c r="B26" s="31"/>
      <c r="C26" s="32"/>
      <c r="D26" s="33"/>
      <c r="E26" s="40" t="s">
        <v>139</v>
      </c>
      <c r="F26" s="43">
        <f>9.5*26.5</f>
        <v>251.75</v>
      </c>
      <c r="G26" s="42"/>
      <c r="H26" s="27"/>
    </row>
    <row r="27" spans="1:8" s="85" customFormat="1">
      <c r="A27" s="39"/>
      <c r="B27" s="31"/>
      <c r="C27" s="32"/>
      <c r="D27" s="33"/>
      <c r="E27" s="40"/>
      <c r="F27" s="43"/>
      <c r="G27" s="42"/>
      <c r="H27" s="27"/>
    </row>
    <row r="28" spans="1:8" s="85" customFormat="1" ht="25.5">
      <c r="A28" s="30">
        <f>MAX(A$1:A27)+1</f>
        <v>8</v>
      </c>
      <c r="B28" s="31"/>
      <c r="C28" s="32" t="s">
        <v>29</v>
      </c>
      <c r="D28" s="33"/>
      <c r="E28" s="138" t="s">
        <v>30</v>
      </c>
      <c r="F28" s="138"/>
      <c r="G28" s="42" t="s">
        <v>28</v>
      </c>
      <c r="H28" s="29">
        <f>H29</f>
        <v>583</v>
      </c>
    </row>
    <row r="29" spans="1:8" s="85" customFormat="1" ht="25.5">
      <c r="A29" s="140"/>
      <c r="B29" s="44"/>
      <c r="C29" s="45"/>
      <c r="D29" s="46" t="s">
        <v>359</v>
      </c>
      <c r="E29" s="47" t="s">
        <v>360</v>
      </c>
      <c r="F29" s="47"/>
      <c r="G29" s="48" t="s">
        <v>28</v>
      </c>
      <c r="H29" s="27">
        <f>F30</f>
        <v>583</v>
      </c>
    </row>
    <row r="30" spans="1:8" s="85" customFormat="1" ht="25.5">
      <c r="A30" s="39"/>
      <c r="B30" s="44"/>
      <c r="C30" s="45"/>
      <c r="D30" s="46"/>
      <c r="E30" s="40" t="s">
        <v>361</v>
      </c>
      <c r="F30" s="43">
        <f>(22*26.5)</f>
        <v>583</v>
      </c>
      <c r="G30" s="48"/>
      <c r="H30" s="27"/>
    </row>
    <row r="31" spans="1:8" s="85" customFormat="1">
      <c r="A31" s="39"/>
      <c r="B31" s="44"/>
      <c r="C31" s="45"/>
      <c r="D31" s="46"/>
      <c r="E31" s="40"/>
      <c r="F31" s="43"/>
      <c r="G31" s="48"/>
      <c r="H31" s="27"/>
    </row>
    <row r="32" spans="1:8" s="85" customFormat="1" ht="25.5">
      <c r="A32" s="30">
        <f>MAX(A$1:A31)+1</f>
        <v>9</v>
      </c>
      <c r="B32" s="31"/>
      <c r="C32" s="32" t="s">
        <v>132</v>
      </c>
      <c r="D32" s="33"/>
      <c r="E32" s="138" t="s">
        <v>133</v>
      </c>
      <c r="F32" s="138"/>
      <c r="G32" s="42" t="s">
        <v>28</v>
      </c>
      <c r="H32" s="29">
        <f>H33</f>
        <v>251.75</v>
      </c>
    </row>
    <row r="33" spans="1:8" s="85" customFormat="1" ht="25.5">
      <c r="A33" s="140"/>
      <c r="B33" s="44"/>
      <c r="C33" s="45"/>
      <c r="D33" s="46" t="s">
        <v>134</v>
      </c>
      <c r="E33" s="47" t="s">
        <v>135</v>
      </c>
      <c r="F33" s="47"/>
      <c r="G33" s="48" t="s">
        <v>28</v>
      </c>
      <c r="H33" s="27">
        <f>F34</f>
        <v>251.75</v>
      </c>
    </row>
    <row r="34" spans="1:8" s="85" customFormat="1" ht="25.5">
      <c r="A34" s="39"/>
      <c r="B34" s="44"/>
      <c r="C34" s="45"/>
      <c r="D34" s="46"/>
      <c r="E34" s="40" t="s">
        <v>362</v>
      </c>
      <c r="F34" s="43">
        <f>9.5*26.5</f>
        <v>251.75</v>
      </c>
      <c r="G34" s="48"/>
      <c r="H34" s="27"/>
    </row>
    <row r="35" spans="1:8" s="85" customFormat="1">
      <c r="A35" s="39"/>
      <c r="B35" s="44"/>
      <c r="C35" s="45"/>
      <c r="D35" s="46"/>
      <c r="E35" s="40"/>
      <c r="F35" s="43"/>
      <c r="G35" s="48"/>
      <c r="H35" s="27"/>
    </row>
    <row r="36" spans="1:8" s="85" customFormat="1" ht="25.5">
      <c r="A36" s="30">
        <f>MAX(A$1:A35)+1</f>
        <v>10</v>
      </c>
      <c r="B36" s="31"/>
      <c r="C36" s="32" t="s">
        <v>363</v>
      </c>
      <c r="D36" s="33"/>
      <c r="E36" s="138" t="s">
        <v>364</v>
      </c>
      <c r="F36" s="138"/>
      <c r="G36" s="42" t="s">
        <v>28</v>
      </c>
      <c r="H36" s="29">
        <f>H37+H39</f>
        <v>1166</v>
      </c>
    </row>
    <row r="37" spans="1:8" s="85" customFormat="1" ht="25.5">
      <c r="A37" s="140"/>
      <c r="B37" s="44"/>
      <c r="C37" s="45"/>
      <c r="D37" s="46" t="s">
        <v>365</v>
      </c>
      <c r="E37" s="47" t="s">
        <v>366</v>
      </c>
      <c r="F37" s="47"/>
      <c r="G37" s="48" t="s">
        <v>28</v>
      </c>
      <c r="H37" s="27">
        <f>F38</f>
        <v>583</v>
      </c>
    </row>
    <row r="38" spans="1:8" s="85" customFormat="1" ht="25.5">
      <c r="A38" s="39"/>
      <c r="B38" s="44"/>
      <c r="C38" s="45"/>
      <c r="D38" s="46"/>
      <c r="E38" s="40" t="s">
        <v>367</v>
      </c>
      <c r="F38" s="43">
        <f>22*26.5</f>
        <v>583</v>
      </c>
      <c r="G38" s="48"/>
      <c r="H38" s="27"/>
    </row>
    <row r="39" spans="1:8" s="85" customFormat="1" ht="25.5">
      <c r="A39" s="140"/>
      <c r="B39" s="44"/>
      <c r="C39" s="45"/>
      <c r="D39" s="46" t="s">
        <v>368</v>
      </c>
      <c r="E39" s="47" t="s">
        <v>369</v>
      </c>
      <c r="F39" s="47"/>
      <c r="G39" s="48" t="s">
        <v>28</v>
      </c>
      <c r="H39" s="27">
        <f>F40</f>
        <v>583</v>
      </c>
    </row>
    <row r="40" spans="1:8" s="85" customFormat="1" ht="25.5">
      <c r="A40" s="39"/>
      <c r="B40" s="44"/>
      <c r="C40" s="45"/>
      <c r="D40" s="46"/>
      <c r="E40" s="40" t="s">
        <v>370</v>
      </c>
      <c r="F40" s="43">
        <f>22*26.5</f>
        <v>583</v>
      </c>
      <c r="G40" s="48"/>
      <c r="H40" s="27"/>
    </row>
    <row r="41" spans="1:8" s="85" customFormat="1">
      <c r="A41" s="39"/>
      <c r="B41" s="44"/>
      <c r="C41" s="45"/>
      <c r="D41" s="46"/>
      <c r="E41" s="40"/>
      <c r="F41" s="43"/>
      <c r="G41" s="48"/>
      <c r="H41" s="27"/>
    </row>
    <row r="42" spans="1:8" s="85" customFormat="1" ht="25.5">
      <c r="A42" s="30">
        <f>MAX(A$1:A41)+1</f>
        <v>11</v>
      </c>
      <c r="B42" s="31"/>
      <c r="C42" s="32" t="s">
        <v>32</v>
      </c>
      <c r="D42" s="33"/>
      <c r="E42" s="138" t="s">
        <v>33</v>
      </c>
      <c r="F42" s="138"/>
      <c r="G42" s="42" t="s">
        <v>31</v>
      </c>
      <c r="H42" s="29">
        <f>F43</f>
        <v>35.119999999999997</v>
      </c>
    </row>
    <row r="43" spans="1:8" s="85" customFormat="1">
      <c r="A43" s="30"/>
      <c r="B43" s="31"/>
      <c r="C43" s="32"/>
      <c r="D43" s="33"/>
      <c r="E43" s="40" t="s">
        <v>335</v>
      </c>
      <c r="F43" s="43">
        <f>12.56+12.56+10</f>
        <v>35.119999999999997</v>
      </c>
      <c r="G43" s="42"/>
      <c r="H43" s="29"/>
    </row>
    <row r="44" spans="1:8" s="85" customFormat="1">
      <c r="A44" s="30"/>
      <c r="B44" s="31"/>
      <c r="C44" s="32"/>
      <c r="D44" s="33"/>
      <c r="E44" s="40"/>
      <c r="F44" s="43"/>
      <c r="G44" s="42"/>
      <c r="H44" s="29"/>
    </row>
    <row r="45" spans="1:8" s="85" customFormat="1">
      <c r="A45" s="30">
        <f>MAX(A$1:A43)+1</f>
        <v>12</v>
      </c>
      <c r="B45" s="31"/>
      <c r="C45" s="32" t="s">
        <v>34</v>
      </c>
      <c r="D45" s="33"/>
      <c r="E45" s="138" t="s">
        <v>35</v>
      </c>
      <c r="F45" s="138"/>
      <c r="G45" s="42" t="s">
        <v>13</v>
      </c>
      <c r="H45" s="29">
        <f>H46</f>
        <v>645.74</v>
      </c>
    </row>
    <row r="46" spans="1:8" s="85" customFormat="1">
      <c r="A46" s="39"/>
      <c r="B46" s="44"/>
      <c r="C46" s="45"/>
      <c r="D46" s="139" t="s">
        <v>36</v>
      </c>
      <c r="E46" s="47" t="s">
        <v>181</v>
      </c>
      <c r="F46" s="47"/>
      <c r="G46" s="48" t="s">
        <v>13</v>
      </c>
      <c r="H46" s="27">
        <f>F57</f>
        <v>645.74</v>
      </c>
    </row>
    <row r="47" spans="1:8" s="85" customFormat="1">
      <c r="A47" s="39"/>
      <c r="B47" s="44"/>
      <c r="C47" s="45"/>
      <c r="D47" s="139"/>
      <c r="E47" s="166" t="s">
        <v>261</v>
      </c>
      <c r="F47" s="43"/>
      <c r="G47" s="48"/>
      <c r="H47" s="27"/>
    </row>
    <row r="48" spans="1:8" s="85" customFormat="1">
      <c r="A48" s="39"/>
      <c r="B48" s="44"/>
      <c r="C48" s="45"/>
      <c r="D48" s="139"/>
      <c r="E48" s="40" t="s">
        <v>131</v>
      </c>
      <c r="F48" s="41">
        <f>F20*2.4</f>
        <v>29.54</v>
      </c>
      <c r="G48" s="48"/>
      <c r="H48" s="27"/>
    </row>
    <row r="49" spans="1:8" s="85" customFormat="1">
      <c r="A49" s="39"/>
      <c r="B49" s="44"/>
      <c r="C49" s="45"/>
      <c r="D49" s="139"/>
      <c r="E49" s="40" t="s">
        <v>371</v>
      </c>
      <c r="F49" s="43">
        <f>F23*2.4</f>
        <v>30.22</v>
      </c>
      <c r="G49" s="48"/>
      <c r="H49" s="27"/>
    </row>
    <row r="50" spans="1:8" s="85" customFormat="1">
      <c r="A50" s="39"/>
      <c r="B50" s="44"/>
      <c r="C50" s="45"/>
      <c r="D50" s="139"/>
      <c r="E50" s="40" t="s">
        <v>182</v>
      </c>
      <c r="F50" s="43">
        <f>F26*0.0212</f>
        <v>5.34</v>
      </c>
      <c r="G50" s="48"/>
      <c r="H50" s="27"/>
    </row>
    <row r="51" spans="1:8" s="85" customFormat="1">
      <c r="A51" s="39"/>
      <c r="B51" s="44"/>
      <c r="C51" s="45"/>
      <c r="D51" s="139"/>
      <c r="E51" s="40" t="s">
        <v>372</v>
      </c>
      <c r="F51" s="43">
        <f>F30*0.316</f>
        <v>184.23</v>
      </c>
      <c r="G51" s="48"/>
      <c r="H51" s="27"/>
    </row>
    <row r="52" spans="1:8" s="85" customFormat="1">
      <c r="A52" s="39"/>
      <c r="B52" s="44"/>
      <c r="C52" s="45"/>
      <c r="D52" s="139"/>
      <c r="E52" s="40" t="s">
        <v>183</v>
      </c>
      <c r="F52" s="43">
        <f>F34*0.098</f>
        <v>24.67</v>
      </c>
      <c r="G52" s="48"/>
      <c r="H52" s="27"/>
    </row>
    <row r="53" spans="1:8" s="85" customFormat="1" ht="25.5">
      <c r="A53" s="39"/>
      <c r="B53" s="44"/>
      <c r="C53" s="45"/>
      <c r="D53" s="139"/>
      <c r="E53" s="40" t="s">
        <v>373</v>
      </c>
      <c r="F53" s="43">
        <f>F38*0.235</f>
        <v>137.01</v>
      </c>
      <c r="G53" s="48"/>
      <c r="H53" s="27"/>
    </row>
    <row r="54" spans="1:8" s="85" customFormat="1" ht="25.5">
      <c r="A54" s="39"/>
      <c r="B54" s="44"/>
      <c r="C54" s="45"/>
      <c r="D54" s="139"/>
      <c r="E54" s="40" t="s">
        <v>374</v>
      </c>
      <c r="F54" s="43">
        <f>F40*0.4</f>
        <v>233.2</v>
      </c>
      <c r="G54" s="48"/>
      <c r="H54" s="27"/>
    </row>
    <row r="55" spans="1:8" s="85" customFormat="1">
      <c r="A55" s="39"/>
      <c r="B55" s="44"/>
      <c r="C55" s="45"/>
      <c r="D55" s="139"/>
      <c r="E55" s="40" t="s">
        <v>184</v>
      </c>
      <c r="F55" s="43">
        <f>F43*0.042</f>
        <v>1.48</v>
      </c>
      <c r="G55" s="48"/>
      <c r="H55" s="27"/>
    </row>
    <row r="56" spans="1:8" s="85" customFormat="1">
      <c r="A56" s="39"/>
      <c r="B56" s="44"/>
      <c r="C56" s="45"/>
      <c r="D56" s="139"/>
      <c r="E56" s="40" t="s">
        <v>185</v>
      </c>
      <c r="F56" s="141">
        <v>0.05</v>
      </c>
      <c r="G56" s="48"/>
      <c r="H56" s="27"/>
    </row>
    <row r="57" spans="1:8" s="85" customFormat="1">
      <c r="A57" s="39"/>
      <c r="B57" s="44"/>
      <c r="C57" s="45"/>
      <c r="D57" s="139"/>
      <c r="E57" s="40"/>
      <c r="F57" s="52">
        <f>SUM(F48:F56)</f>
        <v>645.74</v>
      </c>
      <c r="G57" s="48"/>
      <c r="H57" s="27"/>
    </row>
    <row r="58" spans="1:8" s="85" customFormat="1">
      <c r="A58" s="39"/>
      <c r="B58" s="44"/>
      <c r="C58" s="45"/>
      <c r="D58" s="46"/>
      <c r="E58" s="47"/>
      <c r="F58" s="47"/>
      <c r="G58" s="48"/>
      <c r="H58" s="27"/>
    </row>
    <row r="59" spans="1:8" s="85" customFormat="1" ht="25.5">
      <c r="A59" s="30">
        <f>MAX(A$1:A58)+1</f>
        <v>13</v>
      </c>
      <c r="B59" s="118"/>
      <c r="C59" s="32" t="s">
        <v>37</v>
      </c>
      <c r="D59" s="33"/>
      <c r="E59" s="138" t="s">
        <v>38</v>
      </c>
      <c r="F59" s="119"/>
      <c r="G59" s="42" t="s">
        <v>28</v>
      </c>
      <c r="H59" s="29">
        <f>H60</f>
        <v>827.5</v>
      </c>
    </row>
    <row r="60" spans="1:8" s="85" customFormat="1" ht="25.5">
      <c r="A60" s="69"/>
      <c r="B60" s="70"/>
      <c r="C60" s="45"/>
      <c r="D60" s="46" t="s">
        <v>39</v>
      </c>
      <c r="E60" s="47" t="s">
        <v>40</v>
      </c>
      <c r="F60" s="55"/>
      <c r="G60" s="48" t="s">
        <v>28</v>
      </c>
      <c r="H60" s="27">
        <f>F64+F66+F68+F70</f>
        <v>827.5</v>
      </c>
    </row>
    <row r="61" spans="1:8" s="85" customFormat="1" ht="16.5" customHeight="1">
      <c r="A61" s="39"/>
      <c r="B61" s="44"/>
      <c r="C61" s="45"/>
      <c r="D61" s="46"/>
      <c r="E61" s="166" t="s">
        <v>278</v>
      </c>
      <c r="F61" s="43"/>
      <c r="G61" s="48"/>
      <c r="H61" s="27"/>
    </row>
    <row r="62" spans="1:8" s="85" customFormat="1">
      <c r="A62" s="39"/>
      <c r="B62" s="44"/>
      <c r="C62" s="45"/>
      <c r="D62" s="46"/>
      <c r="E62" s="40" t="s">
        <v>279</v>
      </c>
      <c r="F62" s="43">
        <f>4*2*1.25+2*(8.2+8.8)</f>
        <v>44</v>
      </c>
      <c r="G62" s="48"/>
      <c r="H62" s="27"/>
    </row>
    <row r="63" spans="1:8" s="85" customFormat="1">
      <c r="A63" s="39"/>
      <c r="B63" s="44"/>
      <c r="C63" s="45"/>
      <c r="D63" s="46"/>
      <c r="E63" s="40" t="s">
        <v>280</v>
      </c>
      <c r="F63" s="141">
        <f>27*1.7*9.5</f>
        <v>436.05</v>
      </c>
      <c r="G63" s="48"/>
      <c r="H63" s="27"/>
    </row>
    <row r="64" spans="1:8" s="85" customFormat="1">
      <c r="A64" s="39"/>
      <c r="B64" s="44"/>
      <c r="C64" s="45"/>
      <c r="D64" s="46"/>
      <c r="E64" s="47"/>
      <c r="F64" s="43">
        <f>SUM(F62:F63)</f>
        <v>480.05</v>
      </c>
      <c r="G64" s="48"/>
      <c r="H64" s="27"/>
    </row>
    <row r="65" spans="1:8" s="85" customFormat="1">
      <c r="A65" s="39"/>
      <c r="B65" s="44"/>
      <c r="C65" s="45"/>
      <c r="D65" s="46"/>
      <c r="E65" s="47"/>
      <c r="F65" s="43"/>
      <c r="G65" s="48"/>
      <c r="H65" s="27"/>
    </row>
    <row r="66" spans="1:8" s="85" customFormat="1">
      <c r="A66" s="39"/>
      <c r="B66" s="44"/>
      <c r="C66" s="45"/>
      <c r="D66" s="46"/>
      <c r="E66" s="40" t="s">
        <v>178</v>
      </c>
      <c r="F66" s="43">
        <f>2*28.5*0.5</f>
        <v>28.5</v>
      </c>
      <c r="G66" s="48"/>
      <c r="H66" s="27"/>
    </row>
    <row r="67" spans="1:8" s="85" customFormat="1">
      <c r="A67" s="39"/>
      <c r="B67" s="44"/>
      <c r="C67" s="45"/>
      <c r="D67" s="46"/>
      <c r="E67" s="40"/>
      <c r="F67" s="43"/>
      <c r="G67" s="48"/>
      <c r="H67" s="27"/>
    </row>
    <row r="68" spans="1:8" s="85" customFormat="1">
      <c r="A68" s="39"/>
      <c r="B68" s="44"/>
      <c r="C68" s="45"/>
      <c r="D68" s="46"/>
      <c r="E68" s="40" t="s">
        <v>263</v>
      </c>
      <c r="F68" s="43">
        <f>9.5*28.1</f>
        <v>266.95</v>
      </c>
      <c r="G68" s="48"/>
      <c r="H68" s="27"/>
    </row>
    <row r="69" spans="1:8" s="85" customFormat="1">
      <c r="A69" s="39"/>
      <c r="B69" s="44"/>
      <c r="C69" s="45"/>
      <c r="D69" s="46"/>
      <c r="E69" s="40"/>
      <c r="F69" s="43"/>
      <c r="G69" s="48"/>
      <c r="H69" s="27"/>
    </row>
    <row r="70" spans="1:8" s="85" customFormat="1" ht="25.5">
      <c r="A70" s="39"/>
      <c r="B70" s="44"/>
      <c r="C70" s="45"/>
      <c r="D70" s="46"/>
      <c r="E70" s="40" t="s">
        <v>281</v>
      </c>
      <c r="F70" s="43">
        <f>2*(1*26)</f>
        <v>52</v>
      </c>
      <c r="G70" s="48"/>
      <c r="H70" s="27"/>
    </row>
    <row r="71" spans="1:8" s="85" customFormat="1">
      <c r="A71" s="39"/>
      <c r="B71" s="44"/>
      <c r="C71" s="45"/>
      <c r="D71" s="46"/>
      <c r="E71" s="40"/>
      <c r="F71" s="43"/>
      <c r="G71" s="48"/>
      <c r="H71" s="27"/>
    </row>
    <row r="72" spans="1:8" s="85" customFormat="1">
      <c r="A72" s="56"/>
      <c r="B72" s="57" t="s">
        <v>41</v>
      </c>
      <c r="C72" s="58"/>
      <c r="D72" s="33"/>
      <c r="E72" s="36" t="s">
        <v>42</v>
      </c>
      <c r="F72" s="59"/>
      <c r="G72" s="42"/>
      <c r="H72" s="27"/>
    </row>
    <row r="73" spans="1:8" s="85" customFormat="1">
      <c r="A73" s="49"/>
      <c r="B73" s="26"/>
      <c r="C73" s="26"/>
      <c r="D73" s="50"/>
      <c r="E73" s="51"/>
      <c r="F73" s="52"/>
      <c r="G73" s="53"/>
      <c r="H73" s="54"/>
    </row>
    <row r="74" spans="1:8" s="85" customFormat="1">
      <c r="A74" s="30">
        <f>MAX(A$1:A73)+1</f>
        <v>14</v>
      </c>
      <c r="B74" s="118"/>
      <c r="C74" s="32" t="s">
        <v>43</v>
      </c>
      <c r="D74" s="33"/>
      <c r="E74" s="138" t="s">
        <v>44</v>
      </c>
      <c r="F74" s="119"/>
      <c r="G74" s="42" t="s">
        <v>16</v>
      </c>
      <c r="H74" s="29">
        <f>H75</f>
        <v>192.4</v>
      </c>
    </row>
    <row r="75" spans="1:8" s="85" customFormat="1">
      <c r="A75" s="69"/>
      <c r="B75" s="70"/>
      <c r="C75" s="45"/>
      <c r="D75" s="46" t="s">
        <v>45</v>
      </c>
      <c r="E75" s="47" t="s">
        <v>46</v>
      </c>
      <c r="F75" s="55"/>
      <c r="G75" s="48" t="s">
        <v>16</v>
      </c>
      <c r="H75" s="27">
        <f>F76</f>
        <v>192.4</v>
      </c>
    </row>
    <row r="76" spans="1:8" s="85" customFormat="1">
      <c r="A76" s="49"/>
      <c r="B76" s="26"/>
      <c r="C76" s="26"/>
      <c r="D76" s="50"/>
      <c r="E76" s="51" t="s">
        <v>375</v>
      </c>
      <c r="F76" s="52">
        <f>2*(1*3.7*26)</f>
        <v>192.4</v>
      </c>
      <c r="G76" s="53"/>
      <c r="H76" s="54"/>
    </row>
    <row r="77" spans="1:8" s="85" customFormat="1">
      <c r="A77" s="49"/>
      <c r="B77" s="26"/>
      <c r="C77" s="26"/>
      <c r="D77" s="50"/>
      <c r="E77" s="51"/>
      <c r="F77" s="52"/>
      <c r="G77" s="53"/>
      <c r="H77" s="54"/>
    </row>
    <row r="78" spans="1:8" s="85" customFormat="1">
      <c r="A78" s="30">
        <f>MAX(A$1:A77)+1</f>
        <v>15</v>
      </c>
      <c r="B78" s="118"/>
      <c r="C78" s="32" t="s">
        <v>47</v>
      </c>
      <c r="D78" s="33"/>
      <c r="E78" s="138" t="s">
        <v>48</v>
      </c>
      <c r="F78" s="119"/>
      <c r="G78" s="42" t="s">
        <v>16</v>
      </c>
      <c r="H78" s="29">
        <f>H79</f>
        <v>192.4</v>
      </c>
    </row>
    <row r="79" spans="1:8" s="85" customFormat="1">
      <c r="A79" s="69"/>
      <c r="B79" s="70"/>
      <c r="C79" s="45"/>
      <c r="D79" s="46" t="s">
        <v>49</v>
      </c>
      <c r="E79" s="47" t="s">
        <v>50</v>
      </c>
      <c r="F79" s="55"/>
      <c r="G79" s="48" t="s">
        <v>16</v>
      </c>
      <c r="H79" s="27">
        <f>H86</f>
        <v>192.4</v>
      </c>
    </row>
    <row r="80" spans="1:8" s="85" customFormat="1">
      <c r="A80" s="130"/>
      <c r="B80" s="70"/>
      <c r="C80" s="45"/>
      <c r="D80" s="46"/>
      <c r="E80" s="47"/>
      <c r="F80" s="55"/>
      <c r="G80" s="48"/>
      <c r="H80" s="27"/>
    </row>
    <row r="81" spans="1:8" s="85" customFormat="1">
      <c r="A81" s="30">
        <f>MAX(A$1:A80)+1</f>
        <v>16</v>
      </c>
      <c r="B81" s="70"/>
      <c r="C81" s="32" t="s">
        <v>306</v>
      </c>
      <c r="D81" s="143"/>
      <c r="E81" s="138" t="s">
        <v>307</v>
      </c>
      <c r="F81" s="138"/>
      <c r="G81" s="42" t="s">
        <v>16</v>
      </c>
      <c r="H81" s="29">
        <f>H82</f>
        <v>115.44</v>
      </c>
    </row>
    <row r="82" spans="1:8" s="85" customFormat="1">
      <c r="A82" s="189"/>
      <c r="B82" s="70"/>
      <c r="C82" s="32"/>
      <c r="D82" s="139" t="s">
        <v>308</v>
      </c>
      <c r="E82" s="47" t="s">
        <v>309</v>
      </c>
      <c r="F82" s="47"/>
      <c r="G82" s="48" t="s">
        <v>16</v>
      </c>
      <c r="H82" s="27">
        <f>F83</f>
        <v>115.44</v>
      </c>
    </row>
    <row r="83" spans="1:8" s="85" customFormat="1" ht="25.5">
      <c r="A83" s="49"/>
      <c r="B83" s="26"/>
      <c r="C83" s="26"/>
      <c r="D83" s="50"/>
      <c r="E83" s="51" t="s">
        <v>310</v>
      </c>
      <c r="F83" s="52">
        <f>2*(0.6*3.7*26)</f>
        <v>115.44</v>
      </c>
      <c r="G83" s="53"/>
      <c r="H83" s="54"/>
    </row>
    <row r="84" spans="1:8" s="85" customFormat="1">
      <c r="A84" s="130"/>
      <c r="B84" s="70"/>
      <c r="C84" s="45"/>
      <c r="D84" s="46"/>
      <c r="E84" s="47"/>
      <c r="F84" s="55"/>
      <c r="G84" s="48"/>
      <c r="H84" s="27"/>
    </row>
    <row r="85" spans="1:8" s="85" customFormat="1">
      <c r="A85" s="30">
        <f>MAX(A$1:A84)+1</f>
        <v>17</v>
      </c>
      <c r="B85" s="118"/>
      <c r="C85" s="32" t="s">
        <v>51</v>
      </c>
      <c r="D85" s="33"/>
      <c r="E85" s="138" t="s">
        <v>52</v>
      </c>
      <c r="F85" s="119"/>
      <c r="G85" s="42" t="s">
        <v>16</v>
      </c>
      <c r="H85" s="29">
        <f>H86</f>
        <v>192.4</v>
      </c>
    </row>
    <row r="86" spans="1:8" s="85" customFormat="1" ht="25.5">
      <c r="A86" s="69"/>
      <c r="B86" s="70"/>
      <c r="C86" s="45"/>
      <c r="D86" s="46" t="s">
        <v>53</v>
      </c>
      <c r="E86" s="47" t="s">
        <v>54</v>
      </c>
      <c r="F86" s="55"/>
      <c r="G86" s="48" t="s">
        <v>16</v>
      </c>
      <c r="H86" s="27">
        <f>H75</f>
        <v>192.4</v>
      </c>
    </row>
    <row r="87" spans="1:8" s="85" customFormat="1">
      <c r="A87" s="69"/>
      <c r="B87" s="70"/>
      <c r="C87" s="45"/>
      <c r="D87" s="46"/>
      <c r="E87" s="47"/>
      <c r="F87" s="55"/>
      <c r="G87" s="48"/>
      <c r="H87" s="27"/>
    </row>
    <row r="88" spans="1:8" s="85" customFormat="1" ht="25.5">
      <c r="A88" s="30">
        <f>MAX(A$1:A86)+1</f>
        <v>18</v>
      </c>
      <c r="B88" s="70"/>
      <c r="C88" s="216" t="s">
        <v>418</v>
      </c>
      <c r="D88" s="46"/>
      <c r="E88" s="218" t="s">
        <v>419</v>
      </c>
      <c r="F88" s="55"/>
      <c r="G88" s="42" t="s">
        <v>28</v>
      </c>
      <c r="H88" s="217">
        <f>F89</f>
        <v>230</v>
      </c>
    </row>
    <row r="89" spans="1:8" s="85" customFormat="1">
      <c r="A89" s="69"/>
      <c r="B89" s="70"/>
      <c r="C89" s="45"/>
      <c r="D89" s="46"/>
      <c r="E89" s="214" t="s">
        <v>420</v>
      </c>
      <c r="F89" s="52">
        <v>230</v>
      </c>
      <c r="G89" s="48" t="s">
        <v>28</v>
      </c>
      <c r="H89" s="27">
        <f>H88</f>
        <v>230</v>
      </c>
    </row>
    <row r="90" spans="1:8" s="85" customFormat="1">
      <c r="A90" s="69"/>
      <c r="B90" s="70"/>
      <c r="C90" s="45"/>
      <c r="D90" s="46"/>
      <c r="E90" s="47"/>
      <c r="F90" s="55"/>
      <c r="G90" s="48"/>
      <c r="H90" s="27"/>
    </row>
    <row r="91" spans="1:8" s="85" customFormat="1" ht="25.5">
      <c r="A91" s="56"/>
      <c r="B91" s="57" t="s">
        <v>55</v>
      </c>
      <c r="C91" s="58"/>
      <c r="D91" s="33"/>
      <c r="E91" s="36" t="s">
        <v>56</v>
      </c>
      <c r="F91" s="60"/>
      <c r="G91" s="48"/>
      <c r="H91" s="27"/>
    </row>
    <row r="92" spans="1:8" s="85" customFormat="1">
      <c r="A92" s="30"/>
      <c r="B92" s="26"/>
      <c r="C92" s="61"/>
      <c r="D92" s="62"/>
      <c r="E92" s="63"/>
      <c r="F92" s="64"/>
      <c r="G92" s="26"/>
      <c r="H92" s="135"/>
    </row>
    <row r="93" spans="1:8" s="85" customFormat="1" ht="25.5">
      <c r="A93" s="30">
        <f>MAX(A$1:A92)+1</f>
        <v>19</v>
      </c>
      <c r="B93" s="118"/>
      <c r="C93" s="32" t="s">
        <v>57</v>
      </c>
      <c r="D93" s="33"/>
      <c r="E93" s="138" t="s">
        <v>58</v>
      </c>
      <c r="F93" s="144"/>
      <c r="G93" s="42" t="s">
        <v>16</v>
      </c>
      <c r="H93" s="29">
        <f>H94</f>
        <v>16.7</v>
      </c>
    </row>
    <row r="94" spans="1:8" s="85" customFormat="1" ht="25.5">
      <c r="A94" s="76"/>
      <c r="B94" s="70"/>
      <c r="C94" s="45"/>
      <c r="D94" s="46" t="s">
        <v>59</v>
      </c>
      <c r="E94" s="47" t="s">
        <v>60</v>
      </c>
      <c r="F94" s="74"/>
      <c r="G94" s="50" t="s">
        <v>16</v>
      </c>
      <c r="H94" s="27">
        <f>F95</f>
        <v>16.7</v>
      </c>
    </row>
    <row r="95" spans="1:8" s="85" customFormat="1">
      <c r="A95" s="76"/>
      <c r="B95" s="70"/>
      <c r="C95" s="45"/>
      <c r="D95" s="46"/>
      <c r="E95" s="40" t="s">
        <v>264</v>
      </c>
      <c r="F95" s="74">
        <f>12.56*(0.35+0.63+0.35)</f>
        <v>16.7</v>
      </c>
      <c r="G95" s="50"/>
      <c r="H95" s="27"/>
    </row>
    <row r="96" spans="1:8" s="85" customFormat="1">
      <c r="A96" s="76"/>
      <c r="B96" s="70"/>
      <c r="C96" s="45"/>
      <c r="D96" s="46"/>
      <c r="E96" s="40"/>
      <c r="F96" s="74"/>
      <c r="G96" s="50"/>
      <c r="H96" s="27"/>
    </row>
    <row r="97" spans="1:8" s="85" customFormat="1" ht="25.5">
      <c r="A97" s="30">
        <f>MAX(A$1:A94)+1</f>
        <v>20</v>
      </c>
      <c r="B97" s="118"/>
      <c r="C97" s="32" t="s">
        <v>160</v>
      </c>
      <c r="D97" s="143"/>
      <c r="E97" s="138" t="s">
        <v>161</v>
      </c>
      <c r="F97" s="138"/>
      <c r="G97" s="42" t="s">
        <v>28</v>
      </c>
      <c r="H97" s="29">
        <f>H98</f>
        <v>49.32</v>
      </c>
    </row>
    <row r="98" spans="1:8" s="85" customFormat="1" ht="25.5">
      <c r="A98" s="76"/>
      <c r="B98" s="70"/>
      <c r="C98" s="45"/>
      <c r="D98" s="139" t="s">
        <v>162</v>
      </c>
      <c r="E98" s="47" t="s">
        <v>163</v>
      </c>
      <c r="F98" s="47"/>
      <c r="G98" s="48" t="s">
        <v>28</v>
      </c>
      <c r="H98" s="27">
        <f>F99</f>
        <v>49.32</v>
      </c>
    </row>
    <row r="99" spans="1:8" s="85" customFormat="1">
      <c r="A99" s="140"/>
      <c r="B99" s="146"/>
      <c r="C99" s="45"/>
      <c r="D99" s="120"/>
      <c r="E99" s="65" t="s">
        <v>61</v>
      </c>
      <c r="F99" s="147">
        <f>2*(0.6+0.25+0.4)*12.6+12.6*(0.6+0.6)+2*(0.35+0.65+0.35)</f>
        <v>49.32</v>
      </c>
      <c r="G99" s="50"/>
      <c r="H99" s="148"/>
    </row>
    <row r="100" spans="1:8" s="85" customFormat="1">
      <c r="A100" s="76"/>
      <c r="B100" s="70"/>
      <c r="C100" s="45"/>
      <c r="D100" s="46"/>
      <c r="E100" s="40"/>
      <c r="F100" s="132"/>
      <c r="G100" s="48"/>
      <c r="H100" s="27"/>
    </row>
    <row r="101" spans="1:8" s="85" customFormat="1" ht="25.5">
      <c r="A101" s="30">
        <f>MAX(A$1:A100)+1</f>
        <v>21</v>
      </c>
      <c r="B101" s="118"/>
      <c r="C101" s="32" t="s">
        <v>62</v>
      </c>
      <c r="D101" s="33"/>
      <c r="E101" s="138" t="s">
        <v>63</v>
      </c>
      <c r="F101" s="144"/>
      <c r="G101" s="42" t="s">
        <v>13</v>
      </c>
      <c r="H101" s="29">
        <f>H102</f>
        <v>1.93</v>
      </c>
    </row>
    <row r="102" spans="1:8" s="85" customFormat="1" ht="25.5">
      <c r="A102" s="76"/>
      <c r="B102" s="70"/>
      <c r="C102" s="45"/>
      <c r="D102" s="46" t="s">
        <v>64</v>
      </c>
      <c r="E102" s="47" t="s">
        <v>65</v>
      </c>
      <c r="F102" s="74"/>
      <c r="G102" s="48" t="s">
        <v>13</v>
      </c>
      <c r="H102" s="27">
        <f>F103</f>
        <v>1.93</v>
      </c>
    </row>
    <row r="103" spans="1:8" s="85" customFormat="1">
      <c r="A103" s="76"/>
      <c r="B103" s="70"/>
      <c r="C103" s="45"/>
      <c r="D103" s="46"/>
      <c r="E103" s="65" t="s">
        <v>376</v>
      </c>
      <c r="F103" s="74">
        <f>1.774+0.158</f>
        <v>1.93</v>
      </c>
      <c r="G103" s="48"/>
      <c r="H103" s="27"/>
    </row>
    <row r="104" spans="1:8" s="85" customFormat="1">
      <c r="A104" s="76"/>
      <c r="B104" s="70"/>
      <c r="C104" s="45"/>
      <c r="D104" s="46"/>
      <c r="E104" s="65"/>
      <c r="F104" s="74"/>
      <c r="G104" s="48"/>
      <c r="H104" s="27"/>
    </row>
    <row r="105" spans="1:8" s="85" customFormat="1" ht="25.5">
      <c r="A105" s="30">
        <f>MAX(A$1:A104)+1</f>
        <v>22</v>
      </c>
      <c r="B105" s="118"/>
      <c r="C105" s="32" t="s">
        <v>66</v>
      </c>
      <c r="D105" s="33"/>
      <c r="E105" s="25" t="s">
        <v>67</v>
      </c>
      <c r="F105" s="119"/>
      <c r="G105" s="42" t="s">
        <v>16</v>
      </c>
      <c r="H105" s="29">
        <f>H106+H108+H110</f>
        <v>157.68</v>
      </c>
    </row>
    <row r="106" spans="1:8" s="85" customFormat="1" ht="25.5">
      <c r="A106" s="30"/>
      <c r="B106" s="118"/>
      <c r="C106" s="32"/>
      <c r="D106" s="142" t="s">
        <v>144</v>
      </c>
      <c r="E106" s="121" t="s">
        <v>145</v>
      </c>
      <c r="F106" s="121"/>
      <c r="G106" s="48" t="s">
        <v>16</v>
      </c>
      <c r="H106" s="27">
        <f>F107</f>
        <v>18.850000000000001</v>
      </c>
    </row>
    <row r="107" spans="1:8" s="85" customFormat="1">
      <c r="A107" s="30"/>
      <c r="B107" s="118"/>
      <c r="C107" s="32"/>
      <c r="D107" s="143"/>
      <c r="E107" s="65" t="s">
        <v>68</v>
      </c>
      <c r="F107" s="134">
        <f>4*(0.1*3.8*10.7)+2*25.9*0.5*0.1</f>
        <v>18.850000000000001</v>
      </c>
      <c r="G107" s="42"/>
      <c r="H107" s="29"/>
    </row>
    <row r="108" spans="1:8" s="85" customFormat="1" ht="25.5">
      <c r="A108" s="69"/>
      <c r="B108" s="70"/>
      <c r="C108" s="45"/>
      <c r="D108" s="142" t="s">
        <v>70</v>
      </c>
      <c r="E108" s="121" t="s">
        <v>71</v>
      </c>
      <c r="F108" s="121"/>
      <c r="G108" s="48" t="s">
        <v>16</v>
      </c>
      <c r="H108" s="27">
        <f>F109</f>
        <v>102.72</v>
      </c>
    </row>
    <row r="109" spans="1:8" s="85" customFormat="1">
      <c r="A109" s="76"/>
      <c r="B109" s="70"/>
      <c r="C109" s="45"/>
      <c r="D109" s="46"/>
      <c r="E109" s="40" t="s">
        <v>69</v>
      </c>
      <c r="F109" s="74">
        <f>4*(4*10.7*0.3)*2</f>
        <v>102.72</v>
      </c>
      <c r="G109" s="48"/>
      <c r="H109" s="27"/>
    </row>
    <row r="110" spans="1:8" s="85" customFormat="1" ht="25.5">
      <c r="A110" s="69"/>
      <c r="B110" s="70"/>
      <c r="C110" s="45"/>
      <c r="D110" s="142" t="s">
        <v>142</v>
      </c>
      <c r="E110" s="121" t="s">
        <v>143</v>
      </c>
      <c r="F110" s="121"/>
      <c r="G110" s="48" t="s">
        <v>16</v>
      </c>
      <c r="H110" s="27">
        <f>F111</f>
        <v>36.11</v>
      </c>
    </row>
    <row r="111" spans="1:8" s="85" customFormat="1">
      <c r="A111" s="76"/>
      <c r="B111" s="70"/>
      <c r="C111" s="45"/>
      <c r="D111" s="46"/>
      <c r="E111" s="40" t="s">
        <v>72</v>
      </c>
      <c r="F111" s="74">
        <f>2*(21.73*0.68+4.15*0.79)</f>
        <v>36.11</v>
      </c>
      <c r="G111" s="48"/>
      <c r="H111" s="27"/>
    </row>
    <row r="112" spans="1:8" s="201" customFormat="1">
      <c r="A112" s="76"/>
      <c r="B112" s="70"/>
      <c r="C112" s="45"/>
      <c r="D112" s="139"/>
      <c r="E112" s="65"/>
      <c r="F112" s="132"/>
      <c r="G112" s="48"/>
      <c r="H112" s="27"/>
    </row>
    <row r="113" spans="1:8" s="85" customFormat="1" ht="25.5">
      <c r="A113" s="30">
        <f>MAX(A$1:A111)+1</f>
        <v>23</v>
      </c>
      <c r="B113" s="118"/>
      <c r="C113" s="32" t="s">
        <v>146</v>
      </c>
      <c r="D113" s="143"/>
      <c r="E113" s="138" t="s">
        <v>147</v>
      </c>
      <c r="F113" s="138"/>
      <c r="G113" s="42" t="s">
        <v>28</v>
      </c>
      <c r="H113" s="29">
        <f>H114</f>
        <v>100.08</v>
      </c>
    </row>
    <row r="114" spans="1:8" s="85" customFormat="1" ht="25.5">
      <c r="A114" s="69"/>
      <c r="B114" s="70"/>
      <c r="C114" s="45"/>
      <c r="D114" s="139" t="s">
        <v>148</v>
      </c>
      <c r="E114" s="47" t="s">
        <v>149</v>
      </c>
      <c r="F114" s="47"/>
      <c r="G114" s="48" t="s">
        <v>28</v>
      </c>
      <c r="H114" s="27">
        <f>F117</f>
        <v>100.08</v>
      </c>
    </row>
    <row r="115" spans="1:8" s="85" customFormat="1">
      <c r="A115" s="69"/>
      <c r="B115" s="70"/>
      <c r="C115" s="45"/>
      <c r="D115" s="46"/>
      <c r="E115" s="40" t="s">
        <v>151</v>
      </c>
      <c r="F115" s="74">
        <f>4*(4+10.7+4)*0.3</f>
        <v>22.44</v>
      </c>
      <c r="G115" s="48"/>
      <c r="H115" s="27"/>
    </row>
    <row r="116" spans="1:8" s="85" customFormat="1">
      <c r="A116" s="69"/>
      <c r="B116" s="70"/>
      <c r="C116" s="45"/>
      <c r="D116" s="46"/>
      <c r="E116" s="40" t="s">
        <v>150</v>
      </c>
      <c r="F116" s="132">
        <f>2*(21.73*1.5+4.15*1.5)</f>
        <v>77.64</v>
      </c>
      <c r="G116" s="48"/>
      <c r="H116" s="27"/>
    </row>
    <row r="117" spans="1:8" s="85" customFormat="1">
      <c r="A117" s="69"/>
      <c r="B117" s="70"/>
      <c r="C117" s="45"/>
      <c r="D117" s="46"/>
      <c r="E117" s="40"/>
      <c r="F117" s="43">
        <f>SUM(F115:F116)</f>
        <v>100.08</v>
      </c>
      <c r="G117" s="48"/>
      <c r="H117" s="27"/>
    </row>
    <row r="118" spans="1:8" s="85" customFormat="1">
      <c r="A118" s="69"/>
      <c r="B118" s="70"/>
      <c r="C118" s="45"/>
      <c r="D118" s="46"/>
      <c r="E118" s="40"/>
      <c r="F118" s="55"/>
      <c r="G118" s="48"/>
      <c r="H118" s="27"/>
    </row>
    <row r="119" spans="1:8" s="85" customFormat="1" ht="25.5">
      <c r="A119" s="30">
        <f>MAX(A$1:A116)+1</f>
        <v>24</v>
      </c>
      <c r="B119" s="118"/>
      <c r="C119" s="32" t="s">
        <v>73</v>
      </c>
      <c r="D119" s="33"/>
      <c r="E119" s="138" t="s">
        <v>74</v>
      </c>
      <c r="F119" s="119"/>
      <c r="G119" s="42" t="s">
        <v>13</v>
      </c>
      <c r="H119" s="29">
        <f>H120</f>
        <v>13.34</v>
      </c>
    </row>
    <row r="120" spans="1:8" s="85" customFormat="1" ht="25.5">
      <c r="A120" s="69"/>
      <c r="B120" s="70"/>
      <c r="C120" s="45"/>
      <c r="D120" s="46" t="s">
        <v>75</v>
      </c>
      <c r="E120" s="47" t="s">
        <v>76</v>
      </c>
      <c r="F120" s="55"/>
      <c r="G120" s="48" t="s">
        <v>13</v>
      </c>
      <c r="H120" s="27">
        <f>F123</f>
        <v>13.34</v>
      </c>
    </row>
    <row r="121" spans="1:8" s="85" customFormat="1">
      <c r="A121" s="76"/>
      <c r="B121" s="70"/>
      <c r="C121" s="45"/>
      <c r="D121" s="46"/>
      <c r="E121" s="40" t="s">
        <v>151</v>
      </c>
      <c r="F121" s="74">
        <f>2*2.542*2</f>
        <v>10.17</v>
      </c>
      <c r="G121" s="48"/>
      <c r="H121" s="27"/>
    </row>
    <row r="122" spans="1:8" s="85" customFormat="1">
      <c r="A122" s="76"/>
      <c r="B122" s="70"/>
      <c r="C122" s="45"/>
      <c r="D122" s="46"/>
      <c r="E122" s="40" t="s">
        <v>150</v>
      </c>
      <c r="F122" s="132">
        <f>2*1.584</f>
        <v>3.17</v>
      </c>
      <c r="G122" s="48"/>
      <c r="H122" s="27"/>
    </row>
    <row r="123" spans="1:8" s="85" customFormat="1">
      <c r="A123" s="76"/>
      <c r="B123" s="70"/>
      <c r="C123" s="45"/>
      <c r="D123" s="46"/>
      <c r="E123" s="40"/>
      <c r="F123" s="43">
        <f>SUM(F121:F122)</f>
        <v>13.34</v>
      </c>
      <c r="G123" s="48"/>
      <c r="H123" s="27"/>
    </row>
    <row r="124" spans="1:8" s="85" customFormat="1">
      <c r="A124" s="76"/>
      <c r="B124" s="70"/>
      <c r="C124" s="45"/>
      <c r="D124" s="46"/>
      <c r="E124" s="40"/>
      <c r="F124" s="132"/>
      <c r="G124" s="48"/>
      <c r="H124" s="27"/>
    </row>
    <row r="125" spans="1:8" s="85" customFormat="1" ht="25.5">
      <c r="A125" s="30">
        <f>MAX(A$1:A124)+1</f>
        <v>25</v>
      </c>
      <c r="B125" s="118"/>
      <c r="C125" s="32" t="s">
        <v>77</v>
      </c>
      <c r="D125" s="33"/>
      <c r="E125" s="138" t="s">
        <v>78</v>
      </c>
      <c r="F125" s="119"/>
      <c r="G125" s="42" t="s">
        <v>16</v>
      </c>
      <c r="H125" s="29">
        <f>H126</f>
        <v>57.91</v>
      </c>
    </row>
    <row r="126" spans="1:8" s="85" customFormat="1" ht="25.5">
      <c r="A126" s="69"/>
      <c r="B126" s="70"/>
      <c r="C126" s="45"/>
      <c r="D126" s="142" t="s">
        <v>168</v>
      </c>
      <c r="E126" s="121" t="s">
        <v>169</v>
      </c>
      <c r="F126" s="121"/>
      <c r="G126" s="50" t="s">
        <v>16</v>
      </c>
      <c r="H126" s="27">
        <f>F129</f>
        <v>57.91</v>
      </c>
    </row>
    <row r="127" spans="1:8" s="85" customFormat="1">
      <c r="A127" s="69"/>
      <c r="B127" s="70"/>
      <c r="C127" s="45"/>
      <c r="D127" s="120"/>
      <c r="E127" s="65" t="s">
        <v>377</v>
      </c>
      <c r="F127" s="134">
        <f>2*12.2*1</f>
        <v>24.4</v>
      </c>
      <c r="G127" s="50"/>
      <c r="H127" s="27"/>
    </row>
    <row r="128" spans="1:8" s="85" customFormat="1">
      <c r="A128" s="69"/>
      <c r="B128" s="70"/>
      <c r="C128" s="45"/>
      <c r="D128" s="120"/>
      <c r="E128" s="65" t="s">
        <v>170</v>
      </c>
      <c r="F128" s="202">
        <f>2*12.2*1.1+0.025*9.5*28.1</f>
        <v>33.51</v>
      </c>
      <c r="G128" s="50"/>
      <c r="H128" s="27"/>
    </row>
    <row r="129" spans="1:8" s="85" customFormat="1">
      <c r="A129" s="69"/>
      <c r="B129" s="70"/>
      <c r="C129" s="45"/>
      <c r="D129" s="120"/>
      <c r="E129" s="65"/>
      <c r="F129" s="43">
        <f>SUM(F127:F128)</f>
        <v>57.91</v>
      </c>
      <c r="G129" s="50"/>
      <c r="H129" s="27"/>
    </row>
    <row r="130" spans="1:8" s="85" customFormat="1">
      <c r="A130" s="69"/>
      <c r="B130" s="70"/>
      <c r="C130" s="45"/>
      <c r="D130" s="120"/>
      <c r="E130" s="121"/>
      <c r="F130" s="122"/>
      <c r="G130" s="50"/>
      <c r="H130" s="27"/>
    </row>
    <row r="131" spans="1:8" s="85" customFormat="1" ht="25.5">
      <c r="A131" s="30">
        <f>MAX(A$1:A130)+1</f>
        <v>26</v>
      </c>
      <c r="B131" s="118"/>
      <c r="C131" s="32" t="s">
        <v>171</v>
      </c>
      <c r="D131" s="143"/>
      <c r="E131" s="138" t="s">
        <v>172</v>
      </c>
      <c r="F131" s="138"/>
      <c r="G131" s="42" t="s">
        <v>28</v>
      </c>
      <c r="H131" s="29">
        <f>H132</f>
        <v>9.99</v>
      </c>
    </row>
    <row r="132" spans="1:8" s="85" customFormat="1" ht="25.5">
      <c r="A132" s="69"/>
      <c r="B132" s="70"/>
      <c r="C132" s="45"/>
      <c r="D132" s="139" t="s">
        <v>173</v>
      </c>
      <c r="E132" s="47" t="s">
        <v>174</v>
      </c>
      <c r="F132" s="47"/>
      <c r="G132" s="48" t="s">
        <v>28</v>
      </c>
      <c r="H132" s="27">
        <f>F135</f>
        <v>9.99</v>
      </c>
    </row>
    <row r="133" spans="1:8" s="85" customFormat="1">
      <c r="A133" s="69"/>
      <c r="B133" s="70"/>
      <c r="C133" s="45"/>
      <c r="D133" s="46"/>
      <c r="E133" s="65" t="s">
        <v>377</v>
      </c>
      <c r="F133" s="134">
        <f>2*25.9*0.06</f>
        <v>3.11</v>
      </c>
      <c r="G133" s="48"/>
      <c r="H133" s="27"/>
    </row>
    <row r="134" spans="1:8" s="85" customFormat="1">
      <c r="A134" s="69"/>
      <c r="B134" s="70"/>
      <c r="C134" s="45"/>
      <c r="D134" s="46"/>
      <c r="E134" s="65" t="s">
        <v>176</v>
      </c>
      <c r="F134" s="202">
        <f>86*0.08</f>
        <v>6.88</v>
      </c>
      <c r="G134" s="48"/>
      <c r="H134" s="27"/>
    </row>
    <row r="135" spans="1:8" s="85" customFormat="1">
      <c r="A135" s="69"/>
      <c r="B135" s="70"/>
      <c r="C135" s="45"/>
      <c r="D135" s="46"/>
      <c r="E135" s="65"/>
      <c r="F135" s="43">
        <f>SUM(F133:F134)</f>
        <v>9.99</v>
      </c>
      <c r="G135" s="48"/>
      <c r="H135" s="27"/>
    </row>
    <row r="136" spans="1:8" s="85" customFormat="1">
      <c r="A136" s="69"/>
      <c r="B136" s="70"/>
      <c r="C136" s="45"/>
      <c r="D136" s="46"/>
      <c r="E136" s="65"/>
      <c r="F136" s="55"/>
      <c r="G136" s="48"/>
      <c r="H136" s="27"/>
    </row>
    <row r="137" spans="1:8" s="85" customFormat="1" ht="25.5">
      <c r="A137" s="30">
        <f>MAX(A$1:A133)+1</f>
        <v>27</v>
      </c>
      <c r="B137" s="118"/>
      <c r="C137" s="32" t="s">
        <v>79</v>
      </c>
      <c r="D137" s="33"/>
      <c r="E137" s="138" t="s">
        <v>80</v>
      </c>
      <c r="F137" s="119"/>
      <c r="G137" s="42" t="s">
        <v>13</v>
      </c>
      <c r="H137" s="29">
        <f>H138</f>
        <v>5.3</v>
      </c>
    </row>
    <row r="138" spans="1:8" s="85" customFormat="1" ht="25.5">
      <c r="A138" s="69"/>
      <c r="B138" s="70"/>
      <c r="C138" s="45"/>
      <c r="D138" s="46" t="s">
        <v>81</v>
      </c>
      <c r="E138" s="47" t="s">
        <v>82</v>
      </c>
      <c r="F138" s="55"/>
      <c r="G138" s="48" t="s">
        <v>13</v>
      </c>
      <c r="H138" s="27">
        <f>F139</f>
        <v>5.3</v>
      </c>
    </row>
    <row r="139" spans="1:8" s="85" customFormat="1">
      <c r="A139" s="69"/>
      <c r="B139" s="70"/>
      <c r="C139" s="45"/>
      <c r="D139" s="46"/>
      <c r="E139" s="65" t="s">
        <v>175</v>
      </c>
      <c r="F139" s="134">
        <v>5.2949999999999999</v>
      </c>
      <c r="G139" s="48"/>
      <c r="H139" s="27"/>
    </row>
    <row r="140" spans="1:8" s="85" customFormat="1">
      <c r="A140" s="69"/>
      <c r="B140" s="70"/>
      <c r="C140" s="45"/>
      <c r="D140" s="46"/>
      <c r="E140" s="65"/>
      <c r="F140" s="134"/>
      <c r="G140" s="48"/>
      <c r="H140" s="27"/>
    </row>
    <row r="141" spans="1:8" s="85" customFormat="1" ht="25.5">
      <c r="A141" s="30">
        <f>MAX(A$1:A139)+1</f>
        <v>28</v>
      </c>
      <c r="B141" s="118"/>
      <c r="C141" s="32" t="s">
        <v>158</v>
      </c>
      <c r="D141" s="33"/>
      <c r="E141" s="138" t="s">
        <v>159</v>
      </c>
      <c r="F141" s="119"/>
      <c r="G141" s="42" t="s">
        <v>31</v>
      </c>
      <c r="H141" s="29">
        <f>F142</f>
        <v>43.46</v>
      </c>
    </row>
    <row r="142" spans="1:8" s="85" customFormat="1">
      <c r="A142" s="69"/>
      <c r="B142" s="70"/>
      <c r="C142" s="45"/>
      <c r="D142" s="46"/>
      <c r="E142" s="65" t="s">
        <v>378</v>
      </c>
      <c r="F142" s="134">
        <v>43.46</v>
      </c>
      <c r="G142" s="48"/>
      <c r="H142" s="27"/>
    </row>
    <row r="143" spans="1:8" s="85" customFormat="1">
      <c r="A143" s="69"/>
      <c r="B143" s="70"/>
      <c r="C143" s="45"/>
      <c r="D143" s="46"/>
      <c r="E143" s="65"/>
      <c r="F143" s="134"/>
      <c r="G143" s="48"/>
      <c r="H143" s="27"/>
    </row>
    <row r="144" spans="1:8" s="85" customFormat="1" ht="25.5">
      <c r="A144" s="30">
        <f>MAX(A$1:A143)+1</f>
        <v>29</v>
      </c>
      <c r="B144" s="118"/>
      <c r="C144" s="32" t="s">
        <v>83</v>
      </c>
      <c r="D144" s="33"/>
      <c r="E144" s="138" t="s">
        <v>84</v>
      </c>
      <c r="F144" s="119"/>
      <c r="G144" s="42" t="s">
        <v>16</v>
      </c>
      <c r="H144" s="29">
        <f>F145</f>
        <v>89.09</v>
      </c>
    </row>
    <row r="145" spans="1:8" s="85" customFormat="1">
      <c r="A145" s="69"/>
      <c r="B145" s="70"/>
      <c r="C145" s="45"/>
      <c r="D145" s="46"/>
      <c r="E145" s="65" t="s">
        <v>267</v>
      </c>
      <c r="F145" s="134">
        <v>89.09</v>
      </c>
      <c r="G145" s="48"/>
      <c r="H145" s="27"/>
    </row>
    <row r="146" spans="1:8" s="85" customFormat="1">
      <c r="A146" s="76"/>
      <c r="B146" s="70"/>
      <c r="C146" s="45"/>
      <c r="D146" s="46"/>
      <c r="E146" s="40"/>
      <c r="F146" s="74"/>
      <c r="G146" s="48"/>
      <c r="H146" s="27"/>
    </row>
    <row r="147" spans="1:8" s="85" customFormat="1">
      <c r="A147" s="30">
        <f>MAX(A$1:A144)+1</f>
        <v>30</v>
      </c>
      <c r="B147" s="118"/>
      <c r="C147" s="32" t="s">
        <v>85</v>
      </c>
      <c r="D147" s="33"/>
      <c r="E147" s="138" t="s">
        <v>86</v>
      </c>
      <c r="F147" s="144"/>
      <c r="G147" s="42" t="s">
        <v>31</v>
      </c>
      <c r="H147" s="29">
        <f>H148+H151</f>
        <v>35.1</v>
      </c>
    </row>
    <row r="148" spans="1:8" s="85" customFormat="1">
      <c r="A148" s="69"/>
      <c r="B148" s="118"/>
      <c r="C148" s="33"/>
      <c r="D148" s="46" t="s">
        <v>379</v>
      </c>
      <c r="E148" s="47" t="s">
        <v>380</v>
      </c>
      <c r="F148" s="55"/>
      <c r="G148" s="48" t="s">
        <v>31</v>
      </c>
      <c r="H148" s="27">
        <f>F149</f>
        <v>10</v>
      </c>
    </row>
    <row r="149" spans="1:8" s="85" customFormat="1">
      <c r="A149" s="69"/>
      <c r="B149" s="118"/>
      <c r="C149" s="33"/>
      <c r="D149" s="46"/>
      <c r="E149" s="40" t="s">
        <v>381</v>
      </c>
      <c r="F149" s="41">
        <f>10</f>
        <v>10</v>
      </c>
      <c r="G149" s="48"/>
      <c r="H149" s="27"/>
    </row>
    <row r="150" spans="1:8" s="85" customFormat="1" ht="25.5">
      <c r="A150" s="69"/>
      <c r="B150" s="118"/>
      <c r="C150" s="33"/>
      <c r="D150" s="46"/>
      <c r="E150" s="40" t="s">
        <v>382</v>
      </c>
      <c r="F150" s="41"/>
      <c r="G150" s="48"/>
      <c r="H150" s="27"/>
    </row>
    <row r="151" spans="1:8" s="85" customFormat="1">
      <c r="A151" s="76"/>
      <c r="B151" s="118"/>
      <c r="C151" s="33"/>
      <c r="D151" s="46" t="s">
        <v>87</v>
      </c>
      <c r="E151" s="47" t="s">
        <v>88</v>
      </c>
      <c r="F151" s="74"/>
      <c r="G151" s="48" t="s">
        <v>31</v>
      </c>
      <c r="H151" s="27">
        <f>F152</f>
        <v>25.1</v>
      </c>
    </row>
    <row r="152" spans="1:8" s="85" customFormat="1">
      <c r="A152" s="76"/>
      <c r="B152" s="118"/>
      <c r="C152" s="33"/>
      <c r="D152" s="46"/>
      <c r="E152" s="40" t="s">
        <v>164</v>
      </c>
      <c r="F152" s="43">
        <f>2*12.55</f>
        <v>25.1</v>
      </c>
      <c r="G152" s="48"/>
      <c r="H152" s="27"/>
    </row>
    <row r="153" spans="1:8" s="85" customFormat="1" ht="25.5">
      <c r="A153" s="76"/>
      <c r="B153" s="118"/>
      <c r="C153" s="33"/>
      <c r="D153" s="46"/>
      <c r="E153" s="40" t="s">
        <v>383</v>
      </c>
      <c r="F153" s="132"/>
      <c r="G153" s="48"/>
      <c r="H153" s="27"/>
    </row>
    <row r="154" spans="1:8" s="85" customFormat="1">
      <c r="A154" s="76"/>
      <c r="B154" s="118"/>
      <c r="C154" s="33"/>
      <c r="D154" s="46"/>
      <c r="E154" s="40"/>
      <c r="F154" s="74"/>
      <c r="G154" s="48"/>
      <c r="H154" s="27"/>
    </row>
    <row r="155" spans="1:8" s="85" customFormat="1" ht="25.5">
      <c r="A155" s="30">
        <f>MAX(A$1:A153)+1</f>
        <v>31</v>
      </c>
      <c r="B155" s="118"/>
      <c r="C155" s="32" t="s">
        <v>179</v>
      </c>
      <c r="D155" s="33"/>
      <c r="E155" s="138" t="s">
        <v>180</v>
      </c>
      <c r="F155" s="119"/>
      <c r="G155" s="42" t="s">
        <v>28</v>
      </c>
      <c r="H155" s="29">
        <f>F156</f>
        <v>28.5</v>
      </c>
    </row>
    <row r="156" spans="1:8" s="85" customFormat="1" ht="25.5">
      <c r="A156" s="76"/>
      <c r="B156" s="118"/>
      <c r="C156" s="33"/>
      <c r="D156" s="46"/>
      <c r="E156" s="40" t="s">
        <v>274</v>
      </c>
      <c r="F156" s="74">
        <f>2*28.5*0.5</f>
        <v>28.5</v>
      </c>
      <c r="G156" s="48"/>
      <c r="H156" s="27"/>
    </row>
    <row r="157" spans="1:8" s="85" customFormat="1">
      <c r="A157" s="76"/>
      <c r="B157" s="118"/>
      <c r="C157" s="33"/>
      <c r="D157" s="46"/>
      <c r="E157" s="40"/>
      <c r="F157" s="74"/>
      <c r="G157" s="48"/>
      <c r="H157" s="27"/>
    </row>
    <row r="158" spans="1:8" s="85" customFormat="1" ht="25.5">
      <c r="A158" s="30">
        <f>MAX(A$1:A156)+1</f>
        <v>32</v>
      </c>
      <c r="B158" s="118"/>
      <c r="C158" s="32" t="s">
        <v>152</v>
      </c>
      <c r="D158" s="33"/>
      <c r="E158" s="138" t="s">
        <v>153</v>
      </c>
      <c r="F158" s="119"/>
      <c r="G158" s="42" t="s">
        <v>31</v>
      </c>
      <c r="H158" s="29">
        <f>F159</f>
        <v>43.46</v>
      </c>
    </row>
    <row r="159" spans="1:8" s="85" customFormat="1" ht="38.25">
      <c r="A159" s="76"/>
      <c r="B159" s="118"/>
      <c r="C159" s="33"/>
      <c r="D159" s="46"/>
      <c r="E159" s="40" t="s">
        <v>275</v>
      </c>
      <c r="F159" s="74">
        <f>2*(21.73)</f>
        <v>43.46</v>
      </c>
      <c r="G159" s="48"/>
      <c r="H159" s="27"/>
    </row>
    <row r="160" spans="1:8" s="85" customFormat="1">
      <c r="A160" s="76"/>
      <c r="B160" s="118"/>
      <c r="C160" s="33"/>
      <c r="D160" s="46"/>
      <c r="E160" s="40"/>
      <c r="F160" s="74"/>
      <c r="G160" s="48"/>
      <c r="H160" s="27"/>
    </row>
    <row r="161" spans="1:8" s="85" customFormat="1" ht="25.5">
      <c r="A161" s="30">
        <f>MAX(A$1:A160)+1</f>
        <v>33</v>
      </c>
      <c r="B161" s="118"/>
      <c r="C161" s="32" t="s">
        <v>154</v>
      </c>
      <c r="D161" s="33"/>
      <c r="E161" s="138" t="s">
        <v>155</v>
      </c>
      <c r="F161" s="119"/>
      <c r="G161" s="42" t="s">
        <v>31</v>
      </c>
      <c r="H161" s="29">
        <f>F166</f>
        <v>141.66</v>
      </c>
    </row>
    <row r="162" spans="1:8" s="85" customFormat="1" ht="25.5">
      <c r="A162" s="76"/>
      <c r="B162" s="118"/>
      <c r="C162" s="45"/>
      <c r="D162" s="139" t="s">
        <v>156</v>
      </c>
      <c r="E162" s="47" t="s">
        <v>157</v>
      </c>
      <c r="F162" s="47"/>
      <c r="G162" s="48" t="s">
        <v>31</v>
      </c>
      <c r="H162" s="27">
        <f>H161</f>
        <v>141.66</v>
      </c>
    </row>
    <row r="163" spans="1:8" s="85" customFormat="1" ht="25.5">
      <c r="A163" s="76"/>
      <c r="B163" s="118"/>
      <c r="C163" s="33"/>
      <c r="D163" s="46"/>
      <c r="E163" s="40" t="s">
        <v>268</v>
      </c>
      <c r="F163" s="74">
        <f>2*(21.73)</f>
        <v>43.46</v>
      </c>
      <c r="G163" s="48"/>
      <c r="H163" s="27"/>
    </row>
    <row r="164" spans="1:8" s="85" customFormat="1" ht="25.5">
      <c r="A164" s="76"/>
      <c r="B164" s="131"/>
      <c r="C164" s="33"/>
      <c r="D164" s="46"/>
      <c r="E164" s="40" t="s">
        <v>265</v>
      </c>
      <c r="F164" s="74">
        <v>50.2</v>
      </c>
      <c r="G164" s="48"/>
      <c r="H164" s="27"/>
    </row>
    <row r="165" spans="1:8" s="85" customFormat="1">
      <c r="A165" s="76"/>
      <c r="B165" s="131"/>
      <c r="C165" s="33"/>
      <c r="D165" s="46"/>
      <c r="E165" s="215" t="s">
        <v>417</v>
      </c>
      <c r="F165" s="132">
        <f>12*2*2</f>
        <v>48</v>
      </c>
      <c r="G165" s="48"/>
      <c r="H165" s="27"/>
    </row>
    <row r="166" spans="1:8" s="85" customFormat="1">
      <c r="A166" s="76"/>
      <c r="B166" s="131"/>
      <c r="C166" s="33"/>
      <c r="D166" s="46"/>
      <c r="E166" s="40"/>
      <c r="F166" s="74">
        <f>SUM(F163:F165)</f>
        <v>141.66</v>
      </c>
      <c r="G166" s="48"/>
      <c r="H166" s="27"/>
    </row>
    <row r="167" spans="1:8" s="85" customFormat="1">
      <c r="A167" s="76"/>
      <c r="B167" s="131"/>
      <c r="C167" s="33"/>
      <c r="D167" s="46"/>
      <c r="E167" s="40"/>
      <c r="F167" s="74"/>
      <c r="G167" s="48"/>
      <c r="H167" s="27"/>
    </row>
    <row r="168" spans="1:8" s="85" customFormat="1">
      <c r="A168" s="30">
        <f>MAX(A$1:A167)+1</f>
        <v>34</v>
      </c>
      <c r="B168" s="118"/>
      <c r="C168" s="32" t="s">
        <v>244</v>
      </c>
      <c r="D168" s="33"/>
      <c r="E168" s="138" t="s">
        <v>245</v>
      </c>
      <c r="F168" s="144"/>
      <c r="G168" s="42" t="s">
        <v>21</v>
      </c>
      <c r="H168" s="29">
        <f>F172</f>
        <v>6276</v>
      </c>
    </row>
    <row r="169" spans="1:8" s="85" customFormat="1" ht="25.5">
      <c r="A169" s="30"/>
      <c r="B169" s="118"/>
      <c r="C169" s="32"/>
      <c r="D169" s="33"/>
      <c r="E169" s="40" t="s">
        <v>384</v>
      </c>
      <c r="F169" s="74">
        <v>516</v>
      </c>
      <c r="G169" s="42"/>
      <c r="H169" s="29"/>
    </row>
    <row r="170" spans="1:8" s="85" customFormat="1" ht="25.5">
      <c r="A170" s="30"/>
      <c r="B170" s="118"/>
      <c r="C170" s="32"/>
      <c r="D170" s="33"/>
      <c r="E170" s="40" t="s">
        <v>385</v>
      </c>
      <c r="F170" s="74">
        <v>5724</v>
      </c>
      <c r="G170" s="42"/>
      <c r="H170" s="29"/>
    </row>
    <row r="171" spans="1:8" s="85" customFormat="1" ht="25.5">
      <c r="A171" s="30"/>
      <c r="B171" s="118"/>
      <c r="C171" s="32"/>
      <c r="D171" s="33"/>
      <c r="E171" s="40" t="s">
        <v>386</v>
      </c>
      <c r="F171" s="132">
        <v>36</v>
      </c>
      <c r="G171" s="42"/>
      <c r="H171" s="29"/>
    </row>
    <row r="172" spans="1:8" s="85" customFormat="1">
      <c r="A172" s="30"/>
      <c r="B172" s="118"/>
      <c r="C172" s="32"/>
      <c r="D172" s="33"/>
      <c r="E172" s="40"/>
      <c r="F172" s="74">
        <f>SUM(F169:F171)</f>
        <v>6276</v>
      </c>
      <c r="G172" s="42"/>
      <c r="H172" s="29"/>
    </row>
    <row r="173" spans="1:8" s="85" customFormat="1">
      <c r="A173" s="30"/>
      <c r="B173" s="131"/>
      <c r="C173" s="32"/>
      <c r="D173" s="33"/>
      <c r="E173" s="40"/>
      <c r="F173" s="74"/>
      <c r="G173" s="42"/>
      <c r="H173" s="29"/>
    </row>
    <row r="174" spans="1:8" s="85" customFormat="1" ht="25.5">
      <c r="A174" s="30">
        <f>MAX(A$1:A173)+1</f>
        <v>35</v>
      </c>
      <c r="B174" s="118"/>
      <c r="C174" s="33" t="s">
        <v>311</v>
      </c>
      <c r="D174" s="32"/>
      <c r="E174" s="25" t="s">
        <v>312</v>
      </c>
      <c r="F174" s="119"/>
      <c r="G174" s="42" t="s">
        <v>28</v>
      </c>
      <c r="H174" s="29">
        <f>F178</f>
        <v>48.01</v>
      </c>
    </row>
    <row r="175" spans="1:8" s="85" customFormat="1" ht="25.5">
      <c r="A175" s="190"/>
      <c r="B175" s="70"/>
      <c r="C175" s="45"/>
      <c r="D175" s="46"/>
      <c r="E175" s="166" t="s">
        <v>313</v>
      </c>
      <c r="F175" s="41"/>
      <c r="G175" s="48"/>
      <c r="H175" s="27"/>
    </row>
    <row r="176" spans="1:8" s="85" customFormat="1">
      <c r="A176" s="191"/>
      <c r="B176" s="70"/>
      <c r="C176" s="45"/>
      <c r="D176" s="46"/>
      <c r="E176" s="40" t="s">
        <v>279</v>
      </c>
      <c r="F176" s="43">
        <f>(4*2*1.25+2*(8.2+8.8))*0.1</f>
        <v>4.4000000000000004</v>
      </c>
      <c r="G176" s="48"/>
      <c r="H176" s="27"/>
    </row>
    <row r="177" spans="1:8" s="85" customFormat="1">
      <c r="A177" s="191"/>
      <c r="B177" s="70"/>
      <c r="C177" s="45"/>
      <c r="D177" s="46"/>
      <c r="E177" s="40" t="s">
        <v>280</v>
      </c>
      <c r="F177" s="141">
        <f>(27*1.7*9.5)*0.1</f>
        <v>43.61</v>
      </c>
      <c r="G177" s="48"/>
      <c r="H177" s="27"/>
    </row>
    <row r="178" spans="1:8" s="85" customFormat="1">
      <c r="A178" s="191"/>
      <c r="B178" s="70"/>
      <c r="C178" s="45"/>
      <c r="D178" s="46"/>
      <c r="E178" s="47"/>
      <c r="F178" s="43">
        <f>SUM(F176:F177)</f>
        <v>48.01</v>
      </c>
      <c r="G178" s="48"/>
      <c r="H178" s="27"/>
    </row>
    <row r="179" spans="1:8" s="85" customFormat="1">
      <c r="A179" s="191"/>
      <c r="B179" s="70"/>
      <c r="C179" s="45"/>
      <c r="D179" s="46"/>
      <c r="E179" s="40"/>
      <c r="F179" s="41"/>
      <c r="G179" s="48"/>
      <c r="H179" s="27"/>
    </row>
    <row r="180" spans="1:8">
      <c r="A180" s="56"/>
      <c r="B180" s="57" t="s">
        <v>89</v>
      </c>
      <c r="C180" s="58"/>
      <c r="D180" s="33"/>
      <c r="E180" s="36" t="s">
        <v>90</v>
      </c>
      <c r="F180" s="60"/>
      <c r="G180" s="48"/>
      <c r="H180" s="27"/>
    </row>
    <row r="181" spans="1:8">
      <c r="A181" s="76"/>
      <c r="B181" s="70"/>
      <c r="C181" s="45"/>
      <c r="D181" s="46"/>
      <c r="E181" s="40"/>
      <c r="F181" s="74"/>
      <c r="G181" s="48"/>
      <c r="H181" s="27"/>
    </row>
    <row r="182" spans="1:8" s="85" customFormat="1" ht="25.5">
      <c r="A182" s="30">
        <f>MAX(A$1:A181)+1</f>
        <v>36</v>
      </c>
      <c r="B182" s="118"/>
      <c r="C182" s="32" t="s">
        <v>91</v>
      </c>
      <c r="D182" s="33"/>
      <c r="E182" s="138" t="s">
        <v>92</v>
      </c>
      <c r="F182" s="119"/>
      <c r="G182" s="42" t="s">
        <v>28</v>
      </c>
      <c r="H182" s="29">
        <f>H183+H187</f>
        <v>810.24</v>
      </c>
    </row>
    <row r="183" spans="1:8" s="85" customFormat="1" ht="25.5">
      <c r="A183" s="69"/>
      <c r="B183" s="70"/>
      <c r="C183" s="45"/>
      <c r="D183" s="46" t="s">
        <v>93</v>
      </c>
      <c r="E183" s="47" t="s">
        <v>94</v>
      </c>
      <c r="F183" s="55"/>
      <c r="G183" s="48" t="s">
        <v>28</v>
      </c>
      <c r="H183" s="27">
        <f>F186</f>
        <v>513.6</v>
      </c>
    </row>
    <row r="184" spans="1:8" s="85" customFormat="1">
      <c r="A184" s="69"/>
      <c r="B184" s="70"/>
      <c r="C184" s="45"/>
      <c r="D184" s="46"/>
      <c r="E184" s="40" t="s">
        <v>95</v>
      </c>
      <c r="F184" s="41">
        <f>4*10.7*4</f>
        <v>171.2</v>
      </c>
      <c r="G184" s="48"/>
      <c r="H184" s="27"/>
    </row>
    <row r="185" spans="1:8" s="85" customFormat="1">
      <c r="A185" s="69"/>
      <c r="B185" s="70"/>
      <c r="C185" s="45"/>
      <c r="D185" s="46"/>
      <c r="E185" s="40" t="s">
        <v>387</v>
      </c>
      <c r="F185" s="149">
        <f>2*171.2</f>
        <v>342.4</v>
      </c>
      <c r="G185" s="48"/>
      <c r="H185" s="27"/>
    </row>
    <row r="186" spans="1:8" s="85" customFormat="1">
      <c r="A186" s="69"/>
      <c r="B186" s="70"/>
      <c r="C186" s="45"/>
      <c r="D186" s="46"/>
      <c r="E186" s="47"/>
      <c r="F186" s="41">
        <f>SUM(F184:F185)</f>
        <v>513.6</v>
      </c>
      <c r="G186" s="48"/>
      <c r="H186" s="27"/>
    </row>
    <row r="187" spans="1:8" s="85" customFormat="1" ht="25.5">
      <c r="A187" s="69"/>
      <c r="B187" s="70"/>
      <c r="C187" s="45"/>
      <c r="D187" s="46" t="s">
        <v>96</v>
      </c>
      <c r="E187" s="47" t="s">
        <v>97</v>
      </c>
      <c r="F187" s="55"/>
      <c r="G187" s="48" t="s">
        <v>28</v>
      </c>
      <c r="H187" s="27">
        <f>F192</f>
        <v>296.64</v>
      </c>
    </row>
    <row r="188" spans="1:8" s="85" customFormat="1">
      <c r="A188" s="69"/>
      <c r="B188" s="70"/>
      <c r="C188" s="45"/>
      <c r="D188" s="46"/>
      <c r="E188" s="40" t="s">
        <v>95</v>
      </c>
      <c r="F188" s="41">
        <f>4*0.3*(10.7+4+3)</f>
        <v>21.24</v>
      </c>
      <c r="G188" s="48"/>
      <c r="H188" s="27"/>
    </row>
    <row r="189" spans="1:8" s="85" customFormat="1">
      <c r="A189" s="69"/>
      <c r="B189" s="70"/>
      <c r="C189" s="45"/>
      <c r="D189" s="46"/>
      <c r="E189" s="40" t="s">
        <v>388</v>
      </c>
      <c r="F189" s="41">
        <f>2*21.24</f>
        <v>42.48</v>
      </c>
      <c r="G189" s="48"/>
      <c r="H189" s="27"/>
    </row>
    <row r="190" spans="1:8" s="85" customFormat="1">
      <c r="A190" s="69"/>
      <c r="B190" s="70"/>
      <c r="C190" s="45"/>
      <c r="D190" s="46"/>
      <c r="E190" s="40" t="s">
        <v>255</v>
      </c>
      <c r="F190" s="41">
        <f>2*(21.73*1.5+4.15*1.5)</f>
        <v>77.64</v>
      </c>
      <c r="G190" s="48"/>
      <c r="H190" s="27"/>
    </row>
    <row r="191" spans="1:8" s="85" customFormat="1">
      <c r="A191" s="69"/>
      <c r="B191" s="70"/>
      <c r="C191" s="45"/>
      <c r="D191" s="46"/>
      <c r="E191" s="40" t="s">
        <v>389</v>
      </c>
      <c r="F191" s="149">
        <f>2*77.64</f>
        <v>155.28</v>
      </c>
      <c r="G191" s="48"/>
      <c r="H191" s="27"/>
    </row>
    <row r="192" spans="1:8" s="85" customFormat="1">
      <c r="A192" s="69"/>
      <c r="B192" s="70"/>
      <c r="C192" s="45"/>
      <c r="D192" s="46"/>
      <c r="E192" s="47"/>
      <c r="F192" s="41">
        <f>SUM(F188:F191)</f>
        <v>296.64</v>
      </c>
      <c r="G192" s="48"/>
      <c r="H192" s="27"/>
    </row>
    <row r="193" spans="1:8">
      <c r="A193" s="69"/>
      <c r="B193" s="70"/>
      <c r="C193" s="45"/>
      <c r="D193" s="46"/>
      <c r="E193" s="47"/>
      <c r="F193" s="41"/>
      <c r="G193" s="48"/>
      <c r="H193" s="27"/>
    </row>
    <row r="194" spans="1:8" s="85" customFormat="1">
      <c r="A194" s="30">
        <f>MAX(A$1:A193)+1</f>
        <v>37</v>
      </c>
      <c r="B194" s="145"/>
      <c r="C194" s="32" t="s">
        <v>98</v>
      </c>
      <c r="D194" s="33"/>
      <c r="E194" s="138" t="s">
        <v>99</v>
      </c>
      <c r="F194" s="138"/>
      <c r="G194" s="42" t="s">
        <v>28</v>
      </c>
      <c r="H194" s="29">
        <f>H195</f>
        <v>346.48</v>
      </c>
    </row>
    <row r="195" spans="1:8" s="85" customFormat="1" ht="25.5">
      <c r="A195" s="140"/>
      <c r="B195" s="146"/>
      <c r="C195" s="45"/>
      <c r="D195" s="46" t="s">
        <v>100</v>
      </c>
      <c r="E195" s="47" t="s">
        <v>101</v>
      </c>
      <c r="F195" s="47"/>
      <c r="G195" s="48" t="s">
        <v>28</v>
      </c>
      <c r="H195" s="27">
        <f>F196</f>
        <v>346.48</v>
      </c>
    </row>
    <row r="196" spans="1:8" s="85" customFormat="1">
      <c r="A196" s="56"/>
      <c r="B196" s="70"/>
      <c r="C196" s="45"/>
      <c r="D196" s="46"/>
      <c r="E196" s="133" t="s">
        <v>177</v>
      </c>
      <c r="F196" s="74">
        <f>2*14.2*12.2</f>
        <v>346.48</v>
      </c>
      <c r="G196" s="48"/>
      <c r="H196" s="27"/>
    </row>
    <row r="197" spans="1:8" s="85" customFormat="1">
      <c r="A197" s="56"/>
      <c r="B197" s="70"/>
      <c r="C197" s="45"/>
      <c r="D197" s="46"/>
      <c r="E197" s="133"/>
      <c r="F197" s="74"/>
      <c r="G197" s="48"/>
      <c r="H197" s="27"/>
    </row>
    <row r="198" spans="1:8" ht="38.25">
      <c r="A198" s="71"/>
      <c r="B198" s="72" t="s">
        <v>321</v>
      </c>
      <c r="C198" s="21"/>
      <c r="D198" s="73"/>
      <c r="E198" s="36" t="s">
        <v>337</v>
      </c>
      <c r="F198" s="59"/>
      <c r="G198" s="50"/>
      <c r="H198" s="27"/>
    </row>
    <row r="199" spans="1:8">
      <c r="A199" s="71"/>
      <c r="B199" s="72"/>
      <c r="C199" s="21"/>
      <c r="D199" s="199"/>
      <c r="E199" s="36"/>
      <c r="F199" s="59"/>
      <c r="G199" s="50"/>
      <c r="H199" s="27"/>
    </row>
    <row r="200" spans="1:8" s="85" customFormat="1" ht="38.25">
      <c r="A200" s="30">
        <f>MAX(A$1:A198)+1</f>
        <v>38</v>
      </c>
      <c r="B200" s="118"/>
      <c r="C200" s="32" t="s">
        <v>324</v>
      </c>
      <c r="D200" s="143"/>
      <c r="E200" s="138" t="s">
        <v>325</v>
      </c>
      <c r="F200" s="119"/>
      <c r="G200" s="42" t="s">
        <v>16</v>
      </c>
      <c r="H200" s="29">
        <f>H201</f>
        <v>82.25</v>
      </c>
    </row>
    <row r="201" spans="1:8" s="85" customFormat="1" ht="38.25">
      <c r="A201" s="69"/>
      <c r="B201" s="70"/>
      <c r="C201" s="45"/>
      <c r="D201" s="139" t="s">
        <v>339</v>
      </c>
      <c r="E201" s="47" t="s">
        <v>340</v>
      </c>
      <c r="F201" s="47"/>
      <c r="G201" s="48" t="s">
        <v>16</v>
      </c>
      <c r="H201" s="27">
        <f>F202</f>
        <v>82.25</v>
      </c>
    </row>
    <row r="202" spans="1:8" s="85" customFormat="1">
      <c r="A202" s="56"/>
      <c r="B202" s="70"/>
      <c r="C202" s="45"/>
      <c r="D202" s="46"/>
      <c r="E202" s="40" t="s">
        <v>390</v>
      </c>
      <c r="F202" s="74">
        <f>0.175*(2*235)</f>
        <v>82.25</v>
      </c>
      <c r="G202" s="48"/>
      <c r="H202" s="27"/>
    </row>
    <row r="203" spans="1:8" s="85" customFormat="1">
      <c r="A203" s="56"/>
      <c r="B203" s="70"/>
      <c r="C203" s="45"/>
      <c r="D203" s="46"/>
      <c r="E203" s="40"/>
      <c r="F203" s="74"/>
      <c r="G203" s="48"/>
      <c r="H203" s="27"/>
    </row>
    <row r="204" spans="1:8" s="85" customFormat="1" ht="38.25">
      <c r="A204" s="71"/>
      <c r="B204" s="72" t="s">
        <v>102</v>
      </c>
      <c r="C204" s="21"/>
      <c r="D204" s="73"/>
      <c r="E204" s="36" t="s">
        <v>103</v>
      </c>
      <c r="F204" s="60"/>
      <c r="G204" s="50"/>
      <c r="H204" s="27"/>
    </row>
    <row r="205" spans="1:8" s="85" customFormat="1">
      <c r="A205" s="71"/>
      <c r="B205" s="72"/>
      <c r="C205" s="21"/>
      <c r="D205" s="199"/>
      <c r="E205" s="36"/>
      <c r="F205" s="60"/>
      <c r="G205" s="50"/>
      <c r="H205" s="27"/>
    </row>
    <row r="206" spans="1:8" s="200" customFormat="1" ht="25.5">
      <c r="A206" s="30">
        <f>MAX(A$1:A204)+1</f>
        <v>39</v>
      </c>
      <c r="B206" s="72"/>
      <c r="C206" s="32" t="s">
        <v>327</v>
      </c>
      <c r="D206" s="143"/>
      <c r="E206" s="138" t="s">
        <v>328</v>
      </c>
      <c r="F206" s="138"/>
      <c r="G206" s="42" t="s">
        <v>28</v>
      </c>
      <c r="H206" s="29">
        <f>H207</f>
        <v>480</v>
      </c>
    </row>
    <row r="207" spans="1:8" s="85" customFormat="1" ht="38.25">
      <c r="A207" s="71"/>
      <c r="B207" s="72"/>
      <c r="C207" s="21"/>
      <c r="D207" s="139" t="s">
        <v>342</v>
      </c>
      <c r="E207" s="47" t="s">
        <v>343</v>
      </c>
      <c r="F207" s="47"/>
      <c r="G207" s="48" t="s">
        <v>28</v>
      </c>
      <c r="H207" s="27">
        <v>480</v>
      </c>
    </row>
    <row r="208" spans="1:8" s="85" customFormat="1">
      <c r="A208" s="71"/>
      <c r="B208" s="72"/>
      <c r="C208" s="21"/>
      <c r="D208" s="73"/>
      <c r="E208" s="40"/>
      <c r="F208" s="60"/>
      <c r="G208" s="50"/>
      <c r="H208" s="27"/>
    </row>
    <row r="209" spans="1:8" s="85" customFormat="1" ht="25.5">
      <c r="A209" s="30">
        <f>MAX(A$1:A206)+1</f>
        <v>40</v>
      </c>
      <c r="B209" s="118"/>
      <c r="C209" s="32" t="s">
        <v>329</v>
      </c>
      <c r="D209" s="33"/>
      <c r="E209" s="138" t="s">
        <v>330</v>
      </c>
      <c r="F209" s="144"/>
      <c r="G209" s="42" t="s">
        <v>28</v>
      </c>
      <c r="H209" s="29">
        <f>H210</f>
        <v>1180</v>
      </c>
    </row>
    <row r="210" spans="1:8" s="85" customFormat="1" ht="38.25">
      <c r="A210" s="76"/>
      <c r="B210" s="70"/>
      <c r="C210" s="45"/>
      <c r="D210" s="139" t="s">
        <v>344</v>
      </c>
      <c r="E210" s="47" t="s">
        <v>345</v>
      </c>
      <c r="F210" s="47"/>
      <c r="G210" s="48" t="s">
        <v>28</v>
      </c>
      <c r="H210" s="27">
        <f>680+500</f>
        <v>1180</v>
      </c>
    </row>
    <row r="211" spans="1:8" s="85" customFormat="1">
      <c r="A211" s="76"/>
      <c r="B211" s="70"/>
      <c r="C211" s="45"/>
      <c r="D211" s="46"/>
      <c r="E211" s="47"/>
      <c r="F211" s="74"/>
      <c r="G211" s="48"/>
      <c r="H211" s="27"/>
    </row>
    <row r="212" spans="1:8" s="85" customFormat="1" ht="25.5">
      <c r="A212" s="30">
        <f>MAX(A$1:A210)+1</f>
        <v>41</v>
      </c>
      <c r="B212" s="118"/>
      <c r="C212" s="32" t="s">
        <v>331</v>
      </c>
      <c r="D212" s="33"/>
      <c r="E212" s="138" t="s">
        <v>332</v>
      </c>
      <c r="F212" s="144"/>
      <c r="G212" s="42" t="s">
        <v>16</v>
      </c>
      <c r="H212" s="29">
        <f>H213</f>
        <v>68.400000000000006</v>
      </c>
    </row>
    <row r="213" spans="1:8" s="85" customFormat="1" ht="25.5">
      <c r="A213" s="76"/>
      <c r="B213" s="70"/>
      <c r="C213" s="45"/>
      <c r="D213" s="46" t="s">
        <v>348</v>
      </c>
      <c r="E213" s="47" t="s">
        <v>349</v>
      </c>
      <c r="F213" s="74"/>
      <c r="G213" s="48" t="s">
        <v>16</v>
      </c>
      <c r="H213" s="27">
        <f>F216</f>
        <v>68.400000000000006</v>
      </c>
    </row>
    <row r="214" spans="1:8" s="85" customFormat="1">
      <c r="A214" s="56"/>
      <c r="B214" s="70"/>
      <c r="C214" s="45"/>
      <c r="D214" s="46"/>
      <c r="E214" s="40" t="s">
        <v>391</v>
      </c>
      <c r="F214" s="74">
        <f>0.06*(2*250)</f>
        <v>30</v>
      </c>
      <c r="G214" s="48"/>
      <c r="H214" s="27"/>
    </row>
    <row r="215" spans="1:8" s="85" customFormat="1">
      <c r="A215" s="56"/>
      <c r="B215" s="70"/>
      <c r="C215" s="45"/>
      <c r="D215" s="46"/>
      <c r="E215" s="40" t="s">
        <v>352</v>
      </c>
      <c r="F215" s="132">
        <f>0.08*(2*240)</f>
        <v>38.4</v>
      </c>
      <c r="G215" s="48"/>
      <c r="H215" s="27"/>
    </row>
    <row r="216" spans="1:8" s="85" customFormat="1">
      <c r="A216" s="56"/>
      <c r="B216" s="70"/>
      <c r="C216" s="45"/>
      <c r="D216" s="46"/>
      <c r="E216" s="40"/>
      <c r="F216" s="43">
        <f>SUM(F214:F215)</f>
        <v>68.400000000000006</v>
      </c>
      <c r="G216" s="48"/>
      <c r="H216" s="27"/>
    </row>
    <row r="217" spans="1:8" s="85" customFormat="1">
      <c r="A217" s="56"/>
      <c r="B217" s="70"/>
      <c r="C217" s="45"/>
      <c r="D217" s="46"/>
      <c r="E217" s="40"/>
      <c r="F217" s="43"/>
      <c r="G217" s="48"/>
      <c r="H217" s="27"/>
    </row>
    <row r="218" spans="1:8" s="85" customFormat="1" ht="25.5">
      <c r="A218" s="30">
        <f>MAX(A$1:A216)+1</f>
        <v>42</v>
      </c>
      <c r="B218" s="118"/>
      <c r="C218" s="32" t="s">
        <v>104</v>
      </c>
      <c r="D218" s="33"/>
      <c r="E218" s="138" t="s">
        <v>105</v>
      </c>
      <c r="F218" s="119"/>
      <c r="G218" s="42" t="s">
        <v>16</v>
      </c>
      <c r="H218" s="29">
        <f>H219</f>
        <v>27.2</v>
      </c>
    </row>
    <row r="219" spans="1:8" s="85" customFormat="1" ht="25.5">
      <c r="A219" s="69"/>
      <c r="B219" s="70"/>
      <c r="C219" s="45"/>
      <c r="D219" s="46" t="s">
        <v>106</v>
      </c>
      <c r="E219" s="47" t="s">
        <v>107</v>
      </c>
      <c r="F219" s="55"/>
      <c r="G219" s="48" t="s">
        <v>16</v>
      </c>
      <c r="H219" s="27">
        <f>F220</f>
        <v>27.2</v>
      </c>
    </row>
    <row r="220" spans="1:8" s="85" customFormat="1">
      <c r="A220" s="76"/>
      <c r="B220" s="70"/>
      <c r="C220" s="45"/>
      <c r="D220" s="46"/>
      <c r="E220" s="150" t="s">
        <v>392</v>
      </c>
      <c r="F220" s="74">
        <f>0.04*(2*340)</f>
        <v>27.2</v>
      </c>
      <c r="G220" s="48"/>
      <c r="H220" s="27"/>
    </row>
    <row r="221" spans="1:8" s="85" customFormat="1">
      <c r="A221" s="76"/>
      <c r="B221" s="70"/>
      <c r="C221" s="45"/>
      <c r="D221" s="46"/>
      <c r="E221" s="47"/>
      <c r="F221" s="74"/>
      <c r="G221" s="48"/>
      <c r="H221" s="27"/>
    </row>
    <row r="222" spans="1:8" s="85" customFormat="1" ht="25.5">
      <c r="A222" s="30">
        <f>MAX(A$1:A221)+1</f>
        <v>43</v>
      </c>
      <c r="B222" s="118"/>
      <c r="C222" s="32" t="s">
        <v>112</v>
      </c>
      <c r="D222" s="33"/>
      <c r="E222" s="138" t="s">
        <v>113</v>
      </c>
      <c r="F222" s="144"/>
      <c r="G222" s="42" t="s">
        <v>31</v>
      </c>
      <c r="H222" s="29">
        <f>F223</f>
        <v>44</v>
      </c>
    </row>
    <row r="223" spans="1:8" s="85" customFormat="1">
      <c r="A223" s="76"/>
      <c r="B223" s="118"/>
      <c r="C223" s="33"/>
      <c r="D223" s="46"/>
      <c r="E223" s="40" t="s">
        <v>165</v>
      </c>
      <c r="F223" s="74">
        <f>4*11</f>
        <v>44</v>
      </c>
      <c r="G223" s="48"/>
      <c r="H223" s="27"/>
    </row>
    <row r="224" spans="1:8" s="85" customFormat="1">
      <c r="A224" s="76"/>
      <c r="B224" s="131"/>
      <c r="C224" s="33"/>
      <c r="D224" s="46"/>
      <c r="E224" s="40"/>
      <c r="F224" s="132"/>
      <c r="G224" s="48"/>
      <c r="H224" s="27"/>
    </row>
    <row r="225" spans="1:8" s="85" customFormat="1">
      <c r="A225" s="30">
        <f>MAX(A$1:A224)+1</f>
        <v>44</v>
      </c>
      <c r="B225" s="118"/>
      <c r="C225" s="32" t="s">
        <v>114</v>
      </c>
      <c r="D225" s="33"/>
      <c r="E225" s="138" t="s">
        <v>115</v>
      </c>
      <c r="F225" s="119"/>
      <c r="G225" s="42" t="s">
        <v>31</v>
      </c>
      <c r="H225" s="29">
        <f>H226</f>
        <v>48</v>
      </c>
    </row>
    <row r="226" spans="1:8" s="85" customFormat="1">
      <c r="A226" s="69"/>
      <c r="B226" s="70"/>
      <c r="C226" s="45"/>
      <c r="D226" s="46" t="s">
        <v>116</v>
      </c>
      <c r="E226" s="47" t="s">
        <v>117</v>
      </c>
      <c r="F226" s="55"/>
      <c r="G226" s="48" t="s">
        <v>31</v>
      </c>
      <c r="H226" s="27">
        <f>F227</f>
        <v>48</v>
      </c>
    </row>
    <row r="227" spans="1:8" s="85" customFormat="1">
      <c r="A227" s="69"/>
      <c r="B227" s="118"/>
      <c r="C227" s="32"/>
      <c r="D227" s="33"/>
      <c r="E227" s="40" t="s">
        <v>166</v>
      </c>
      <c r="F227" s="41">
        <f>4*6+12+12</f>
        <v>48</v>
      </c>
      <c r="G227" s="42"/>
      <c r="H227" s="27"/>
    </row>
    <row r="228" spans="1:8" s="85" customFormat="1">
      <c r="A228" s="130"/>
      <c r="B228" s="118"/>
      <c r="C228" s="32"/>
      <c r="D228" s="33"/>
      <c r="E228" s="40"/>
      <c r="F228" s="41"/>
      <c r="G228" s="42"/>
      <c r="H228" s="27"/>
    </row>
    <row r="229" spans="1:8" ht="25.5">
      <c r="A229" s="56"/>
      <c r="B229" s="57" t="s">
        <v>118</v>
      </c>
      <c r="C229" s="58"/>
      <c r="D229" s="33"/>
      <c r="E229" s="36" t="s">
        <v>119</v>
      </c>
      <c r="F229" s="75"/>
      <c r="G229" s="42"/>
      <c r="H229" s="27"/>
    </row>
    <row r="230" spans="1:8">
      <c r="A230" s="76"/>
      <c r="B230" s="131"/>
      <c r="C230" s="33"/>
      <c r="D230" s="46"/>
      <c r="E230" s="40"/>
      <c r="F230" s="74"/>
      <c r="G230" s="48"/>
      <c r="H230" s="27"/>
    </row>
    <row r="231" spans="1:8" s="85" customFormat="1">
      <c r="A231" s="30">
        <f>MAX(A$1:A230)+1</f>
        <v>45</v>
      </c>
      <c r="B231" s="118"/>
      <c r="C231" s="32" t="s">
        <v>120</v>
      </c>
      <c r="D231" s="33"/>
      <c r="E231" s="138" t="s">
        <v>121</v>
      </c>
      <c r="F231" s="119"/>
      <c r="G231" s="42" t="s">
        <v>16</v>
      </c>
      <c r="H231" s="29">
        <f>H232</f>
        <v>2.02</v>
      </c>
    </row>
    <row r="232" spans="1:8" s="85" customFormat="1" ht="25.5">
      <c r="A232" s="69"/>
      <c r="B232" s="70"/>
      <c r="C232" s="45"/>
      <c r="D232" s="120" t="s">
        <v>122</v>
      </c>
      <c r="E232" s="121" t="s">
        <v>123</v>
      </c>
      <c r="F232" s="122"/>
      <c r="G232" s="50" t="s">
        <v>16</v>
      </c>
      <c r="H232" s="27">
        <f>F233</f>
        <v>2.02</v>
      </c>
    </row>
    <row r="233" spans="1:8" s="85" customFormat="1">
      <c r="A233" s="69"/>
      <c r="B233" s="118"/>
      <c r="C233" s="32"/>
      <c r="D233" s="33"/>
      <c r="E233" s="40" t="s">
        <v>393</v>
      </c>
      <c r="F233" s="123">
        <f>(4*1.4+14.6)*0.1</f>
        <v>2.02</v>
      </c>
      <c r="G233" s="42"/>
      <c r="H233" s="27"/>
    </row>
    <row r="234" spans="1:8" s="85" customFormat="1">
      <c r="A234" s="69"/>
      <c r="B234" s="118"/>
      <c r="C234" s="32"/>
      <c r="D234" s="33"/>
      <c r="E234" s="40"/>
      <c r="F234" s="123"/>
      <c r="G234" s="42"/>
      <c r="H234" s="27"/>
    </row>
    <row r="235" spans="1:8" s="85" customFormat="1">
      <c r="A235" s="30">
        <f>MAX(A$1:A234)+1</f>
        <v>46</v>
      </c>
      <c r="B235" s="118"/>
      <c r="C235" s="32" t="s">
        <v>124</v>
      </c>
      <c r="D235" s="33"/>
      <c r="E235" s="138" t="s">
        <v>125</v>
      </c>
      <c r="F235" s="119"/>
      <c r="G235" s="42" t="s">
        <v>28</v>
      </c>
      <c r="H235" s="151">
        <f>H236</f>
        <v>20.2</v>
      </c>
    </row>
    <row r="236" spans="1:8" s="85" customFormat="1">
      <c r="A236" s="190"/>
      <c r="B236" s="70"/>
      <c r="C236" s="45"/>
      <c r="D236" s="46" t="s">
        <v>126</v>
      </c>
      <c r="E236" s="47" t="s">
        <v>127</v>
      </c>
      <c r="F236" s="55"/>
      <c r="G236" s="48" t="s">
        <v>28</v>
      </c>
      <c r="H236" s="152">
        <f>F237</f>
        <v>20.2</v>
      </c>
    </row>
    <row r="237" spans="1:8" s="85" customFormat="1">
      <c r="A237" s="69"/>
      <c r="B237" s="118"/>
      <c r="C237" s="32"/>
      <c r="D237" s="33"/>
      <c r="E237" s="40" t="s">
        <v>167</v>
      </c>
      <c r="F237" s="41">
        <f>(4*1.4+14.6)</f>
        <v>20.2</v>
      </c>
      <c r="G237" s="42"/>
      <c r="H237" s="27"/>
    </row>
    <row r="238" spans="1:8" s="85" customFormat="1">
      <c r="A238" s="69"/>
      <c r="B238" s="131"/>
      <c r="C238" s="32"/>
      <c r="D238" s="33"/>
      <c r="E238" s="40"/>
      <c r="F238" s="41"/>
      <c r="G238" s="42"/>
      <c r="H238" s="27"/>
    </row>
    <row r="239" spans="1:8" ht="25.5">
      <c r="A239" s="56"/>
      <c r="B239" s="57" t="s">
        <v>283</v>
      </c>
      <c r="C239" s="58"/>
      <c r="D239" s="33"/>
      <c r="E239" s="36" t="s">
        <v>284</v>
      </c>
      <c r="F239" s="75"/>
      <c r="G239" s="42"/>
      <c r="H239" s="27"/>
    </row>
    <row r="240" spans="1:8" s="85" customFormat="1">
      <c r="A240" s="69"/>
      <c r="B240" s="131"/>
      <c r="C240" s="32"/>
      <c r="D240" s="33"/>
      <c r="E240" s="40"/>
      <c r="F240" s="41"/>
      <c r="G240" s="42"/>
      <c r="H240" s="27"/>
    </row>
    <row r="241" spans="1:8" s="85" customFormat="1">
      <c r="A241" s="30">
        <f>MAX(A$1:A240)+1</f>
        <v>47</v>
      </c>
      <c r="B241" s="131"/>
      <c r="C241" s="195">
        <v>91022701</v>
      </c>
      <c r="D241" s="196"/>
      <c r="E241" s="138" t="s">
        <v>285</v>
      </c>
      <c r="F241" s="138"/>
      <c r="G241" s="42" t="s">
        <v>21</v>
      </c>
      <c r="H241" s="151">
        <v>1</v>
      </c>
    </row>
    <row r="242" spans="1:8" s="85" customFormat="1">
      <c r="A242" s="69"/>
      <c r="B242" s="131"/>
      <c r="C242" s="32"/>
      <c r="D242" s="33"/>
      <c r="E242" s="40" t="s">
        <v>286</v>
      </c>
      <c r="F242" s="41"/>
      <c r="G242" s="42"/>
      <c r="H242" s="27"/>
    </row>
    <row r="243" spans="1:8" s="85" customFormat="1">
      <c r="A243" s="76"/>
      <c r="B243" s="167"/>
      <c r="C243" s="33"/>
      <c r="D243" s="46"/>
      <c r="E243" s="40"/>
      <c r="F243" s="123"/>
      <c r="G243" s="48"/>
      <c r="H243" s="27"/>
    </row>
    <row r="244" spans="1:8" s="85" customFormat="1">
      <c r="A244" s="20"/>
      <c r="B244" s="168" t="s">
        <v>287</v>
      </c>
      <c r="C244" s="21"/>
      <c r="D244" s="73"/>
      <c r="E244" s="36" t="s">
        <v>288</v>
      </c>
      <c r="F244" s="36"/>
      <c r="G244" s="26"/>
      <c r="H244" s="27"/>
    </row>
    <row r="245" spans="1:8" s="85" customFormat="1">
      <c r="A245" s="20"/>
      <c r="B245" s="168"/>
      <c r="C245" s="21"/>
      <c r="D245" s="73"/>
      <c r="E245" s="36"/>
      <c r="F245" s="36"/>
      <c r="G245" s="26"/>
      <c r="H245" s="27"/>
    </row>
    <row r="246" spans="1:8" s="85" customFormat="1" ht="25.5">
      <c r="A246" s="30">
        <f>MAX(A$1:A245)+1</f>
        <v>48</v>
      </c>
      <c r="B246" s="118"/>
      <c r="C246" s="32" t="s">
        <v>289</v>
      </c>
      <c r="D246" s="33"/>
      <c r="E246" s="138" t="s">
        <v>290</v>
      </c>
      <c r="F246" s="119"/>
      <c r="G246" s="42" t="s">
        <v>28</v>
      </c>
      <c r="H246" s="29">
        <f>F250</f>
        <v>480.05</v>
      </c>
    </row>
    <row r="247" spans="1:8" s="85" customFormat="1">
      <c r="A247" s="169"/>
      <c r="B247" s="170"/>
      <c r="C247" s="170"/>
      <c r="D247" s="171"/>
      <c r="E247" s="172" t="s">
        <v>291</v>
      </c>
      <c r="F247" s="173"/>
      <c r="G247" s="174"/>
      <c r="H247" s="175"/>
    </row>
    <row r="248" spans="1:8" s="85" customFormat="1">
      <c r="A248" s="39"/>
      <c r="B248" s="176"/>
      <c r="C248" s="58"/>
      <c r="D248" s="33"/>
      <c r="E248" s="40" t="s">
        <v>279</v>
      </c>
      <c r="F248" s="43">
        <f>4*2*1.25+2*(8.2+8.8)</f>
        <v>44</v>
      </c>
      <c r="G248" s="48"/>
      <c r="H248" s="148"/>
    </row>
    <row r="249" spans="1:8" s="85" customFormat="1">
      <c r="A249" s="39"/>
      <c r="B249" s="176"/>
      <c r="C249" s="58"/>
      <c r="D249" s="33"/>
      <c r="E249" s="40" t="s">
        <v>280</v>
      </c>
      <c r="F249" s="141">
        <f>27*1.7*9.5</f>
        <v>436.05</v>
      </c>
      <c r="G249" s="48"/>
      <c r="H249" s="148"/>
    </row>
    <row r="250" spans="1:8" s="85" customFormat="1">
      <c r="A250" s="39"/>
      <c r="B250" s="176"/>
      <c r="C250" s="58"/>
      <c r="D250" s="33"/>
      <c r="E250" s="47"/>
      <c r="F250" s="43">
        <f>SUM(F248:F249)</f>
        <v>480.05</v>
      </c>
      <c r="G250" s="48"/>
      <c r="H250" s="148"/>
    </row>
    <row r="251" spans="1:8" s="85" customFormat="1">
      <c r="A251" s="39"/>
      <c r="B251" s="176"/>
      <c r="C251" s="58"/>
      <c r="D251" s="33"/>
      <c r="E251" s="177"/>
      <c r="F251" s="178"/>
      <c r="G251" s="48"/>
      <c r="H251" s="148"/>
    </row>
    <row r="252" spans="1:8" s="85" customFormat="1">
      <c r="A252" s="76"/>
      <c r="B252" s="176" t="s">
        <v>292</v>
      </c>
      <c r="C252" s="58"/>
      <c r="D252" s="33"/>
      <c r="E252" s="36" t="s">
        <v>293</v>
      </c>
      <c r="F252" s="179"/>
      <c r="G252" s="48"/>
      <c r="H252" s="27"/>
    </row>
    <row r="253" spans="1:8" s="85" customFormat="1">
      <c r="A253" s="76"/>
      <c r="B253" s="176"/>
      <c r="C253" s="58"/>
      <c r="D253" s="33"/>
      <c r="E253" s="36"/>
      <c r="F253" s="179"/>
      <c r="G253" s="48"/>
      <c r="H253" s="27"/>
    </row>
    <row r="254" spans="1:8" s="85" customFormat="1">
      <c r="A254" s="30">
        <f>MAX(A$1:A253)+1</f>
        <v>49</v>
      </c>
      <c r="B254" s="118"/>
      <c r="C254" s="32" t="s">
        <v>294</v>
      </c>
      <c r="D254" s="33"/>
      <c r="E254" s="138" t="s">
        <v>295</v>
      </c>
      <c r="F254" s="144"/>
      <c r="G254" s="42" t="s">
        <v>28</v>
      </c>
      <c r="H254" s="29">
        <f>H255</f>
        <v>346.48</v>
      </c>
    </row>
    <row r="255" spans="1:8" s="85" customFormat="1">
      <c r="A255" s="76"/>
      <c r="B255" s="118"/>
      <c r="C255" s="33"/>
      <c r="D255" s="46" t="s">
        <v>296</v>
      </c>
      <c r="E255" s="47" t="s">
        <v>297</v>
      </c>
      <c r="F255" s="74"/>
      <c r="G255" s="48" t="s">
        <v>28</v>
      </c>
      <c r="H255" s="27">
        <f>F256</f>
        <v>346.48</v>
      </c>
    </row>
    <row r="256" spans="1:8" s="85" customFormat="1">
      <c r="A256" s="76"/>
      <c r="B256" s="70"/>
      <c r="C256" s="197"/>
      <c r="D256" s="46"/>
      <c r="E256" s="40" t="s">
        <v>298</v>
      </c>
      <c r="F256" s="74">
        <f>2*14.2*12.2</f>
        <v>346.48</v>
      </c>
      <c r="G256" s="48"/>
      <c r="H256" s="27"/>
    </row>
    <row r="257" spans="1:8" s="85" customFormat="1">
      <c r="A257" s="30"/>
      <c r="B257" s="180"/>
      <c r="C257" s="57"/>
      <c r="D257" s="57"/>
      <c r="E257" s="181"/>
      <c r="F257" s="179"/>
      <c r="G257" s="26"/>
      <c r="H257" s="182"/>
    </row>
    <row r="258" spans="1:8" s="85" customFormat="1" ht="25.5">
      <c r="A258" s="30">
        <f>MAX(A$1:A257)+1</f>
        <v>50</v>
      </c>
      <c r="B258" s="118"/>
      <c r="C258" s="32" t="s">
        <v>299</v>
      </c>
      <c r="D258" s="33"/>
      <c r="E258" s="138" t="s">
        <v>300</v>
      </c>
      <c r="F258" s="119"/>
      <c r="G258" s="42" t="s">
        <v>28</v>
      </c>
      <c r="H258" s="29">
        <f>H259</f>
        <v>480.05</v>
      </c>
    </row>
    <row r="259" spans="1:8" s="85" customFormat="1" ht="25.5">
      <c r="A259" s="69"/>
      <c r="B259" s="70"/>
      <c r="C259" s="45"/>
      <c r="D259" s="46" t="s">
        <v>301</v>
      </c>
      <c r="E259" s="47" t="s">
        <v>302</v>
      </c>
      <c r="F259" s="55"/>
      <c r="G259" s="48" t="s">
        <v>28</v>
      </c>
      <c r="H259" s="27">
        <f>F263</f>
        <v>480.05</v>
      </c>
    </row>
    <row r="260" spans="1:8" s="85" customFormat="1" ht="25.5">
      <c r="A260" s="20"/>
      <c r="B260" s="183"/>
      <c r="C260" s="73"/>
      <c r="D260" s="184"/>
      <c r="E260" s="185" t="s">
        <v>303</v>
      </c>
      <c r="F260" s="186"/>
      <c r="G260" s="50"/>
      <c r="H260" s="187"/>
    </row>
    <row r="261" spans="1:8" s="85" customFormat="1">
      <c r="A261" s="30"/>
      <c r="B261" s="183"/>
      <c r="C261" s="73"/>
      <c r="D261" s="184"/>
      <c r="E261" s="40" t="s">
        <v>279</v>
      </c>
      <c r="F261" s="43">
        <f>4*2*1.25+2*(8.2+8.8)</f>
        <v>44</v>
      </c>
      <c r="G261" s="50"/>
      <c r="H261" s="187"/>
    </row>
    <row r="262" spans="1:8" s="85" customFormat="1">
      <c r="A262" s="30"/>
      <c r="B262" s="183"/>
      <c r="C262" s="73"/>
      <c r="D262" s="184"/>
      <c r="E262" s="40" t="s">
        <v>280</v>
      </c>
      <c r="F262" s="141">
        <f>27*1.7*9.5</f>
        <v>436.05</v>
      </c>
      <c r="G262" s="50"/>
      <c r="H262" s="187"/>
    </row>
    <row r="263" spans="1:8" s="85" customFormat="1">
      <c r="A263" s="30"/>
      <c r="B263" s="183"/>
      <c r="C263" s="73"/>
      <c r="D263" s="184"/>
      <c r="E263" s="47"/>
      <c r="F263" s="43">
        <f>SUM(F261:F262)</f>
        <v>480.05</v>
      </c>
      <c r="G263" s="50"/>
      <c r="H263" s="187"/>
    </row>
    <row r="264" spans="1:8" s="85" customFormat="1">
      <c r="A264" s="20"/>
      <c r="B264" s="183"/>
      <c r="C264" s="73"/>
      <c r="D264" s="184"/>
      <c r="E264" s="66"/>
      <c r="F264" s="188"/>
      <c r="G264" s="50"/>
      <c r="H264" s="187"/>
    </row>
    <row r="265" spans="1:8" s="85" customFormat="1">
      <c r="A265" s="30">
        <f>MAX(A$1:A260)+1</f>
        <v>51</v>
      </c>
      <c r="B265" s="118"/>
      <c r="C265" s="32" t="s">
        <v>394</v>
      </c>
      <c r="D265" s="33"/>
      <c r="E265" s="138" t="s">
        <v>395</v>
      </c>
      <c r="F265" s="119"/>
      <c r="G265" s="42" t="s">
        <v>28</v>
      </c>
      <c r="H265" s="29">
        <f>H266</f>
        <v>480.05</v>
      </c>
    </row>
    <row r="266" spans="1:8" s="85" customFormat="1" ht="25.5">
      <c r="A266" s="69"/>
      <c r="B266" s="70"/>
      <c r="C266" s="45"/>
      <c r="D266" s="46" t="s">
        <v>396</v>
      </c>
      <c r="E266" s="47" t="s">
        <v>397</v>
      </c>
      <c r="F266" s="55"/>
      <c r="G266" s="48" t="s">
        <v>28</v>
      </c>
      <c r="H266" s="27">
        <f>F270</f>
        <v>480.05</v>
      </c>
    </row>
    <row r="267" spans="1:8" s="85" customFormat="1" ht="25.5">
      <c r="A267" s="30" t="s">
        <v>398</v>
      </c>
      <c r="B267" s="183"/>
      <c r="C267" s="73"/>
      <c r="D267" s="184"/>
      <c r="E267" s="203" t="s">
        <v>399</v>
      </c>
      <c r="F267" s="204"/>
      <c r="G267" s="50"/>
      <c r="H267" s="187"/>
    </row>
    <row r="268" spans="1:8" s="85" customFormat="1">
      <c r="A268" s="30"/>
      <c r="B268" s="183"/>
      <c r="C268" s="73"/>
      <c r="D268" s="184"/>
      <c r="E268" s="40" t="s">
        <v>279</v>
      </c>
      <c r="F268" s="43">
        <f>4*2*1.25+2*(8.2+8.8)</f>
        <v>44</v>
      </c>
      <c r="G268" s="50"/>
      <c r="H268" s="187"/>
    </row>
    <row r="269" spans="1:8" s="85" customFormat="1">
      <c r="A269" s="30"/>
      <c r="B269" s="183"/>
      <c r="C269" s="73"/>
      <c r="D269" s="184"/>
      <c r="E269" s="40" t="s">
        <v>280</v>
      </c>
      <c r="F269" s="141">
        <f>27*1.7*9.5</f>
        <v>436.05</v>
      </c>
      <c r="G269" s="50"/>
      <c r="H269" s="187"/>
    </row>
    <row r="270" spans="1:8" s="85" customFormat="1">
      <c r="A270" s="30"/>
      <c r="B270" s="183"/>
      <c r="C270" s="73"/>
      <c r="D270" s="184"/>
      <c r="E270" s="47"/>
      <c r="F270" s="43">
        <f>SUM(F268:F269)</f>
        <v>480.05</v>
      </c>
      <c r="G270" s="50"/>
      <c r="H270" s="187"/>
    </row>
    <row r="271" spans="1:8" s="85" customFormat="1" ht="15.75" thickBot="1">
      <c r="A271" s="124"/>
      <c r="B271" s="125"/>
      <c r="C271" s="126"/>
      <c r="D271" s="127"/>
      <c r="E271" s="86"/>
      <c r="F271" s="87"/>
      <c r="G271" s="128"/>
      <c r="H271" s="129"/>
    </row>
    <row r="272" spans="1:8">
      <c r="A272" s="78"/>
      <c r="B272" s="78"/>
      <c r="C272" s="79"/>
      <c r="D272" s="80"/>
      <c r="E272" s="66"/>
      <c r="F272" s="67"/>
      <c r="G272" s="81"/>
      <c r="H272" s="82"/>
    </row>
    <row r="273" spans="1:8">
      <c r="A273" s="78"/>
      <c r="B273" s="78"/>
      <c r="C273" s="79"/>
      <c r="D273" s="80"/>
      <c r="E273" s="66"/>
      <c r="F273" s="67"/>
      <c r="G273" s="81"/>
      <c r="H273" s="82"/>
    </row>
    <row r="274" spans="1:8">
      <c r="A274" s="78"/>
      <c r="B274" s="78"/>
      <c r="C274" s="79"/>
      <c r="D274" s="80"/>
      <c r="E274" s="66"/>
      <c r="F274" s="67"/>
      <c r="G274" s="81"/>
      <c r="H274" s="82"/>
    </row>
    <row r="275" spans="1:8">
      <c r="A275" s="78"/>
      <c r="B275" s="78"/>
      <c r="C275" s="79"/>
      <c r="D275" s="80"/>
      <c r="E275" s="68"/>
      <c r="F275" s="67"/>
      <c r="G275" s="81"/>
      <c r="H275" s="82"/>
    </row>
    <row r="276" spans="1:8">
      <c r="A276" s="78"/>
      <c r="B276" s="78"/>
      <c r="C276" s="79"/>
      <c r="D276" s="80"/>
      <c r="E276" s="66"/>
      <c r="F276" s="67"/>
      <c r="G276" s="81"/>
      <c r="H276" s="82"/>
    </row>
    <row r="277" spans="1:8">
      <c r="A277" s="78"/>
      <c r="B277" s="78"/>
      <c r="C277" s="79"/>
      <c r="D277" s="80"/>
      <c r="E277" s="66"/>
      <c r="F277" s="67"/>
      <c r="G277" s="81"/>
      <c r="H277" s="82"/>
    </row>
    <row r="278" spans="1:8">
      <c r="A278" s="78"/>
      <c r="B278" s="78"/>
      <c r="C278" s="79"/>
      <c r="D278" s="80"/>
      <c r="E278" s="66"/>
      <c r="F278" s="67"/>
      <c r="G278" s="81"/>
      <c r="H278" s="82"/>
    </row>
    <row r="279" spans="1:8">
      <c r="A279" s="78"/>
      <c r="B279" s="78"/>
      <c r="C279" s="79"/>
      <c r="D279" s="80"/>
      <c r="E279" s="66"/>
      <c r="F279" s="67"/>
      <c r="G279" s="81"/>
      <c r="H279" s="82"/>
    </row>
    <row r="280" spans="1:8">
      <c r="A280" s="78"/>
      <c r="B280" s="78"/>
      <c r="C280" s="79"/>
      <c r="D280" s="80"/>
      <c r="E280" s="66"/>
      <c r="F280" s="67"/>
      <c r="G280" s="81"/>
      <c r="H280" s="82"/>
    </row>
    <row r="281" spans="1:8">
      <c r="A281" s="78"/>
      <c r="B281" s="78"/>
      <c r="C281" s="79"/>
      <c r="D281" s="80"/>
      <c r="E281" s="66"/>
      <c r="F281" s="67"/>
      <c r="G281" s="81"/>
      <c r="H281" s="82"/>
    </row>
    <row r="282" spans="1:8">
      <c r="A282" s="78"/>
      <c r="B282" s="78"/>
      <c r="C282" s="79"/>
      <c r="D282" s="80"/>
      <c r="E282" s="66"/>
      <c r="F282" s="67"/>
      <c r="G282" s="81"/>
      <c r="H282" s="82"/>
    </row>
    <row r="283" spans="1:8">
      <c r="A283" s="78"/>
      <c r="B283" s="78"/>
      <c r="C283" s="79"/>
      <c r="D283" s="80"/>
      <c r="E283" s="66"/>
      <c r="F283" s="67"/>
      <c r="G283" s="81"/>
      <c r="H283" s="82"/>
    </row>
    <row r="284" spans="1:8">
      <c r="A284" s="78"/>
      <c r="B284" s="78"/>
      <c r="C284" s="79"/>
      <c r="D284" s="80"/>
      <c r="E284" s="66"/>
      <c r="F284" s="67"/>
      <c r="G284" s="81"/>
      <c r="H284" s="82"/>
    </row>
    <row r="285" spans="1:8">
      <c r="A285" s="78"/>
      <c r="B285" s="78"/>
      <c r="C285" s="79"/>
      <c r="D285" s="80"/>
      <c r="E285" s="66"/>
      <c r="F285" s="67"/>
      <c r="G285" s="81"/>
      <c r="H285" s="82"/>
    </row>
    <row r="286" spans="1:8">
      <c r="A286" s="78"/>
      <c r="B286" s="78"/>
      <c r="C286" s="79"/>
      <c r="D286" s="80"/>
      <c r="E286" s="66"/>
      <c r="F286" s="67"/>
      <c r="G286" s="81"/>
      <c r="H286" s="82"/>
    </row>
    <row r="287" spans="1:8">
      <c r="A287" s="78"/>
      <c r="B287" s="78"/>
      <c r="C287" s="79"/>
      <c r="D287" s="80"/>
      <c r="E287" s="66"/>
      <c r="F287" s="67"/>
      <c r="G287" s="81"/>
      <c r="H287" s="82"/>
    </row>
    <row r="288" spans="1:8">
      <c r="A288" s="78"/>
      <c r="B288" s="78"/>
      <c r="C288" s="79"/>
      <c r="D288" s="80"/>
      <c r="E288" s="66"/>
      <c r="F288" s="67"/>
      <c r="G288" s="81"/>
      <c r="H288" s="82"/>
    </row>
    <row r="289" spans="1:8">
      <c r="A289" s="78"/>
      <c r="B289" s="78"/>
      <c r="C289" s="79"/>
      <c r="D289" s="80"/>
      <c r="E289" s="66"/>
      <c r="F289" s="67"/>
      <c r="G289" s="81"/>
      <c r="H289" s="82"/>
    </row>
    <row r="290" spans="1:8">
      <c r="A290" s="78"/>
      <c r="B290" s="78"/>
      <c r="C290" s="79"/>
      <c r="D290" s="80"/>
      <c r="E290" s="66"/>
      <c r="F290" s="67"/>
      <c r="G290" s="81"/>
      <c r="H290" s="82"/>
    </row>
    <row r="291" spans="1:8">
      <c r="A291" s="78"/>
      <c r="B291" s="78"/>
      <c r="C291" s="79"/>
      <c r="D291" s="80"/>
      <c r="E291" s="66"/>
      <c r="F291" s="67"/>
      <c r="G291" s="81"/>
      <c r="H291" s="82"/>
    </row>
    <row r="292" spans="1:8">
      <c r="A292" s="78"/>
      <c r="B292" s="78"/>
      <c r="C292" s="79"/>
      <c r="D292" s="80"/>
      <c r="E292" s="66"/>
      <c r="F292" s="67"/>
      <c r="G292" s="81"/>
      <c r="H292" s="82"/>
    </row>
    <row r="293" spans="1:8">
      <c r="A293" s="78"/>
      <c r="B293" s="78"/>
      <c r="C293" s="79"/>
      <c r="D293" s="80"/>
      <c r="E293" s="66"/>
      <c r="F293" s="67"/>
      <c r="G293" s="81"/>
      <c r="H293" s="82"/>
    </row>
    <row r="294" spans="1:8">
      <c r="A294" s="78"/>
      <c r="B294" s="78"/>
      <c r="C294" s="79"/>
      <c r="D294" s="80"/>
      <c r="E294" s="66"/>
      <c r="F294" s="67"/>
      <c r="G294" s="81"/>
      <c r="H294" s="82"/>
    </row>
    <row r="295" spans="1:8">
      <c r="A295" s="78"/>
      <c r="B295" s="78"/>
      <c r="C295" s="79"/>
      <c r="D295" s="80"/>
      <c r="E295" s="66"/>
      <c r="F295" s="67"/>
      <c r="G295" s="81"/>
      <c r="H295" s="82"/>
    </row>
    <row r="296" spans="1:8">
      <c r="A296" s="78"/>
      <c r="B296" s="78"/>
      <c r="C296" s="79"/>
      <c r="D296" s="80"/>
      <c r="E296" s="66"/>
      <c r="F296" s="67"/>
      <c r="G296" s="81"/>
      <c r="H296" s="82"/>
    </row>
    <row r="297" spans="1:8">
      <c r="A297" s="78"/>
      <c r="B297" s="78"/>
      <c r="C297" s="79"/>
      <c r="D297" s="80"/>
      <c r="E297" s="66"/>
      <c r="F297" s="67"/>
      <c r="G297" s="81"/>
      <c r="H297" s="82"/>
    </row>
    <row r="298" spans="1:8">
      <c r="A298" s="78"/>
      <c r="B298" s="78"/>
      <c r="C298" s="79"/>
      <c r="D298" s="80"/>
      <c r="E298" s="66"/>
      <c r="F298" s="67"/>
      <c r="G298" s="81"/>
      <c r="H298" s="82"/>
    </row>
    <row r="299" spans="1:8">
      <c r="A299" s="78"/>
      <c r="B299" s="78"/>
      <c r="C299" s="79"/>
      <c r="D299" s="80"/>
      <c r="E299" s="66"/>
      <c r="F299" s="67"/>
      <c r="G299" s="81"/>
      <c r="H299" s="82"/>
    </row>
    <row r="300" spans="1:8">
      <c r="A300" s="78"/>
      <c r="B300" s="78"/>
      <c r="C300" s="79"/>
      <c r="D300" s="80"/>
      <c r="E300" s="66"/>
      <c r="F300" s="67"/>
      <c r="G300" s="81"/>
      <c r="H300" s="82"/>
    </row>
    <row r="301" spans="1:8">
      <c r="A301" s="78"/>
      <c r="B301" s="78"/>
      <c r="C301" s="79"/>
      <c r="D301" s="80"/>
      <c r="E301" s="66"/>
      <c r="F301" s="67"/>
      <c r="G301" s="81"/>
      <c r="H301" s="82"/>
    </row>
    <row r="302" spans="1:8">
      <c r="A302" s="78"/>
      <c r="B302" s="78"/>
      <c r="C302" s="79"/>
      <c r="D302" s="80"/>
      <c r="E302" s="66"/>
      <c r="F302" s="67"/>
      <c r="G302" s="81"/>
      <c r="H302" s="82"/>
    </row>
    <row r="303" spans="1:8">
      <c r="A303" s="78"/>
      <c r="B303" s="78"/>
      <c r="C303" s="79"/>
      <c r="D303" s="80"/>
      <c r="E303" s="66"/>
      <c r="F303" s="67"/>
      <c r="G303" s="81"/>
      <c r="H303" s="82"/>
    </row>
    <row r="304" spans="1:8">
      <c r="A304" s="78"/>
      <c r="B304" s="78"/>
      <c r="C304" s="79"/>
      <c r="D304" s="80"/>
      <c r="E304" s="66"/>
      <c r="F304" s="67"/>
      <c r="G304" s="81"/>
      <c r="H304" s="82"/>
    </row>
    <row r="305" spans="1:8">
      <c r="A305" s="78"/>
      <c r="B305" s="78"/>
      <c r="C305" s="79"/>
      <c r="D305" s="80"/>
      <c r="E305" s="66"/>
      <c r="F305" s="67"/>
      <c r="G305" s="81"/>
      <c r="H305" s="82"/>
    </row>
    <row r="306" spans="1:8">
      <c r="A306" s="78"/>
      <c r="B306" s="78"/>
      <c r="C306" s="79"/>
      <c r="D306" s="80"/>
      <c r="E306" s="66"/>
      <c r="F306" s="67"/>
      <c r="G306" s="81"/>
      <c r="H306" s="82"/>
    </row>
    <row r="307" spans="1:8">
      <c r="A307" s="78"/>
      <c r="B307" s="78"/>
      <c r="C307" s="79"/>
      <c r="D307" s="80"/>
      <c r="E307" s="83"/>
      <c r="F307" s="84"/>
      <c r="G307" s="81"/>
      <c r="H307" s="82"/>
    </row>
    <row r="308" spans="1:8">
      <c r="A308" s="78"/>
      <c r="B308" s="78"/>
      <c r="C308" s="79"/>
      <c r="D308" s="80"/>
      <c r="E308" s="77"/>
      <c r="F308" s="64"/>
      <c r="G308" s="81"/>
      <c r="H308" s="82"/>
    </row>
    <row r="309" spans="1:8">
      <c r="A309" s="78"/>
      <c r="B309" s="78"/>
      <c r="C309" s="79"/>
      <c r="D309" s="80"/>
      <c r="E309" s="77"/>
      <c r="F309" s="64"/>
      <c r="G309" s="81"/>
      <c r="H309" s="82"/>
    </row>
    <row r="310" spans="1:8">
      <c r="A310" s="78"/>
      <c r="B310" s="78"/>
      <c r="C310" s="79"/>
      <c r="D310" s="80"/>
      <c r="E310" s="77"/>
      <c r="F310" s="64"/>
      <c r="G310" s="81"/>
      <c r="H310" s="82"/>
    </row>
    <row r="311" spans="1:8">
      <c r="A311" s="78"/>
      <c r="B311" s="78"/>
      <c r="C311" s="79"/>
      <c r="D311" s="80"/>
      <c r="E311" s="77"/>
      <c r="F311" s="64"/>
      <c r="G311" s="81"/>
      <c r="H311" s="82"/>
    </row>
    <row r="312" spans="1:8">
      <c r="A312" s="78"/>
      <c r="B312" s="78"/>
      <c r="C312" s="79"/>
      <c r="D312" s="80"/>
      <c r="E312" s="77"/>
      <c r="F312" s="64"/>
      <c r="G312" s="81"/>
      <c r="H312" s="82"/>
    </row>
    <row r="313" spans="1:8">
      <c r="A313" s="78"/>
      <c r="B313" s="78"/>
      <c r="C313" s="79"/>
      <c r="D313" s="80"/>
      <c r="E313" s="77"/>
      <c r="F313" s="64"/>
      <c r="G313" s="81"/>
      <c r="H313" s="82"/>
    </row>
    <row r="314" spans="1:8">
      <c r="A314" s="78"/>
      <c r="B314" s="78"/>
      <c r="C314" s="79"/>
      <c r="D314" s="80"/>
      <c r="E314" s="77"/>
      <c r="F314" s="64"/>
      <c r="G314" s="81"/>
      <c r="H314" s="82"/>
    </row>
    <row r="315" spans="1:8">
      <c r="A315" s="78"/>
      <c r="B315" s="78"/>
      <c r="C315" s="79"/>
      <c r="D315" s="80"/>
      <c r="E315" s="77"/>
      <c r="F315" s="64"/>
      <c r="G315" s="81"/>
      <c r="H315" s="82"/>
    </row>
    <row r="316" spans="1:8">
      <c r="A316" s="78"/>
      <c r="B316" s="78"/>
      <c r="C316" s="79"/>
      <c r="D316" s="80"/>
      <c r="E316" s="77"/>
      <c r="F316" s="64"/>
      <c r="G316" s="81"/>
      <c r="H316" s="82"/>
    </row>
    <row r="317" spans="1:8">
      <c r="A317" s="78"/>
      <c r="B317" s="78"/>
      <c r="C317" s="79"/>
      <c r="D317" s="80"/>
      <c r="E317" s="77"/>
      <c r="F317" s="64"/>
      <c r="G317" s="81"/>
      <c r="H317" s="82"/>
    </row>
    <row r="318" spans="1:8">
      <c r="A318" s="78"/>
      <c r="B318" s="78"/>
      <c r="C318" s="79"/>
      <c r="D318" s="80"/>
      <c r="E318" s="77"/>
      <c r="F318" s="64"/>
      <c r="G318" s="81"/>
      <c r="H318" s="82"/>
    </row>
  </sheetData>
  <sheetProtection algorithmName="SHA-512" hashValue="1EwAJOuXK5CinMLNhWpTjT3XNoJIFM8qgsS4WVRhXPhwneM2N0txrBn2fyqALmVM+YMKHhYOVNFmDKiC8WOcqg==" saltValue="AI+0Tc07oYT113BZe7uOiA==" spinCount="100000" sheet="1" selectLockedCells="1" selectUnlockedCells="1"/>
  <mergeCells count="4">
    <mergeCell ref="A4:C4"/>
    <mergeCell ref="E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&amp;LSO 201-00 Oprava mosta ev.č.D2-079 cez mlynský náhon Rudava&amp;RVýkaz výmer</oddHeader>
    <oddFooter>Strana &amp;P z &amp;N</oddFooter>
  </headerFooter>
  <rowBreaks count="5" manualBreakCount="5">
    <brk id="50" max="7" man="1"/>
    <brk id="111" max="7" man="1"/>
    <brk id="159" max="7" man="1"/>
    <brk id="202" max="7" man="1"/>
    <brk id="25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J317"/>
  <sheetViews>
    <sheetView view="pageBreakPreview" zoomScaleNormal="100" zoomScaleSheetLayoutView="100" workbookViewId="0"/>
  </sheetViews>
  <sheetFormatPr defaultRowHeight="15"/>
  <cols>
    <col min="1" max="1" width="4.7109375" customWidth="1"/>
    <col min="2" max="2" width="8.140625" customWidth="1"/>
    <col min="3" max="3" width="10" bestFit="1" customWidth="1"/>
    <col min="4" max="4" width="10.85546875" customWidth="1"/>
    <col min="5" max="5" width="57.42578125" customWidth="1"/>
    <col min="6" max="6" width="10.5703125" bestFit="1" customWidth="1"/>
    <col min="7" max="7" width="5.7109375" customWidth="1"/>
    <col min="8" max="8" width="10" bestFit="1" customWidth="1"/>
  </cols>
  <sheetData>
    <row r="1" spans="1:10" ht="26.25">
      <c r="A1" s="1" t="s">
        <v>128</v>
      </c>
      <c r="B1" s="1"/>
      <c r="C1" s="2"/>
      <c r="D1" s="3"/>
      <c r="E1" s="119" t="s">
        <v>129</v>
      </c>
      <c r="F1" s="4"/>
      <c r="G1" s="5"/>
      <c r="H1" s="6"/>
    </row>
    <row r="2" spans="1:10">
      <c r="A2" s="1" t="s">
        <v>130</v>
      </c>
      <c r="B2" s="1"/>
      <c r="C2" s="2"/>
      <c r="D2" s="3"/>
      <c r="E2" s="194" t="s">
        <v>229</v>
      </c>
      <c r="F2" s="4"/>
      <c r="G2" s="5"/>
      <c r="H2" s="6"/>
    </row>
    <row r="3" spans="1:10" ht="15.75" thickBot="1">
      <c r="A3" s="7" t="s">
        <v>0</v>
      </c>
      <c r="B3" s="1"/>
      <c r="C3" s="2"/>
      <c r="D3" s="3"/>
      <c r="E3" s="136">
        <v>2141</v>
      </c>
      <c r="F3" s="4"/>
      <c r="G3" s="8"/>
      <c r="H3" s="9"/>
    </row>
    <row r="4" spans="1:10">
      <c r="A4" s="255" t="s">
        <v>1</v>
      </c>
      <c r="B4" s="256"/>
      <c r="C4" s="256"/>
      <c r="D4" s="10"/>
      <c r="E4" s="257" t="s">
        <v>2</v>
      </c>
      <c r="F4" s="258"/>
      <c r="G4" s="261" t="s">
        <v>3</v>
      </c>
      <c r="H4" s="263" t="s">
        <v>4</v>
      </c>
    </row>
    <row r="5" spans="1:10" ht="15.75" thickBot="1">
      <c r="A5" s="11" t="s">
        <v>5</v>
      </c>
      <c r="B5" s="12" t="s">
        <v>6</v>
      </c>
      <c r="C5" s="12" t="s">
        <v>7</v>
      </c>
      <c r="D5" s="12" t="s">
        <v>8</v>
      </c>
      <c r="E5" s="259"/>
      <c r="F5" s="260"/>
      <c r="G5" s="262"/>
      <c r="H5" s="264"/>
    </row>
    <row r="6" spans="1:10">
      <c r="A6" s="13"/>
      <c r="B6" s="14"/>
      <c r="C6" s="14"/>
      <c r="D6" s="15"/>
      <c r="E6" s="16"/>
      <c r="F6" s="17"/>
      <c r="G6" s="18"/>
      <c r="H6" s="19"/>
    </row>
    <row r="7" spans="1:10" ht="16.5" customHeight="1">
      <c r="A7" s="20"/>
      <c r="B7" s="21" t="s">
        <v>9</v>
      </c>
      <c r="C7" s="34"/>
      <c r="D7" s="35"/>
      <c r="E7" s="36" t="s">
        <v>10</v>
      </c>
      <c r="F7" s="37"/>
      <c r="G7" s="38"/>
      <c r="H7" s="27"/>
    </row>
    <row r="8" spans="1:10">
      <c r="A8" s="20"/>
      <c r="B8" s="21"/>
      <c r="C8" s="22"/>
      <c r="D8" s="23"/>
      <c r="E8" s="24"/>
      <c r="F8" s="25"/>
      <c r="G8" s="26"/>
      <c r="H8" s="27"/>
      <c r="J8" s="156"/>
    </row>
    <row r="9" spans="1:10" s="85" customFormat="1">
      <c r="A9" s="30">
        <f>MAX(A$1:A7)+1</f>
        <v>1</v>
      </c>
      <c r="B9" s="21"/>
      <c r="C9" s="28" t="s">
        <v>11</v>
      </c>
      <c r="D9" s="23"/>
      <c r="E9" s="138" t="s">
        <v>12</v>
      </c>
      <c r="F9" s="25"/>
      <c r="G9" s="26" t="s">
        <v>13</v>
      </c>
      <c r="H9" s="29">
        <f>H45-F55</f>
        <v>477.65</v>
      </c>
      <c r="J9" s="153"/>
    </row>
    <row r="10" spans="1:10">
      <c r="A10" s="20"/>
      <c r="B10" s="21"/>
      <c r="C10" s="28"/>
      <c r="D10" s="23"/>
      <c r="E10" s="24"/>
      <c r="F10" s="25"/>
      <c r="G10" s="26"/>
      <c r="H10" s="29"/>
      <c r="J10" s="155"/>
    </row>
    <row r="11" spans="1:10" s="85" customFormat="1">
      <c r="A11" s="30">
        <f>MAX(A$1:A10)+1</f>
        <v>2</v>
      </c>
      <c r="B11" s="21"/>
      <c r="C11" s="28" t="s">
        <v>14</v>
      </c>
      <c r="D11" s="23"/>
      <c r="E11" s="138" t="s">
        <v>15</v>
      </c>
      <c r="F11" s="25"/>
      <c r="G11" s="26" t="s">
        <v>16</v>
      </c>
      <c r="H11" s="29">
        <f>H90</f>
        <v>395.96</v>
      </c>
    </row>
    <row r="12" spans="1:10" s="85" customFormat="1">
      <c r="A12" s="20"/>
      <c r="B12" s="21"/>
      <c r="C12" s="28"/>
      <c r="D12" s="23"/>
      <c r="E12" s="24"/>
      <c r="F12" s="25"/>
      <c r="G12" s="26"/>
      <c r="H12" s="29"/>
      <c r="J12" s="153"/>
    </row>
    <row r="13" spans="1:10" s="85" customFormat="1" ht="25.5">
      <c r="A13" s="30">
        <f>MAX(A$1:A12)+1</f>
        <v>3</v>
      </c>
      <c r="B13" s="31"/>
      <c r="C13" s="32" t="s">
        <v>17</v>
      </c>
      <c r="D13" s="33"/>
      <c r="E13" s="138" t="s">
        <v>18</v>
      </c>
      <c r="F13" s="138"/>
      <c r="G13" s="26" t="s">
        <v>19</v>
      </c>
      <c r="H13" s="29">
        <v>1</v>
      </c>
    </row>
    <row r="14" spans="1:10" s="85" customFormat="1">
      <c r="A14" s="20"/>
      <c r="B14" s="21"/>
      <c r="C14" s="28"/>
      <c r="D14" s="23"/>
      <c r="E14" s="24"/>
      <c r="F14" s="25"/>
      <c r="G14" s="26"/>
      <c r="H14" s="27"/>
    </row>
    <row r="15" spans="1:10" s="85" customFormat="1" ht="51">
      <c r="A15" s="30">
        <f>MAX(A$1:A14)+1</f>
        <v>4</v>
      </c>
      <c r="B15" s="31"/>
      <c r="C15" s="32" t="s">
        <v>20</v>
      </c>
      <c r="D15" s="33"/>
      <c r="E15" s="138" t="s">
        <v>260</v>
      </c>
      <c r="F15" s="138"/>
      <c r="G15" s="26" t="s">
        <v>21</v>
      </c>
      <c r="H15" s="29">
        <v>1</v>
      </c>
    </row>
    <row r="16" spans="1:10">
      <c r="A16" s="20"/>
      <c r="B16" s="21"/>
      <c r="C16" s="28"/>
      <c r="D16" s="23"/>
      <c r="E16" s="24"/>
      <c r="F16" s="25"/>
      <c r="G16" s="26"/>
      <c r="H16" s="27"/>
    </row>
    <row r="17" spans="1:8" s="85" customFormat="1" ht="15.75">
      <c r="A17" s="20"/>
      <c r="B17" s="21" t="s">
        <v>22</v>
      </c>
      <c r="C17" s="34"/>
      <c r="D17" s="35"/>
      <c r="E17" s="36" t="s">
        <v>23</v>
      </c>
      <c r="F17" s="37"/>
      <c r="G17" s="38"/>
      <c r="H17" s="27"/>
    </row>
    <row r="18" spans="1:8" s="85" customFormat="1" ht="15.75">
      <c r="A18" s="20"/>
      <c r="B18" s="21"/>
      <c r="C18" s="34"/>
      <c r="D18" s="35"/>
      <c r="E18" s="36"/>
      <c r="F18" s="37"/>
      <c r="G18" s="38"/>
      <c r="H18" s="27"/>
    </row>
    <row r="19" spans="1:8" s="85" customFormat="1" ht="25.5">
      <c r="A19" s="30">
        <f>MAX(A$1:A18)+1</f>
        <v>5</v>
      </c>
      <c r="B19" s="118"/>
      <c r="C19" s="32" t="s">
        <v>24</v>
      </c>
      <c r="D19" s="33"/>
      <c r="E19" s="138" t="s">
        <v>25</v>
      </c>
      <c r="F19" s="119"/>
      <c r="G19" s="42" t="s">
        <v>16</v>
      </c>
      <c r="H19" s="29">
        <f>F23</f>
        <v>101.6</v>
      </c>
    </row>
    <row r="20" spans="1:8" s="85" customFormat="1">
      <c r="A20" s="39"/>
      <c r="B20" s="31"/>
      <c r="C20" s="32"/>
      <c r="D20" s="33"/>
      <c r="E20" s="40" t="s">
        <v>131</v>
      </c>
      <c r="F20" s="41">
        <f>(0.252*36.5)+(0.362+0.427)*19.4+(0.294*36.4)+(0.3*1.15*1.28)+(0.3*1.13*1.34)</f>
        <v>36.1</v>
      </c>
      <c r="G20" s="42"/>
      <c r="H20" s="27"/>
    </row>
    <row r="21" spans="1:8" s="85" customFormat="1">
      <c r="A21" s="39"/>
      <c r="B21" s="31"/>
      <c r="C21" s="32"/>
      <c r="D21" s="33"/>
      <c r="E21" s="40" t="s">
        <v>251</v>
      </c>
      <c r="F21" s="41">
        <f>4*0.3*4*10</f>
        <v>48</v>
      </c>
      <c r="G21" s="42"/>
      <c r="H21" s="27"/>
    </row>
    <row r="22" spans="1:8" s="85" customFormat="1">
      <c r="A22" s="39"/>
      <c r="B22" s="31"/>
      <c r="C22" s="32"/>
      <c r="D22" s="33"/>
      <c r="E22" s="40" t="s">
        <v>304</v>
      </c>
      <c r="F22" s="149">
        <f>2*(0.5*0.7*25)</f>
        <v>17.5</v>
      </c>
      <c r="G22" s="42"/>
      <c r="H22" s="27"/>
    </row>
    <row r="23" spans="1:8" s="85" customFormat="1">
      <c r="A23" s="39"/>
      <c r="B23" s="31"/>
      <c r="C23" s="32"/>
      <c r="D23" s="33"/>
      <c r="E23" s="40"/>
      <c r="F23" s="41">
        <f>SUM(F20:F22)</f>
        <v>101.6</v>
      </c>
      <c r="G23" s="42"/>
      <c r="H23" s="27"/>
    </row>
    <row r="24" spans="1:8" s="85" customFormat="1">
      <c r="A24" s="39"/>
      <c r="B24" s="31"/>
      <c r="C24" s="32"/>
      <c r="D24" s="33"/>
      <c r="E24" s="40"/>
      <c r="F24" s="43"/>
      <c r="G24" s="42"/>
      <c r="H24" s="27"/>
    </row>
    <row r="25" spans="1:8" s="85" customFormat="1" ht="25.5">
      <c r="A25" s="30">
        <f>MAX(A$1:A24)+1</f>
        <v>6</v>
      </c>
      <c r="B25" s="118"/>
      <c r="C25" s="32" t="s">
        <v>140</v>
      </c>
      <c r="D25" s="33"/>
      <c r="E25" s="138" t="s">
        <v>141</v>
      </c>
      <c r="F25" s="119"/>
      <c r="G25" s="42" t="s">
        <v>16</v>
      </c>
      <c r="H25" s="29">
        <f>F26</f>
        <v>45.39</v>
      </c>
    </row>
    <row r="26" spans="1:8" s="85" customFormat="1">
      <c r="A26" s="39"/>
      <c r="B26" s="31"/>
      <c r="C26" s="32"/>
      <c r="D26" s="33"/>
      <c r="E26" s="40" t="s">
        <v>233</v>
      </c>
      <c r="F26" s="43">
        <f>0.11*(22.5*18.34)</f>
        <v>45.39</v>
      </c>
      <c r="G26" s="42"/>
      <c r="H26" s="27"/>
    </row>
    <row r="27" spans="1:8" s="85" customFormat="1">
      <c r="A27" s="39"/>
      <c r="B27" s="31"/>
      <c r="C27" s="32"/>
      <c r="D27" s="33"/>
      <c r="E27" s="40"/>
      <c r="F27" s="43"/>
      <c r="G27" s="42"/>
      <c r="H27" s="27"/>
    </row>
    <row r="28" spans="1:8" s="85" customFormat="1">
      <c r="A28" s="30">
        <f>MAX(A$1:A27)+1</f>
        <v>7</v>
      </c>
      <c r="B28" s="118"/>
      <c r="C28" s="32" t="s">
        <v>137</v>
      </c>
      <c r="D28" s="33"/>
      <c r="E28" s="138" t="s">
        <v>138</v>
      </c>
      <c r="F28" s="119"/>
      <c r="G28" s="42" t="s">
        <v>28</v>
      </c>
      <c r="H28" s="29">
        <f>F29</f>
        <v>415.8</v>
      </c>
    </row>
    <row r="29" spans="1:8" s="85" customFormat="1">
      <c r="A29" s="39"/>
      <c r="B29" s="31"/>
      <c r="C29" s="32"/>
      <c r="D29" s="33"/>
      <c r="E29" s="40" t="s">
        <v>139</v>
      </c>
      <c r="F29" s="43">
        <f>(22.5*18.48)</f>
        <v>415.8</v>
      </c>
      <c r="G29" s="42"/>
      <c r="H29" s="27"/>
    </row>
    <row r="30" spans="1:8" s="85" customFormat="1">
      <c r="A30" s="39"/>
      <c r="B30" s="31"/>
      <c r="C30" s="32"/>
      <c r="D30" s="33"/>
      <c r="E30" s="40"/>
      <c r="F30" s="43"/>
      <c r="G30" s="42"/>
      <c r="H30" s="27"/>
    </row>
    <row r="31" spans="1:8" s="85" customFormat="1" ht="25.5">
      <c r="A31" s="30">
        <f>MAX(A$1:A30)+1</f>
        <v>8</v>
      </c>
      <c r="B31" s="118"/>
      <c r="C31" s="32" t="s">
        <v>269</v>
      </c>
      <c r="D31" s="33"/>
      <c r="E31" s="138" t="s">
        <v>270</v>
      </c>
      <c r="F31" s="119"/>
      <c r="G31" s="42" t="s">
        <v>21</v>
      </c>
      <c r="H31" s="29">
        <f>F32</f>
        <v>4</v>
      </c>
    </row>
    <row r="32" spans="1:8" s="85" customFormat="1">
      <c r="A32" s="39"/>
      <c r="B32" s="44"/>
      <c r="C32" s="45"/>
      <c r="D32" s="46"/>
      <c r="E32" s="40" t="s">
        <v>271</v>
      </c>
      <c r="F32" s="43">
        <v>4</v>
      </c>
      <c r="G32" s="48"/>
      <c r="H32" s="27"/>
    </row>
    <row r="33" spans="1:8" s="85" customFormat="1">
      <c r="A33" s="39"/>
      <c r="B33" s="31"/>
      <c r="C33" s="32"/>
      <c r="D33" s="33"/>
      <c r="E33" s="40"/>
      <c r="F33" s="43"/>
      <c r="G33" s="42"/>
      <c r="H33" s="27"/>
    </row>
    <row r="34" spans="1:8" s="85" customFormat="1" ht="25.5">
      <c r="A34" s="30">
        <f>MAX(A$1:A33)+1</f>
        <v>9</v>
      </c>
      <c r="B34" s="31"/>
      <c r="C34" s="32" t="s">
        <v>29</v>
      </c>
      <c r="D34" s="33"/>
      <c r="E34" s="138" t="s">
        <v>30</v>
      </c>
      <c r="F34" s="138"/>
      <c r="G34" s="42" t="s">
        <v>28</v>
      </c>
      <c r="H34" s="29">
        <f>H35</f>
        <v>415.8</v>
      </c>
    </row>
    <row r="35" spans="1:8" s="85" customFormat="1" ht="25.5">
      <c r="A35" s="30"/>
      <c r="B35" s="31"/>
      <c r="C35" s="32"/>
      <c r="D35" s="139" t="s">
        <v>230</v>
      </c>
      <c r="E35" s="47" t="s">
        <v>231</v>
      </c>
      <c r="F35" s="47"/>
      <c r="G35" s="48" t="s">
        <v>28</v>
      </c>
      <c r="H35" s="27">
        <f>F36</f>
        <v>415.8</v>
      </c>
    </row>
    <row r="36" spans="1:8" s="85" customFormat="1">
      <c r="A36" s="39"/>
      <c r="B36" s="44"/>
      <c r="C36" s="45"/>
      <c r="D36" s="46"/>
      <c r="E36" s="40" t="s">
        <v>232</v>
      </c>
      <c r="F36" s="43">
        <f>(22.5*18.48)</f>
        <v>415.8</v>
      </c>
      <c r="G36" s="48"/>
      <c r="H36" s="27"/>
    </row>
    <row r="37" spans="1:8" s="85" customFormat="1">
      <c r="A37" s="39"/>
      <c r="B37" s="44"/>
      <c r="C37" s="45"/>
      <c r="D37" s="46"/>
      <c r="E37" s="40"/>
      <c r="F37" s="43"/>
      <c r="G37" s="48"/>
      <c r="H37" s="27"/>
    </row>
    <row r="38" spans="1:8" s="85" customFormat="1" ht="25.5">
      <c r="A38" s="30">
        <f>MAX(A$1:A37)+1</f>
        <v>10</v>
      </c>
      <c r="B38" s="31"/>
      <c r="C38" s="32" t="s">
        <v>132</v>
      </c>
      <c r="D38" s="33"/>
      <c r="E38" s="138" t="s">
        <v>133</v>
      </c>
      <c r="F38" s="138"/>
      <c r="G38" s="42" t="s">
        <v>28</v>
      </c>
      <c r="H38" s="29">
        <f>H39</f>
        <v>415.8</v>
      </c>
    </row>
    <row r="39" spans="1:8" s="85" customFormat="1" ht="25.5">
      <c r="A39" s="140"/>
      <c r="B39" s="44"/>
      <c r="C39" s="45"/>
      <c r="D39" s="46" t="s">
        <v>134</v>
      </c>
      <c r="E39" s="47" t="s">
        <v>135</v>
      </c>
      <c r="F39" s="47"/>
      <c r="G39" s="48" t="s">
        <v>28</v>
      </c>
      <c r="H39" s="27">
        <f>F40</f>
        <v>415.8</v>
      </c>
    </row>
    <row r="40" spans="1:8" s="85" customFormat="1">
      <c r="A40" s="39"/>
      <c r="B40" s="44"/>
      <c r="C40" s="45"/>
      <c r="D40" s="46"/>
      <c r="E40" s="40" t="s">
        <v>136</v>
      </c>
      <c r="F40" s="43">
        <f>(22.5*18.48)</f>
        <v>415.8</v>
      </c>
      <c r="G40" s="48"/>
      <c r="H40" s="27"/>
    </row>
    <row r="41" spans="1:8" s="85" customFormat="1">
      <c r="A41" s="39"/>
      <c r="B41" s="44"/>
      <c r="C41" s="45"/>
      <c r="D41" s="46"/>
      <c r="E41" s="40"/>
      <c r="F41" s="43"/>
      <c r="G41" s="48"/>
      <c r="H41" s="27"/>
    </row>
    <row r="42" spans="1:8" s="85" customFormat="1" ht="25.5">
      <c r="A42" s="30">
        <f>MAX(A$1:A41)+1</f>
        <v>11</v>
      </c>
      <c r="B42" s="31"/>
      <c r="C42" s="32" t="s">
        <v>32</v>
      </c>
      <c r="D42" s="33"/>
      <c r="E42" s="138" t="s">
        <v>33</v>
      </c>
      <c r="F42" s="138"/>
      <c r="G42" s="42" t="s">
        <v>31</v>
      </c>
      <c r="H42" s="29">
        <f>F43</f>
        <v>113</v>
      </c>
    </row>
    <row r="43" spans="1:8" s="85" customFormat="1">
      <c r="A43" s="30"/>
      <c r="B43" s="31"/>
      <c r="C43" s="32"/>
      <c r="D43" s="33"/>
      <c r="E43" s="40" t="s">
        <v>228</v>
      </c>
      <c r="F43" s="43">
        <f>36.5+36.5+20+20</f>
        <v>113</v>
      </c>
      <c r="G43" s="42"/>
      <c r="H43" s="29"/>
    </row>
    <row r="44" spans="1:8" s="85" customFormat="1">
      <c r="A44" s="30"/>
      <c r="B44" s="31"/>
      <c r="C44" s="32"/>
      <c r="D44" s="33"/>
      <c r="E44" s="40"/>
      <c r="F44" s="43"/>
      <c r="G44" s="42"/>
      <c r="H44" s="29"/>
    </row>
    <row r="45" spans="1:8" s="85" customFormat="1">
      <c r="A45" s="30">
        <f>MAX(A$1:A43)+1</f>
        <v>12</v>
      </c>
      <c r="B45" s="31"/>
      <c r="C45" s="32" t="s">
        <v>34</v>
      </c>
      <c r="D45" s="33"/>
      <c r="E45" s="138" t="s">
        <v>35</v>
      </c>
      <c r="F45" s="138"/>
      <c r="G45" s="42" t="s">
        <v>13</v>
      </c>
      <c r="H45" s="29">
        <f>H46</f>
        <v>482.4</v>
      </c>
    </row>
    <row r="46" spans="1:8" s="85" customFormat="1">
      <c r="A46" s="39"/>
      <c r="B46" s="44"/>
      <c r="C46" s="45"/>
      <c r="D46" s="139" t="s">
        <v>36</v>
      </c>
      <c r="E46" s="47" t="s">
        <v>181</v>
      </c>
      <c r="F46" s="47"/>
      <c r="G46" s="48" t="s">
        <v>13</v>
      </c>
      <c r="H46" s="27">
        <f>F57</f>
        <v>482.4</v>
      </c>
    </row>
    <row r="47" spans="1:8" s="85" customFormat="1">
      <c r="A47" s="39"/>
      <c r="B47" s="44"/>
      <c r="C47" s="45"/>
      <c r="D47" s="139"/>
      <c r="E47" s="166" t="s">
        <v>261</v>
      </c>
      <c r="F47" s="43"/>
      <c r="G47" s="48"/>
      <c r="H47" s="27"/>
    </row>
    <row r="48" spans="1:8" s="85" customFormat="1">
      <c r="A48" s="39"/>
      <c r="B48" s="44"/>
      <c r="C48" s="45"/>
      <c r="D48" s="139"/>
      <c r="E48" s="40" t="s">
        <v>131</v>
      </c>
      <c r="F48" s="41">
        <f>F20*2.4</f>
        <v>86.64</v>
      </c>
      <c r="G48" s="48"/>
      <c r="H48" s="27"/>
    </row>
    <row r="49" spans="1:8" s="85" customFormat="1">
      <c r="A49" s="39"/>
      <c r="B49" s="44"/>
      <c r="C49" s="45"/>
      <c r="D49" s="139"/>
      <c r="E49" s="40" t="s">
        <v>251</v>
      </c>
      <c r="F49" s="41">
        <f>F21*2.4</f>
        <v>115.2</v>
      </c>
      <c r="G49" s="48"/>
      <c r="H49" s="27"/>
    </row>
    <row r="50" spans="1:8" s="85" customFormat="1">
      <c r="A50" s="39"/>
      <c r="B50" s="44"/>
      <c r="C50" s="45"/>
      <c r="D50" s="139"/>
      <c r="E50" s="40" t="s">
        <v>304</v>
      </c>
      <c r="F50" s="41">
        <f>F22*2.4</f>
        <v>42</v>
      </c>
      <c r="G50" s="48"/>
      <c r="H50" s="27"/>
    </row>
    <row r="51" spans="1:8" s="85" customFormat="1">
      <c r="A51" s="39"/>
      <c r="B51" s="44"/>
      <c r="C51" s="45"/>
      <c r="D51" s="139"/>
      <c r="E51" s="40" t="s">
        <v>234</v>
      </c>
      <c r="F51" s="43">
        <f>F26*2.4</f>
        <v>108.94</v>
      </c>
      <c r="G51" s="48"/>
      <c r="H51" s="27"/>
    </row>
    <row r="52" spans="1:8" s="85" customFormat="1">
      <c r="A52" s="39"/>
      <c r="B52" s="44"/>
      <c r="C52" s="45"/>
      <c r="D52" s="139"/>
      <c r="E52" s="40" t="s">
        <v>182</v>
      </c>
      <c r="F52" s="43">
        <f>F29*0.0212</f>
        <v>8.81</v>
      </c>
      <c r="G52" s="48"/>
      <c r="H52" s="27"/>
    </row>
    <row r="53" spans="1:8" s="85" customFormat="1">
      <c r="A53" s="39"/>
      <c r="B53" s="44"/>
      <c r="C53" s="45"/>
      <c r="D53" s="139"/>
      <c r="E53" s="40" t="s">
        <v>235</v>
      </c>
      <c r="F53" s="43">
        <f>F36*0.181</f>
        <v>75.260000000000005</v>
      </c>
      <c r="G53" s="48"/>
      <c r="H53" s="27"/>
    </row>
    <row r="54" spans="1:8" s="85" customFormat="1">
      <c r="A54" s="39"/>
      <c r="B54" s="44"/>
      <c r="C54" s="45"/>
      <c r="D54" s="139"/>
      <c r="E54" s="40" t="s">
        <v>183</v>
      </c>
      <c r="F54" s="43">
        <f>F40*0.098</f>
        <v>40.75</v>
      </c>
      <c r="G54" s="48"/>
      <c r="H54" s="27"/>
    </row>
    <row r="55" spans="1:8" s="85" customFormat="1">
      <c r="A55" s="39"/>
      <c r="B55" s="44"/>
      <c r="C55" s="45"/>
      <c r="D55" s="139"/>
      <c r="E55" s="40" t="s">
        <v>184</v>
      </c>
      <c r="F55" s="43">
        <f>F43*0.042</f>
        <v>4.75</v>
      </c>
      <c r="G55" s="48"/>
      <c r="H55" s="27"/>
    </row>
    <row r="56" spans="1:8" s="85" customFormat="1">
      <c r="A56" s="39"/>
      <c r="B56" s="44"/>
      <c r="C56" s="45"/>
      <c r="D56" s="139"/>
      <c r="E56" s="40" t="s">
        <v>185</v>
      </c>
      <c r="F56" s="141">
        <v>0.05</v>
      </c>
      <c r="G56" s="48"/>
      <c r="H56" s="27"/>
    </row>
    <row r="57" spans="1:8" s="85" customFormat="1">
      <c r="A57" s="39"/>
      <c r="B57" s="44"/>
      <c r="C57" s="45"/>
      <c r="D57" s="139"/>
      <c r="E57" s="40"/>
      <c r="F57" s="52">
        <f>SUM(F48:F56)</f>
        <v>482.4</v>
      </c>
      <c r="G57" s="48"/>
      <c r="H57" s="27"/>
    </row>
    <row r="58" spans="1:8" s="85" customFormat="1">
      <c r="A58" s="39"/>
      <c r="B58" s="44"/>
      <c r="C58" s="45"/>
      <c r="D58" s="46"/>
      <c r="E58" s="47"/>
      <c r="F58" s="47"/>
      <c r="G58" s="48"/>
      <c r="H58" s="27"/>
    </row>
    <row r="59" spans="1:8" s="85" customFormat="1" ht="25.5">
      <c r="A59" s="30">
        <f>MAX(A$1:A58)+1</f>
        <v>13</v>
      </c>
      <c r="B59" s="118"/>
      <c r="C59" s="32" t="s">
        <v>37</v>
      </c>
      <c r="D59" s="33"/>
      <c r="E59" s="138" t="s">
        <v>38</v>
      </c>
      <c r="F59" s="119"/>
      <c r="G59" s="42" t="s">
        <v>28</v>
      </c>
      <c r="H59" s="29">
        <f>H60</f>
        <v>1322.93</v>
      </c>
    </row>
    <row r="60" spans="1:8" s="85" customFormat="1" ht="25.5">
      <c r="A60" s="69"/>
      <c r="B60" s="70"/>
      <c r="C60" s="45"/>
      <c r="D60" s="46" t="s">
        <v>39</v>
      </c>
      <c r="E60" s="47" t="s">
        <v>40</v>
      </c>
      <c r="F60" s="55"/>
      <c r="G60" s="48" t="s">
        <v>28</v>
      </c>
      <c r="H60" s="27">
        <f>F64+F66+F68+F70+F72</f>
        <v>1322.93</v>
      </c>
    </row>
    <row r="61" spans="1:8" s="85" customFormat="1" ht="25.5">
      <c r="A61" s="69"/>
      <c r="B61" s="70"/>
      <c r="C61" s="45"/>
      <c r="D61" s="46"/>
      <c r="E61" s="166" t="s">
        <v>278</v>
      </c>
      <c r="F61" s="43"/>
      <c r="G61" s="48"/>
      <c r="H61" s="27"/>
    </row>
    <row r="62" spans="1:8" s="85" customFormat="1">
      <c r="A62" s="69"/>
      <c r="B62" s="70"/>
      <c r="C62" s="45"/>
      <c r="D62" s="46"/>
      <c r="E62" s="40" t="s">
        <v>279</v>
      </c>
      <c r="F62" s="43">
        <f>3.5*(5+28+5)+3*(4.5+28+4.5)</f>
        <v>244</v>
      </c>
      <c r="G62" s="48"/>
      <c r="H62" s="27"/>
    </row>
    <row r="63" spans="1:8" s="85" customFormat="1">
      <c r="A63" s="69"/>
      <c r="B63" s="70"/>
      <c r="C63" s="45"/>
      <c r="D63" s="46"/>
      <c r="E63" s="40" t="s">
        <v>280</v>
      </c>
      <c r="F63" s="141">
        <f>2*(15*17)</f>
        <v>510</v>
      </c>
      <c r="G63" s="48"/>
      <c r="H63" s="27"/>
    </row>
    <row r="64" spans="1:8" s="85" customFormat="1">
      <c r="A64" s="69"/>
      <c r="B64" s="70"/>
      <c r="C64" s="45"/>
      <c r="D64" s="46"/>
      <c r="E64" s="47"/>
      <c r="F64" s="43">
        <f>SUM(F62:F63)</f>
        <v>754</v>
      </c>
      <c r="G64" s="48"/>
      <c r="H64" s="27"/>
    </row>
    <row r="65" spans="1:8" s="85" customFormat="1">
      <c r="A65" s="69"/>
      <c r="B65" s="70"/>
      <c r="C65" s="45"/>
      <c r="D65" s="46"/>
      <c r="E65" s="47"/>
      <c r="F65" s="55"/>
      <c r="G65" s="48"/>
      <c r="H65" s="27"/>
    </row>
    <row r="66" spans="1:8" s="85" customFormat="1">
      <c r="A66" s="39"/>
      <c r="B66" s="44"/>
      <c r="C66" s="45"/>
      <c r="D66" s="46"/>
      <c r="E66" s="40" t="s">
        <v>178</v>
      </c>
      <c r="F66" s="43">
        <f>2*(2*12.94)*0.9</f>
        <v>46.58</v>
      </c>
      <c r="G66" s="48"/>
      <c r="H66" s="27"/>
    </row>
    <row r="67" spans="1:8" s="85" customFormat="1">
      <c r="A67" s="39"/>
      <c r="B67" s="44"/>
      <c r="C67" s="45"/>
      <c r="D67" s="46"/>
      <c r="E67" s="40"/>
      <c r="F67" s="43"/>
      <c r="G67" s="48"/>
      <c r="H67" s="27"/>
    </row>
    <row r="68" spans="1:8" s="85" customFormat="1">
      <c r="A68" s="39"/>
      <c r="B68" s="44"/>
      <c r="C68" s="45"/>
      <c r="D68" s="46"/>
      <c r="E68" s="40" t="s">
        <v>262</v>
      </c>
      <c r="F68" s="43">
        <f>50*0.135</f>
        <v>6.75</v>
      </c>
      <c r="G68" s="48"/>
      <c r="H68" s="27"/>
    </row>
    <row r="69" spans="1:8" s="85" customFormat="1">
      <c r="A69" s="39"/>
      <c r="B69" s="44"/>
      <c r="C69" s="45"/>
      <c r="D69" s="46"/>
      <c r="E69" s="40"/>
      <c r="F69" s="43"/>
      <c r="G69" s="48"/>
      <c r="H69" s="27"/>
    </row>
    <row r="70" spans="1:8" s="85" customFormat="1">
      <c r="A70" s="39"/>
      <c r="B70" s="44"/>
      <c r="C70" s="45"/>
      <c r="D70" s="46"/>
      <c r="E70" s="40" t="s">
        <v>263</v>
      </c>
      <c r="F70" s="43">
        <f>18.48*26.5</f>
        <v>489.72</v>
      </c>
      <c r="G70" s="48"/>
      <c r="H70" s="27"/>
    </row>
    <row r="71" spans="1:8" s="85" customFormat="1">
      <c r="A71" s="39"/>
      <c r="B71" s="44"/>
      <c r="C71" s="45"/>
      <c r="D71" s="46"/>
      <c r="E71" s="40"/>
      <c r="F71" s="43"/>
      <c r="G71" s="48"/>
      <c r="H71" s="27"/>
    </row>
    <row r="72" spans="1:8" s="85" customFormat="1" ht="25.5">
      <c r="A72" s="39"/>
      <c r="B72" s="44"/>
      <c r="C72" s="45"/>
      <c r="D72" s="46"/>
      <c r="E72" s="40" t="s">
        <v>281</v>
      </c>
      <c r="F72" s="43">
        <f>2*(2*12.94)*0.5</f>
        <v>25.88</v>
      </c>
      <c r="G72" s="48"/>
      <c r="H72" s="27"/>
    </row>
    <row r="73" spans="1:8">
      <c r="A73" s="39"/>
      <c r="B73" s="44"/>
      <c r="C73" s="45"/>
      <c r="D73" s="46"/>
      <c r="E73" s="40"/>
      <c r="F73" s="43"/>
      <c r="G73" s="48"/>
      <c r="H73" s="27"/>
    </row>
    <row r="74" spans="1:8">
      <c r="A74" s="56"/>
      <c r="B74" s="57" t="s">
        <v>41</v>
      </c>
      <c r="C74" s="58"/>
      <c r="D74" s="33"/>
      <c r="E74" s="36" t="s">
        <v>42</v>
      </c>
      <c r="F74" s="59"/>
      <c r="G74" s="42"/>
      <c r="H74" s="27"/>
    </row>
    <row r="75" spans="1:8">
      <c r="A75" s="49"/>
      <c r="B75" s="26"/>
      <c r="C75" s="26"/>
      <c r="D75" s="50"/>
      <c r="E75" s="51"/>
      <c r="F75" s="52"/>
      <c r="G75" s="53"/>
      <c r="H75" s="54"/>
    </row>
    <row r="76" spans="1:8" s="85" customFormat="1">
      <c r="A76" s="30">
        <f>MAX(A$1:A75)+1</f>
        <v>14</v>
      </c>
      <c r="B76" s="118"/>
      <c r="C76" s="32" t="s">
        <v>43</v>
      </c>
      <c r="D76" s="33"/>
      <c r="E76" s="138" t="s">
        <v>44</v>
      </c>
      <c r="F76" s="119"/>
      <c r="G76" s="42" t="s">
        <v>16</v>
      </c>
      <c r="H76" s="29">
        <f>H77</f>
        <v>395.96</v>
      </c>
    </row>
    <row r="77" spans="1:8" s="85" customFormat="1">
      <c r="A77" s="69"/>
      <c r="B77" s="70"/>
      <c r="C77" s="45"/>
      <c r="D77" s="46" t="s">
        <v>45</v>
      </c>
      <c r="E77" s="47" t="s">
        <v>46</v>
      </c>
      <c r="F77" s="55"/>
      <c r="G77" s="48" t="s">
        <v>16</v>
      </c>
      <c r="H77" s="27">
        <f>F81</f>
        <v>395.96</v>
      </c>
    </row>
    <row r="78" spans="1:8" s="85" customFormat="1">
      <c r="A78" s="49"/>
      <c r="B78" s="26"/>
      <c r="C78" s="26"/>
      <c r="D78" s="50"/>
      <c r="E78" s="51" t="s">
        <v>252</v>
      </c>
      <c r="F78" s="52">
        <f>2*2.45*24.2</f>
        <v>118.58</v>
      </c>
      <c r="G78" s="53"/>
      <c r="H78" s="54"/>
    </row>
    <row r="79" spans="1:8" s="85" customFormat="1">
      <c r="A79" s="49"/>
      <c r="B79" s="26"/>
      <c r="C79" s="26"/>
      <c r="D79" s="50"/>
      <c r="E79" s="51" t="s">
        <v>253</v>
      </c>
      <c r="F79" s="52">
        <f>2*3.2*24.2</f>
        <v>154.88</v>
      </c>
      <c r="G79" s="53"/>
      <c r="H79" s="54"/>
    </row>
    <row r="80" spans="1:8" s="85" customFormat="1" ht="25.5">
      <c r="A80" s="49"/>
      <c r="B80" s="26"/>
      <c r="C80" s="26"/>
      <c r="D80" s="50"/>
      <c r="E80" s="51" t="s">
        <v>305</v>
      </c>
      <c r="F80" s="160">
        <f>2*(0.7*3.5*25)</f>
        <v>122.5</v>
      </c>
      <c r="G80" s="53"/>
      <c r="H80" s="54"/>
    </row>
    <row r="81" spans="1:8" s="85" customFormat="1">
      <c r="A81" s="49"/>
      <c r="B81" s="26"/>
      <c r="C81" s="26"/>
      <c r="D81" s="50"/>
      <c r="E81" s="51"/>
      <c r="F81" s="52">
        <f>SUM(F78:F80)</f>
        <v>395.96</v>
      </c>
      <c r="G81" s="53"/>
      <c r="H81" s="54"/>
    </row>
    <row r="82" spans="1:8" s="85" customFormat="1">
      <c r="A82" s="49"/>
      <c r="B82" s="26"/>
      <c r="C82" s="26"/>
      <c r="D82" s="50"/>
      <c r="E82" s="51"/>
      <c r="F82" s="52"/>
      <c r="G82" s="53"/>
      <c r="H82" s="54"/>
    </row>
    <row r="83" spans="1:8" s="85" customFormat="1">
      <c r="A83" s="30">
        <f>MAX(A$1:A82)+1</f>
        <v>15</v>
      </c>
      <c r="B83" s="118"/>
      <c r="C83" s="32" t="s">
        <v>47</v>
      </c>
      <c r="D83" s="33"/>
      <c r="E83" s="138" t="s">
        <v>48</v>
      </c>
      <c r="F83" s="119"/>
      <c r="G83" s="42" t="s">
        <v>16</v>
      </c>
      <c r="H83" s="29">
        <f>H84</f>
        <v>395.96</v>
      </c>
    </row>
    <row r="84" spans="1:8" s="85" customFormat="1">
      <c r="A84" s="69"/>
      <c r="B84" s="70"/>
      <c r="C84" s="45"/>
      <c r="D84" s="46" t="s">
        <v>49</v>
      </c>
      <c r="E84" s="47" t="s">
        <v>50</v>
      </c>
      <c r="F84" s="55"/>
      <c r="G84" s="48" t="s">
        <v>16</v>
      </c>
      <c r="H84" s="27">
        <f>H91</f>
        <v>395.96</v>
      </c>
    </row>
    <row r="85" spans="1:8" s="85" customFormat="1">
      <c r="A85" s="130"/>
      <c r="B85" s="70"/>
      <c r="C85" s="45"/>
      <c r="D85" s="46"/>
      <c r="E85" s="47"/>
      <c r="F85" s="55"/>
      <c r="G85" s="48"/>
      <c r="H85" s="27"/>
    </row>
    <row r="86" spans="1:8" s="85" customFormat="1">
      <c r="A86" s="30">
        <f>MAX(A$1:A85)+1</f>
        <v>16</v>
      </c>
      <c r="B86" s="70"/>
      <c r="C86" s="32" t="s">
        <v>306</v>
      </c>
      <c r="D86" s="143"/>
      <c r="E86" s="138" t="s">
        <v>307</v>
      </c>
      <c r="F86" s="138"/>
      <c r="G86" s="42" t="s">
        <v>16</v>
      </c>
      <c r="H86" s="29">
        <f>H87</f>
        <v>87.5</v>
      </c>
    </row>
    <row r="87" spans="1:8" s="85" customFormat="1">
      <c r="A87" s="189"/>
      <c r="B87" s="70"/>
      <c r="C87" s="32"/>
      <c r="D87" s="139" t="s">
        <v>308</v>
      </c>
      <c r="E87" s="47" t="s">
        <v>309</v>
      </c>
      <c r="F87" s="47"/>
      <c r="G87" s="48" t="s">
        <v>16</v>
      </c>
      <c r="H87" s="27">
        <f>F88</f>
        <v>87.5</v>
      </c>
    </row>
    <row r="88" spans="1:8" s="85" customFormat="1" ht="25.5">
      <c r="A88" s="49"/>
      <c r="B88" s="26"/>
      <c r="C88" s="26"/>
      <c r="D88" s="50"/>
      <c r="E88" s="51" t="s">
        <v>310</v>
      </c>
      <c r="F88" s="52">
        <f>2*(0.5*3.5*25)</f>
        <v>87.5</v>
      </c>
      <c r="G88" s="53"/>
      <c r="H88" s="54"/>
    </row>
    <row r="89" spans="1:8" s="85" customFormat="1">
      <c r="A89" s="130"/>
      <c r="B89" s="70"/>
      <c r="C89" s="45"/>
      <c r="D89" s="46"/>
      <c r="E89" s="47"/>
      <c r="F89" s="55"/>
      <c r="G89" s="48"/>
      <c r="H89" s="27"/>
    </row>
    <row r="90" spans="1:8" s="85" customFormat="1">
      <c r="A90" s="30">
        <f>MAX(A$1:A88)+1</f>
        <v>17</v>
      </c>
      <c r="B90" s="118"/>
      <c r="C90" s="32" t="s">
        <v>51</v>
      </c>
      <c r="D90" s="33"/>
      <c r="E90" s="138" t="s">
        <v>52</v>
      </c>
      <c r="F90" s="119"/>
      <c r="G90" s="42" t="s">
        <v>16</v>
      </c>
      <c r="H90" s="29">
        <f>H91</f>
        <v>395.96</v>
      </c>
    </row>
    <row r="91" spans="1:8" s="85" customFormat="1" ht="25.5">
      <c r="A91" s="69"/>
      <c r="B91" s="70"/>
      <c r="C91" s="45"/>
      <c r="D91" s="46" t="s">
        <v>53</v>
      </c>
      <c r="E91" s="47" t="s">
        <v>54</v>
      </c>
      <c r="F91" s="55"/>
      <c r="G91" s="48" t="s">
        <v>16</v>
      </c>
      <c r="H91" s="27">
        <f>H77</f>
        <v>395.96</v>
      </c>
    </row>
    <row r="92" spans="1:8" s="85" customFormat="1">
      <c r="A92" s="69"/>
      <c r="B92" s="70"/>
      <c r="C92" s="45"/>
      <c r="D92" s="46"/>
      <c r="E92" s="47"/>
      <c r="F92" s="55"/>
      <c r="G92" s="48"/>
      <c r="H92" s="27"/>
    </row>
    <row r="93" spans="1:8" s="85" customFormat="1" ht="25.5">
      <c r="A93" s="30">
        <f>MAX(A$1:A91)+1</f>
        <v>18</v>
      </c>
      <c r="B93" s="70"/>
      <c r="C93" s="216" t="s">
        <v>418</v>
      </c>
      <c r="D93" s="46"/>
      <c r="E93" s="218" t="s">
        <v>419</v>
      </c>
      <c r="F93" s="55"/>
      <c r="G93" s="42" t="s">
        <v>28</v>
      </c>
      <c r="H93" s="217">
        <f>F94</f>
        <v>200</v>
      </c>
    </row>
    <row r="94" spans="1:8" s="85" customFormat="1">
      <c r="A94" s="69"/>
      <c r="B94" s="70"/>
      <c r="C94" s="45"/>
      <c r="D94" s="46"/>
      <c r="E94" s="214" t="s">
        <v>420</v>
      </c>
      <c r="F94" s="52">
        <v>200</v>
      </c>
      <c r="G94" s="48" t="s">
        <v>28</v>
      </c>
      <c r="H94" s="27">
        <f>H93</f>
        <v>200</v>
      </c>
    </row>
    <row r="95" spans="1:8" s="85" customFormat="1">
      <c r="A95" s="69"/>
      <c r="B95" s="70"/>
      <c r="C95" s="45"/>
      <c r="D95" s="46"/>
      <c r="E95" s="47"/>
      <c r="F95" s="55"/>
      <c r="G95" s="48"/>
      <c r="H95" s="27"/>
    </row>
    <row r="96" spans="1:8" s="85" customFormat="1" ht="25.5">
      <c r="A96" s="56"/>
      <c r="B96" s="57" t="s">
        <v>55</v>
      </c>
      <c r="C96" s="58"/>
      <c r="D96" s="33"/>
      <c r="E96" s="36" t="s">
        <v>56</v>
      </c>
      <c r="F96" s="60"/>
      <c r="G96" s="48"/>
      <c r="H96" s="27"/>
    </row>
    <row r="97" spans="1:8" s="85" customFormat="1">
      <c r="A97" s="30"/>
      <c r="B97" s="26"/>
      <c r="C97" s="61"/>
      <c r="D97" s="62"/>
      <c r="E97" s="63"/>
      <c r="F97" s="64"/>
      <c r="G97" s="26"/>
      <c r="H97" s="135"/>
    </row>
    <row r="98" spans="1:8" s="85" customFormat="1" ht="25.5">
      <c r="A98" s="30">
        <f>MAX(A$1:A97)+1</f>
        <v>19</v>
      </c>
      <c r="B98" s="118"/>
      <c r="C98" s="32" t="s">
        <v>57</v>
      </c>
      <c r="D98" s="33"/>
      <c r="E98" s="138" t="s">
        <v>58</v>
      </c>
      <c r="F98" s="144"/>
      <c r="G98" s="42" t="s">
        <v>16</v>
      </c>
      <c r="H98" s="29">
        <f>H99</f>
        <v>33.21</v>
      </c>
    </row>
    <row r="99" spans="1:8" s="85" customFormat="1" ht="25.5">
      <c r="A99" s="76"/>
      <c r="B99" s="70"/>
      <c r="C99" s="45"/>
      <c r="D99" s="46" t="s">
        <v>59</v>
      </c>
      <c r="E99" s="47" t="s">
        <v>60</v>
      </c>
      <c r="F99" s="74"/>
      <c r="G99" s="50" t="s">
        <v>16</v>
      </c>
      <c r="H99" s="27">
        <f>F100</f>
        <v>33.21</v>
      </c>
    </row>
    <row r="100" spans="1:8" s="85" customFormat="1" ht="19.5" customHeight="1">
      <c r="A100" s="76"/>
      <c r="B100" s="70"/>
      <c r="C100" s="45"/>
      <c r="D100" s="46"/>
      <c r="E100" s="40" t="s">
        <v>264</v>
      </c>
      <c r="F100" s="74">
        <f>2*(0.291*36.5+0.28*20)+4*0.285*0.675</f>
        <v>33.21</v>
      </c>
      <c r="G100" s="50"/>
      <c r="H100" s="27"/>
    </row>
    <row r="101" spans="1:8" s="85" customFormat="1">
      <c r="A101" s="76"/>
      <c r="B101" s="70"/>
      <c r="C101" s="45"/>
      <c r="D101" s="46"/>
      <c r="E101" s="40"/>
      <c r="F101" s="74"/>
      <c r="G101" s="50"/>
      <c r="H101" s="27"/>
    </row>
    <row r="102" spans="1:8" s="85" customFormat="1" ht="25.5">
      <c r="A102" s="30">
        <f>MAX(A$1:A99)+1</f>
        <v>20</v>
      </c>
      <c r="B102" s="118"/>
      <c r="C102" s="32" t="s">
        <v>160</v>
      </c>
      <c r="D102" s="143"/>
      <c r="E102" s="138" t="s">
        <v>161</v>
      </c>
      <c r="F102" s="138"/>
      <c r="G102" s="42" t="s">
        <v>28</v>
      </c>
      <c r="H102" s="29">
        <f>H103</f>
        <v>144.76</v>
      </c>
    </row>
    <row r="103" spans="1:8" s="85" customFormat="1" ht="25.5">
      <c r="A103" s="76"/>
      <c r="B103" s="70"/>
      <c r="C103" s="45"/>
      <c r="D103" s="139" t="s">
        <v>162</v>
      </c>
      <c r="E103" s="47" t="s">
        <v>163</v>
      </c>
      <c r="F103" s="47"/>
      <c r="G103" s="48" t="s">
        <v>28</v>
      </c>
      <c r="H103" s="27">
        <f>F104</f>
        <v>144.76</v>
      </c>
    </row>
    <row r="104" spans="1:8" s="85" customFormat="1">
      <c r="A104" s="140"/>
      <c r="B104" s="146"/>
      <c r="C104" s="45"/>
      <c r="D104" s="120"/>
      <c r="E104" s="65" t="s">
        <v>61</v>
      </c>
      <c r="F104" s="147">
        <f>2*(0.6+0.25+0.4)*36.5+2*(0.6+0.25+0.4)*20+4*(0.6+0.3+0.4)*0.675</f>
        <v>144.76</v>
      </c>
      <c r="G104" s="50"/>
      <c r="H104" s="148"/>
    </row>
    <row r="105" spans="1:8" s="85" customFormat="1">
      <c r="A105" s="76"/>
      <c r="B105" s="70"/>
      <c r="C105" s="45"/>
      <c r="D105" s="46"/>
      <c r="E105" s="40"/>
      <c r="F105" s="132"/>
      <c r="G105" s="48"/>
      <c r="H105" s="27"/>
    </row>
    <row r="106" spans="1:8" s="85" customFormat="1" ht="25.5">
      <c r="A106" s="30">
        <f>MAX(A$1:A105)+1</f>
        <v>21</v>
      </c>
      <c r="B106" s="118"/>
      <c r="C106" s="32" t="s">
        <v>62</v>
      </c>
      <c r="D106" s="33"/>
      <c r="E106" s="138" t="s">
        <v>63</v>
      </c>
      <c r="F106" s="144"/>
      <c r="G106" s="42" t="s">
        <v>13</v>
      </c>
      <c r="H106" s="29">
        <f>H107</f>
        <v>5.73</v>
      </c>
    </row>
    <row r="107" spans="1:8" s="85" customFormat="1" ht="25.5">
      <c r="A107" s="76"/>
      <c r="B107" s="70"/>
      <c r="C107" s="45"/>
      <c r="D107" s="46" t="s">
        <v>64</v>
      </c>
      <c r="E107" s="47" t="s">
        <v>65</v>
      </c>
      <c r="F107" s="74"/>
      <c r="G107" s="48" t="s">
        <v>13</v>
      </c>
      <c r="H107" s="27">
        <f>F108</f>
        <v>5.73</v>
      </c>
    </row>
    <row r="108" spans="1:8" s="85" customFormat="1">
      <c r="A108" s="76"/>
      <c r="B108" s="70"/>
      <c r="C108" s="45"/>
      <c r="D108" s="46"/>
      <c r="E108" s="65" t="s">
        <v>266</v>
      </c>
      <c r="F108" s="74">
        <f>5.031+0.7</f>
        <v>5.73</v>
      </c>
      <c r="G108" s="48"/>
      <c r="H108" s="27"/>
    </row>
    <row r="109" spans="1:8" s="85" customFormat="1">
      <c r="A109" s="76"/>
      <c r="B109" s="70"/>
      <c r="C109" s="45"/>
      <c r="D109" s="46"/>
      <c r="E109" s="65"/>
      <c r="F109" s="74"/>
      <c r="G109" s="48"/>
      <c r="H109" s="27"/>
    </row>
    <row r="110" spans="1:8" s="85" customFormat="1" ht="25.5">
      <c r="A110" s="30">
        <f>MAX(A$1:A109)+1</f>
        <v>22</v>
      </c>
      <c r="B110" s="118"/>
      <c r="C110" s="32" t="s">
        <v>66</v>
      </c>
      <c r="D110" s="33"/>
      <c r="E110" s="25" t="s">
        <v>67</v>
      </c>
      <c r="F110" s="119"/>
      <c r="G110" s="42" t="s">
        <v>16</v>
      </c>
      <c r="H110" s="29">
        <f>H111+H113+H115</f>
        <v>141.05000000000001</v>
      </c>
    </row>
    <row r="111" spans="1:8" s="85" customFormat="1" ht="25.5">
      <c r="A111" s="30"/>
      <c r="B111" s="118"/>
      <c r="C111" s="32"/>
      <c r="D111" s="142" t="s">
        <v>144</v>
      </c>
      <c r="E111" s="121" t="s">
        <v>145</v>
      </c>
      <c r="F111" s="121"/>
      <c r="G111" s="48" t="s">
        <v>16</v>
      </c>
      <c r="H111" s="27">
        <f>F112</f>
        <v>15.81</v>
      </c>
    </row>
    <row r="112" spans="1:8" s="85" customFormat="1">
      <c r="A112" s="30"/>
      <c r="B112" s="118"/>
      <c r="C112" s="32"/>
      <c r="D112" s="143"/>
      <c r="E112" s="65" t="s">
        <v>68</v>
      </c>
      <c r="F112" s="134">
        <f>4*(0.1*3.8*10.4)</f>
        <v>15.81</v>
      </c>
      <c r="G112" s="42"/>
      <c r="H112" s="29"/>
    </row>
    <row r="113" spans="1:8" s="85" customFormat="1" ht="25.5">
      <c r="A113" s="69"/>
      <c r="B113" s="70"/>
      <c r="C113" s="45"/>
      <c r="D113" s="142" t="s">
        <v>70</v>
      </c>
      <c r="E113" s="121" t="s">
        <v>71</v>
      </c>
      <c r="F113" s="121"/>
      <c r="G113" s="48" t="s">
        <v>16</v>
      </c>
      <c r="H113" s="27">
        <f>F114</f>
        <v>98.88</v>
      </c>
    </row>
    <row r="114" spans="1:8" s="85" customFormat="1">
      <c r="A114" s="76"/>
      <c r="B114" s="70"/>
      <c r="C114" s="45"/>
      <c r="D114" s="46"/>
      <c r="E114" s="40" t="s">
        <v>69</v>
      </c>
      <c r="F114" s="74">
        <f>4*(4*10.3*0.3)*2</f>
        <v>98.88</v>
      </c>
      <c r="G114" s="48"/>
      <c r="H114" s="27"/>
    </row>
    <row r="115" spans="1:8" s="85" customFormat="1" ht="25.5">
      <c r="A115" s="69"/>
      <c r="B115" s="70"/>
      <c r="C115" s="45"/>
      <c r="D115" s="142" t="s">
        <v>142</v>
      </c>
      <c r="E115" s="121" t="s">
        <v>143</v>
      </c>
      <c r="F115" s="121"/>
      <c r="G115" s="48" t="s">
        <v>16</v>
      </c>
      <c r="H115" s="27">
        <f>F116</f>
        <v>26.36</v>
      </c>
    </row>
    <row r="116" spans="1:8" s="85" customFormat="1">
      <c r="A116" s="76"/>
      <c r="B116" s="70"/>
      <c r="C116" s="45"/>
      <c r="D116" s="46"/>
      <c r="E116" s="40" t="s">
        <v>72</v>
      </c>
      <c r="F116" s="74">
        <f>2*((10.45+10.45)*0.524+3.5*0.636)</f>
        <v>26.36</v>
      </c>
      <c r="G116" s="48"/>
      <c r="H116" s="27"/>
    </row>
    <row r="117" spans="1:8" s="85" customFormat="1">
      <c r="A117" s="76"/>
      <c r="B117" s="70"/>
      <c r="C117" s="45"/>
      <c r="D117" s="46"/>
      <c r="E117" s="40"/>
      <c r="F117" s="132"/>
      <c r="G117" s="48"/>
      <c r="H117" s="27"/>
    </row>
    <row r="118" spans="1:8" s="85" customFormat="1" ht="25.5">
      <c r="A118" s="30">
        <f>MAX(A$1:A117)+1</f>
        <v>23</v>
      </c>
      <c r="B118" s="118"/>
      <c r="C118" s="32" t="s">
        <v>146</v>
      </c>
      <c r="D118" s="143"/>
      <c r="E118" s="138" t="s">
        <v>147</v>
      </c>
      <c r="F118" s="138"/>
      <c r="G118" s="42" t="s">
        <v>28</v>
      </c>
      <c r="H118" s="29">
        <f>H119</f>
        <v>81.010000000000005</v>
      </c>
    </row>
    <row r="119" spans="1:8" s="85" customFormat="1" ht="25.5">
      <c r="A119" s="69"/>
      <c r="B119" s="70"/>
      <c r="C119" s="45"/>
      <c r="D119" s="139" t="s">
        <v>148</v>
      </c>
      <c r="E119" s="47" t="s">
        <v>149</v>
      </c>
      <c r="F119" s="47"/>
      <c r="G119" s="48" t="s">
        <v>28</v>
      </c>
      <c r="H119" s="27">
        <f>F122</f>
        <v>81.010000000000005</v>
      </c>
    </row>
    <row r="120" spans="1:8" s="85" customFormat="1">
      <c r="A120" s="69"/>
      <c r="B120" s="70"/>
      <c r="C120" s="45"/>
      <c r="D120" s="46"/>
      <c r="E120" s="40" t="s">
        <v>151</v>
      </c>
      <c r="F120" s="74">
        <f>4*(4+10.3+4)*0.3</f>
        <v>21.96</v>
      </c>
      <c r="G120" s="48"/>
      <c r="H120" s="27"/>
    </row>
    <row r="121" spans="1:8" s="85" customFormat="1">
      <c r="A121" s="69"/>
      <c r="B121" s="70"/>
      <c r="C121" s="45"/>
      <c r="D121" s="46"/>
      <c r="E121" s="40" t="s">
        <v>150</v>
      </c>
      <c r="F121" s="132">
        <f>2*((10.45+10.45)*(0.15+0.71+0.35)+3.5*(0.15+1.06))</f>
        <v>59.05</v>
      </c>
      <c r="G121" s="48"/>
      <c r="H121" s="27"/>
    </row>
    <row r="122" spans="1:8" s="85" customFormat="1">
      <c r="A122" s="69"/>
      <c r="B122" s="70"/>
      <c r="C122" s="45"/>
      <c r="D122" s="46"/>
      <c r="E122" s="40"/>
      <c r="F122" s="43">
        <f>SUM(F120:F121)</f>
        <v>81.010000000000005</v>
      </c>
      <c r="G122" s="48"/>
      <c r="H122" s="27"/>
    </row>
    <row r="123" spans="1:8" s="85" customFormat="1">
      <c r="A123" s="69"/>
      <c r="B123" s="70"/>
      <c r="C123" s="45"/>
      <c r="D123" s="46"/>
      <c r="E123" s="40"/>
      <c r="F123" s="55"/>
      <c r="G123" s="48"/>
      <c r="H123" s="27"/>
    </row>
    <row r="124" spans="1:8" s="85" customFormat="1" ht="25.5">
      <c r="A124" s="30">
        <f>MAX(A$1:A121)+1</f>
        <v>24</v>
      </c>
      <c r="B124" s="118"/>
      <c r="C124" s="32" t="s">
        <v>73</v>
      </c>
      <c r="D124" s="33"/>
      <c r="E124" s="138" t="s">
        <v>74</v>
      </c>
      <c r="F124" s="119"/>
      <c r="G124" s="42" t="s">
        <v>13</v>
      </c>
      <c r="H124" s="29">
        <f>H125</f>
        <v>12.15</v>
      </c>
    </row>
    <row r="125" spans="1:8" s="85" customFormat="1" ht="25.5">
      <c r="A125" s="69"/>
      <c r="B125" s="70"/>
      <c r="C125" s="45"/>
      <c r="D125" s="46" t="s">
        <v>75</v>
      </c>
      <c r="E125" s="47" t="s">
        <v>76</v>
      </c>
      <c r="F125" s="55"/>
      <c r="G125" s="48" t="s">
        <v>13</v>
      </c>
      <c r="H125" s="27">
        <f>F128</f>
        <v>12.15</v>
      </c>
    </row>
    <row r="126" spans="1:8" s="85" customFormat="1">
      <c r="A126" s="76"/>
      <c r="B126" s="70"/>
      <c r="C126" s="45"/>
      <c r="D126" s="46"/>
      <c r="E126" s="40" t="s">
        <v>151</v>
      </c>
      <c r="F126" s="74">
        <f>2*2*2450/1000</f>
        <v>9.8000000000000007</v>
      </c>
      <c r="G126" s="48"/>
      <c r="H126" s="27"/>
    </row>
    <row r="127" spans="1:8" s="85" customFormat="1">
      <c r="A127" s="76"/>
      <c r="B127" s="70"/>
      <c r="C127" s="45"/>
      <c r="D127" s="46"/>
      <c r="E127" s="40" t="s">
        <v>150</v>
      </c>
      <c r="F127" s="132">
        <f>2*1174/1000</f>
        <v>2.35</v>
      </c>
      <c r="G127" s="48"/>
      <c r="H127" s="27"/>
    </row>
    <row r="128" spans="1:8" s="85" customFormat="1">
      <c r="A128" s="76"/>
      <c r="B128" s="70"/>
      <c r="C128" s="45"/>
      <c r="D128" s="46"/>
      <c r="E128" s="40"/>
      <c r="F128" s="43">
        <f>SUM(F126:F127)</f>
        <v>12.15</v>
      </c>
      <c r="G128" s="48"/>
      <c r="H128" s="27"/>
    </row>
    <row r="129" spans="1:8" s="85" customFormat="1">
      <c r="A129" s="76"/>
      <c r="B129" s="70"/>
      <c r="C129" s="45"/>
      <c r="D129" s="46"/>
      <c r="E129" s="40"/>
      <c r="F129" s="132"/>
      <c r="G129" s="48"/>
      <c r="H129" s="27"/>
    </row>
    <row r="130" spans="1:8" s="85" customFormat="1" ht="25.5">
      <c r="A130" s="30">
        <f>MAX(A$1:A129)+1</f>
        <v>25</v>
      </c>
      <c r="B130" s="118"/>
      <c r="C130" s="32" t="s">
        <v>77</v>
      </c>
      <c r="D130" s="33"/>
      <c r="E130" s="138" t="s">
        <v>78</v>
      </c>
      <c r="F130" s="119"/>
      <c r="G130" s="42" t="s">
        <v>16</v>
      </c>
      <c r="H130" s="29">
        <f>H131</f>
        <v>64.569999999999993</v>
      </c>
    </row>
    <row r="131" spans="1:8" s="85" customFormat="1" ht="25.5">
      <c r="A131" s="69"/>
      <c r="B131" s="70"/>
      <c r="C131" s="45"/>
      <c r="D131" s="142" t="s">
        <v>168</v>
      </c>
      <c r="E131" s="121" t="s">
        <v>169</v>
      </c>
      <c r="F131" s="121"/>
      <c r="G131" s="50" t="s">
        <v>16</v>
      </c>
      <c r="H131" s="27">
        <f>F132</f>
        <v>64.569999999999993</v>
      </c>
    </row>
    <row r="132" spans="1:8" s="85" customFormat="1">
      <c r="A132" s="69"/>
      <c r="B132" s="70"/>
      <c r="C132" s="45"/>
      <c r="D132" s="120"/>
      <c r="E132" s="65" t="s">
        <v>170</v>
      </c>
      <c r="F132" s="134">
        <f>(12.94*18.48)*0.11+(12.94*18.48)*0.16</f>
        <v>64.569999999999993</v>
      </c>
      <c r="G132" s="50"/>
      <c r="H132" s="27"/>
    </row>
    <row r="133" spans="1:8" s="85" customFormat="1">
      <c r="A133" s="69"/>
      <c r="B133" s="70"/>
      <c r="C133" s="45"/>
      <c r="D133" s="120"/>
      <c r="E133" s="121"/>
      <c r="F133" s="122"/>
      <c r="G133" s="50"/>
      <c r="H133" s="27"/>
    </row>
    <row r="134" spans="1:8" s="85" customFormat="1" ht="25.5">
      <c r="A134" s="30">
        <f>MAX(A$1:A133)+1</f>
        <v>26</v>
      </c>
      <c r="B134" s="118"/>
      <c r="C134" s="32" t="s">
        <v>171</v>
      </c>
      <c r="D134" s="143"/>
      <c r="E134" s="138" t="s">
        <v>172</v>
      </c>
      <c r="F134" s="138"/>
      <c r="G134" s="42" t="s">
        <v>28</v>
      </c>
      <c r="H134" s="29">
        <f>H135</f>
        <v>6.88</v>
      </c>
    </row>
    <row r="135" spans="1:8" s="85" customFormat="1" ht="25.5">
      <c r="A135" s="69"/>
      <c r="B135" s="70"/>
      <c r="C135" s="45"/>
      <c r="D135" s="139" t="s">
        <v>173</v>
      </c>
      <c r="E135" s="47" t="s">
        <v>174</v>
      </c>
      <c r="F135" s="47"/>
      <c r="G135" s="48" t="s">
        <v>28</v>
      </c>
      <c r="H135" s="27">
        <f>F136</f>
        <v>6.88</v>
      </c>
    </row>
    <row r="136" spans="1:8" s="85" customFormat="1">
      <c r="A136" s="69"/>
      <c r="B136" s="70"/>
      <c r="C136" s="45"/>
      <c r="D136" s="46"/>
      <c r="E136" s="65" t="s">
        <v>176</v>
      </c>
      <c r="F136" s="134">
        <f>86*0.08</f>
        <v>6.88</v>
      </c>
      <c r="G136" s="48"/>
      <c r="H136" s="27"/>
    </row>
    <row r="137" spans="1:8" s="85" customFormat="1">
      <c r="A137" s="69"/>
      <c r="B137" s="70"/>
      <c r="C137" s="45"/>
      <c r="D137" s="46"/>
      <c r="E137" s="65"/>
      <c r="F137" s="55"/>
      <c r="G137" s="48"/>
      <c r="H137" s="27"/>
    </row>
    <row r="138" spans="1:8" s="85" customFormat="1" ht="25.5">
      <c r="A138" s="30">
        <f>MAX(A$1:A135)+1</f>
        <v>27</v>
      </c>
      <c r="B138" s="118"/>
      <c r="C138" s="32" t="s">
        <v>79</v>
      </c>
      <c r="D138" s="33"/>
      <c r="E138" s="138" t="s">
        <v>80</v>
      </c>
      <c r="F138" s="119"/>
      <c r="G138" s="42" t="s">
        <v>13</v>
      </c>
      <c r="H138" s="29">
        <f>H139</f>
        <v>14.12</v>
      </c>
    </row>
    <row r="139" spans="1:8" s="85" customFormat="1" ht="25.5">
      <c r="A139" s="69"/>
      <c r="B139" s="70"/>
      <c r="C139" s="45"/>
      <c r="D139" s="46" t="s">
        <v>81</v>
      </c>
      <c r="E139" s="47" t="s">
        <v>82</v>
      </c>
      <c r="F139" s="55"/>
      <c r="G139" s="48" t="s">
        <v>13</v>
      </c>
      <c r="H139" s="27">
        <f>F140</f>
        <v>14.12</v>
      </c>
    </row>
    <row r="140" spans="1:8" s="85" customFormat="1">
      <c r="A140" s="69"/>
      <c r="B140" s="70"/>
      <c r="C140" s="45"/>
      <c r="D140" s="46"/>
      <c r="E140" s="65" t="s">
        <v>175</v>
      </c>
      <c r="F140" s="134">
        <f>6.99+7.125</f>
        <v>14.12</v>
      </c>
      <c r="G140" s="48"/>
      <c r="H140" s="27"/>
    </row>
    <row r="141" spans="1:8" s="85" customFormat="1">
      <c r="A141" s="69"/>
      <c r="B141" s="70"/>
      <c r="C141" s="45"/>
      <c r="D141" s="46"/>
      <c r="E141" s="65"/>
      <c r="F141" s="134"/>
      <c r="G141" s="48"/>
      <c r="H141" s="27"/>
    </row>
    <row r="142" spans="1:8" s="85" customFormat="1" ht="25.5">
      <c r="A142" s="30">
        <f>MAX(A$1:A140)+1</f>
        <v>28</v>
      </c>
      <c r="B142" s="118"/>
      <c r="C142" s="32" t="s">
        <v>158</v>
      </c>
      <c r="D142" s="33"/>
      <c r="E142" s="138" t="s">
        <v>159</v>
      </c>
      <c r="F142" s="119"/>
      <c r="G142" s="42" t="s">
        <v>31</v>
      </c>
      <c r="H142" s="29">
        <f>2*(20.9)</f>
        <v>41.8</v>
      </c>
    </row>
    <row r="143" spans="1:8" s="85" customFormat="1" ht="25.5">
      <c r="A143" s="30"/>
      <c r="B143" s="118"/>
      <c r="C143" s="32"/>
      <c r="D143" s="33"/>
      <c r="E143" s="65" t="s">
        <v>272</v>
      </c>
      <c r="F143" s="119"/>
      <c r="G143" s="42"/>
      <c r="H143" s="29"/>
    </row>
    <row r="144" spans="1:8" s="85" customFormat="1">
      <c r="A144" s="69"/>
      <c r="B144" s="70"/>
      <c r="C144" s="45"/>
      <c r="D144" s="46"/>
      <c r="E144" s="65"/>
      <c r="F144" s="134"/>
      <c r="G144" s="48"/>
      <c r="H144" s="27"/>
    </row>
    <row r="145" spans="1:8" s="85" customFormat="1" ht="25.5">
      <c r="A145" s="30">
        <f>MAX(A$1:A144)+1</f>
        <v>29</v>
      </c>
      <c r="B145" s="118"/>
      <c r="C145" s="32" t="s">
        <v>83</v>
      </c>
      <c r="D145" s="33"/>
      <c r="E145" s="138" t="s">
        <v>84</v>
      </c>
      <c r="F145" s="119"/>
      <c r="G145" s="42" t="s">
        <v>16</v>
      </c>
      <c r="H145" s="29">
        <f>2*2.75*(10.45+10.45)</f>
        <v>114.95</v>
      </c>
    </row>
    <row r="146" spans="1:8" s="85" customFormat="1">
      <c r="A146" s="30"/>
      <c r="B146" s="118"/>
      <c r="C146" s="32"/>
      <c r="D146" s="33"/>
      <c r="E146" s="65" t="s">
        <v>267</v>
      </c>
      <c r="F146" s="119"/>
      <c r="G146" s="42"/>
      <c r="H146" s="29"/>
    </row>
    <row r="147" spans="1:8" s="85" customFormat="1">
      <c r="A147" s="76"/>
      <c r="B147" s="70"/>
      <c r="C147" s="45"/>
      <c r="D147" s="46"/>
      <c r="E147" s="40"/>
      <c r="F147" s="74"/>
      <c r="G147" s="48"/>
      <c r="H147" s="27"/>
    </row>
    <row r="148" spans="1:8" s="85" customFormat="1">
      <c r="A148" s="30">
        <f>MAX(A$1:A145)+1</f>
        <v>30</v>
      </c>
      <c r="B148" s="118"/>
      <c r="C148" s="32" t="s">
        <v>85</v>
      </c>
      <c r="D148" s="33"/>
      <c r="E148" s="138" t="s">
        <v>86</v>
      </c>
      <c r="F148" s="144"/>
      <c r="G148" s="42" t="s">
        <v>31</v>
      </c>
      <c r="H148" s="29">
        <f>H149</f>
        <v>113</v>
      </c>
    </row>
    <row r="149" spans="1:8" s="85" customFormat="1">
      <c r="A149" s="76"/>
      <c r="B149" s="118"/>
      <c r="C149" s="33"/>
      <c r="D149" s="46" t="s">
        <v>87</v>
      </c>
      <c r="E149" s="47" t="s">
        <v>88</v>
      </c>
      <c r="F149" s="74"/>
      <c r="G149" s="48" t="s">
        <v>31</v>
      </c>
      <c r="H149" s="27">
        <f>F152</f>
        <v>113</v>
      </c>
    </row>
    <row r="150" spans="1:8" s="85" customFormat="1">
      <c r="A150" s="76"/>
      <c r="B150" s="118"/>
      <c r="C150" s="33"/>
      <c r="D150" s="46"/>
      <c r="E150" s="40" t="s">
        <v>164</v>
      </c>
      <c r="F150" s="41">
        <f>2*36.5</f>
        <v>73</v>
      </c>
      <c r="G150" s="48"/>
      <c r="H150" s="27"/>
    </row>
    <row r="151" spans="1:8" s="85" customFormat="1" ht="25.5">
      <c r="A151" s="76"/>
      <c r="B151" s="118"/>
      <c r="C151" s="33"/>
      <c r="D151" s="46"/>
      <c r="E151" s="40" t="s">
        <v>250</v>
      </c>
      <c r="F151" s="149">
        <f>2*20</f>
        <v>40</v>
      </c>
      <c r="G151" s="48"/>
      <c r="H151" s="27"/>
    </row>
    <row r="152" spans="1:8" s="85" customFormat="1">
      <c r="A152" s="76"/>
      <c r="B152" s="118"/>
      <c r="C152" s="33"/>
      <c r="D152" s="46"/>
      <c r="E152" s="40"/>
      <c r="F152" s="43">
        <f>SUM(F150:F151)</f>
        <v>113</v>
      </c>
      <c r="G152" s="48"/>
      <c r="H152" s="27"/>
    </row>
    <row r="153" spans="1:8" s="85" customFormat="1" ht="25.5">
      <c r="A153" s="76"/>
      <c r="B153" s="118"/>
      <c r="C153" s="33"/>
      <c r="D153" s="46"/>
      <c r="E153" s="40" t="s">
        <v>382</v>
      </c>
      <c r="F153" s="132"/>
      <c r="G153" s="48"/>
      <c r="H153" s="27"/>
    </row>
    <row r="154" spans="1:8" s="85" customFormat="1">
      <c r="A154" s="76"/>
      <c r="B154" s="118"/>
      <c r="C154" s="33"/>
      <c r="D154" s="46"/>
      <c r="E154" s="40"/>
      <c r="F154" s="74"/>
      <c r="G154" s="48"/>
      <c r="H154" s="27"/>
    </row>
    <row r="155" spans="1:8" s="85" customFormat="1">
      <c r="A155" s="30">
        <f>MAX(A$1:A153)+1</f>
        <v>31</v>
      </c>
      <c r="B155" s="118"/>
      <c r="C155" s="32" t="s">
        <v>248</v>
      </c>
      <c r="D155" s="143"/>
      <c r="E155" s="138" t="s">
        <v>249</v>
      </c>
      <c r="F155" s="138"/>
      <c r="G155" s="42" t="s">
        <v>21</v>
      </c>
      <c r="H155" s="29">
        <f>F156</f>
        <v>6</v>
      </c>
    </row>
    <row r="156" spans="1:8" s="85" customFormat="1" ht="25.5">
      <c r="A156" s="76"/>
      <c r="B156" s="118"/>
      <c r="C156" s="33"/>
      <c r="D156" s="46"/>
      <c r="E156" s="40" t="s">
        <v>273</v>
      </c>
      <c r="F156" s="74">
        <v>6</v>
      </c>
      <c r="G156" s="48"/>
      <c r="H156" s="27"/>
    </row>
    <row r="157" spans="1:8" s="85" customFormat="1" ht="25.5">
      <c r="A157" s="76"/>
      <c r="B157" s="118"/>
      <c r="C157" s="33"/>
      <c r="D157" s="46"/>
      <c r="E157" s="40" t="s">
        <v>259</v>
      </c>
      <c r="F157" s="74"/>
      <c r="G157" s="48"/>
      <c r="H157" s="27"/>
    </row>
    <row r="158" spans="1:8" s="85" customFormat="1" ht="38.25">
      <c r="A158" s="76"/>
      <c r="B158" s="118"/>
      <c r="C158" s="33"/>
      <c r="D158" s="46"/>
      <c r="E158" s="40" t="s">
        <v>246</v>
      </c>
      <c r="F158" s="74"/>
      <c r="G158" s="48"/>
      <c r="H158" s="27"/>
    </row>
    <row r="159" spans="1:8" s="85" customFormat="1">
      <c r="A159" s="76"/>
      <c r="B159" s="118"/>
      <c r="C159" s="33"/>
      <c r="D159" s="46"/>
      <c r="E159" s="40"/>
      <c r="F159" s="74"/>
      <c r="G159" s="48"/>
      <c r="H159" s="27"/>
    </row>
    <row r="160" spans="1:8" s="85" customFormat="1" ht="25.5">
      <c r="A160" s="30">
        <f>MAX(A$1:A156)+1</f>
        <v>32</v>
      </c>
      <c r="B160" s="118"/>
      <c r="C160" s="32" t="s">
        <v>179</v>
      </c>
      <c r="D160" s="33"/>
      <c r="E160" s="138" t="s">
        <v>180</v>
      </c>
      <c r="F160" s="119"/>
      <c r="G160" s="42" t="s">
        <v>28</v>
      </c>
      <c r="H160" s="29">
        <f>F161</f>
        <v>25.88</v>
      </c>
    </row>
    <row r="161" spans="1:8" s="85" customFormat="1" ht="25.5">
      <c r="A161" s="76"/>
      <c r="B161" s="118"/>
      <c r="C161" s="33"/>
      <c r="D161" s="46"/>
      <c r="E161" s="40" t="s">
        <v>274</v>
      </c>
      <c r="F161" s="74">
        <f>2*(2*12.94)*0.5</f>
        <v>25.88</v>
      </c>
      <c r="G161" s="48"/>
      <c r="H161" s="27"/>
    </row>
    <row r="162" spans="1:8" s="85" customFormat="1">
      <c r="A162" s="76"/>
      <c r="B162" s="118"/>
      <c r="C162" s="33"/>
      <c r="D162" s="46"/>
      <c r="E162" s="40"/>
      <c r="F162" s="74"/>
      <c r="G162" s="48"/>
      <c r="H162" s="27"/>
    </row>
    <row r="163" spans="1:8" s="85" customFormat="1" ht="25.5">
      <c r="A163" s="30">
        <f>MAX(A$1:A161)+1</f>
        <v>33</v>
      </c>
      <c r="B163" s="118"/>
      <c r="C163" s="32" t="s">
        <v>152</v>
      </c>
      <c r="D163" s="33"/>
      <c r="E163" s="138" t="s">
        <v>153</v>
      </c>
      <c r="F163" s="119"/>
      <c r="G163" s="42" t="s">
        <v>31</v>
      </c>
      <c r="H163" s="29">
        <f>F164</f>
        <v>41.8</v>
      </c>
    </row>
    <row r="164" spans="1:8" s="85" customFormat="1" ht="38.25">
      <c r="A164" s="76"/>
      <c r="B164" s="118"/>
      <c r="C164" s="33"/>
      <c r="D164" s="46"/>
      <c r="E164" s="40" t="s">
        <v>275</v>
      </c>
      <c r="F164" s="74">
        <f>2*(20.9)</f>
        <v>41.8</v>
      </c>
      <c r="G164" s="48"/>
      <c r="H164" s="27"/>
    </row>
    <row r="165" spans="1:8" s="85" customFormat="1">
      <c r="A165" s="76"/>
      <c r="B165" s="118"/>
      <c r="C165" s="33"/>
      <c r="D165" s="46"/>
      <c r="E165" s="40"/>
      <c r="F165" s="74"/>
      <c r="G165" s="48"/>
      <c r="H165" s="27"/>
    </row>
    <row r="166" spans="1:8" s="85" customFormat="1" ht="25.5">
      <c r="A166" s="30">
        <f>MAX(A$1:A165)+1</f>
        <v>34</v>
      </c>
      <c r="B166" s="118"/>
      <c r="C166" s="32" t="s">
        <v>154</v>
      </c>
      <c r="D166" s="33"/>
      <c r="E166" s="138" t="s">
        <v>155</v>
      </c>
      <c r="F166" s="119"/>
      <c r="G166" s="42" t="s">
        <v>31</v>
      </c>
      <c r="H166" s="29">
        <f>F171</f>
        <v>204.46</v>
      </c>
    </row>
    <row r="167" spans="1:8" s="85" customFormat="1" ht="25.5">
      <c r="A167" s="76"/>
      <c r="B167" s="118"/>
      <c r="C167" s="45"/>
      <c r="D167" s="139" t="s">
        <v>156</v>
      </c>
      <c r="E167" s="47" t="s">
        <v>157</v>
      </c>
      <c r="F167" s="47"/>
      <c r="G167" s="48" t="s">
        <v>31</v>
      </c>
      <c r="H167" s="27">
        <f>H166</f>
        <v>204.46</v>
      </c>
    </row>
    <row r="168" spans="1:8" s="85" customFormat="1" ht="25.5">
      <c r="A168" s="76"/>
      <c r="B168" s="118"/>
      <c r="C168" s="33"/>
      <c r="D168" s="46"/>
      <c r="E168" s="40" t="s">
        <v>268</v>
      </c>
      <c r="F168" s="74">
        <f>2*(21.73)</f>
        <v>43.46</v>
      </c>
      <c r="G168" s="48"/>
      <c r="H168" s="27"/>
    </row>
    <row r="169" spans="1:8" s="85" customFormat="1" ht="25.5">
      <c r="A169" s="30"/>
      <c r="B169" s="131"/>
      <c r="C169" s="32"/>
      <c r="D169" s="33"/>
      <c r="E169" s="40" t="s">
        <v>265</v>
      </c>
      <c r="F169" s="74">
        <v>113</v>
      </c>
      <c r="G169" s="42"/>
      <c r="H169" s="29"/>
    </row>
    <row r="170" spans="1:8" s="85" customFormat="1">
      <c r="A170" s="30"/>
      <c r="B170" s="131"/>
      <c r="C170" s="32"/>
      <c r="D170" s="33"/>
      <c r="E170" s="215" t="s">
        <v>417</v>
      </c>
      <c r="F170" s="132">
        <f>12*2*2</f>
        <v>48</v>
      </c>
      <c r="G170" s="42"/>
      <c r="H170" s="29"/>
    </row>
    <row r="171" spans="1:8" s="85" customFormat="1">
      <c r="A171" s="30"/>
      <c r="B171" s="131"/>
      <c r="C171" s="32"/>
      <c r="D171" s="33"/>
      <c r="E171" s="40"/>
      <c r="F171" s="74">
        <f>SUM(F168:F170)</f>
        <v>204.46</v>
      </c>
      <c r="G171" s="42"/>
      <c r="H171" s="29"/>
    </row>
    <row r="172" spans="1:8" s="85" customFormat="1">
      <c r="A172" s="30"/>
      <c r="B172" s="131"/>
      <c r="C172" s="32"/>
      <c r="D172" s="33"/>
      <c r="E172" s="40"/>
      <c r="F172" s="74"/>
      <c r="G172" s="42"/>
      <c r="H172" s="29"/>
    </row>
    <row r="173" spans="1:8" s="85" customFormat="1" ht="25.5">
      <c r="A173" s="30">
        <f>MAX(A$1:A169)+1</f>
        <v>35</v>
      </c>
      <c r="B173" s="145"/>
      <c r="C173" s="32" t="s">
        <v>239</v>
      </c>
      <c r="D173" s="33"/>
      <c r="E173" s="138" t="s">
        <v>240</v>
      </c>
      <c r="F173" s="138"/>
      <c r="G173" s="42" t="s">
        <v>31</v>
      </c>
      <c r="H173" s="29">
        <f>H174</f>
        <v>52.22</v>
      </c>
    </row>
    <row r="174" spans="1:8" s="85" customFormat="1" ht="25.5">
      <c r="A174" s="69"/>
      <c r="B174" s="70"/>
      <c r="C174" s="45"/>
      <c r="D174" s="46" t="s">
        <v>241</v>
      </c>
      <c r="E174" s="47" t="s">
        <v>242</v>
      </c>
      <c r="F174" s="55"/>
      <c r="G174" s="48" t="s">
        <v>31</v>
      </c>
      <c r="H174" s="27">
        <f>F175</f>
        <v>52.22</v>
      </c>
    </row>
    <row r="175" spans="1:8" s="85" customFormat="1" ht="25.5">
      <c r="A175" s="30"/>
      <c r="B175" s="118"/>
      <c r="C175" s="32"/>
      <c r="D175" s="33"/>
      <c r="E175" s="40" t="s">
        <v>243</v>
      </c>
      <c r="F175" s="74">
        <f>13.063+13.054+13.045+13.062</f>
        <v>52.22</v>
      </c>
      <c r="G175" s="42"/>
      <c r="H175" s="29"/>
    </row>
    <row r="176" spans="1:8" s="85" customFormat="1">
      <c r="A176" s="30"/>
      <c r="B176" s="118"/>
      <c r="C176" s="32"/>
      <c r="D176" s="33"/>
      <c r="E176" s="138"/>
      <c r="F176" s="74"/>
      <c r="G176" s="42"/>
      <c r="H176" s="27"/>
    </row>
    <row r="177" spans="1:8" s="85" customFormat="1">
      <c r="A177" s="30">
        <f>MAX(A$1:A176)+1</f>
        <v>36</v>
      </c>
      <c r="B177" s="118"/>
      <c r="C177" s="32" t="s">
        <v>244</v>
      </c>
      <c r="D177" s="33"/>
      <c r="E177" s="138" t="s">
        <v>245</v>
      </c>
      <c r="F177" s="144"/>
      <c r="G177" s="42" t="s">
        <v>21</v>
      </c>
      <c r="H177" s="29">
        <f>F181</f>
        <v>10883</v>
      </c>
    </row>
    <row r="178" spans="1:8" s="85" customFormat="1" ht="27" customHeight="1">
      <c r="A178" s="30"/>
      <c r="B178" s="118"/>
      <c r="C178" s="32"/>
      <c r="D178" s="33"/>
      <c r="E178" s="40" t="s">
        <v>276</v>
      </c>
      <c r="F178" s="74">
        <v>320</v>
      </c>
      <c r="G178" s="42"/>
      <c r="H178" s="29"/>
    </row>
    <row r="179" spans="1:8" s="85" customFormat="1" ht="27" customHeight="1">
      <c r="A179" s="30"/>
      <c r="B179" s="118"/>
      <c r="C179" s="32"/>
      <c r="D179" s="33"/>
      <c r="E179" s="40" t="s">
        <v>277</v>
      </c>
      <c r="F179" s="74">
        <v>10400</v>
      </c>
      <c r="G179" s="42"/>
      <c r="H179" s="29"/>
    </row>
    <row r="180" spans="1:8" s="85" customFormat="1" ht="27" customHeight="1">
      <c r="A180" s="30"/>
      <c r="B180" s="118"/>
      <c r="C180" s="32"/>
      <c r="D180" s="33"/>
      <c r="E180" s="40" t="s">
        <v>282</v>
      </c>
      <c r="F180" s="132">
        <v>163</v>
      </c>
      <c r="G180" s="42"/>
      <c r="H180" s="29"/>
    </row>
    <row r="181" spans="1:8" s="85" customFormat="1">
      <c r="A181" s="30"/>
      <c r="B181" s="118"/>
      <c r="C181" s="32"/>
      <c r="D181" s="33"/>
      <c r="E181" s="40"/>
      <c r="F181" s="74">
        <f>SUM(F178:F180)</f>
        <v>10883</v>
      </c>
      <c r="G181" s="42"/>
      <c r="H181" s="29"/>
    </row>
    <row r="182" spans="1:8" s="85" customFormat="1" ht="25.5">
      <c r="A182" s="30">
        <f>MAX(A$1:A181)+1</f>
        <v>37</v>
      </c>
      <c r="B182" s="118"/>
      <c r="C182" s="33" t="s">
        <v>311</v>
      </c>
      <c r="D182" s="32"/>
      <c r="E182" s="25" t="s">
        <v>312</v>
      </c>
      <c r="F182" s="119"/>
      <c r="G182" s="42" t="s">
        <v>28</v>
      </c>
      <c r="H182" s="29">
        <f>F186</f>
        <v>75.400000000000006</v>
      </c>
    </row>
    <row r="183" spans="1:8" s="85" customFormat="1" ht="25.5">
      <c r="A183" s="190"/>
      <c r="B183" s="70"/>
      <c r="C183" s="45"/>
      <c r="D183" s="46"/>
      <c r="E183" s="166" t="s">
        <v>313</v>
      </c>
      <c r="F183" s="41"/>
      <c r="G183" s="48"/>
      <c r="H183" s="27"/>
    </row>
    <row r="184" spans="1:8" s="85" customFormat="1">
      <c r="A184" s="191"/>
      <c r="B184" s="70"/>
      <c r="C184" s="45"/>
      <c r="D184" s="46"/>
      <c r="E184" s="40" t="s">
        <v>279</v>
      </c>
      <c r="F184" s="43">
        <f>(3.5*(5+28+5)+3*(4.5+28+4.5))*0.1</f>
        <v>24.4</v>
      </c>
      <c r="G184" s="48"/>
      <c r="H184" s="27"/>
    </row>
    <row r="185" spans="1:8" s="85" customFormat="1">
      <c r="A185" s="191"/>
      <c r="B185" s="70"/>
      <c r="C185" s="45"/>
      <c r="D185" s="46"/>
      <c r="E185" s="40" t="s">
        <v>280</v>
      </c>
      <c r="F185" s="141">
        <f>(2*(15*17))*0.1</f>
        <v>51</v>
      </c>
      <c r="G185" s="48"/>
      <c r="H185" s="27"/>
    </row>
    <row r="186" spans="1:8" s="85" customFormat="1">
      <c r="A186" s="191"/>
      <c r="B186" s="70"/>
      <c r="C186" s="45"/>
      <c r="D186" s="46"/>
      <c r="E186" s="47"/>
      <c r="F186" s="43">
        <f>SUM(F184:F185)</f>
        <v>75.400000000000006</v>
      </c>
      <c r="G186" s="48"/>
      <c r="H186" s="27"/>
    </row>
    <row r="187" spans="1:8" s="85" customFormat="1">
      <c r="A187" s="30"/>
      <c r="B187" s="131"/>
      <c r="C187" s="32"/>
      <c r="D187" s="33"/>
      <c r="E187" s="40"/>
      <c r="F187" s="74"/>
      <c r="G187" s="42"/>
      <c r="H187" s="29"/>
    </row>
    <row r="188" spans="1:8">
      <c r="A188" s="56"/>
      <c r="B188" s="57" t="s">
        <v>89</v>
      </c>
      <c r="C188" s="58"/>
      <c r="D188" s="33"/>
      <c r="E188" s="36" t="s">
        <v>90</v>
      </c>
      <c r="F188" s="60"/>
      <c r="G188" s="48"/>
      <c r="H188" s="27"/>
    </row>
    <row r="189" spans="1:8">
      <c r="A189" s="76"/>
      <c r="B189" s="70"/>
      <c r="C189" s="45"/>
      <c r="D189" s="46"/>
      <c r="E189" s="40"/>
      <c r="F189" s="74"/>
      <c r="G189" s="48"/>
      <c r="H189" s="27"/>
    </row>
    <row r="190" spans="1:8" s="85" customFormat="1" ht="25.5">
      <c r="A190" s="30">
        <f>MAX(A$1:A189)+1</f>
        <v>38</v>
      </c>
      <c r="B190" s="118"/>
      <c r="C190" s="32" t="s">
        <v>91</v>
      </c>
      <c r="D190" s="33"/>
      <c r="E190" s="138" t="s">
        <v>92</v>
      </c>
      <c r="F190" s="119"/>
      <c r="G190" s="42" t="s">
        <v>28</v>
      </c>
      <c r="H190" s="29">
        <f>H191+H197</f>
        <v>679.14</v>
      </c>
    </row>
    <row r="191" spans="1:8" s="85" customFormat="1" ht="25.5">
      <c r="A191" s="69"/>
      <c r="B191" s="70"/>
      <c r="C191" s="45"/>
      <c r="D191" s="46" t="s">
        <v>93</v>
      </c>
      <c r="E191" s="47" t="s">
        <v>94</v>
      </c>
      <c r="F191" s="55"/>
      <c r="G191" s="48" t="s">
        <v>28</v>
      </c>
      <c r="H191" s="27">
        <f>F196</f>
        <v>516.36</v>
      </c>
    </row>
    <row r="192" spans="1:8" s="85" customFormat="1">
      <c r="A192" s="69"/>
      <c r="B192" s="70"/>
      <c r="C192" s="45"/>
      <c r="D192" s="46"/>
      <c r="E192" s="40" t="s">
        <v>95</v>
      </c>
      <c r="F192" s="41">
        <f>4*10.3*4</f>
        <v>164.8</v>
      </c>
      <c r="G192" s="48"/>
      <c r="H192" s="27"/>
    </row>
    <row r="193" spans="1:8" s="85" customFormat="1">
      <c r="A193" s="69"/>
      <c r="B193" s="70"/>
      <c r="C193" s="45"/>
      <c r="D193" s="46"/>
      <c r="E193" s="40" t="s">
        <v>254</v>
      </c>
      <c r="F193" s="41">
        <f>2*164.8</f>
        <v>329.6</v>
      </c>
      <c r="G193" s="48"/>
      <c r="H193" s="27"/>
    </row>
    <row r="194" spans="1:8" s="85" customFormat="1">
      <c r="A194" s="69"/>
      <c r="B194" s="70"/>
      <c r="C194" s="45"/>
      <c r="D194" s="46"/>
      <c r="E194" s="40" t="s">
        <v>255</v>
      </c>
      <c r="F194" s="41">
        <f>4*10.45*0.15+2*3.5*0.15</f>
        <v>7.32</v>
      </c>
      <c r="G194" s="48"/>
      <c r="H194" s="27"/>
    </row>
    <row r="195" spans="1:8" s="85" customFormat="1">
      <c r="A195" s="69"/>
      <c r="B195" s="70"/>
      <c r="C195" s="45"/>
      <c r="D195" s="46"/>
      <c r="E195" s="40" t="s">
        <v>256</v>
      </c>
      <c r="F195" s="149">
        <f>2*7.32</f>
        <v>14.64</v>
      </c>
      <c r="G195" s="48"/>
      <c r="H195" s="27"/>
    </row>
    <row r="196" spans="1:8" s="85" customFormat="1">
      <c r="A196" s="69"/>
      <c r="B196" s="70"/>
      <c r="C196" s="45"/>
      <c r="D196" s="46"/>
      <c r="E196" s="47"/>
      <c r="F196" s="41">
        <f>SUM(F192:F195)</f>
        <v>516.36</v>
      </c>
      <c r="G196" s="48"/>
      <c r="H196" s="27"/>
    </row>
    <row r="197" spans="1:8" s="85" customFormat="1" ht="25.5">
      <c r="A197" s="69"/>
      <c r="B197" s="70"/>
      <c r="C197" s="45"/>
      <c r="D197" s="46" t="s">
        <v>96</v>
      </c>
      <c r="E197" s="47" t="s">
        <v>97</v>
      </c>
      <c r="F197" s="55"/>
      <c r="G197" s="48" t="s">
        <v>28</v>
      </c>
      <c r="H197" s="27">
        <f>F202</f>
        <v>162.78</v>
      </c>
    </row>
    <row r="198" spans="1:8" s="85" customFormat="1">
      <c r="A198" s="69"/>
      <c r="B198" s="70"/>
      <c r="C198" s="45"/>
      <c r="D198" s="46"/>
      <c r="E198" s="40" t="s">
        <v>95</v>
      </c>
      <c r="F198" s="41">
        <f>4*0.3*(10.3+4)</f>
        <v>17.16</v>
      </c>
      <c r="G198" s="48"/>
      <c r="H198" s="27"/>
    </row>
    <row r="199" spans="1:8" s="85" customFormat="1">
      <c r="A199" s="69"/>
      <c r="B199" s="70"/>
      <c r="C199" s="45"/>
      <c r="D199" s="46"/>
      <c r="E199" s="40" t="s">
        <v>257</v>
      </c>
      <c r="F199" s="41">
        <f>2*17.16</f>
        <v>34.32</v>
      </c>
      <c r="G199" s="48"/>
      <c r="H199" s="27"/>
    </row>
    <row r="200" spans="1:8" s="85" customFormat="1">
      <c r="A200" s="69"/>
      <c r="B200" s="70"/>
      <c r="C200" s="45"/>
      <c r="D200" s="46"/>
      <c r="E200" s="40" t="s">
        <v>255</v>
      </c>
      <c r="F200" s="41">
        <f>4*10.45*0.71+2*3.5*1.06</f>
        <v>37.1</v>
      </c>
      <c r="G200" s="48"/>
      <c r="H200" s="27"/>
    </row>
    <row r="201" spans="1:8" s="85" customFormat="1">
      <c r="A201" s="69"/>
      <c r="B201" s="70"/>
      <c r="C201" s="45"/>
      <c r="D201" s="46"/>
      <c r="E201" s="40" t="s">
        <v>258</v>
      </c>
      <c r="F201" s="149">
        <f>2*37.1</f>
        <v>74.2</v>
      </c>
      <c r="G201" s="48"/>
      <c r="H201" s="27"/>
    </row>
    <row r="202" spans="1:8" s="85" customFormat="1">
      <c r="A202" s="69"/>
      <c r="B202" s="70"/>
      <c r="C202" s="45"/>
      <c r="D202" s="46"/>
      <c r="E202" s="47"/>
      <c r="F202" s="41">
        <f>SUM(F198:F201)</f>
        <v>162.78</v>
      </c>
      <c r="G202" s="48"/>
      <c r="H202" s="27"/>
    </row>
    <row r="203" spans="1:8" s="85" customFormat="1">
      <c r="A203" s="69"/>
      <c r="B203" s="70"/>
      <c r="C203" s="45"/>
      <c r="D203" s="46"/>
      <c r="E203" s="47"/>
      <c r="F203" s="41"/>
      <c r="G203" s="48"/>
      <c r="H203" s="27"/>
    </row>
    <row r="204" spans="1:8" s="85" customFormat="1">
      <c r="A204" s="30">
        <f>MAX(A$1:A203)+1</f>
        <v>39</v>
      </c>
      <c r="B204" s="145"/>
      <c r="C204" s="32" t="s">
        <v>98</v>
      </c>
      <c r="D204" s="33"/>
      <c r="E204" s="138" t="s">
        <v>99</v>
      </c>
      <c r="F204" s="138"/>
      <c r="G204" s="42" t="s">
        <v>28</v>
      </c>
      <c r="H204" s="29">
        <f>H205</f>
        <v>561.67999999999995</v>
      </c>
    </row>
    <row r="205" spans="1:8" s="85" customFormat="1" ht="25.5">
      <c r="A205" s="140"/>
      <c r="B205" s="146"/>
      <c r="C205" s="45"/>
      <c r="D205" s="46" t="s">
        <v>100</v>
      </c>
      <c r="E205" s="47" t="s">
        <v>101</v>
      </c>
      <c r="F205" s="47"/>
      <c r="G205" s="48" t="s">
        <v>28</v>
      </c>
      <c r="H205" s="27">
        <f>F206</f>
        <v>561.67999999999995</v>
      </c>
    </row>
    <row r="206" spans="1:8" s="85" customFormat="1">
      <c r="A206" s="56"/>
      <c r="B206" s="70"/>
      <c r="C206" s="45"/>
      <c r="D206" s="46"/>
      <c r="E206" s="133" t="s">
        <v>177</v>
      </c>
      <c r="F206" s="74">
        <f>281.32+280.36</f>
        <v>561.67999999999995</v>
      </c>
      <c r="G206" s="48"/>
      <c r="H206" s="27"/>
    </row>
    <row r="207" spans="1:8" s="85" customFormat="1">
      <c r="A207" s="56"/>
      <c r="B207" s="70"/>
      <c r="C207" s="45"/>
      <c r="D207" s="46"/>
      <c r="E207" s="133"/>
      <c r="F207" s="74"/>
      <c r="G207" s="48"/>
      <c r="H207" s="27"/>
    </row>
    <row r="208" spans="1:8" s="85" customFormat="1" ht="38.25">
      <c r="A208" s="71"/>
      <c r="B208" s="72" t="s">
        <v>102</v>
      </c>
      <c r="C208" s="21"/>
      <c r="D208" s="73"/>
      <c r="E208" s="36" t="s">
        <v>103</v>
      </c>
      <c r="F208" s="60"/>
      <c r="G208" s="50"/>
      <c r="H208" s="27"/>
    </row>
    <row r="209" spans="1:8" s="85" customFormat="1">
      <c r="A209" s="76"/>
      <c r="B209" s="70"/>
      <c r="C209" s="45"/>
      <c r="D209" s="46"/>
      <c r="E209" s="47"/>
      <c r="F209" s="74"/>
      <c r="G209" s="48"/>
      <c r="H209" s="27"/>
    </row>
    <row r="210" spans="1:8" s="85" customFormat="1" ht="25.5">
      <c r="A210" s="30">
        <f>MAX(A$1:A209)+1</f>
        <v>40</v>
      </c>
      <c r="B210" s="118"/>
      <c r="C210" s="32" t="s">
        <v>104</v>
      </c>
      <c r="D210" s="33"/>
      <c r="E210" s="138" t="s">
        <v>105</v>
      </c>
      <c r="F210" s="119"/>
      <c r="G210" s="42" t="s">
        <v>16</v>
      </c>
      <c r="H210" s="29">
        <f>H211</f>
        <v>41.08</v>
      </c>
    </row>
    <row r="211" spans="1:8" s="85" customFormat="1" ht="25.5">
      <c r="A211" s="69"/>
      <c r="B211" s="70"/>
      <c r="C211" s="45"/>
      <c r="D211" s="46" t="s">
        <v>106</v>
      </c>
      <c r="E211" s="47" t="s">
        <v>107</v>
      </c>
      <c r="F211" s="55"/>
      <c r="G211" s="48" t="s">
        <v>16</v>
      </c>
      <c r="H211" s="27">
        <f>F212</f>
        <v>41.08</v>
      </c>
    </row>
    <row r="212" spans="1:8" s="85" customFormat="1">
      <c r="A212" s="76"/>
      <c r="B212" s="70"/>
      <c r="C212" s="45"/>
      <c r="D212" s="46"/>
      <c r="E212" s="150" t="s">
        <v>415</v>
      </c>
      <c r="F212" s="74">
        <f>0.04*(481+18+11+7+489+21)</f>
        <v>41.08</v>
      </c>
      <c r="G212" s="48"/>
      <c r="H212" s="27"/>
    </row>
    <row r="213" spans="1:8" s="85" customFormat="1">
      <c r="A213" s="76"/>
      <c r="B213" s="70"/>
      <c r="C213" s="45"/>
      <c r="D213" s="46"/>
      <c r="E213" s="137"/>
      <c r="F213" s="74"/>
      <c r="G213" s="48"/>
      <c r="H213" s="27"/>
    </row>
    <row r="214" spans="1:8" s="85" customFormat="1" ht="25.5">
      <c r="A214" s="30">
        <f>MAX(A$1:A212)+1</f>
        <v>41</v>
      </c>
      <c r="B214" s="118"/>
      <c r="C214" s="32" t="s">
        <v>108</v>
      </c>
      <c r="D214" s="33"/>
      <c r="E214" s="138" t="s">
        <v>109</v>
      </c>
      <c r="F214" s="144"/>
      <c r="G214" s="42" t="s">
        <v>28</v>
      </c>
      <c r="H214" s="29">
        <f>H215</f>
        <v>5.88</v>
      </c>
    </row>
    <row r="215" spans="1:8" s="85" customFormat="1" ht="25.5">
      <c r="A215" s="76"/>
      <c r="B215" s="70"/>
      <c r="C215" s="45"/>
      <c r="D215" s="46" t="s">
        <v>110</v>
      </c>
      <c r="E215" s="47" t="s">
        <v>111</v>
      </c>
      <c r="F215" s="74"/>
      <c r="G215" s="48" t="s">
        <v>28</v>
      </c>
      <c r="H215" s="27">
        <f>F216</f>
        <v>5.88</v>
      </c>
    </row>
    <row r="216" spans="1:8" s="85" customFormat="1">
      <c r="A216" s="76"/>
      <c r="B216" s="118"/>
      <c r="C216" s="33"/>
      <c r="D216" s="46"/>
      <c r="E216" s="40" t="s">
        <v>247</v>
      </c>
      <c r="F216" s="74">
        <f>0.1*(17.8+11.6+11.6+17.8)</f>
        <v>5.88</v>
      </c>
      <c r="G216" s="48"/>
      <c r="H216" s="27"/>
    </row>
    <row r="217" spans="1:8" s="85" customFormat="1">
      <c r="A217" s="76"/>
      <c r="B217" s="70"/>
      <c r="C217" s="45"/>
      <c r="D217" s="46"/>
      <c r="E217" s="40"/>
      <c r="F217" s="74"/>
      <c r="G217" s="48"/>
      <c r="H217" s="27"/>
    </row>
    <row r="218" spans="1:8" s="85" customFormat="1" ht="25.5">
      <c r="A218" s="30">
        <f>MAX(A$1:A215)+1</f>
        <v>42</v>
      </c>
      <c r="B218" s="118"/>
      <c r="C218" s="32" t="s">
        <v>236</v>
      </c>
      <c r="D218" s="33"/>
      <c r="E218" s="138" t="s">
        <v>237</v>
      </c>
      <c r="F218" s="144"/>
      <c r="G218" s="42" t="s">
        <v>16</v>
      </c>
      <c r="H218" s="29">
        <f>F219</f>
        <v>19.62</v>
      </c>
    </row>
    <row r="219" spans="1:8" s="85" customFormat="1">
      <c r="A219" s="76"/>
      <c r="B219" s="118"/>
      <c r="C219" s="33"/>
      <c r="D219" s="46"/>
      <c r="E219" s="215" t="s">
        <v>416</v>
      </c>
      <c r="F219" s="74">
        <f>0.045*(218+218)</f>
        <v>19.62</v>
      </c>
      <c r="G219" s="48"/>
      <c r="H219" s="27"/>
    </row>
    <row r="220" spans="1:8" s="85" customFormat="1">
      <c r="A220" s="76"/>
      <c r="B220" s="70"/>
      <c r="C220" s="45"/>
      <c r="D220" s="46"/>
      <c r="E220" s="47"/>
      <c r="F220" s="74"/>
      <c r="G220" s="48"/>
      <c r="H220" s="27"/>
    </row>
    <row r="221" spans="1:8" s="85" customFormat="1" ht="25.5">
      <c r="A221" s="30">
        <f>MAX(A$1:A220)+1</f>
        <v>43</v>
      </c>
      <c r="B221" s="70"/>
      <c r="C221" s="216" t="s">
        <v>329</v>
      </c>
      <c r="D221" s="46"/>
      <c r="E221" s="138" t="s">
        <v>413</v>
      </c>
      <c r="F221" s="74"/>
      <c r="G221" s="42" t="s">
        <v>28</v>
      </c>
      <c r="H221" s="217">
        <f>F225</f>
        <v>872</v>
      </c>
    </row>
    <row r="222" spans="1:8" s="85" customFormat="1" ht="38.25">
      <c r="A222" s="76"/>
      <c r="B222" s="70"/>
      <c r="C222" s="45"/>
      <c r="D222" s="46" t="s">
        <v>410</v>
      </c>
      <c r="E222" s="47" t="s">
        <v>414</v>
      </c>
      <c r="F222" s="74"/>
      <c r="G222" s="48" t="s">
        <v>28</v>
      </c>
      <c r="H222" s="27">
        <f>H221</f>
        <v>872</v>
      </c>
    </row>
    <row r="223" spans="1:8" s="85" customFormat="1">
      <c r="A223" s="76"/>
      <c r="B223" s="70"/>
      <c r="C223" s="45"/>
      <c r="D223" s="46"/>
      <c r="E223" s="214" t="s">
        <v>411</v>
      </c>
      <c r="F223" s="74">
        <f>218+218</f>
        <v>436</v>
      </c>
      <c r="G223" s="48"/>
      <c r="H223" s="27"/>
    </row>
    <row r="224" spans="1:8" s="85" customFormat="1">
      <c r="A224" s="76"/>
      <c r="B224" s="70"/>
      <c r="C224" s="45"/>
      <c r="D224" s="46"/>
      <c r="E224" s="214" t="s">
        <v>412</v>
      </c>
      <c r="F224" s="132">
        <f>218+218</f>
        <v>436</v>
      </c>
      <c r="G224" s="48"/>
      <c r="H224" s="27"/>
    </row>
    <row r="225" spans="1:8" s="85" customFormat="1">
      <c r="A225" s="76"/>
      <c r="B225" s="70"/>
      <c r="C225" s="45"/>
      <c r="D225" s="46"/>
      <c r="E225" s="47"/>
      <c r="F225" s="74">
        <f>F223+F224</f>
        <v>872</v>
      </c>
      <c r="G225" s="48"/>
      <c r="H225" s="27"/>
    </row>
    <row r="226" spans="1:8" s="85" customFormat="1">
      <c r="A226" s="76"/>
      <c r="B226" s="70"/>
      <c r="C226" s="45"/>
      <c r="D226" s="46"/>
      <c r="E226" s="47"/>
      <c r="F226" s="74"/>
      <c r="G226" s="48"/>
      <c r="H226" s="27"/>
    </row>
    <row r="227" spans="1:8" s="85" customFormat="1" ht="25.5">
      <c r="A227" s="30">
        <f>MAX(A$1:A225)+1</f>
        <v>44</v>
      </c>
      <c r="B227" s="118"/>
      <c r="C227" s="32" t="s">
        <v>112</v>
      </c>
      <c r="D227" s="33"/>
      <c r="E227" s="138" t="s">
        <v>113</v>
      </c>
      <c r="F227" s="144"/>
      <c r="G227" s="42" t="s">
        <v>31</v>
      </c>
      <c r="H227" s="29">
        <f>F228</f>
        <v>44</v>
      </c>
    </row>
    <row r="228" spans="1:8" s="85" customFormat="1">
      <c r="A228" s="76"/>
      <c r="B228" s="118"/>
      <c r="C228" s="33"/>
      <c r="D228" s="46"/>
      <c r="E228" s="40" t="s">
        <v>165</v>
      </c>
      <c r="F228" s="74">
        <f>4*11</f>
        <v>44</v>
      </c>
      <c r="G228" s="48"/>
      <c r="H228" s="27"/>
    </row>
    <row r="229" spans="1:8" s="85" customFormat="1">
      <c r="A229" s="76"/>
      <c r="B229" s="131"/>
      <c r="C229" s="33"/>
      <c r="D229" s="46"/>
      <c r="E229" s="40"/>
      <c r="F229" s="132"/>
      <c r="G229" s="48"/>
      <c r="H229" s="27"/>
    </row>
    <row r="230" spans="1:8" s="85" customFormat="1">
      <c r="A230" s="30">
        <f>MAX(A$1:A229)+1</f>
        <v>45</v>
      </c>
      <c r="B230" s="118"/>
      <c r="C230" s="32" t="s">
        <v>114</v>
      </c>
      <c r="D230" s="33"/>
      <c r="E230" s="138" t="s">
        <v>115</v>
      </c>
      <c r="F230" s="119"/>
      <c r="G230" s="42" t="s">
        <v>31</v>
      </c>
      <c r="H230" s="29">
        <f>H231</f>
        <v>33.6</v>
      </c>
    </row>
    <row r="231" spans="1:8" s="85" customFormat="1">
      <c r="A231" s="69"/>
      <c r="B231" s="70"/>
      <c r="C231" s="45"/>
      <c r="D231" s="46" t="s">
        <v>116</v>
      </c>
      <c r="E231" s="47" t="s">
        <v>117</v>
      </c>
      <c r="F231" s="55"/>
      <c r="G231" s="48" t="s">
        <v>31</v>
      </c>
      <c r="H231" s="27">
        <f>F232</f>
        <v>33.6</v>
      </c>
    </row>
    <row r="232" spans="1:8" s="85" customFormat="1">
      <c r="A232" s="69"/>
      <c r="B232" s="118"/>
      <c r="C232" s="32"/>
      <c r="D232" s="33"/>
      <c r="E232" s="40" t="s">
        <v>166</v>
      </c>
      <c r="F232" s="41">
        <f>4*(2+2+0.9)+2*(2+2+3)</f>
        <v>33.6</v>
      </c>
      <c r="G232" s="42"/>
      <c r="H232" s="27"/>
    </row>
    <row r="233" spans="1:8" s="85" customFormat="1">
      <c r="A233" s="130"/>
      <c r="B233" s="118"/>
      <c r="C233" s="32"/>
      <c r="D233" s="33"/>
      <c r="E233" s="40"/>
      <c r="F233" s="41"/>
      <c r="G233" s="42"/>
      <c r="H233" s="27"/>
    </row>
    <row r="234" spans="1:8" ht="25.5">
      <c r="A234" s="56"/>
      <c r="B234" s="57" t="s">
        <v>118</v>
      </c>
      <c r="C234" s="58"/>
      <c r="D234" s="33"/>
      <c r="E234" s="36" t="s">
        <v>119</v>
      </c>
      <c r="F234" s="75"/>
      <c r="G234" s="42"/>
      <c r="H234" s="27"/>
    </row>
    <row r="235" spans="1:8" s="85" customFormat="1">
      <c r="A235" s="76"/>
      <c r="B235" s="131"/>
      <c r="C235" s="33"/>
      <c r="D235" s="46"/>
      <c r="E235" s="40"/>
      <c r="F235" s="74"/>
      <c r="G235" s="48"/>
      <c r="H235" s="27"/>
    </row>
    <row r="236" spans="1:8" s="85" customFormat="1">
      <c r="A236" s="30">
        <f>MAX(A$1:A235)+1</f>
        <v>46</v>
      </c>
      <c r="B236" s="118"/>
      <c r="C236" s="32" t="s">
        <v>120</v>
      </c>
      <c r="D236" s="33"/>
      <c r="E236" s="138" t="s">
        <v>121</v>
      </c>
      <c r="F236" s="119"/>
      <c r="G236" s="42" t="s">
        <v>16</v>
      </c>
      <c r="H236" s="29">
        <f>H237</f>
        <v>1.92</v>
      </c>
    </row>
    <row r="237" spans="1:8" s="85" customFormat="1" ht="25.5">
      <c r="A237" s="69"/>
      <c r="B237" s="70"/>
      <c r="C237" s="45"/>
      <c r="D237" s="120" t="s">
        <v>122</v>
      </c>
      <c r="E237" s="121" t="s">
        <v>123</v>
      </c>
      <c r="F237" s="122"/>
      <c r="G237" s="50" t="s">
        <v>16</v>
      </c>
      <c r="H237" s="27">
        <f>F238</f>
        <v>1.92</v>
      </c>
    </row>
    <row r="238" spans="1:8" s="85" customFormat="1">
      <c r="A238" s="69"/>
      <c r="B238" s="118"/>
      <c r="C238" s="32"/>
      <c r="D238" s="33"/>
      <c r="E238" s="40" t="s">
        <v>238</v>
      </c>
      <c r="F238" s="123">
        <f>(4*0.9*2+2*3*2)*0.1</f>
        <v>1.92</v>
      </c>
      <c r="G238" s="42"/>
      <c r="H238" s="27"/>
    </row>
    <row r="239" spans="1:8" s="85" customFormat="1">
      <c r="A239" s="69"/>
      <c r="B239" s="118"/>
      <c r="C239" s="32"/>
      <c r="D239" s="33"/>
      <c r="E239" s="40"/>
      <c r="F239" s="123"/>
      <c r="G239" s="42"/>
      <c r="H239" s="27"/>
    </row>
    <row r="240" spans="1:8" s="85" customFormat="1">
      <c r="A240" s="30">
        <f>MAX(A$1:A239)+1</f>
        <v>47</v>
      </c>
      <c r="B240" s="118"/>
      <c r="C240" s="32" t="s">
        <v>124</v>
      </c>
      <c r="D240" s="33"/>
      <c r="E240" s="138" t="s">
        <v>125</v>
      </c>
      <c r="F240" s="119"/>
      <c r="G240" s="42" t="s">
        <v>28</v>
      </c>
      <c r="H240" s="151">
        <f>H241</f>
        <v>19.2</v>
      </c>
    </row>
    <row r="241" spans="1:9" s="85" customFormat="1">
      <c r="A241" s="190"/>
      <c r="B241" s="70"/>
      <c r="C241" s="45"/>
      <c r="D241" s="46" t="s">
        <v>126</v>
      </c>
      <c r="E241" s="47" t="s">
        <v>127</v>
      </c>
      <c r="F241" s="55"/>
      <c r="G241" s="48" t="s">
        <v>28</v>
      </c>
      <c r="H241" s="152">
        <f>F242</f>
        <v>19.2</v>
      </c>
      <c r="I241" s="157"/>
    </row>
    <row r="242" spans="1:9" s="85" customFormat="1">
      <c r="A242" s="69"/>
      <c r="B242" s="118"/>
      <c r="C242" s="32"/>
      <c r="D242" s="33"/>
      <c r="E242" s="40" t="s">
        <v>167</v>
      </c>
      <c r="F242" s="41">
        <f>4*0.9*2+2*3*2</f>
        <v>19.2</v>
      </c>
      <c r="G242" s="42"/>
      <c r="H242" s="27"/>
    </row>
    <row r="243" spans="1:9" s="85" customFormat="1">
      <c r="A243" s="69"/>
      <c r="B243" s="118"/>
      <c r="C243" s="32"/>
      <c r="D243" s="33"/>
      <c r="E243" s="40"/>
      <c r="F243" s="41"/>
      <c r="G243" s="42"/>
      <c r="H243" s="27"/>
    </row>
    <row r="244" spans="1:9" s="85" customFormat="1" ht="25.5">
      <c r="A244" s="56"/>
      <c r="B244" s="57" t="s">
        <v>283</v>
      </c>
      <c r="C244" s="58"/>
      <c r="D244" s="33"/>
      <c r="E244" s="36" t="s">
        <v>284</v>
      </c>
      <c r="F244" s="75"/>
      <c r="G244" s="42"/>
      <c r="H244" s="27"/>
    </row>
    <row r="245" spans="1:9" s="85" customFormat="1">
      <c r="A245" s="69"/>
      <c r="B245" s="131"/>
      <c r="C245" s="32"/>
      <c r="D245" s="33"/>
      <c r="E245" s="40"/>
      <c r="F245" s="41"/>
      <c r="G245" s="42"/>
      <c r="H245" s="27"/>
    </row>
    <row r="246" spans="1:9" s="85" customFormat="1">
      <c r="A246" s="30">
        <f>MAX(A$1:A245)+1</f>
        <v>48</v>
      </c>
      <c r="B246" s="131"/>
      <c r="C246" s="195">
        <v>91022701</v>
      </c>
      <c r="D246" s="196"/>
      <c r="E246" s="138" t="s">
        <v>285</v>
      </c>
      <c r="F246" s="138"/>
      <c r="G246" s="42" t="s">
        <v>21</v>
      </c>
      <c r="H246" s="151">
        <v>1</v>
      </c>
    </row>
    <row r="247" spans="1:9" s="85" customFormat="1">
      <c r="A247" s="69"/>
      <c r="B247" s="131"/>
      <c r="C247" s="32"/>
      <c r="D247" s="33"/>
      <c r="E247" s="40" t="s">
        <v>286</v>
      </c>
      <c r="F247" s="41"/>
      <c r="G247" s="42"/>
      <c r="H247" s="27"/>
    </row>
    <row r="248" spans="1:9" s="85" customFormat="1">
      <c r="A248" s="76"/>
      <c r="B248" s="167"/>
      <c r="C248" s="33"/>
      <c r="D248" s="46"/>
      <c r="E248" s="40"/>
      <c r="F248" s="123"/>
      <c r="G248" s="48"/>
      <c r="H248" s="27"/>
    </row>
    <row r="249" spans="1:9" s="85" customFormat="1">
      <c r="A249" s="20"/>
      <c r="B249" s="168" t="s">
        <v>287</v>
      </c>
      <c r="C249" s="21"/>
      <c r="D249" s="73"/>
      <c r="E249" s="36" t="s">
        <v>288</v>
      </c>
      <c r="F249" s="36"/>
      <c r="G249" s="26"/>
      <c r="H249" s="27"/>
    </row>
    <row r="250" spans="1:9" s="85" customFormat="1">
      <c r="A250" s="20"/>
      <c r="B250" s="168"/>
      <c r="C250" s="21"/>
      <c r="D250" s="73"/>
      <c r="E250" s="36"/>
      <c r="F250" s="36"/>
      <c r="G250" s="26"/>
      <c r="H250" s="27"/>
    </row>
    <row r="251" spans="1:9" s="85" customFormat="1" ht="25.5">
      <c r="A251" s="30">
        <f>MAX(A$1:A250)+1</f>
        <v>49</v>
      </c>
      <c r="B251" s="118"/>
      <c r="C251" s="32" t="s">
        <v>289</v>
      </c>
      <c r="D251" s="33"/>
      <c r="E251" s="138" t="s">
        <v>290</v>
      </c>
      <c r="F251" s="119"/>
      <c r="G251" s="42" t="s">
        <v>28</v>
      </c>
      <c r="H251" s="29">
        <f>F255</f>
        <v>754</v>
      </c>
    </row>
    <row r="252" spans="1:9" s="85" customFormat="1">
      <c r="A252" s="169"/>
      <c r="B252" s="170"/>
      <c r="C252" s="170"/>
      <c r="D252" s="171"/>
      <c r="E252" s="172" t="s">
        <v>291</v>
      </c>
      <c r="F252" s="173"/>
      <c r="G252" s="174"/>
      <c r="H252" s="175"/>
    </row>
    <row r="253" spans="1:9" s="85" customFormat="1">
      <c r="A253" s="39"/>
      <c r="B253" s="176"/>
      <c r="C253" s="58"/>
      <c r="D253" s="33"/>
      <c r="E253" s="40" t="s">
        <v>279</v>
      </c>
      <c r="F253" s="43">
        <f>3.5*(5+28+5)+3*(4.5+28+4.5)</f>
        <v>244</v>
      </c>
      <c r="G253" s="48"/>
      <c r="H253" s="148"/>
    </row>
    <row r="254" spans="1:9" s="85" customFormat="1">
      <c r="A254" s="39"/>
      <c r="B254" s="176"/>
      <c r="C254" s="58"/>
      <c r="D254" s="33"/>
      <c r="E254" s="40" t="s">
        <v>280</v>
      </c>
      <c r="F254" s="141">
        <f>2*(15*17)</f>
        <v>510</v>
      </c>
      <c r="G254" s="48"/>
      <c r="H254" s="148"/>
    </row>
    <row r="255" spans="1:9" s="85" customFormat="1">
      <c r="A255" s="39"/>
      <c r="B255" s="176"/>
      <c r="C255" s="58"/>
      <c r="D255" s="33"/>
      <c r="E255" s="47"/>
      <c r="F255" s="43">
        <f>SUM(F253:F254)</f>
        <v>754</v>
      </c>
      <c r="G255" s="48"/>
      <c r="H255" s="148"/>
    </row>
    <row r="256" spans="1:9" s="85" customFormat="1">
      <c r="A256" s="39"/>
      <c r="B256" s="176"/>
      <c r="C256" s="58"/>
      <c r="D256" s="33"/>
      <c r="E256" s="177"/>
      <c r="F256" s="178"/>
      <c r="G256" s="48"/>
      <c r="H256" s="148"/>
    </row>
    <row r="257" spans="1:8" s="85" customFormat="1">
      <c r="A257" s="76"/>
      <c r="B257" s="176" t="s">
        <v>292</v>
      </c>
      <c r="C257" s="58"/>
      <c r="D257" s="33"/>
      <c r="E257" s="36" t="s">
        <v>293</v>
      </c>
      <c r="F257" s="179"/>
      <c r="G257" s="48"/>
      <c r="H257" s="27"/>
    </row>
    <row r="258" spans="1:8" s="85" customFormat="1">
      <c r="A258" s="76"/>
      <c r="B258" s="176"/>
      <c r="C258" s="58"/>
      <c r="D258" s="33"/>
      <c r="E258" s="36"/>
      <c r="F258" s="179"/>
      <c r="G258" s="48"/>
      <c r="H258" s="27"/>
    </row>
    <row r="259" spans="1:8" s="85" customFormat="1">
      <c r="A259" s="30">
        <f>MAX(A$1:A258)+1</f>
        <v>50</v>
      </c>
      <c r="B259" s="118"/>
      <c r="C259" s="32" t="s">
        <v>294</v>
      </c>
      <c r="D259" s="33"/>
      <c r="E259" s="138" t="s">
        <v>295</v>
      </c>
      <c r="F259" s="144"/>
      <c r="G259" s="42" t="s">
        <v>28</v>
      </c>
      <c r="H259" s="29">
        <f>H260</f>
        <v>490</v>
      </c>
    </row>
    <row r="260" spans="1:8" s="85" customFormat="1">
      <c r="A260" s="76"/>
      <c r="B260" s="118"/>
      <c r="C260" s="33"/>
      <c r="D260" s="46" t="s">
        <v>296</v>
      </c>
      <c r="E260" s="47" t="s">
        <v>297</v>
      </c>
      <c r="F260" s="74"/>
      <c r="G260" s="48" t="s">
        <v>28</v>
      </c>
      <c r="H260" s="27">
        <f>F261</f>
        <v>490</v>
      </c>
    </row>
    <row r="261" spans="1:8" s="85" customFormat="1">
      <c r="A261" s="76"/>
      <c r="B261" s="70"/>
      <c r="C261" s="197"/>
      <c r="D261" s="46"/>
      <c r="E261" s="40" t="s">
        <v>298</v>
      </c>
      <c r="F261" s="74">
        <f>245+245</f>
        <v>490</v>
      </c>
      <c r="G261" s="48"/>
      <c r="H261" s="27"/>
    </row>
    <row r="262" spans="1:8" s="85" customFormat="1">
      <c r="A262" s="30"/>
      <c r="B262" s="180"/>
      <c r="C262" s="57"/>
      <c r="D262" s="57"/>
      <c r="E262" s="181"/>
      <c r="F262" s="179"/>
      <c r="G262" s="26"/>
      <c r="H262" s="182"/>
    </row>
    <row r="263" spans="1:8" s="85" customFormat="1" ht="25.5">
      <c r="A263" s="30">
        <f>MAX(A$1:A262)+1</f>
        <v>51</v>
      </c>
      <c r="B263" s="118"/>
      <c r="C263" s="32" t="s">
        <v>299</v>
      </c>
      <c r="D263" s="33"/>
      <c r="E263" s="138" t="s">
        <v>300</v>
      </c>
      <c r="F263" s="119"/>
      <c r="G263" s="42" t="s">
        <v>28</v>
      </c>
      <c r="H263" s="29">
        <f>H264</f>
        <v>754</v>
      </c>
    </row>
    <row r="264" spans="1:8" s="85" customFormat="1" ht="25.5">
      <c r="A264" s="69"/>
      <c r="B264" s="70"/>
      <c r="C264" s="45"/>
      <c r="D264" s="46" t="s">
        <v>301</v>
      </c>
      <c r="E264" s="47" t="s">
        <v>302</v>
      </c>
      <c r="F264" s="55"/>
      <c r="G264" s="48" t="s">
        <v>28</v>
      </c>
      <c r="H264" s="27">
        <f>F268</f>
        <v>754</v>
      </c>
    </row>
    <row r="265" spans="1:8" s="85" customFormat="1" ht="25.5">
      <c r="A265" s="20"/>
      <c r="B265" s="183"/>
      <c r="C265" s="73"/>
      <c r="D265" s="184"/>
      <c r="E265" s="185" t="s">
        <v>303</v>
      </c>
      <c r="F265" s="186"/>
      <c r="G265" s="50"/>
      <c r="H265" s="187"/>
    </row>
    <row r="266" spans="1:8" s="85" customFormat="1">
      <c r="A266" s="30"/>
      <c r="B266" s="183"/>
      <c r="C266" s="73"/>
      <c r="D266" s="184"/>
      <c r="E266" s="40" t="s">
        <v>279</v>
      </c>
      <c r="F266" s="43">
        <f>3.5*(5+28+5)+3*(4.5+28+4.5)</f>
        <v>244</v>
      </c>
      <c r="G266" s="50"/>
      <c r="H266" s="187"/>
    </row>
    <row r="267" spans="1:8" s="85" customFormat="1">
      <c r="A267" s="30"/>
      <c r="B267" s="183"/>
      <c r="C267" s="73"/>
      <c r="D267" s="184"/>
      <c r="E267" s="40" t="s">
        <v>280</v>
      </c>
      <c r="F267" s="141">
        <f>2*(15*17)</f>
        <v>510</v>
      </c>
      <c r="G267" s="50"/>
      <c r="H267" s="187"/>
    </row>
    <row r="268" spans="1:8" s="85" customFormat="1">
      <c r="A268" s="30"/>
      <c r="B268" s="183"/>
      <c r="C268" s="73"/>
      <c r="D268" s="184"/>
      <c r="E268" s="47"/>
      <c r="F268" s="43">
        <f>SUM(F266:F267)</f>
        <v>754</v>
      </c>
      <c r="G268" s="50"/>
      <c r="H268" s="187"/>
    </row>
    <row r="269" spans="1:8" s="85" customFormat="1">
      <c r="A269" s="20"/>
      <c r="B269" s="183"/>
      <c r="C269" s="73"/>
      <c r="D269" s="184"/>
      <c r="E269" s="66"/>
      <c r="F269" s="188"/>
      <c r="G269" s="50"/>
      <c r="H269" s="187"/>
    </row>
    <row r="270" spans="1:8" s="85" customFormat="1" ht="15.75" thickBot="1">
      <c r="A270" s="124"/>
      <c r="B270" s="125"/>
      <c r="C270" s="126"/>
      <c r="D270" s="127"/>
      <c r="E270" s="86"/>
      <c r="F270" s="87"/>
      <c r="G270" s="128"/>
      <c r="H270" s="129"/>
    </row>
    <row r="271" spans="1:8">
      <c r="A271" s="78"/>
      <c r="B271" s="78"/>
      <c r="C271" s="79"/>
      <c r="D271" s="80"/>
      <c r="E271" s="66"/>
      <c r="F271" s="67"/>
      <c r="G271" s="81"/>
      <c r="H271" s="82"/>
    </row>
    <row r="272" spans="1:8">
      <c r="A272" s="78"/>
      <c r="B272" s="78"/>
      <c r="C272" s="79"/>
      <c r="D272" s="80"/>
      <c r="E272" s="66"/>
      <c r="F272" s="67"/>
      <c r="G272" s="81"/>
      <c r="H272" s="82"/>
    </row>
    <row r="273" spans="1:8">
      <c r="A273" s="78"/>
      <c r="B273" s="78"/>
      <c r="C273" s="79"/>
      <c r="D273" s="80"/>
      <c r="E273" s="66"/>
      <c r="F273" s="67"/>
      <c r="G273" s="81"/>
      <c r="H273" s="82"/>
    </row>
    <row r="274" spans="1:8">
      <c r="A274" s="78"/>
      <c r="B274" s="78"/>
      <c r="C274" s="79"/>
      <c r="D274" s="80"/>
      <c r="E274" s="68"/>
      <c r="F274" s="67"/>
      <c r="G274" s="81"/>
      <c r="H274" s="82"/>
    </row>
    <row r="275" spans="1:8">
      <c r="A275" s="78"/>
      <c r="B275" s="78"/>
      <c r="C275" s="79"/>
      <c r="D275" s="80"/>
      <c r="E275" s="66"/>
      <c r="F275" s="67"/>
      <c r="G275" s="81"/>
      <c r="H275" s="82"/>
    </row>
    <row r="276" spans="1:8">
      <c r="A276" s="78"/>
      <c r="B276" s="78"/>
      <c r="C276" s="79"/>
      <c r="D276" s="80"/>
      <c r="E276" s="66"/>
      <c r="F276" s="67"/>
      <c r="G276" s="81"/>
      <c r="H276" s="82"/>
    </row>
    <row r="277" spans="1:8">
      <c r="A277" s="78"/>
      <c r="B277" s="78"/>
      <c r="C277" s="79"/>
      <c r="D277" s="80"/>
      <c r="E277" s="66"/>
      <c r="F277" s="67"/>
      <c r="G277" s="81"/>
      <c r="H277" s="82"/>
    </row>
    <row r="278" spans="1:8">
      <c r="A278" s="78"/>
      <c r="B278" s="78"/>
      <c r="C278" s="79"/>
      <c r="D278" s="80"/>
      <c r="E278" s="66"/>
      <c r="F278" s="67"/>
      <c r="G278" s="81"/>
      <c r="H278" s="82"/>
    </row>
    <row r="279" spans="1:8">
      <c r="A279" s="78"/>
      <c r="B279" s="78"/>
      <c r="C279" s="79"/>
      <c r="D279" s="80"/>
      <c r="E279" s="66"/>
      <c r="F279" s="67"/>
      <c r="G279" s="81"/>
      <c r="H279" s="82"/>
    </row>
    <row r="280" spans="1:8">
      <c r="A280" s="78"/>
      <c r="B280" s="78"/>
      <c r="C280" s="79"/>
      <c r="D280" s="80"/>
      <c r="E280" s="66"/>
      <c r="F280" s="67"/>
      <c r="G280" s="81"/>
      <c r="H280" s="82"/>
    </row>
    <row r="281" spans="1:8">
      <c r="A281" s="78"/>
      <c r="B281" s="78"/>
      <c r="C281" s="79"/>
      <c r="D281" s="80"/>
      <c r="E281" s="66"/>
      <c r="F281" s="67"/>
      <c r="G281" s="81"/>
      <c r="H281" s="82"/>
    </row>
    <row r="282" spans="1:8">
      <c r="A282" s="78"/>
      <c r="B282" s="78"/>
      <c r="C282" s="79"/>
      <c r="D282" s="80"/>
      <c r="E282" s="66"/>
      <c r="F282" s="67"/>
      <c r="G282" s="81"/>
      <c r="H282" s="82"/>
    </row>
    <row r="283" spans="1:8">
      <c r="A283" s="78"/>
      <c r="B283" s="78"/>
      <c r="C283" s="79"/>
      <c r="D283" s="80"/>
      <c r="E283" s="66"/>
      <c r="F283" s="67"/>
      <c r="G283" s="81"/>
      <c r="H283" s="82"/>
    </row>
    <row r="284" spans="1:8">
      <c r="A284" s="78"/>
      <c r="B284" s="78"/>
      <c r="C284" s="79"/>
      <c r="D284" s="80"/>
      <c r="E284" s="66"/>
      <c r="F284" s="67"/>
      <c r="G284" s="81"/>
      <c r="H284" s="82"/>
    </row>
    <row r="285" spans="1:8">
      <c r="A285" s="78"/>
      <c r="B285" s="78"/>
      <c r="C285" s="79"/>
      <c r="D285" s="80"/>
      <c r="E285" s="66"/>
      <c r="F285" s="67"/>
      <c r="G285" s="81"/>
      <c r="H285" s="82"/>
    </row>
    <row r="286" spans="1:8">
      <c r="A286" s="78"/>
      <c r="B286" s="78"/>
      <c r="C286" s="79"/>
      <c r="D286" s="80"/>
      <c r="E286" s="66"/>
      <c r="F286" s="67"/>
      <c r="G286" s="81"/>
      <c r="H286" s="82"/>
    </row>
    <row r="287" spans="1:8">
      <c r="A287" s="78"/>
      <c r="B287" s="78"/>
      <c r="C287" s="79"/>
      <c r="D287" s="80"/>
      <c r="E287" s="66"/>
      <c r="F287" s="67"/>
      <c r="G287" s="81"/>
      <c r="H287" s="82"/>
    </row>
    <row r="288" spans="1:8">
      <c r="A288" s="78"/>
      <c r="B288" s="78"/>
      <c r="C288" s="79"/>
      <c r="D288" s="80"/>
      <c r="E288" s="66"/>
      <c r="F288" s="67"/>
      <c r="G288" s="81"/>
      <c r="H288" s="82"/>
    </row>
    <row r="289" spans="1:8">
      <c r="A289" s="78"/>
      <c r="B289" s="78"/>
      <c r="C289" s="79"/>
      <c r="D289" s="80"/>
      <c r="E289" s="66"/>
      <c r="F289" s="67"/>
      <c r="G289" s="81"/>
      <c r="H289" s="82"/>
    </row>
    <row r="290" spans="1:8">
      <c r="A290" s="78"/>
      <c r="B290" s="78"/>
      <c r="C290" s="79"/>
      <c r="D290" s="80"/>
      <c r="E290" s="66"/>
      <c r="F290" s="67"/>
      <c r="G290" s="81"/>
      <c r="H290" s="82"/>
    </row>
    <row r="291" spans="1:8">
      <c r="A291" s="78"/>
      <c r="B291" s="78"/>
      <c r="C291" s="79"/>
      <c r="D291" s="80"/>
      <c r="E291" s="66"/>
      <c r="F291" s="67"/>
      <c r="G291" s="81"/>
      <c r="H291" s="82"/>
    </row>
    <row r="292" spans="1:8">
      <c r="A292" s="78"/>
      <c r="B292" s="78"/>
      <c r="C292" s="79"/>
      <c r="D292" s="80"/>
      <c r="E292" s="66"/>
      <c r="F292" s="67"/>
      <c r="G292" s="81"/>
      <c r="H292" s="82"/>
    </row>
    <row r="293" spans="1:8">
      <c r="A293" s="78"/>
      <c r="B293" s="78"/>
      <c r="C293" s="79"/>
      <c r="D293" s="80"/>
      <c r="E293" s="66"/>
      <c r="F293" s="67"/>
      <c r="G293" s="81"/>
      <c r="H293" s="82"/>
    </row>
    <row r="294" spans="1:8">
      <c r="A294" s="78"/>
      <c r="B294" s="78"/>
      <c r="C294" s="79"/>
      <c r="D294" s="80"/>
      <c r="E294" s="66"/>
      <c r="F294" s="67"/>
      <c r="G294" s="81"/>
      <c r="H294" s="82"/>
    </row>
    <row r="295" spans="1:8">
      <c r="A295" s="78"/>
      <c r="B295" s="78"/>
      <c r="C295" s="79"/>
      <c r="D295" s="80"/>
      <c r="E295" s="66"/>
      <c r="F295" s="67"/>
      <c r="G295" s="81"/>
      <c r="H295" s="82"/>
    </row>
    <row r="296" spans="1:8">
      <c r="A296" s="78"/>
      <c r="B296" s="78"/>
      <c r="C296" s="79"/>
      <c r="D296" s="80"/>
      <c r="E296" s="66"/>
      <c r="F296" s="67"/>
      <c r="G296" s="81"/>
      <c r="H296" s="82"/>
    </row>
    <row r="297" spans="1:8">
      <c r="A297" s="78"/>
      <c r="B297" s="78"/>
      <c r="C297" s="79"/>
      <c r="D297" s="80"/>
      <c r="E297" s="66"/>
      <c r="F297" s="67"/>
      <c r="G297" s="81"/>
      <c r="H297" s="82"/>
    </row>
    <row r="298" spans="1:8">
      <c r="A298" s="78"/>
      <c r="B298" s="78"/>
      <c r="C298" s="79"/>
      <c r="D298" s="80"/>
      <c r="E298" s="66"/>
      <c r="F298" s="67"/>
      <c r="G298" s="81"/>
      <c r="H298" s="82"/>
    </row>
    <row r="299" spans="1:8">
      <c r="A299" s="78"/>
      <c r="B299" s="78"/>
      <c r="C299" s="79"/>
      <c r="D299" s="80"/>
      <c r="E299" s="66"/>
      <c r="F299" s="67"/>
      <c r="G299" s="81"/>
      <c r="H299" s="82"/>
    </row>
    <row r="300" spans="1:8">
      <c r="A300" s="78"/>
      <c r="B300" s="78"/>
      <c r="C300" s="79"/>
      <c r="D300" s="80"/>
      <c r="E300" s="66"/>
      <c r="F300" s="67"/>
      <c r="G300" s="81"/>
      <c r="H300" s="82"/>
    </row>
    <row r="301" spans="1:8">
      <c r="A301" s="78"/>
      <c r="B301" s="78"/>
      <c r="C301" s="79"/>
      <c r="D301" s="80"/>
      <c r="E301" s="66"/>
      <c r="F301" s="67"/>
      <c r="G301" s="81"/>
      <c r="H301" s="82"/>
    </row>
    <row r="302" spans="1:8">
      <c r="A302" s="78"/>
      <c r="B302" s="78"/>
      <c r="C302" s="79"/>
      <c r="D302" s="80"/>
      <c r="E302" s="66"/>
      <c r="F302" s="67"/>
      <c r="G302" s="81"/>
      <c r="H302" s="82"/>
    </row>
    <row r="303" spans="1:8">
      <c r="A303" s="78"/>
      <c r="B303" s="78"/>
      <c r="C303" s="79"/>
      <c r="D303" s="80"/>
      <c r="E303" s="66"/>
      <c r="F303" s="67"/>
      <c r="G303" s="81"/>
      <c r="H303" s="82"/>
    </row>
    <row r="304" spans="1:8">
      <c r="A304" s="78"/>
      <c r="B304" s="78"/>
      <c r="C304" s="79"/>
      <c r="D304" s="80"/>
      <c r="E304" s="66"/>
      <c r="F304" s="67"/>
      <c r="G304" s="81"/>
      <c r="H304" s="82"/>
    </row>
    <row r="305" spans="1:8">
      <c r="A305" s="78"/>
      <c r="B305" s="78"/>
      <c r="C305" s="79"/>
      <c r="D305" s="80"/>
      <c r="E305" s="66"/>
      <c r="F305" s="67"/>
      <c r="G305" s="81"/>
      <c r="H305" s="82"/>
    </row>
    <row r="306" spans="1:8">
      <c r="A306" s="78"/>
      <c r="B306" s="78"/>
      <c r="C306" s="79"/>
      <c r="D306" s="80"/>
      <c r="E306" s="83"/>
      <c r="F306" s="84"/>
      <c r="G306" s="81"/>
      <c r="H306" s="82"/>
    </row>
    <row r="307" spans="1:8">
      <c r="A307" s="78"/>
      <c r="B307" s="78"/>
      <c r="C307" s="79"/>
      <c r="D307" s="80"/>
      <c r="E307" s="77"/>
      <c r="F307" s="64"/>
      <c r="G307" s="81"/>
      <c r="H307" s="82"/>
    </row>
    <row r="308" spans="1:8">
      <c r="A308" s="78"/>
      <c r="B308" s="78"/>
      <c r="C308" s="79"/>
      <c r="D308" s="80"/>
      <c r="E308" s="77"/>
      <c r="F308" s="64"/>
      <c r="G308" s="81"/>
      <c r="H308" s="82"/>
    </row>
    <row r="309" spans="1:8">
      <c r="A309" s="78"/>
      <c r="B309" s="78"/>
      <c r="C309" s="79"/>
      <c r="D309" s="80"/>
      <c r="E309" s="77"/>
      <c r="F309" s="64"/>
      <c r="G309" s="81"/>
      <c r="H309" s="82"/>
    </row>
    <row r="310" spans="1:8">
      <c r="A310" s="78"/>
      <c r="B310" s="78"/>
      <c r="C310" s="79"/>
      <c r="D310" s="80"/>
      <c r="E310" s="77"/>
      <c r="F310" s="64"/>
      <c r="G310" s="81"/>
      <c r="H310" s="82"/>
    </row>
    <row r="311" spans="1:8">
      <c r="A311" s="78"/>
      <c r="B311" s="78"/>
      <c r="C311" s="79"/>
      <c r="D311" s="80"/>
      <c r="E311" s="77"/>
      <c r="F311" s="64"/>
      <c r="G311" s="81"/>
      <c r="H311" s="82"/>
    </row>
    <row r="312" spans="1:8">
      <c r="A312" s="78"/>
      <c r="B312" s="78"/>
      <c r="C312" s="79"/>
      <c r="D312" s="80"/>
      <c r="E312" s="77"/>
      <c r="F312" s="64"/>
      <c r="G312" s="81"/>
      <c r="H312" s="82"/>
    </row>
    <row r="313" spans="1:8">
      <c r="A313" s="78"/>
      <c r="B313" s="78"/>
      <c r="C313" s="79"/>
      <c r="D313" s="80"/>
      <c r="E313" s="77"/>
      <c r="F313" s="64"/>
      <c r="G313" s="81"/>
      <c r="H313" s="82"/>
    </row>
    <row r="314" spans="1:8">
      <c r="A314" s="78"/>
      <c r="B314" s="78"/>
      <c r="C314" s="79"/>
      <c r="D314" s="80"/>
      <c r="E314" s="77"/>
      <c r="F314" s="64"/>
      <c r="G314" s="81"/>
      <c r="H314" s="82"/>
    </row>
    <row r="315" spans="1:8">
      <c r="A315" s="78"/>
      <c r="B315" s="78"/>
      <c r="C315" s="79"/>
      <c r="D315" s="80"/>
      <c r="E315" s="77"/>
      <c r="F315" s="64"/>
      <c r="G315" s="81"/>
      <c r="H315" s="82"/>
    </row>
    <row r="316" spans="1:8">
      <c r="A316" s="78"/>
      <c r="B316" s="78"/>
      <c r="C316" s="79"/>
      <c r="D316" s="80"/>
      <c r="E316" s="77"/>
      <c r="F316" s="64"/>
      <c r="G316" s="81"/>
      <c r="H316" s="82"/>
    </row>
    <row r="317" spans="1:8">
      <c r="A317" s="78"/>
      <c r="B317" s="78"/>
      <c r="C317" s="79"/>
      <c r="D317" s="80"/>
      <c r="E317" s="77"/>
      <c r="F317" s="64"/>
      <c r="G317" s="81"/>
      <c r="H317" s="82"/>
    </row>
  </sheetData>
  <sheetProtection algorithmName="SHA-512" hashValue="vA1umXuWmNsowK2IjxvZcDl7iAfdvrZXG+Zj6r6nZBO7vx6LeUrAbtqEhMmaMX9hQoP1x0rGfkc1VHJVdTSfew==" saltValue="ytI7794h/KZ/WDBWEQc1yQ==" spinCount="100000" sheet="1" selectLockedCells="1" selectUnlockedCells="1"/>
  <mergeCells count="4">
    <mergeCell ref="A4:C4"/>
    <mergeCell ref="E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&amp;LSO 202-00 Oprava mosta ev.č.D2-080 cez potok Rudava&amp;RVýkaz výmer</oddHeader>
    <oddFooter>Strana &amp;P z &amp;N</oddFooter>
  </headerFooter>
  <rowBreaks count="4" manualBreakCount="4">
    <brk id="57" max="7" man="1"/>
    <brk id="116" max="7" man="1"/>
    <brk id="164" max="7" man="1"/>
    <brk id="2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Rekapitulácia stavby</vt:lpstr>
      <vt:lpstr>Súpis prác</vt:lpstr>
      <vt:lpstr>Časti stavby</vt:lpstr>
      <vt:lpstr>101-00</vt:lpstr>
      <vt:lpstr>201-00</vt:lpstr>
      <vt:lpstr>202-00</vt:lpstr>
      <vt:lpstr>'101-00'!Oblasť_tlače</vt:lpstr>
      <vt:lpstr>'201-00'!Oblasť_tlače</vt:lpstr>
      <vt:lpstr>'202-00'!Oblasť_tlače</vt:lpstr>
      <vt:lpstr>'Časti stavby'!Oblasť_tlače</vt:lpstr>
      <vt:lpstr>'Rekapitulácia stavby'!Oblasť_tlače</vt:lpstr>
      <vt:lpstr>'Súpis prác'!Oblasť_tlače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2019-11-29T10:29:04Z</dcterms:modified>
</cp:coreProperties>
</file>